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ennylim/Downloads/"/>
    </mc:Choice>
  </mc:AlternateContent>
  <xr:revisionPtr revIDLastSave="0" documentId="13_ncr:20001_{68EB498C-56ED-8A44-B01B-4BBB4162D8BE}" xr6:coauthVersionLast="47" xr6:coauthVersionMax="47" xr10:uidLastSave="{00000000-0000-0000-0000-000000000000}"/>
  <bookViews>
    <workbookView xWindow="0" yWindow="500" windowWidth="28800" windowHeight="17500" xr2:uid="{00000000-000D-0000-FFFF-FFFF00000000}"/>
  </bookViews>
  <sheets>
    <sheet name="App Copy - Catalog" sheetId="1" r:id="rId1"/>
    <sheet name="Catalog" sheetId="2" state="hidden" r:id="rId2"/>
    <sheet name="Loot Location IDs" sheetId="3" state="hidden" r:id="rId3"/>
    <sheet name="StatisticsLeaderboards" sheetId="4" state="hidden" r:id="rId4"/>
    <sheet name="TitleData colors.gameMasterTool" sheetId="5" state="hidden" r:id="rId5"/>
    <sheet name="TitleData defaultPlayerNamePref" sheetId="6" state="hidden" r:id="rId6"/>
    <sheet name="TitleData fonts.gameMasterTool" sheetId="7" state="hidden" r:id="rId7"/>
    <sheet name="TitleData images.avatars" sheetId="8" state="hidden" r:id="rId8"/>
    <sheet name="TitleData images.gameMasterTool" sheetId="9" state="hidden" r:id="rId9"/>
    <sheet name="TitleData itemTypes" sheetId="10" state="hidden" r:id="rId10"/>
    <sheet name="TitleData jsonToEndpoints.playe" sheetId="11" state="hidden" r:id="rId11"/>
    <sheet name="TitleData lands" sheetId="12" state="hidden" r:id="rId12"/>
    <sheet name="TitleData leaderboards" sheetId="13" state="hidden" r:id="rId13"/>
    <sheet name="TitleData levels.total_points" sheetId="14" state="hidden" r:id="rId14"/>
    <sheet name="TitleData limits (UI config)" sheetId="15" state="hidden" r:id="rId15"/>
    <sheet name="TitleData parks" sheetId="16" state="hidden" r:id="rId16"/>
    <sheet name="TitleData resorts" sheetId="17" state="hidden" r:id="rId17"/>
    <sheet name="TitleData rewards.items" sheetId="18" state="hidden" r:id="rId18"/>
    <sheet name="TitleData rewards.playerData.le" sheetId="19" state="hidden" r:id="rId19"/>
    <sheet name="TitleData seasons" sheetId="20" state="hidden" r:id="rId20"/>
    <sheet name="TitleData stringComponents.arti" sheetId="21" state="hidden" r:id="rId21"/>
    <sheet name="TitleData texts.gameMasterTool" sheetId="22" state="hidden" r:id="rId22"/>
    <sheet name="TitleData texts.mobileApp" sheetId="23" state="hidden" r:id="rId23"/>
    <sheet name="TitleData texts.nomenclatures" sheetId="24" state="hidden" r:id="rId24"/>
    <sheet name="_DEP App Copy" sheetId="25" state="hidden" r:id="rId25"/>
    <sheet name="_DEP Blaster Sync String Values" sheetId="26" state="hidden" r:id="rId26"/>
    <sheet name="_DEP Old Reward Tab Structure" sheetId="27" state="hidden" r:id="rId27"/>
    <sheet name="_DEP TitleData levels (player &amp;" sheetId="28" state="hidden" r:id="rId28"/>
    <sheet name="_REF Achievement Ideas Using SN" sheetId="29" state="hidden" r:id="rId29"/>
    <sheet name="_REF Blaster Sync" sheetId="30" state="hidden" r:id="rId30"/>
    <sheet name="_REF Catalog Classes" sheetId="31" state="hidden" r:id="rId31"/>
    <sheet name="_REF Data Validation for All Sh" sheetId="32" state="hidden" r:id="rId32"/>
    <sheet name="_REF How To Upload" sheetId="33" state="hidden" r:id="rId33"/>
    <sheet name="_REF Leaderboard Time Ranges" sheetId="34" state="hidden" r:id="rId34"/>
    <sheet name="_REF New Reward Structure with " sheetId="35" state="hidden" r:id="rId35"/>
    <sheet name="_REF Player Defaults" sheetId="36" state="hidden" r:id="rId36"/>
    <sheet name="_REF Player Levels from Conflue" sheetId="37" state="hidden" r:id="rId37"/>
    <sheet name="_REF rideSummaryMapping-creativ" sheetId="38" state="hidden" r:id="rId38"/>
  </sheets>
  <definedNames>
    <definedName name="_xlnm._FilterDatabase" localSheetId="24" hidden="1">'_DEP App Copy'!$A$1:$H$1</definedName>
    <definedName name="_xlnm._FilterDatabase" localSheetId="1" hidden="1">Catalog!$A$1:$AG$416</definedName>
    <definedName name="_Localization" localSheetId="24">#REF!</definedName>
    <definedName name="_Localization" localSheetId="0">#REF!</definedName>
    <definedName name="_Localization" localSheetId="21">#REF!</definedName>
    <definedName name="_Localization" localSheetId="22">#REF!</definedName>
    <definedName name="_Localization" localSheetId="23">#REF!</definedName>
    <definedName name="Catalog_Class">Catalog!$C$5:$C$416</definedName>
    <definedName name="Catalog_IsDeprecated">Catalog!$B$5:$B$416</definedName>
    <definedName name="Catalog_ItemId">Catalog!$E$5:$E$416</definedName>
    <definedName name="Catalog_RewardType">Catalog!$BZ$5:$BZ$416</definedName>
    <definedName name="DataValidation_AnyOrAll">'_REF Data Validation for All Sh'!$B$6:$B$7</definedName>
    <definedName name="DataValidation_ArtifactType">'_REF Data Validation for All Sh'!$C$6:$C$7</definedName>
    <definedName name="DataValidation_CatalogClass">'_REF Data Validation for All Sh'!$D$6:$D$14</definedName>
    <definedName name="DataValidation_CatalogItemsRewarded">'_REF Data Validation for All Sh'!$G$6:$G$129</definedName>
    <definedName name="DataValidation_ComparisonType">'_REF Data Validation for All Sh'!$M$6:$M$13</definedName>
    <definedName name="DataValidation_ConditionType">'_REF Data Validation for All Sh'!$L$6:$L$7</definedName>
    <definedName name="DataValidation_DataUpdateType">'_REF Data Validation for All Sh'!$O$6:$O$12</definedName>
    <definedName name="DataValidation_DateTimeKey">'_REF Data Validation for All Sh'!$P$6:$P$21</definedName>
    <definedName name="DataValidation_Event">'_REF Data Validation for All Sh'!$AN$6:$AN$10</definedName>
    <definedName name="DataValidation_ItemAll">'_REF Data Validation for All Sh'!$F$6:$F$268</definedName>
    <definedName name="DataValidation_ItemDataKey">'_REF Data Validation for All Sh'!$AP$6:$AP$12</definedName>
    <definedName name="DataValidation_ItemReward">'_REF Data Validation for All Sh'!$G$6:$G$121</definedName>
    <definedName name="DataValidation_ItemUpdateType">'_REF Data Validation for All Sh'!$AO$6:$AO$8</definedName>
    <definedName name="DataValidation_Locale">'_REF Data Validation for All Sh'!$Q$6:$Q$15</definedName>
    <definedName name="DataValidation_MissionLocks">'_REF Data Validation for All Sh'!$AQ$6</definedName>
    <definedName name="DataValidation_Operator">'_REF Data Validation for All Sh'!$N$6:$N$14</definedName>
    <definedName name="DataValidation_PlayerDataKey">'_REF Data Validation for All Sh'!$R$6:$R$268</definedName>
    <definedName name="DataValidation_PlayFabAggregationMethod">'_REF Data Validation for All Sh'!$Y$6:$Y$9</definedName>
    <definedName name="DataValidation_PlayFabResetInterval">'_REF Data Validation for All Sh'!$Z$6:$Z$10</definedName>
    <definedName name="DataValidation_RewardCountMethod">'_REF Data Validation for All Sh'!$AD$6:$AD$7</definedName>
    <definedName name="DataValidation_RewardRepeat">'_REF Data Validation for All Sh'!$AC$6:$AC$13</definedName>
    <definedName name="DataValidation_RewardType">'_REF Data Validation for All Sh'!$AB$6:$AB$268</definedName>
    <definedName name="DataValidation_RewardWithinSame">'_REF Data Validation for All Sh'!$AE$6:$AE$268</definedName>
    <definedName name="DataValidation_Season">'_REF Data Validation for All Sh'!$AF$6:$AF$18</definedName>
    <definedName name="DataValidation_StatisticAll">'_REF Data Validation for All Sh'!$AG$6:$AG$41</definedName>
    <definedName name="DataValidation_StatisticPrimary">'_REF Data Validation for All Sh'!$AH$6:$AH$15</definedName>
    <definedName name="DataValidation_TrueOrFalse">'_REF Data Validation for All Sh'!$BN$6:$BN$7</definedName>
    <definedName name="DataValidation_WithinSame">'_REF Data Validation for All Sh'!$AE$6:$AE$13</definedName>
    <definedName name="DataValidaton_ItemLauncher">'_REF Data Validation for All Sh'!$H$6:$H$268</definedName>
    <definedName name="StatisticLevels_points_IsDeprecated">'TitleData levels.total_points'!$B$8:$B$21</definedName>
    <definedName name="Z_0671E1C3_8539_4239_948F_6F50160AD1FB_.wvu.FilterData" localSheetId="3" hidden="1">StatisticsLeaderboards!$F$5:$F$98</definedName>
    <definedName name="Z_0FDF9C98_043E_4804_8C8E_914D94668B31_.wvu.FilterData" localSheetId="1" hidden="1">Catalog!$C$2:$BU$412</definedName>
    <definedName name="Z_1DF10F05_90E7_46F8_A11B_7DCDA4D2E55A_.wvu.FilterData" localSheetId="1" hidden="1">Catalog!$C$2:$BU$412</definedName>
    <definedName name="Z_1F2046D8_6F9E_480B_8ED7_8C6E5BEA05C3_.wvu.FilterData" localSheetId="17" hidden="1">'TitleData rewards.items'!$H$6:$H$127</definedName>
    <definedName name="Z_21B9A176_0855_4FAF_A4E7_182E73565C74_.wvu.FilterData" localSheetId="1" hidden="1">Catalog!$C$2:$BU$412</definedName>
    <definedName name="Z_24512F7D_A9F8_42A8_81B5_944B888E4D98_.wvu.FilterData" localSheetId="3" hidden="1">StatisticsLeaderboards!$F$5:$F$98</definedName>
    <definedName name="Z_2512712C_62B4_4639_A0E8_BDE940883EE2_.wvu.FilterData" localSheetId="3" hidden="1">StatisticsLeaderboards!$B$5:$B$98</definedName>
    <definedName name="Z_26DC00A0_D431_42A4_A1A3_4EB4FE1D0D1B_.wvu.FilterData" localSheetId="3" hidden="1">StatisticsLeaderboards!$H$5:$H$98</definedName>
    <definedName name="Z_282FBA23_5F54_485E_B039_947874A3A027_.wvu.FilterData" localSheetId="1" hidden="1">Catalog!$BD$1:$BO$84</definedName>
    <definedName name="Z_3084AF04_DCF9_401C_BD4D_496DF43BA2C8_.wvu.FilterData" localSheetId="3" hidden="1">StatisticsLeaderboards!$F$5:$F$98</definedName>
    <definedName name="Z_34841E2D_A1B2_401D_87F6_8A809050B6A1_.wvu.FilterData" localSheetId="3" hidden="1">StatisticsLeaderboards!$F$5:$F$98</definedName>
    <definedName name="Z_37CFFF83_0417_421A_BEA5_AD15C1329A06_.wvu.FilterData" localSheetId="1" hidden="1">Catalog!$C$1:$BU$412</definedName>
    <definedName name="Z_3AC3A8F8_648C_497B_B818_DB01CD24ABB7_.wvu.FilterData" localSheetId="1" hidden="1">Catalog!$C$2:$BU$412</definedName>
    <definedName name="Z_47491BE6_A007_42EF_BCC0_C502DE733847_.wvu.FilterData" localSheetId="3" hidden="1">StatisticsLeaderboards!$C$5:$C$98</definedName>
    <definedName name="Z_47C99E9A_CBC6_473D_88BB_588BC8364431_.wvu.FilterData" localSheetId="1" hidden="1">Catalog!$C$2:$BU$412</definedName>
    <definedName name="Z_52C875B8_F94D_4850_9C88_931AE74B4ED0_.wvu.FilterData" localSheetId="3" hidden="1">StatisticsLeaderboards!$H$5:$H$98</definedName>
    <definedName name="Z_55DB2364_10AF_416D_87C5_DC89E73127EE_.wvu.FilterData" localSheetId="24" hidden="1">'_DEP App Copy'!$G$1:$G$996</definedName>
    <definedName name="Z_55DB2364_10AF_416D_87C5_DC89E73127EE_.wvu.FilterData" localSheetId="1" hidden="1">Catalog!$C$1:$BU$412</definedName>
    <definedName name="Z_760F52C7_A691_4A9E_A593_7FCE817559F4_.wvu.FilterData" localSheetId="3" hidden="1">StatisticsLeaderboards!$C$5:$C$98</definedName>
    <definedName name="Z_77AEDE1C_A1C3_48F6_ABE3_277D054E27A9_.wvu.FilterData" localSheetId="1" hidden="1">Catalog!$C$2:$BU$412</definedName>
    <definedName name="Z_7951B938_873E_4C5A_A2C5_70AE65C94B2D_.wvu.FilterData" localSheetId="1" hidden="1">Catalog!$C$2:$BU$412</definedName>
    <definedName name="Z_7CC2758C_2C4F_4A1D_889C_A6F6296EA66F_.wvu.FilterData" localSheetId="3" hidden="1">StatisticsLeaderboards!$F$5:$F$98</definedName>
    <definedName name="Z_7CE3E268_3A99_4FDF_A688_878F7851EEFE_.wvu.FilterData" localSheetId="1" hidden="1">Catalog!$C$2:$BU$412</definedName>
    <definedName name="Z_81660A9B_96AA_4BFD_BD94_638258D27411_.wvu.FilterData" localSheetId="3" hidden="1">StatisticsLeaderboards!$H$5:$H$98</definedName>
    <definedName name="Z_83D96DFC_94E8_4127_8F24_C4895BF8227E_.wvu.FilterData" localSheetId="1" hidden="1">Catalog!$C$2:$BU$412</definedName>
    <definedName name="Z_84CF649D_5431_4CA7_A5D8_0F4D3EC394BA_.wvu.FilterData" localSheetId="3" hidden="1">StatisticsLeaderboards!$C$5:$C$98</definedName>
    <definedName name="Z_8A788BD5_1572_4A94_AA26_9B986ED0D089_.wvu.FilterData" localSheetId="1" hidden="1">Catalog!$C$2:$BU$412</definedName>
    <definedName name="Z_8B4B8E71_F07F_4B41_8636_055C0EACB12B_.wvu.FilterData" localSheetId="1" hidden="1">Catalog!$C$2:$BU$412</definedName>
    <definedName name="Z_8EB29808_FBC3_44D7_AEE4_1687FCDFB29C_.wvu.FilterData" localSheetId="3" hidden="1">StatisticsLeaderboards!$B$5:$B$98</definedName>
    <definedName name="Z_8FAD456A_EB98_4EF0_9699_781D09FE7B3A_.wvu.FilterData" localSheetId="3" hidden="1">StatisticsLeaderboards!$F$5:$F$98</definedName>
    <definedName name="Z_930B1166_B3AA_4586_996F_77D3AEE5950A_.wvu.FilterData" localSheetId="1" hidden="1">Catalog!$BZ$2:$BZ$416</definedName>
    <definedName name="Z_9746690C_3D6C_4863_9755_0EDD911B9391_.wvu.FilterData" localSheetId="3" hidden="1">StatisticsLeaderboards!$C$5:$C$98</definedName>
    <definedName name="Z_9DE7E426_0473_44B2_A4B9_4683CD70F241_.wvu.FilterData" localSheetId="17" hidden="1">'TitleData rewards.items'!$H$6:$H$127</definedName>
    <definedName name="Z_A8B30850_FC3C_4D6D_A960_672AB253D0F6_.wvu.FilterData" localSheetId="1" hidden="1">Catalog!$C$1:$BU$412</definedName>
    <definedName name="Z_BA9E3508_9852_42EB_BCDE_9F0A55712956_.wvu.FilterData" localSheetId="1" hidden="1">Catalog!$B$2:$BU$416</definedName>
    <definedName name="Z_D08FE895_885E_4ED8_BECB_1F635FA09BC0_.wvu.FilterData" localSheetId="1" hidden="1">Catalog!$C$2:$BU$412</definedName>
    <definedName name="Z_DCEDFBD4_B0C6_41F5_92CD_A5C9F8CE1581_.wvu.FilterData" localSheetId="3" hidden="1">StatisticsLeaderboards!$H$5:$H$98</definedName>
    <definedName name="Z_DE9F1A38_9514_4ED4_86EE_F2B2879DB205_.wvu.FilterData" localSheetId="1" hidden="1">Catalog!$A$1:$CA$416</definedName>
    <definedName name="Z_E32A23CC_8C74_49B5_8262_47C9FCB006D5_.wvu.FilterData" localSheetId="1" hidden="1">Catalog!$C$2:$BU$412</definedName>
    <definedName name="Z_E3C5029F_7FF6_4EB6_9327_1A0E63D2277F_.wvu.FilterData" localSheetId="3" hidden="1">StatisticsLeaderboards!$F$5:$F$98</definedName>
    <definedName name="Z_F1DB2D0A_8089_4AAB_8CD9_8D1440A9BAAD_.wvu.FilterData" localSheetId="1" hidden="1">Catalog!$A$1:$AL$416</definedName>
    <definedName name="Z_F2F28300_BEB4_482F_B663_08A05F6D7EB6_.wvu.FilterData" localSheetId="1" hidden="1">Catalog!$C$1:$BU$412</definedName>
    <definedName name="Z_F3C9DE2B_FE0C_481B_8616_460400CA217A_.wvu.FilterData" localSheetId="1" hidden="1">Catalog!$A$1:$AG$416</definedName>
    <definedName name="Z_F9619C22_11E1_4F4D_A7AE_419FFF4C1854_.wvu.FilterData" localSheetId="24" hidden="1">'_DEP App Copy'!$A$43:$G$996</definedName>
    <definedName name="Z_F9619C22_11E1_4F4D_A7AE_419FFF4C1854_.wvu.FilterData" localSheetId="0" hidden="1">'App Copy - Catalog'!$A$199:$F$638</definedName>
    <definedName name="Z_F9619C22_11E1_4F4D_A7AE_419FFF4C1854_.wvu.FilterData" localSheetId="1" hidden="1">Catalog!$C$1:$BU$412</definedName>
    <definedName name="Z_F9619C22_11E1_4F4D_A7AE_419FFF4C1854_.wvu.FilterData" localSheetId="22" hidden="1">'TitleData texts.mobileApp'!$A$1:$G$203</definedName>
  </definedNames>
  <calcPr calcId="191029"/>
  <customWorkbookViews>
    <customWorkbookView name="Device Grants" guid="{3AC3A8F8-648C-497B-B818-DB01CD24ABB7}" maximized="1" windowWidth="0" windowHeight="0" activeSheetId="0"/>
    <customWorkbookView name="Category - teams" guid="{760F52C7-A691-4A9E-A593-7FCE817559F4}" maximized="1" windowWidth="0" windowHeight="0" activeSheetId="0"/>
    <customWorkbookView name="Time Range: season" guid="{E3C5029F-7FF6-4EB6-9327-1A0E63D2277F}" maximized="1" windowWidth="0" windowHeight="0" activeSheetId="0"/>
    <customWorkbookView name="Deprecated - TRUE" guid="{8EB29808-FBC3-44D7-AEE4-1687FCDFB29C}" maximized="1" windowWidth="0" windowHeight="0" activeSheetId="0"/>
    <customWorkbookView name="Time Range: hour" guid="{34841E2D-A1B2-401D-87F6-8A809050B6A1}" maximized="1" windowWidth="0" windowHeight="0" activeSheetId="0"/>
    <customWorkbookView name="Time Range:month" guid="{24512F7D-A9F8-42A8-81B5-944B888E4D98}" maximized="1" windowWidth="0" windowHeight="0" activeSheetId="0"/>
    <customWorkbookView name="Category - skills" guid="{84CF649D-5431-4CA7-A5D8-0F4D3EC394BA}" maximized="1" windowWidth="0" windowHeight="0" activeSheetId="0"/>
    <customWorkbookView name="Keys" guid="{83D96DFC-94E8-4127-8F24-C4895BF8227E}" maximized="1" windowWidth="0" windowHeight="0" activeSheetId="0"/>
    <customWorkbookView name="Filter 1" guid="{F9619C22-11E1-4F4D-A7AE-419FFF4C1854}" maximized="1" windowWidth="0" windowHeight="0" activeSheetId="0"/>
    <customWorkbookView name="Filter 3" guid="{282FBA23-5F54-485E-B039-947874A3A027}" maximized="1" windowWidth="0" windowHeight="0" activeSheetId="0"/>
    <customWorkbookView name="Filter 2" guid="{55DB2364-10AF-416D-87C5-DC89E73127EE}" maximized="1" windowWidth="0" windowHeight="0" activeSheetId="0"/>
    <customWorkbookView name="Filter 5" guid="{F1DB2D0A-8089-4AAB-8CD9-8D1440A9BAAD}" maximized="1" windowWidth="0" windowHeight="0" activeSheetId="0"/>
    <customWorkbookView name="Class - perk" guid="{9DE7E426-0473-44B2-A4B9-4683CD70F241}" maximized="1" windowWidth="0" windowHeight="0" activeSheetId="0"/>
    <customWorkbookView name="Filter 4" guid="{F3C9DE2B-FE0C-481B-8616-460400CA217A}" maximized="1" windowWidth="0" windowHeight="0" activeSheetId="0"/>
    <customWorkbookView name="Category - points" guid="{47491BE6-A007-42EF-BCC0-C502DE733847}" maximized="1" windowWidth="0" windowHeight="0" activeSheetId="0"/>
    <customWorkbookView name="PF Class = MAP-SML" guid="{8A788BD5-1572-4A94-AA26-9B986ED0D089}" maximized="1" windowWidth="0" windowHeight="0" activeSheetId="0"/>
    <customWorkbookView name="Boss Battle" guid="{1DF10F05-90E7-46F8-A11B-7DCDA4D2E55A}" maximized="1" windowWidth="0" windowHeight="0" activeSheetId="0"/>
    <customWorkbookView name="Flags" guid="{D08FE895-885E-4ED8-BECB-1F635FA09BC0}" maximized="1" windowWidth="0" windowHeight="0" activeSheetId="0"/>
    <customWorkbookView name="GDP Grants" guid="{7CE3E268-3A99-4FDF-A688-878F7851EEFE}" maximized="1" windowWidth="0" windowHeight="0" activeSheetId="0"/>
    <customWorkbookView name="Time Range: allTime" guid="{8FAD456A-EB98-4EF0-9699-781D09FE7B3A}" maximized="1" windowWidth="0" windowHeight="0" activeSheetId="0"/>
    <customWorkbookView name="Aggregation - Sum" guid="{52C875B8-F94D-4850-9C88-931AE74B4ED0}" maximized="1" windowWidth="0" windowHeight="0" activeSheetId="0"/>
    <customWorkbookView name="Category - blocks" guid="{9746690C-3D6C-4863-9755-0EDD911B9391}" maximized="1" windowWidth="0" windowHeight="0" activeSheetId="0"/>
    <customWorkbookView name="PF Class = mission" guid="{DE9F1A38-9514-4ED4-86EE-F2B2879DB205}" maximized="1" windowWidth="0" windowHeight="0" activeSheetId="0"/>
    <customWorkbookView name="Not Deprecated" guid="{BA9E3508-9852-42EB-BCDE-9F0A55712956}" maximized="1" windowWidth="0" windowHeight="0" activeSheetId="0"/>
    <customWorkbookView name="Time Range: year" guid="{3084AF04-DCF9-401C-BD4D-496DF43BA2C8}" maximized="1" windowWidth="0" windowHeight="0" activeSheetId="0"/>
    <customWorkbookView name="Aggregation - Min" guid="{26DC00A0-D431-42A4-A1A3-4EB4FE1D0D1B}" maximized="1" windowWidth="0" windowHeight="0" activeSheetId="0"/>
    <customWorkbookView name="Class - mission" guid="{1F2046D8-6F9E-480B-8ED7-8C6E5BEA05C3}" maximized="1" windowWidth="0" windowHeight="0" activeSheetId="0"/>
    <customWorkbookView name="Deprecated" guid="{37CFFF83-0417-421A-BEA5-AD15C1329A06}" maximized="1" windowWidth="0" windowHeight="0" activeSheetId="0"/>
    <customWorkbookView name="Time Range: day" guid="{7CC2758C-2C4F-4A1D-889C-A6F6296EA66F}" maximized="1" windowWidth="0" windowHeight="0" activeSheetId="0"/>
    <customWorkbookView name="PF Class = skin" guid="{E32A23CC-8C74-49B5-8262-47C9FCB006D5}" maximized="1" windowWidth="0" windowHeight="0" activeSheetId="0"/>
    <customWorkbookView name="Aggregation - Last" guid="{81660A9B-96AA-4BFD-BD94-638258D27411}" maximized="1" windowWidth="0" windowHeight="0" activeSheetId="0"/>
    <customWorkbookView name="PF Class = Achievement" guid="{77AEDE1C-A1C3-48F6-ABE3-277D054E27A9}" maximized="1" windowWidth="0" windowHeight="0" activeSheetId="0"/>
    <customWorkbookView name="Logic Owner Unknown" guid="{A8B30850-FC3C-4D6D-A960-672AB253D0F6}" maximized="1" windowWidth="0" windowHeight="0" activeSheetId="0"/>
    <customWorkbookView name="Aggregation - Max" guid="{DCEDFBD4-B0C6-41F5-92CD-A5C9F8CE1581}" maximized="1" windowWidth="0" windowHeight="0" activeSheetId="0"/>
    <customWorkbookView name="Deprecated - FALSE" guid="{2512712C-62B4-4639-A0E8-BDE940883EE2}" maximized="1" windowWidth="0" windowHeight="0" activeSheetId="0"/>
    <customWorkbookView name="PF Class = MAP-DKC" guid="{8B4B8E71-F07F-4B41-8636-055C0EACB12B}" maximized="1" windowWidth="0" windowHeight="0" activeSheetId="0"/>
    <customWorkbookView name="Time Range: week" guid="{0671E1C3-8539-4239-948F-6F50160AD1FB}" maximized="1" windowWidth="0" windowHeight="0" activeSheetId="0"/>
    <customWorkbookView name="Granted By Rewards Engine" guid="{930B1166-B3AA-4586-996F-77D3AEE5950A}" maximized="1" windowWidth="0" windowHeight="0" activeSheetId="0"/>
    <customWorkbookView name="MK Grants" guid="{0FDF9C98-043E-4804-8C8E-914D94668B31}" maximized="1" windowWidth="0" windowHeight="0" activeSheetId="0"/>
    <customWorkbookView name="New-2020-12" guid="{F2F28300-BEB4-482F-B663-08A05F6D7EB6}" maximized="1" windowWidth="0" windowHeight="0" activeSheetId="0"/>
    <customWorkbookView name="PF Class = action" guid="{21B9A176-0855-4FAF-A4E7-182E73565C74}" maximized="1" windowWidth="0" windowHeight="0" activeSheetId="0"/>
    <customWorkbookView name="PF Class = loot" guid="{7951B938-873E-4C5A-A2C5-70AE65C94B2D}" maximized="1" windowWidth="0" windowHeight="0" activeSheetId="0"/>
    <customWorkbookView name="PF Class = perk" guid="{47C99E9A-CBC6-473D-88BB-588BC8364431}"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6" i="38" l="1"/>
  <c r="J106" i="38"/>
  <c r="K105" i="38"/>
  <c r="J105" i="38"/>
  <c r="K104" i="38"/>
  <c r="J104" i="38"/>
  <c r="K103" i="38"/>
  <c r="J103" i="38"/>
  <c r="K102" i="38"/>
  <c r="J102" i="38"/>
  <c r="K101" i="38"/>
  <c r="J101" i="38"/>
  <c r="K100" i="38"/>
  <c r="J100" i="38"/>
  <c r="K99" i="38"/>
  <c r="J99" i="38"/>
  <c r="K98" i="38"/>
  <c r="J98" i="38"/>
  <c r="K97" i="38"/>
  <c r="J97" i="38"/>
  <c r="K96" i="38"/>
  <c r="J96" i="38"/>
  <c r="K95" i="38"/>
  <c r="J95" i="38"/>
  <c r="K94" i="38"/>
  <c r="J94" i="38"/>
  <c r="K93" i="38"/>
  <c r="J93" i="38"/>
  <c r="K92" i="38"/>
  <c r="J92" i="38"/>
  <c r="K91" i="38"/>
  <c r="J91" i="38"/>
  <c r="K90" i="38"/>
  <c r="J90" i="38"/>
  <c r="K89" i="38"/>
  <c r="J89" i="38"/>
  <c r="K88" i="38"/>
  <c r="J88" i="38"/>
  <c r="I88" i="38"/>
  <c r="K87" i="38"/>
  <c r="J87" i="38"/>
  <c r="I87" i="38"/>
  <c r="K86" i="38"/>
  <c r="J86" i="38"/>
  <c r="I86" i="38"/>
  <c r="K85" i="38"/>
  <c r="J85" i="38"/>
  <c r="I85" i="38"/>
  <c r="K84" i="38"/>
  <c r="J84" i="38"/>
  <c r="I84" i="38"/>
  <c r="K83" i="38"/>
  <c r="J83" i="38"/>
  <c r="I83" i="38"/>
  <c r="K82" i="38"/>
  <c r="J82" i="38"/>
  <c r="I82" i="38"/>
  <c r="K81" i="38"/>
  <c r="J81" i="38"/>
  <c r="I81" i="38"/>
  <c r="K80" i="38"/>
  <c r="J80" i="38"/>
  <c r="I80" i="38"/>
  <c r="K79" i="38"/>
  <c r="J79" i="38"/>
  <c r="I79" i="38"/>
  <c r="K78" i="38"/>
  <c r="J78" i="38"/>
  <c r="I78" i="38"/>
  <c r="K77" i="38"/>
  <c r="J77" i="38"/>
  <c r="I77" i="38"/>
  <c r="K76" i="38"/>
  <c r="J76" i="38"/>
  <c r="I76" i="38"/>
  <c r="K75" i="38"/>
  <c r="J75" i="38"/>
  <c r="I75" i="38"/>
  <c r="K74" i="38"/>
  <c r="J74" i="38"/>
  <c r="I74" i="38"/>
  <c r="K73" i="38"/>
  <c r="J73" i="38"/>
  <c r="I73" i="38"/>
  <c r="K72" i="38"/>
  <c r="J72" i="38"/>
  <c r="I72" i="38"/>
  <c r="K71" i="38"/>
  <c r="J71" i="38"/>
  <c r="I71" i="38"/>
  <c r="K70" i="38"/>
  <c r="J70" i="38"/>
  <c r="I70" i="38"/>
  <c r="K69" i="38"/>
  <c r="J69" i="38"/>
  <c r="I69" i="38"/>
  <c r="K68" i="38"/>
  <c r="J68" i="38"/>
  <c r="I68" i="38"/>
  <c r="K67" i="38"/>
  <c r="J67" i="38"/>
  <c r="I67" i="38"/>
  <c r="K66" i="38"/>
  <c r="J66" i="38"/>
  <c r="I66" i="38"/>
  <c r="K65" i="38"/>
  <c r="J65" i="38"/>
  <c r="I65" i="38"/>
  <c r="K64" i="38"/>
  <c r="J64" i="38"/>
  <c r="I64" i="38"/>
  <c r="K63" i="38"/>
  <c r="J63" i="38"/>
  <c r="I63" i="38"/>
  <c r="K62" i="38"/>
  <c r="J62" i="38"/>
  <c r="I62" i="38"/>
  <c r="K61" i="38"/>
  <c r="J61" i="38"/>
  <c r="I61" i="38"/>
  <c r="K60" i="38"/>
  <c r="J60" i="38"/>
  <c r="I60" i="38"/>
  <c r="K59" i="38"/>
  <c r="J59" i="38"/>
  <c r="I59" i="38"/>
  <c r="K58" i="38"/>
  <c r="J58" i="38"/>
  <c r="I58" i="38"/>
  <c r="K57" i="38"/>
  <c r="J57" i="38"/>
  <c r="I57" i="38"/>
  <c r="K56" i="38"/>
  <c r="J56" i="38"/>
  <c r="I56" i="38"/>
  <c r="K55" i="38"/>
  <c r="J55" i="38"/>
  <c r="I55" i="38"/>
  <c r="K54" i="38"/>
  <c r="J54" i="38"/>
  <c r="I54" i="38"/>
  <c r="K53" i="38"/>
  <c r="J53" i="38"/>
  <c r="I53" i="38"/>
  <c r="K52" i="38"/>
  <c r="J52" i="38"/>
  <c r="I52" i="38"/>
  <c r="K51" i="38"/>
  <c r="J51" i="38"/>
  <c r="I51" i="38"/>
  <c r="K50" i="38"/>
  <c r="J50" i="38"/>
  <c r="I50" i="38"/>
  <c r="K49" i="38"/>
  <c r="J49" i="38"/>
  <c r="I49" i="38"/>
  <c r="K48" i="38"/>
  <c r="J48" i="38"/>
  <c r="I48" i="38"/>
  <c r="K47" i="38"/>
  <c r="J47" i="38"/>
  <c r="I47" i="38"/>
  <c r="K46" i="38"/>
  <c r="J46" i="38"/>
  <c r="I46" i="38"/>
  <c r="K45" i="38"/>
  <c r="J45" i="38"/>
  <c r="I45" i="38"/>
  <c r="K44" i="38"/>
  <c r="J44" i="38"/>
  <c r="I44" i="38"/>
  <c r="K43" i="38"/>
  <c r="J43" i="38"/>
  <c r="I43" i="38"/>
  <c r="K42" i="38"/>
  <c r="J42" i="38"/>
  <c r="K41" i="38"/>
  <c r="J41" i="38"/>
  <c r="K40" i="38"/>
  <c r="J40" i="38"/>
  <c r="K39" i="38"/>
  <c r="J39" i="38"/>
  <c r="K38" i="38"/>
  <c r="J38" i="38"/>
  <c r="K37" i="38"/>
  <c r="J37" i="38"/>
  <c r="K36" i="38"/>
  <c r="J36" i="38"/>
  <c r="K35" i="38"/>
  <c r="J35" i="38"/>
  <c r="K34" i="38"/>
  <c r="J34" i="38"/>
  <c r="K33" i="38"/>
  <c r="J33" i="38"/>
  <c r="K32" i="38"/>
  <c r="J32" i="38"/>
  <c r="K31" i="38"/>
  <c r="J31" i="38"/>
  <c r="K30" i="38"/>
  <c r="J30" i="38"/>
  <c r="K29" i="38"/>
  <c r="J29" i="38"/>
  <c r="K27" i="38"/>
  <c r="J27" i="38"/>
  <c r="K26" i="38"/>
  <c r="J26" i="38"/>
  <c r="K25" i="38"/>
  <c r="J25" i="38"/>
  <c r="K24" i="38"/>
  <c r="J24" i="38"/>
  <c r="K23" i="38"/>
  <c r="J23" i="38"/>
  <c r="K22" i="38"/>
  <c r="J22" i="38"/>
  <c r="K21" i="38"/>
  <c r="J21" i="38"/>
  <c r="K20" i="38"/>
  <c r="J20" i="38"/>
  <c r="K19" i="38"/>
  <c r="J19" i="38"/>
  <c r="K18" i="38"/>
  <c r="J18" i="38"/>
  <c r="K17" i="38"/>
  <c r="J17" i="38"/>
  <c r="K16" i="38"/>
  <c r="J16" i="38"/>
  <c r="K15" i="38"/>
  <c r="J15" i="38"/>
  <c r="K14" i="38"/>
  <c r="J14" i="38"/>
  <c r="K13" i="38"/>
  <c r="J13" i="38"/>
  <c r="K12" i="38"/>
  <c r="J12" i="38"/>
  <c r="K11" i="38"/>
  <c r="J11" i="38"/>
  <c r="K10" i="38"/>
  <c r="J10" i="38"/>
  <c r="K9" i="38"/>
  <c r="J9" i="38"/>
  <c r="K8" i="38"/>
  <c r="J8" i="38"/>
  <c r="K7" i="38"/>
  <c r="J7" i="38"/>
  <c r="K6" i="38"/>
  <c r="J6" i="38"/>
  <c r="K5" i="38"/>
  <c r="J5" i="38"/>
  <c r="K3" i="38"/>
  <c r="J3" i="38"/>
  <c r="F217" i="32"/>
  <c r="F216" i="32"/>
  <c r="F215" i="32"/>
  <c r="F214" i="32"/>
  <c r="F213" i="32"/>
  <c r="F212" i="32"/>
  <c r="F211" i="32"/>
  <c r="F210" i="32"/>
  <c r="F209" i="32"/>
  <c r="F208" i="32"/>
  <c r="F207" i="32"/>
  <c r="F206" i="32"/>
  <c r="F205" i="32"/>
  <c r="F204" i="32"/>
  <c r="F203" i="32"/>
  <c r="F202" i="32"/>
  <c r="F201" i="32"/>
  <c r="F200" i="32"/>
  <c r="F199" i="32"/>
  <c r="F198" i="32"/>
  <c r="F197" i="32"/>
  <c r="F196" i="32"/>
  <c r="F195" i="32"/>
  <c r="F194" i="32"/>
  <c r="F193" i="32"/>
  <c r="F192" i="32"/>
  <c r="F191" i="32"/>
  <c r="F190" i="32"/>
  <c r="F189" i="32"/>
  <c r="F188" i="32"/>
  <c r="F187" i="32"/>
  <c r="F186" i="32"/>
  <c r="F185" i="32"/>
  <c r="F184" i="32"/>
  <c r="F183" i="32"/>
  <c r="F182" i="32"/>
  <c r="F181" i="32"/>
  <c r="F180" i="32"/>
  <c r="F179" i="32"/>
  <c r="F178" i="32"/>
  <c r="F177" i="32"/>
  <c r="F176" i="32"/>
  <c r="F175" i="32"/>
  <c r="F174" i="32"/>
  <c r="F173" i="32"/>
  <c r="F172" i="32"/>
  <c r="F171" i="32"/>
  <c r="F170" i="32"/>
  <c r="F169" i="32"/>
  <c r="F168" i="32"/>
  <c r="F167" i="32"/>
  <c r="F166" i="32"/>
  <c r="F165" i="32"/>
  <c r="F164" i="32"/>
  <c r="F163" i="32"/>
  <c r="F162" i="32"/>
  <c r="F161" i="32"/>
  <c r="F160" i="32"/>
  <c r="F159" i="32"/>
  <c r="F158" i="32"/>
  <c r="F157" i="32"/>
  <c r="F156" i="32"/>
  <c r="F155" i="32"/>
  <c r="F154" i="32"/>
  <c r="F153" i="32"/>
  <c r="F152" i="32"/>
  <c r="F151" i="32"/>
  <c r="F150" i="32"/>
  <c r="F149" i="32"/>
  <c r="F148" i="32"/>
  <c r="F147" i="32"/>
  <c r="F146" i="32"/>
  <c r="F145" i="32"/>
  <c r="F144" i="32"/>
  <c r="F143" i="32"/>
  <c r="F142" i="32"/>
  <c r="F141" i="32"/>
  <c r="F140" i="32"/>
  <c r="F139" i="32"/>
  <c r="F138" i="32"/>
  <c r="F137" i="32"/>
  <c r="F136" i="32"/>
  <c r="F135" i="32"/>
  <c r="F134" i="32"/>
  <c r="F133" i="32"/>
  <c r="F132" i="32"/>
  <c r="F131" i="32"/>
  <c r="F130" i="32"/>
  <c r="F129" i="32"/>
  <c r="F128" i="32"/>
  <c r="F127" i="32"/>
  <c r="F126" i="32"/>
  <c r="F125" i="32"/>
  <c r="F124" i="32"/>
  <c r="F123" i="32"/>
  <c r="F122" i="32"/>
  <c r="F121" i="32"/>
  <c r="F120" i="32"/>
  <c r="F119" i="32"/>
  <c r="F118" i="32"/>
  <c r="F117" i="32"/>
  <c r="F116" i="32"/>
  <c r="F115" i="32"/>
  <c r="F114" i="32"/>
  <c r="F113" i="32"/>
  <c r="F112" i="32"/>
  <c r="F111" i="32"/>
  <c r="F110" i="32"/>
  <c r="F109" i="32"/>
  <c r="F108" i="32"/>
  <c r="F107" i="32"/>
  <c r="F106" i="32"/>
  <c r="F105" i="32"/>
  <c r="F104" i="32"/>
  <c r="F103" i="32"/>
  <c r="F102" i="32"/>
  <c r="G101" i="32"/>
  <c r="F101" i="32"/>
  <c r="G100" i="32"/>
  <c r="F100" i="32"/>
  <c r="G99" i="32"/>
  <c r="F99" i="32"/>
  <c r="G98" i="32"/>
  <c r="F98" i="32"/>
  <c r="G97" i="32"/>
  <c r="F97" i="32"/>
  <c r="G96" i="32"/>
  <c r="F96" i="32"/>
  <c r="G95" i="32"/>
  <c r="F95" i="32"/>
  <c r="G94" i="32"/>
  <c r="F94" i="32"/>
  <c r="G93" i="32"/>
  <c r="F93" i="32"/>
  <c r="G92" i="32"/>
  <c r="F92" i="32"/>
  <c r="G91" i="32"/>
  <c r="F91" i="32"/>
  <c r="G90" i="32"/>
  <c r="F90" i="32"/>
  <c r="G89" i="32"/>
  <c r="F89" i="32"/>
  <c r="G88" i="32"/>
  <c r="F88" i="32"/>
  <c r="G87" i="32"/>
  <c r="F87" i="32"/>
  <c r="G86" i="32"/>
  <c r="F86" i="32"/>
  <c r="G85" i="32"/>
  <c r="F85" i="32"/>
  <c r="G84" i="32"/>
  <c r="F84" i="32"/>
  <c r="G83" i="32"/>
  <c r="F83" i="32"/>
  <c r="G82" i="32"/>
  <c r="F82" i="32"/>
  <c r="G81" i="32"/>
  <c r="F81" i="32"/>
  <c r="G80" i="32"/>
  <c r="F80" i="32"/>
  <c r="G79" i="32"/>
  <c r="F79" i="32"/>
  <c r="G78" i="32"/>
  <c r="F78" i="32"/>
  <c r="G77" i="32"/>
  <c r="F77" i="32"/>
  <c r="G76" i="32"/>
  <c r="F76" i="32"/>
  <c r="G75" i="32"/>
  <c r="F75" i="32"/>
  <c r="G74" i="32"/>
  <c r="F74" i="32"/>
  <c r="G73" i="32"/>
  <c r="F73" i="32"/>
  <c r="G72" i="32"/>
  <c r="F72" i="32"/>
  <c r="G71" i="32"/>
  <c r="F71" i="32"/>
  <c r="G70" i="32"/>
  <c r="F70" i="32"/>
  <c r="G69" i="32"/>
  <c r="F69" i="32"/>
  <c r="G68" i="32"/>
  <c r="F68" i="32"/>
  <c r="G67" i="32"/>
  <c r="F67" i="32"/>
  <c r="G66" i="32"/>
  <c r="F66" i="32"/>
  <c r="G65" i="32"/>
  <c r="F65" i="32"/>
  <c r="G64" i="32"/>
  <c r="F64" i="32"/>
  <c r="G63" i="32"/>
  <c r="F63" i="32"/>
  <c r="G62" i="32"/>
  <c r="F62" i="32"/>
  <c r="G61" i="32"/>
  <c r="F61" i="32"/>
  <c r="G60" i="32"/>
  <c r="F60" i="32"/>
  <c r="G59" i="32"/>
  <c r="F59" i="32"/>
  <c r="G58" i="32"/>
  <c r="F58" i="32"/>
  <c r="G57" i="32"/>
  <c r="F57" i="32"/>
  <c r="G56" i="32"/>
  <c r="F56" i="32"/>
  <c r="G55" i="32"/>
  <c r="F55" i="32"/>
  <c r="G54" i="32"/>
  <c r="F54" i="32"/>
  <c r="G53" i="32"/>
  <c r="F53" i="32"/>
  <c r="G52" i="32"/>
  <c r="F52" i="32"/>
  <c r="G51" i="32"/>
  <c r="F51" i="32"/>
  <c r="G50" i="32"/>
  <c r="F50" i="32"/>
  <c r="G49" i="32"/>
  <c r="F49" i="32"/>
  <c r="G48" i="32"/>
  <c r="F48" i="32"/>
  <c r="G47" i="32"/>
  <c r="F47" i="32"/>
  <c r="G46" i="32"/>
  <c r="F46" i="32"/>
  <c r="G45" i="32"/>
  <c r="F45" i="32"/>
  <c r="G44" i="32"/>
  <c r="F44" i="32"/>
  <c r="G43" i="32"/>
  <c r="F43" i="32"/>
  <c r="G42" i="32"/>
  <c r="F42" i="32"/>
  <c r="AG41" i="32"/>
  <c r="G41" i="32"/>
  <c r="F41" i="32"/>
  <c r="AG40" i="32"/>
  <c r="G40" i="32"/>
  <c r="F40" i="32"/>
  <c r="AG39" i="32"/>
  <c r="G39" i="32"/>
  <c r="F39" i="32"/>
  <c r="AG38" i="32"/>
  <c r="G38" i="32"/>
  <c r="F38" i="32"/>
  <c r="AG37" i="32"/>
  <c r="G37" i="32"/>
  <c r="F37" i="32"/>
  <c r="AG36" i="32"/>
  <c r="G36" i="32"/>
  <c r="F36" i="32"/>
  <c r="AG35" i="32"/>
  <c r="G35" i="32"/>
  <c r="F35" i="32"/>
  <c r="AG34" i="32"/>
  <c r="G34" i="32"/>
  <c r="F34" i="32"/>
  <c r="AG33" i="32"/>
  <c r="G33" i="32"/>
  <c r="F33" i="32"/>
  <c r="AG32" i="32"/>
  <c r="G32" i="32"/>
  <c r="F32" i="32"/>
  <c r="AG31" i="32"/>
  <c r="G31" i="32"/>
  <c r="F31" i="32"/>
  <c r="AG30" i="32"/>
  <c r="G30" i="32"/>
  <c r="F30" i="32"/>
  <c r="AG29" i="32"/>
  <c r="G29" i="32"/>
  <c r="F29" i="32"/>
  <c r="AG28" i="32"/>
  <c r="G28" i="32"/>
  <c r="F28" i="32"/>
  <c r="AG27" i="32"/>
  <c r="G27" i="32"/>
  <c r="F27" i="32"/>
  <c r="AG26" i="32"/>
  <c r="G26" i="32"/>
  <c r="F26" i="32"/>
  <c r="AG25" i="32"/>
  <c r="G25" i="32"/>
  <c r="F25" i="32"/>
  <c r="AG24" i="32"/>
  <c r="G24" i="32"/>
  <c r="F24" i="32"/>
  <c r="AG23" i="32"/>
  <c r="G23" i="32"/>
  <c r="F23" i="32"/>
  <c r="AG22" i="32"/>
  <c r="G22" i="32"/>
  <c r="F22" i="32"/>
  <c r="AG21" i="32"/>
  <c r="G21" i="32"/>
  <c r="F21" i="32"/>
  <c r="AG20" i="32"/>
  <c r="G20" i="32"/>
  <c r="F20" i="32"/>
  <c r="AG19" i="32"/>
  <c r="G19" i="32"/>
  <c r="F19" i="32"/>
  <c r="AG18" i="32"/>
  <c r="G18" i="32"/>
  <c r="F18" i="32"/>
  <c r="AG17" i="32"/>
  <c r="AF17" i="32"/>
  <c r="G17" i="32"/>
  <c r="F17" i="32"/>
  <c r="AG16" i="32"/>
  <c r="AF16" i="32"/>
  <c r="G16" i="32"/>
  <c r="F16" i="32"/>
  <c r="AG15" i="32"/>
  <c r="AF15" i="32"/>
  <c r="G15" i="32"/>
  <c r="F15" i="32"/>
  <c r="AG14" i="32"/>
  <c r="AF14" i="32"/>
  <c r="G14" i="32"/>
  <c r="F14" i="32"/>
  <c r="D14" i="32"/>
  <c r="AG13" i="32"/>
  <c r="AF13" i="32"/>
  <c r="N13" i="32"/>
  <c r="M13" i="32"/>
  <c r="H13" i="32"/>
  <c r="G13" i="32"/>
  <c r="F13" i="32"/>
  <c r="D13" i="32"/>
  <c r="AH12" i="32"/>
  <c r="AG12" i="32"/>
  <c r="AF12" i="32"/>
  <c r="N12" i="32"/>
  <c r="M12" i="32"/>
  <c r="H12" i="32"/>
  <c r="G12" i="32"/>
  <c r="F12" i="32"/>
  <c r="D12" i="32"/>
  <c r="AH11" i="32"/>
  <c r="AG11" i="32"/>
  <c r="AF11" i="32"/>
  <c r="N11" i="32"/>
  <c r="M11" i="32"/>
  <c r="H11" i="32"/>
  <c r="G11" i="32"/>
  <c r="F11" i="32"/>
  <c r="D11" i="32"/>
  <c r="AH10" i="32"/>
  <c r="AG10" i="32"/>
  <c r="AF10" i="32"/>
  <c r="N10" i="32"/>
  <c r="M10" i="32"/>
  <c r="H10" i="32"/>
  <c r="G10" i="32"/>
  <c r="F10" i="32"/>
  <c r="D10" i="32"/>
  <c r="AH9" i="32"/>
  <c r="AG9" i="32"/>
  <c r="AF9" i="32"/>
  <c r="N9" i="32"/>
  <c r="M9" i="32"/>
  <c r="H9" i="32"/>
  <c r="G9" i="32"/>
  <c r="F9" i="32"/>
  <c r="D9" i="32"/>
  <c r="AH8" i="32"/>
  <c r="AG8" i="32"/>
  <c r="AF8" i="32"/>
  <c r="N8" i="32"/>
  <c r="M8" i="32"/>
  <c r="H8" i="32"/>
  <c r="G8" i="32"/>
  <c r="F8" i="32"/>
  <c r="D8" i="32"/>
  <c r="AH7" i="32"/>
  <c r="AG7" i="32"/>
  <c r="AF7" i="32"/>
  <c r="N7" i="32"/>
  <c r="M7" i="32"/>
  <c r="H7" i="32"/>
  <c r="G7" i="32"/>
  <c r="F7" i="32"/>
  <c r="D7" i="32"/>
  <c r="AH6" i="32"/>
  <c r="AG6" i="32"/>
  <c r="AF6" i="32"/>
  <c r="N6" i="32"/>
  <c r="M6" i="32"/>
  <c r="H6" i="32"/>
  <c r="G6" i="32"/>
  <c r="F6" i="32"/>
  <c r="D6" i="32"/>
  <c r="C29" i="30"/>
  <c r="D29" i="30" s="1"/>
  <c r="CZ6" i="28"/>
  <c r="CY6" i="28"/>
  <c r="CW6" i="28"/>
  <c r="CV6" i="28"/>
  <c r="CU6" i="28"/>
  <c r="CT6" i="28"/>
  <c r="CS6" i="28"/>
  <c r="CR6" i="28"/>
  <c r="CQ6" i="28"/>
  <c r="CP6" i="28"/>
  <c r="CN6" i="28"/>
  <c r="CM6" i="28"/>
  <c r="CL6" i="28"/>
  <c r="CK6" i="28"/>
  <c r="CJ6" i="28"/>
  <c r="CI6" i="28"/>
  <c r="CH6" i="28"/>
  <c r="CG6" i="28"/>
  <c r="CE6" i="28"/>
  <c r="CD6" i="28"/>
  <c r="CC6" i="28"/>
  <c r="CB6" i="28"/>
  <c r="CA6" i="28"/>
  <c r="BZ6" i="28"/>
  <c r="BY6" i="28"/>
  <c r="BX6" i="28"/>
  <c r="BV6" i="28"/>
  <c r="BU6" i="28"/>
  <c r="BT6" i="28"/>
  <c r="BS6" i="28"/>
  <c r="BR6" i="28"/>
  <c r="BQ6" i="28"/>
  <c r="BP6" i="28"/>
  <c r="BM6" i="28"/>
  <c r="BL6" i="28"/>
  <c r="BK6" i="28"/>
  <c r="BJ6" i="28"/>
  <c r="BI6" i="28"/>
  <c r="BH6" i="28"/>
  <c r="BG6" i="28"/>
  <c r="BF6" i="28"/>
  <c r="BD6" i="28"/>
  <c r="BC6" i="28"/>
  <c r="BB6" i="28"/>
  <c r="BA6" i="28"/>
  <c r="AZ6" i="28"/>
  <c r="AY6" i="28"/>
  <c r="AX6" i="28"/>
  <c r="AW6" i="28"/>
  <c r="AU6" i="28"/>
  <c r="AT6" i="28"/>
  <c r="AS6" i="28"/>
  <c r="AR6" i="28"/>
  <c r="AQ6" i="28"/>
  <c r="AP6" i="28"/>
  <c r="AO6" i="28"/>
  <c r="AL6" i="28"/>
  <c r="AK6" i="28"/>
  <c r="AJ6" i="28"/>
  <c r="AI6" i="28"/>
  <c r="AH6" i="28"/>
  <c r="AG6" i="28"/>
  <c r="AF6" i="28"/>
  <c r="AE6" i="28"/>
  <c r="AC6" i="28"/>
  <c r="AB6" i="28"/>
  <c r="AA6" i="28"/>
  <c r="Z6" i="28"/>
  <c r="Y6" i="28"/>
  <c r="X6" i="28"/>
  <c r="W6" i="28"/>
  <c r="V6" i="28"/>
  <c r="T6" i="28"/>
  <c r="S6" i="28"/>
  <c r="R6" i="28"/>
  <c r="Q6" i="28"/>
  <c r="P6" i="28"/>
  <c r="O6" i="28"/>
  <c r="N6" i="28"/>
  <c r="M6" i="28"/>
  <c r="K6" i="28"/>
  <c r="J6" i="28"/>
  <c r="I6" i="28"/>
  <c r="H6" i="28"/>
  <c r="G6" i="28"/>
  <c r="F6" i="28"/>
  <c r="F996" i="25"/>
  <c r="D996" i="25"/>
  <c r="C996" i="25"/>
  <c r="B996" i="25"/>
  <c r="F995" i="25"/>
  <c r="D995" i="25"/>
  <c r="C995" i="25"/>
  <c r="B995" i="25"/>
  <c r="F994" i="25"/>
  <c r="D994" i="25"/>
  <c r="C994" i="25"/>
  <c r="B994" i="25"/>
  <c r="F993" i="25"/>
  <c r="D993" i="25"/>
  <c r="C993" i="25"/>
  <c r="B993" i="25"/>
  <c r="F992" i="25"/>
  <c r="D992" i="25"/>
  <c r="C992" i="25"/>
  <c r="B992" i="25"/>
  <c r="F991" i="25"/>
  <c r="D991" i="25"/>
  <c r="C991" i="25"/>
  <c r="B991" i="25"/>
  <c r="F990" i="25"/>
  <c r="D990" i="25"/>
  <c r="C990" i="25"/>
  <c r="B990" i="25"/>
  <c r="F989" i="25"/>
  <c r="D989" i="25"/>
  <c r="C989" i="25"/>
  <c r="B989" i="25"/>
  <c r="F988" i="25"/>
  <c r="D988" i="25"/>
  <c r="C988" i="25"/>
  <c r="B988" i="25"/>
  <c r="F987" i="25"/>
  <c r="D987" i="25"/>
  <c r="C987" i="25"/>
  <c r="B987" i="25"/>
  <c r="F986" i="25"/>
  <c r="D986" i="25"/>
  <c r="C986" i="25"/>
  <c r="B986" i="25"/>
  <c r="F985" i="25"/>
  <c r="D985" i="25"/>
  <c r="C985" i="25"/>
  <c r="B985" i="25"/>
  <c r="F984" i="25"/>
  <c r="D984" i="25"/>
  <c r="C984" i="25"/>
  <c r="B984" i="25"/>
  <c r="F983" i="25"/>
  <c r="D983" i="25"/>
  <c r="C983" i="25"/>
  <c r="B983" i="25"/>
  <c r="F982" i="25"/>
  <c r="D982" i="25"/>
  <c r="C982" i="25"/>
  <c r="B982" i="25"/>
  <c r="F981" i="25"/>
  <c r="D981" i="25"/>
  <c r="C981" i="25"/>
  <c r="B981" i="25"/>
  <c r="F980" i="25"/>
  <c r="D980" i="25"/>
  <c r="C980" i="25"/>
  <c r="B980" i="25"/>
  <c r="F979" i="25"/>
  <c r="D979" i="25"/>
  <c r="C979" i="25"/>
  <c r="B979" i="25"/>
  <c r="F978" i="25"/>
  <c r="D978" i="25"/>
  <c r="C978" i="25"/>
  <c r="B978" i="25"/>
  <c r="F977" i="25"/>
  <c r="D977" i="25"/>
  <c r="C977" i="25"/>
  <c r="B977" i="25"/>
  <c r="F976" i="25"/>
  <c r="D976" i="25"/>
  <c r="C976" i="25"/>
  <c r="B976" i="25"/>
  <c r="F975" i="25"/>
  <c r="D975" i="25"/>
  <c r="C975" i="25"/>
  <c r="B975" i="25"/>
  <c r="F974" i="25"/>
  <c r="D974" i="25"/>
  <c r="C974" i="25"/>
  <c r="B974" i="25"/>
  <c r="F973" i="25"/>
  <c r="D973" i="25"/>
  <c r="C973" i="25"/>
  <c r="B973" i="25"/>
  <c r="F972" i="25"/>
  <c r="D972" i="25"/>
  <c r="C972" i="25"/>
  <c r="B972" i="25"/>
  <c r="F971" i="25"/>
  <c r="D971" i="25"/>
  <c r="C971" i="25"/>
  <c r="B971" i="25"/>
  <c r="F970" i="25"/>
  <c r="D970" i="25"/>
  <c r="C970" i="25"/>
  <c r="B970" i="25"/>
  <c r="F969" i="25"/>
  <c r="D969" i="25"/>
  <c r="C969" i="25"/>
  <c r="B969" i="25"/>
  <c r="F968" i="25"/>
  <c r="D968" i="25"/>
  <c r="C968" i="25"/>
  <c r="B968" i="25"/>
  <c r="F967" i="25"/>
  <c r="D967" i="25"/>
  <c r="C967" i="25"/>
  <c r="B967" i="25"/>
  <c r="F966" i="25"/>
  <c r="D966" i="25"/>
  <c r="C966" i="25"/>
  <c r="B966" i="25"/>
  <c r="F965" i="25"/>
  <c r="D965" i="25"/>
  <c r="C965" i="25"/>
  <c r="B965" i="25"/>
  <c r="F964" i="25"/>
  <c r="D964" i="25"/>
  <c r="C964" i="25"/>
  <c r="B964" i="25"/>
  <c r="F963" i="25"/>
  <c r="D963" i="25"/>
  <c r="C963" i="25"/>
  <c r="B963" i="25"/>
  <c r="F962" i="25"/>
  <c r="D962" i="25"/>
  <c r="C962" i="25"/>
  <c r="B962" i="25"/>
  <c r="F961" i="25"/>
  <c r="D961" i="25"/>
  <c r="C961" i="25"/>
  <c r="B961" i="25"/>
  <c r="F960" i="25"/>
  <c r="D960" i="25"/>
  <c r="C960" i="25"/>
  <c r="B960" i="25"/>
  <c r="F959" i="25"/>
  <c r="D959" i="25"/>
  <c r="C959" i="25"/>
  <c r="B959" i="25"/>
  <c r="F958" i="25"/>
  <c r="D958" i="25"/>
  <c r="C958" i="25"/>
  <c r="B958" i="25"/>
  <c r="F957" i="25"/>
  <c r="D957" i="25"/>
  <c r="C957" i="25"/>
  <c r="B957" i="25"/>
  <c r="F956" i="25"/>
  <c r="D956" i="25"/>
  <c r="C956" i="25"/>
  <c r="B956" i="25"/>
  <c r="F955" i="25"/>
  <c r="D955" i="25"/>
  <c r="C955" i="25"/>
  <c r="B955" i="25"/>
  <c r="F954" i="25"/>
  <c r="D954" i="25"/>
  <c r="C954" i="25"/>
  <c r="B954" i="25"/>
  <c r="F953" i="25"/>
  <c r="D953" i="25"/>
  <c r="C953" i="25"/>
  <c r="B953" i="25"/>
  <c r="F952" i="25"/>
  <c r="D952" i="25"/>
  <c r="C952" i="25"/>
  <c r="B952" i="25"/>
  <c r="F951" i="25"/>
  <c r="D951" i="25"/>
  <c r="C951" i="25"/>
  <c r="B951" i="25"/>
  <c r="F950" i="25"/>
  <c r="D950" i="25"/>
  <c r="C950" i="25"/>
  <c r="B950" i="25"/>
  <c r="F949" i="25"/>
  <c r="D949" i="25"/>
  <c r="C949" i="25"/>
  <c r="B949" i="25"/>
  <c r="F948" i="25"/>
  <c r="D948" i="25"/>
  <c r="C948" i="25"/>
  <c r="B948" i="25"/>
  <c r="F947" i="25"/>
  <c r="D947" i="25"/>
  <c r="C947" i="25"/>
  <c r="B947" i="25"/>
  <c r="F946" i="25"/>
  <c r="D946" i="25"/>
  <c r="C946" i="25"/>
  <c r="B946" i="25"/>
  <c r="F945" i="25"/>
  <c r="D945" i="25"/>
  <c r="C945" i="25"/>
  <c r="B945" i="25"/>
  <c r="F944" i="25"/>
  <c r="D944" i="25"/>
  <c r="C944" i="25"/>
  <c r="B944" i="25"/>
  <c r="F943" i="25"/>
  <c r="D943" i="25"/>
  <c r="C943" i="25"/>
  <c r="B943" i="25"/>
  <c r="F942" i="25"/>
  <c r="D942" i="25"/>
  <c r="C942" i="25"/>
  <c r="B942" i="25"/>
  <c r="F941" i="25"/>
  <c r="D941" i="25"/>
  <c r="C941" i="25"/>
  <c r="B941" i="25"/>
  <c r="F940" i="25"/>
  <c r="D940" i="25"/>
  <c r="C940" i="25"/>
  <c r="B940" i="25"/>
  <c r="F939" i="25"/>
  <c r="D939" i="25"/>
  <c r="C939" i="25"/>
  <c r="B939" i="25"/>
  <c r="F938" i="25"/>
  <c r="D938" i="25"/>
  <c r="C938" i="25"/>
  <c r="B938" i="25"/>
  <c r="F937" i="25"/>
  <c r="D937" i="25"/>
  <c r="C937" i="25"/>
  <c r="B937" i="25"/>
  <c r="F936" i="25"/>
  <c r="D936" i="25"/>
  <c r="C936" i="25"/>
  <c r="B936" i="25"/>
  <c r="F935" i="25"/>
  <c r="D935" i="25"/>
  <c r="C935" i="25"/>
  <c r="B935" i="25"/>
  <c r="F934" i="25"/>
  <c r="D934" i="25"/>
  <c r="C934" i="25"/>
  <c r="B934" i="25"/>
  <c r="F933" i="25"/>
  <c r="D933" i="25"/>
  <c r="C933" i="25"/>
  <c r="B933" i="25"/>
  <c r="F932" i="25"/>
  <c r="D932" i="25"/>
  <c r="C932" i="25"/>
  <c r="B932" i="25"/>
  <c r="F931" i="25"/>
  <c r="D931" i="25"/>
  <c r="C931" i="25"/>
  <c r="B931" i="25"/>
  <c r="F930" i="25"/>
  <c r="D930" i="25"/>
  <c r="C930" i="25"/>
  <c r="B930" i="25"/>
  <c r="F929" i="25"/>
  <c r="D929" i="25"/>
  <c r="C929" i="25"/>
  <c r="B929" i="25"/>
  <c r="F928" i="25"/>
  <c r="D928" i="25"/>
  <c r="C928" i="25"/>
  <c r="B928" i="25"/>
  <c r="F927" i="25"/>
  <c r="D927" i="25"/>
  <c r="C927" i="25"/>
  <c r="B927" i="25"/>
  <c r="F926" i="25"/>
  <c r="D926" i="25"/>
  <c r="C926" i="25"/>
  <c r="B926" i="25"/>
  <c r="F925" i="25"/>
  <c r="D925" i="25"/>
  <c r="C925" i="25"/>
  <c r="B925" i="25"/>
  <c r="F924" i="25"/>
  <c r="D924" i="25"/>
  <c r="C924" i="25"/>
  <c r="B924" i="25"/>
  <c r="F923" i="25"/>
  <c r="D923" i="25"/>
  <c r="C923" i="25"/>
  <c r="B923" i="25"/>
  <c r="F922" i="25"/>
  <c r="D922" i="25"/>
  <c r="C922" i="25"/>
  <c r="B922" i="25"/>
  <c r="F921" i="25"/>
  <c r="D921" i="25"/>
  <c r="C921" i="25"/>
  <c r="B921" i="25"/>
  <c r="F920" i="25"/>
  <c r="D920" i="25"/>
  <c r="C920" i="25"/>
  <c r="B920" i="25"/>
  <c r="F919" i="25"/>
  <c r="D919" i="25"/>
  <c r="C919" i="25"/>
  <c r="B919" i="25"/>
  <c r="F918" i="25"/>
  <c r="D918" i="25"/>
  <c r="C918" i="25"/>
  <c r="B918" i="25"/>
  <c r="F917" i="25"/>
  <c r="D917" i="25"/>
  <c r="C917" i="25"/>
  <c r="B917" i="25"/>
  <c r="F916" i="25"/>
  <c r="D916" i="25"/>
  <c r="C916" i="25"/>
  <c r="B916" i="25"/>
  <c r="F915" i="25"/>
  <c r="D915" i="25"/>
  <c r="C915" i="25"/>
  <c r="B915" i="25"/>
  <c r="F914" i="25"/>
  <c r="D914" i="25"/>
  <c r="C914" i="25"/>
  <c r="B914" i="25"/>
  <c r="F913" i="25"/>
  <c r="D913" i="25"/>
  <c r="C913" i="25"/>
  <c r="B913" i="25"/>
  <c r="F912" i="25"/>
  <c r="D912" i="25"/>
  <c r="C912" i="25"/>
  <c r="B912" i="25"/>
  <c r="F911" i="25"/>
  <c r="D911" i="25"/>
  <c r="C911" i="25"/>
  <c r="B911" i="25"/>
  <c r="F910" i="25"/>
  <c r="D910" i="25"/>
  <c r="C910" i="25"/>
  <c r="B910" i="25"/>
  <c r="F909" i="25"/>
  <c r="D909" i="25"/>
  <c r="C909" i="25"/>
  <c r="B909" i="25"/>
  <c r="F908" i="25"/>
  <c r="D908" i="25"/>
  <c r="C908" i="25"/>
  <c r="B908" i="25"/>
  <c r="F907" i="25"/>
  <c r="D907" i="25"/>
  <c r="C907" i="25"/>
  <c r="B907" i="25"/>
  <c r="F906" i="25"/>
  <c r="D906" i="25"/>
  <c r="C906" i="25"/>
  <c r="B906" i="25"/>
  <c r="F905" i="25"/>
  <c r="D905" i="25"/>
  <c r="C905" i="25"/>
  <c r="B905" i="25"/>
  <c r="F904" i="25"/>
  <c r="D904" i="25"/>
  <c r="C904" i="25"/>
  <c r="B904" i="25"/>
  <c r="F903" i="25"/>
  <c r="D903" i="25"/>
  <c r="C903" i="25"/>
  <c r="B903" i="25"/>
  <c r="F902" i="25"/>
  <c r="D902" i="25"/>
  <c r="C902" i="25"/>
  <c r="B902" i="25"/>
  <c r="F901" i="25"/>
  <c r="D901" i="25"/>
  <c r="C901" i="25"/>
  <c r="B901" i="25"/>
  <c r="F900" i="25"/>
  <c r="D900" i="25"/>
  <c r="C900" i="25"/>
  <c r="B900" i="25"/>
  <c r="F899" i="25"/>
  <c r="D899" i="25"/>
  <c r="C899" i="25"/>
  <c r="B899" i="25"/>
  <c r="F898" i="25"/>
  <c r="D898" i="25"/>
  <c r="C898" i="25"/>
  <c r="B898" i="25"/>
  <c r="F897" i="25"/>
  <c r="D897" i="25"/>
  <c r="C897" i="25"/>
  <c r="B897" i="25"/>
  <c r="F896" i="25"/>
  <c r="D896" i="25"/>
  <c r="C896" i="25"/>
  <c r="B896" i="25"/>
  <c r="F895" i="25"/>
  <c r="D895" i="25"/>
  <c r="C895" i="25"/>
  <c r="B895" i="25"/>
  <c r="F894" i="25"/>
  <c r="D894" i="25"/>
  <c r="C894" i="25"/>
  <c r="B894" i="25"/>
  <c r="F893" i="25"/>
  <c r="D893" i="25"/>
  <c r="C893" i="25"/>
  <c r="B893" i="25"/>
  <c r="F892" i="25"/>
  <c r="D892" i="25"/>
  <c r="C892" i="25"/>
  <c r="B892" i="25"/>
  <c r="F891" i="25"/>
  <c r="D891" i="25"/>
  <c r="C891" i="25"/>
  <c r="B891" i="25"/>
  <c r="F890" i="25"/>
  <c r="D890" i="25"/>
  <c r="C890" i="25"/>
  <c r="B890" i="25"/>
  <c r="F889" i="25"/>
  <c r="D889" i="25"/>
  <c r="C889" i="25"/>
  <c r="B889" i="25"/>
  <c r="F888" i="25"/>
  <c r="D888" i="25"/>
  <c r="C888" i="25"/>
  <c r="B888" i="25"/>
  <c r="F887" i="25"/>
  <c r="D887" i="25"/>
  <c r="C887" i="25"/>
  <c r="B887" i="25"/>
  <c r="F886" i="25"/>
  <c r="D886" i="25"/>
  <c r="C886" i="25"/>
  <c r="B886" i="25"/>
  <c r="F885" i="25"/>
  <c r="D885" i="25"/>
  <c r="C885" i="25"/>
  <c r="B885" i="25"/>
  <c r="F884" i="25"/>
  <c r="D884" i="25"/>
  <c r="C884" i="25"/>
  <c r="B884" i="25"/>
  <c r="F883" i="25"/>
  <c r="D883" i="25"/>
  <c r="C883" i="25"/>
  <c r="B883" i="25"/>
  <c r="F882" i="25"/>
  <c r="D882" i="25"/>
  <c r="C882" i="25"/>
  <c r="B882" i="25"/>
  <c r="F881" i="25"/>
  <c r="D881" i="25"/>
  <c r="C881" i="25"/>
  <c r="B881" i="25"/>
  <c r="F880" i="25"/>
  <c r="D880" i="25"/>
  <c r="C880" i="25"/>
  <c r="B880" i="25"/>
  <c r="F879" i="25"/>
  <c r="D879" i="25"/>
  <c r="C879" i="25"/>
  <c r="B879" i="25"/>
  <c r="F878" i="25"/>
  <c r="D878" i="25"/>
  <c r="C878" i="25"/>
  <c r="B878" i="25"/>
  <c r="F877" i="25"/>
  <c r="D877" i="25"/>
  <c r="C877" i="25"/>
  <c r="B877" i="25"/>
  <c r="F876" i="25"/>
  <c r="D876" i="25"/>
  <c r="C876" i="25"/>
  <c r="B876" i="25"/>
  <c r="F875" i="25"/>
  <c r="D875" i="25"/>
  <c r="C875" i="25"/>
  <c r="B875" i="25"/>
  <c r="F874" i="25"/>
  <c r="D874" i="25"/>
  <c r="C874" i="25"/>
  <c r="B874" i="25"/>
  <c r="F873" i="25"/>
  <c r="D873" i="25"/>
  <c r="C873" i="25"/>
  <c r="B873" i="25"/>
  <c r="F872" i="25"/>
  <c r="D872" i="25"/>
  <c r="C872" i="25"/>
  <c r="B872" i="25"/>
  <c r="F871" i="25"/>
  <c r="D871" i="25"/>
  <c r="C871" i="25"/>
  <c r="B871" i="25"/>
  <c r="F870" i="25"/>
  <c r="D870" i="25"/>
  <c r="C870" i="25"/>
  <c r="B870" i="25"/>
  <c r="F869" i="25"/>
  <c r="D869" i="25"/>
  <c r="C869" i="25"/>
  <c r="B869" i="25"/>
  <c r="F868" i="25"/>
  <c r="D868" i="25"/>
  <c r="C868" i="25"/>
  <c r="B868" i="25"/>
  <c r="F867" i="25"/>
  <c r="D867" i="25"/>
  <c r="C867" i="25"/>
  <c r="B867" i="25"/>
  <c r="F866" i="25"/>
  <c r="D866" i="25"/>
  <c r="C866" i="25"/>
  <c r="B866" i="25"/>
  <c r="F865" i="25"/>
  <c r="D865" i="25"/>
  <c r="C865" i="25"/>
  <c r="B865" i="25"/>
  <c r="F864" i="25"/>
  <c r="D864" i="25"/>
  <c r="C864" i="25"/>
  <c r="B864" i="25"/>
  <c r="F863" i="25"/>
  <c r="D863" i="25"/>
  <c r="C863" i="25"/>
  <c r="B863" i="25"/>
  <c r="F862" i="25"/>
  <c r="D862" i="25"/>
  <c r="C862" i="25"/>
  <c r="B862" i="25"/>
  <c r="F861" i="25"/>
  <c r="D861" i="25"/>
  <c r="C861" i="25"/>
  <c r="B861" i="25"/>
  <c r="F860" i="25"/>
  <c r="D860" i="25"/>
  <c r="C860" i="25"/>
  <c r="B860" i="25"/>
  <c r="F859" i="25"/>
  <c r="D859" i="25"/>
  <c r="C859" i="25"/>
  <c r="B859" i="25"/>
  <c r="F858" i="25"/>
  <c r="D858" i="25"/>
  <c r="C858" i="25"/>
  <c r="B858" i="25"/>
  <c r="F857" i="25"/>
  <c r="D857" i="25"/>
  <c r="C857" i="25"/>
  <c r="B857" i="25"/>
  <c r="F856" i="25"/>
  <c r="D856" i="25"/>
  <c r="C856" i="25"/>
  <c r="B856" i="25"/>
  <c r="F855" i="25"/>
  <c r="D855" i="25"/>
  <c r="C855" i="25"/>
  <c r="B855" i="25"/>
  <c r="F854" i="25"/>
  <c r="D854" i="25"/>
  <c r="C854" i="25"/>
  <c r="B854" i="25"/>
  <c r="F853" i="25"/>
  <c r="D853" i="25"/>
  <c r="C853" i="25"/>
  <c r="B853" i="25"/>
  <c r="F852" i="25"/>
  <c r="D852" i="25"/>
  <c r="C852" i="25"/>
  <c r="B852" i="25"/>
  <c r="F851" i="25"/>
  <c r="D851" i="25"/>
  <c r="C851" i="25"/>
  <c r="B851" i="25"/>
  <c r="F850" i="25"/>
  <c r="D850" i="25"/>
  <c r="C850" i="25"/>
  <c r="B850" i="25"/>
  <c r="F849" i="25"/>
  <c r="D849" i="25"/>
  <c r="C849" i="25"/>
  <c r="B849" i="25"/>
  <c r="F848" i="25"/>
  <c r="D848" i="25"/>
  <c r="C848" i="25"/>
  <c r="B848" i="25"/>
  <c r="F847" i="25"/>
  <c r="D847" i="25"/>
  <c r="C847" i="25"/>
  <c r="B847" i="25"/>
  <c r="F846" i="25"/>
  <c r="D846" i="25"/>
  <c r="C846" i="25"/>
  <c r="B846" i="25"/>
  <c r="F845" i="25"/>
  <c r="D845" i="25"/>
  <c r="C845" i="25"/>
  <c r="B845" i="25"/>
  <c r="F844" i="25"/>
  <c r="D844" i="25"/>
  <c r="C844" i="25"/>
  <c r="B844" i="25"/>
  <c r="F843" i="25"/>
  <c r="D843" i="25"/>
  <c r="C843" i="25"/>
  <c r="B843" i="25"/>
  <c r="F842" i="25"/>
  <c r="D842" i="25"/>
  <c r="C842" i="25"/>
  <c r="B842" i="25"/>
  <c r="F841" i="25"/>
  <c r="D841" i="25"/>
  <c r="C841" i="25"/>
  <c r="B841" i="25"/>
  <c r="F840" i="25"/>
  <c r="D840" i="25"/>
  <c r="C840" i="25"/>
  <c r="B840" i="25"/>
  <c r="F839" i="25"/>
  <c r="D839" i="25"/>
  <c r="C839" i="25"/>
  <c r="B839" i="25"/>
  <c r="F838" i="25"/>
  <c r="D838" i="25"/>
  <c r="C838" i="25"/>
  <c r="B838" i="25"/>
  <c r="F837" i="25"/>
  <c r="D837" i="25"/>
  <c r="C837" i="25"/>
  <c r="B837" i="25"/>
  <c r="F836" i="25"/>
  <c r="D836" i="25"/>
  <c r="C836" i="25"/>
  <c r="B836" i="25"/>
  <c r="F835" i="25"/>
  <c r="D835" i="25"/>
  <c r="C835" i="25"/>
  <c r="B835" i="25"/>
  <c r="F834" i="25"/>
  <c r="D834" i="25"/>
  <c r="C834" i="25"/>
  <c r="B834" i="25"/>
  <c r="F833" i="25"/>
  <c r="D833" i="25"/>
  <c r="C833" i="25"/>
  <c r="B833" i="25"/>
  <c r="F832" i="25"/>
  <c r="D832" i="25"/>
  <c r="C832" i="25"/>
  <c r="B832" i="25"/>
  <c r="F831" i="25"/>
  <c r="D831" i="25"/>
  <c r="C831" i="25"/>
  <c r="B831" i="25"/>
  <c r="F830" i="25"/>
  <c r="D830" i="25"/>
  <c r="C830" i="25"/>
  <c r="B830" i="25"/>
  <c r="F829" i="25"/>
  <c r="D829" i="25"/>
  <c r="C829" i="25"/>
  <c r="B829" i="25"/>
  <c r="F828" i="25"/>
  <c r="D828" i="25"/>
  <c r="C828" i="25"/>
  <c r="B828" i="25"/>
  <c r="F827" i="25"/>
  <c r="D827" i="25"/>
  <c r="C827" i="25"/>
  <c r="B827" i="25"/>
  <c r="F826" i="25"/>
  <c r="D826" i="25"/>
  <c r="C826" i="25"/>
  <c r="B826" i="25"/>
  <c r="F825" i="25"/>
  <c r="D825" i="25"/>
  <c r="C825" i="25"/>
  <c r="B825" i="25"/>
  <c r="F824" i="25"/>
  <c r="D824" i="25"/>
  <c r="C824" i="25"/>
  <c r="B824" i="25"/>
  <c r="F823" i="25"/>
  <c r="D823" i="25"/>
  <c r="C823" i="25"/>
  <c r="B823" i="25"/>
  <c r="F822" i="25"/>
  <c r="D822" i="25"/>
  <c r="C822" i="25"/>
  <c r="B822" i="25"/>
  <c r="F821" i="25"/>
  <c r="D821" i="25"/>
  <c r="C821" i="25"/>
  <c r="B821" i="25"/>
  <c r="F820" i="25"/>
  <c r="D820" i="25"/>
  <c r="C820" i="25"/>
  <c r="B820" i="25"/>
  <c r="F819" i="25"/>
  <c r="D819" i="25"/>
  <c r="C819" i="25"/>
  <c r="B819" i="25"/>
  <c r="F818" i="25"/>
  <c r="D818" i="25"/>
  <c r="C818" i="25"/>
  <c r="B818" i="25"/>
  <c r="F817" i="25"/>
  <c r="D817" i="25"/>
  <c r="C817" i="25"/>
  <c r="B817" i="25"/>
  <c r="F816" i="25"/>
  <c r="D816" i="25"/>
  <c r="C816" i="25"/>
  <c r="B816" i="25"/>
  <c r="F815" i="25"/>
  <c r="D815" i="25"/>
  <c r="C815" i="25"/>
  <c r="B815" i="25"/>
  <c r="F814" i="25"/>
  <c r="D814" i="25"/>
  <c r="C814" i="25"/>
  <c r="B814" i="25"/>
  <c r="F813" i="25"/>
  <c r="D813" i="25"/>
  <c r="C813" i="25"/>
  <c r="B813" i="25"/>
  <c r="F812" i="25"/>
  <c r="D812" i="25"/>
  <c r="C812" i="25"/>
  <c r="B812" i="25"/>
  <c r="F811" i="25"/>
  <c r="D811" i="25"/>
  <c r="C811" i="25"/>
  <c r="B811" i="25"/>
  <c r="F810" i="25"/>
  <c r="D810" i="25"/>
  <c r="C810" i="25"/>
  <c r="B810" i="25"/>
  <c r="F809" i="25"/>
  <c r="D809" i="25"/>
  <c r="C809" i="25"/>
  <c r="B809" i="25"/>
  <c r="F808" i="25"/>
  <c r="D808" i="25"/>
  <c r="C808" i="25"/>
  <c r="B808" i="25"/>
  <c r="F807" i="25"/>
  <c r="D807" i="25"/>
  <c r="C807" i="25"/>
  <c r="B807" i="25"/>
  <c r="F806" i="25"/>
  <c r="D806" i="25"/>
  <c r="C806" i="25"/>
  <c r="B806" i="25"/>
  <c r="F805" i="25"/>
  <c r="D805" i="25"/>
  <c r="C805" i="25"/>
  <c r="B805" i="25"/>
  <c r="F804" i="25"/>
  <c r="D804" i="25"/>
  <c r="C804" i="25"/>
  <c r="B804" i="25"/>
  <c r="F803" i="25"/>
  <c r="D803" i="25"/>
  <c r="C803" i="25"/>
  <c r="B803" i="25"/>
  <c r="F802" i="25"/>
  <c r="D802" i="25"/>
  <c r="C802" i="25"/>
  <c r="B802" i="25"/>
  <c r="F801" i="25"/>
  <c r="D801" i="25"/>
  <c r="C801" i="25"/>
  <c r="B801" i="25"/>
  <c r="F800" i="25"/>
  <c r="D800" i="25"/>
  <c r="C800" i="25"/>
  <c r="B800" i="25"/>
  <c r="F799" i="25"/>
  <c r="D799" i="25"/>
  <c r="C799" i="25"/>
  <c r="B799" i="25"/>
  <c r="F798" i="25"/>
  <c r="D798" i="25"/>
  <c r="C798" i="25"/>
  <c r="B798" i="25"/>
  <c r="F797" i="25"/>
  <c r="D797" i="25"/>
  <c r="C797" i="25"/>
  <c r="B797" i="25"/>
  <c r="F796" i="25"/>
  <c r="D796" i="25"/>
  <c r="C796" i="25"/>
  <c r="B796" i="25"/>
  <c r="F795" i="25"/>
  <c r="D795" i="25"/>
  <c r="C795" i="25"/>
  <c r="B795" i="25"/>
  <c r="F794" i="25"/>
  <c r="D794" i="25"/>
  <c r="C794" i="25"/>
  <c r="B794" i="25"/>
  <c r="F793" i="25"/>
  <c r="D793" i="25"/>
  <c r="C793" i="25"/>
  <c r="B793" i="25"/>
  <c r="F792" i="25"/>
  <c r="D792" i="25"/>
  <c r="C792" i="25"/>
  <c r="B792" i="25"/>
  <c r="F791" i="25"/>
  <c r="D791" i="25"/>
  <c r="C791" i="25"/>
  <c r="B791" i="25"/>
  <c r="F790" i="25"/>
  <c r="D790" i="25"/>
  <c r="C790" i="25"/>
  <c r="B790" i="25"/>
  <c r="F789" i="25"/>
  <c r="D789" i="25"/>
  <c r="C789" i="25"/>
  <c r="B789" i="25"/>
  <c r="F788" i="25"/>
  <c r="D788" i="25"/>
  <c r="C788" i="25"/>
  <c r="B788" i="25"/>
  <c r="F787" i="25"/>
  <c r="D787" i="25"/>
  <c r="C787" i="25"/>
  <c r="B787" i="25"/>
  <c r="F786" i="25"/>
  <c r="D786" i="25"/>
  <c r="C786" i="25"/>
  <c r="B786" i="25"/>
  <c r="F785" i="25"/>
  <c r="D785" i="25"/>
  <c r="C785" i="25"/>
  <c r="B785" i="25"/>
  <c r="F784" i="25"/>
  <c r="D784" i="25"/>
  <c r="C784" i="25"/>
  <c r="B784" i="25"/>
  <c r="F783" i="25"/>
  <c r="D783" i="25"/>
  <c r="C783" i="25"/>
  <c r="B783" i="25"/>
  <c r="F782" i="25"/>
  <c r="D782" i="25"/>
  <c r="C782" i="25"/>
  <c r="B782" i="25"/>
  <c r="F781" i="25"/>
  <c r="D781" i="25"/>
  <c r="C781" i="25"/>
  <c r="B781" i="25"/>
  <c r="F780" i="25"/>
  <c r="D780" i="25"/>
  <c r="C780" i="25"/>
  <c r="B780" i="25"/>
  <c r="F779" i="25"/>
  <c r="D779" i="25"/>
  <c r="C779" i="25"/>
  <c r="B779" i="25"/>
  <c r="F778" i="25"/>
  <c r="D778" i="25"/>
  <c r="C778" i="25"/>
  <c r="B778" i="25"/>
  <c r="F777" i="25"/>
  <c r="D777" i="25"/>
  <c r="C777" i="25"/>
  <c r="B777" i="25"/>
  <c r="F776" i="25"/>
  <c r="D776" i="25"/>
  <c r="C776" i="25"/>
  <c r="B776" i="25"/>
  <c r="F775" i="25"/>
  <c r="D775" i="25"/>
  <c r="C775" i="25"/>
  <c r="B775" i="25"/>
  <c r="F774" i="25"/>
  <c r="D774" i="25"/>
  <c r="C774" i="25"/>
  <c r="B774" i="25"/>
  <c r="F773" i="25"/>
  <c r="D773" i="25"/>
  <c r="C773" i="25"/>
  <c r="B773" i="25"/>
  <c r="F772" i="25"/>
  <c r="D772" i="25"/>
  <c r="C772" i="25"/>
  <c r="B772" i="25"/>
  <c r="F771" i="25"/>
  <c r="D771" i="25"/>
  <c r="C771" i="25"/>
  <c r="B771" i="25"/>
  <c r="F770" i="25"/>
  <c r="D770" i="25"/>
  <c r="C770" i="25"/>
  <c r="B770" i="25"/>
  <c r="F769" i="25"/>
  <c r="D769" i="25"/>
  <c r="C769" i="25"/>
  <c r="B769" i="25"/>
  <c r="F768" i="25"/>
  <c r="D768" i="25"/>
  <c r="C768" i="25"/>
  <c r="B768" i="25"/>
  <c r="F767" i="25"/>
  <c r="D767" i="25"/>
  <c r="C767" i="25"/>
  <c r="B767" i="25"/>
  <c r="F766" i="25"/>
  <c r="D766" i="25"/>
  <c r="C766" i="25"/>
  <c r="B766" i="25"/>
  <c r="F765" i="25"/>
  <c r="D765" i="25"/>
  <c r="C765" i="25"/>
  <c r="B765" i="25"/>
  <c r="F764" i="25"/>
  <c r="D764" i="25"/>
  <c r="C764" i="25"/>
  <c r="B764" i="25"/>
  <c r="F763" i="25"/>
  <c r="D763" i="25"/>
  <c r="C763" i="25"/>
  <c r="B763" i="25"/>
  <c r="F762" i="25"/>
  <c r="D762" i="25"/>
  <c r="C762" i="25"/>
  <c r="B762" i="25"/>
  <c r="F761" i="25"/>
  <c r="D761" i="25"/>
  <c r="C761" i="25"/>
  <c r="B761" i="25"/>
  <c r="F760" i="25"/>
  <c r="D760" i="25"/>
  <c r="C760" i="25"/>
  <c r="B760" i="25"/>
  <c r="F759" i="25"/>
  <c r="D759" i="25"/>
  <c r="C759" i="25"/>
  <c r="B759" i="25"/>
  <c r="F758" i="25"/>
  <c r="D758" i="25"/>
  <c r="C758" i="25"/>
  <c r="B758" i="25"/>
  <c r="F757" i="25"/>
  <c r="D757" i="25"/>
  <c r="C757" i="25"/>
  <c r="B757" i="25"/>
  <c r="F756" i="25"/>
  <c r="D756" i="25"/>
  <c r="C756" i="25"/>
  <c r="B756" i="25"/>
  <c r="F755" i="25"/>
  <c r="D755" i="25"/>
  <c r="C755" i="25"/>
  <c r="B755" i="25"/>
  <c r="F754" i="25"/>
  <c r="D754" i="25"/>
  <c r="C754" i="25"/>
  <c r="B754" i="25"/>
  <c r="F753" i="25"/>
  <c r="D753" i="25"/>
  <c r="C753" i="25"/>
  <c r="B753" i="25"/>
  <c r="F752" i="25"/>
  <c r="D752" i="25"/>
  <c r="C752" i="25"/>
  <c r="B752" i="25"/>
  <c r="F751" i="25"/>
  <c r="D751" i="25"/>
  <c r="C751" i="25"/>
  <c r="B751" i="25"/>
  <c r="F750" i="25"/>
  <c r="D750" i="25"/>
  <c r="C750" i="25"/>
  <c r="B750" i="25"/>
  <c r="F749" i="25"/>
  <c r="D749" i="25"/>
  <c r="C749" i="25"/>
  <c r="B749" i="25"/>
  <c r="F748" i="25"/>
  <c r="D748" i="25"/>
  <c r="C748" i="25"/>
  <c r="B748" i="25"/>
  <c r="F747" i="25"/>
  <c r="D747" i="25"/>
  <c r="C747" i="25"/>
  <c r="B747" i="25"/>
  <c r="F746" i="25"/>
  <c r="D746" i="25"/>
  <c r="C746" i="25"/>
  <c r="B746" i="25"/>
  <c r="F745" i="25"/>
  <c r="D745" i="25"/>
  <c r="C745" i="25"/>
  <c r="B745" i="25"/>
  <c r="F744" i="25"/>
  <c r="D744" i="25"/>
  <c r="C744" i="25"/>
  <c r="B744" i="25"/>
  <c r="F743" i="25"/>
  <c r="D743" i="25"/>
  <c r="C743" i="25"/>
  <c r="B743" i="25"/>
  <c r="F742" i="25"/>
  <c r="D742" i="25"/>
  <c r="C742" i="25"/>
  <c r="B742" i="25"/>
  <c r="F741" i="25"/>
  <c r="D741" i="25"/>
  <c r="C741" i="25"/>
  <c r="B741" i="25"/>
  <c r="F740" i="25"/>
  <c r="D740" i="25"/>
  <c r="C740" i="25"/>
  <c r="B740" i="25"/>
  <c r="F739" i="25"/>
  <c r="D739" i="25"/>
  <c r="C739" i="25"/>
  <c r="B739" i="25"/>
  <c r="F738" i="25"/>
  <c r="D738" i="25"/>
  <c r="C738" i="25"/>
  <c r="B738" i="25"/>
  <c r="F737" i="25"/>
  <c r="D737" i="25"/>
  <c r="C737" i="25"/>
  <c r="B737" i="25"/>
  <c r="F736" i="25"/>
  <c r="D736" i="25"/>
  <c r="C736" i="25"/>
  <c r="B736" i="25"/>
  <c r="F735" i="25"/>
  <c r="D735" i="25"/>
  <c r="C735" i="25"/>
  <c r="B735" i="25"/>
  <c r="F734" i="25"/>
  <c r="D734" i="25"/>
  <c r="C734" i="25"/>
  <c r="B734" i="25"/>
  <c r="F733" i="25"/>
  <c r="D733" i="25"/>
  <c r="C733" i="25"/>
  <c r="B733" i="25"/>
  <c r="F732" i="25"/>
  <c r="D732" i="25"/>
  <c r="C732" i="25"/>
  <c r="B732" i="25"/>
  <c r="F731" i="25"/>
  <c r="D731" i="25"/>
  <c r="C731" i="25"/>
  <c r="B731" i="25"/>
  <c r="F730" i="25"/>
  <c r="D730" i="25"/>
  <c r="C730" i="25"/>
  <c r="B730" i="25"/>
  <c r="F729" i="25"/>
  <c r="D729" i="25"/>
  <c r="C729" i="25"/>
  <c r="B729" i="25"/>
  <c r="F728" i="25"/>
  <c r="D728" i="25"/>
  <c r="C728" i="25"/>
  <c r="B728" i="25"/>
  <c r="F727" i="25"/>
  <c r="D727" i="25"/>
  <c r="C727" i="25"/>
  <c r="B727" i="25"/>
  <c r="F726" i="25"/>
  <c r="D726" i="25"/>
  <c r="C726" i="25"/>
  <c r="B726" i="25"/>
  <c r="F725" i="25"/>
  <c r="D725" i="25"/>
  <c r="C725" i="25"/>
  <c r="B725" i="25"/>
  <c r="F724" i="25"/>
  <c r="D724" i="25"/>
  <c r="C724" i="25"/>
  <c r="B724" i="25"/>
  <c r="F723" i="25"/>
  <c r="D723" i="25"/>
  <c r="C723" i="25"/>
  <c r="B723" i="25"/>
  <c r="F722" i="25"/>
  <c r="D722" i="25"/>
  <c r="C722" i="25"/>
  <c r="B722" i="25"/>
  <c r="F721" i="25"/>
  <c r="D721" i="25"/>
  <c r="C721" i="25"/>
  <c r="B721" i="25"/>
  <c r="F720" i="25"/>
  <c r="D720" i="25"/>
  <c r="C720" i="25"/>
  <c r="B720" i="25"/>
  <c r="F719" i="25"/>
  <c r="D719" i="25"/>
  <c r="C719" i="25"/>
  <c r="B719" i="25"/>
  <c r="F718" i="25"/>
  <c r="D718" i="25"/>
  <c r="C718" i="25"/>
  <c r="B718" i="25"/>
  <c r="F717" i="25"/>
  <c r="D717" i="25"/>
  <c r="C717" i="25"/>
  <c r="B717" i="25"/>
  <c r="F716" i="25"/>
  <c r="D716" i="25"/>
  <c r="C716" i="25"/>
  <c r="B716" i="25"/>
  <c r="F715" i="25"/>
  <c r="D715" i="25"/>
  <c r="C715" i="25"/>
  <c r="B715" i="25"/>
  <c r="F714" i="25"/>
  <c r="D714" i="25"/>
  <c r="C714" i="25"/>
  <c r="B714" i="25"/>
  <c r="F713" i="25"/>
  <c r="D713" i="25"/>
  <c r="C713" i="25"/>
  <c r="B713" i="25"/>
  <c r="F712" i="25"/>
  <c r="D712" i="25"/>
  <c r="C712" i="25"/>
  <c r="B712" i="25"/>
  <c r="F711" i="25"/>
  <c r="D711" i="25"/>
  <c r="C711" i="25"/>
  <c r="B711" i="25"/>
  <c r="F710" i="25"/>
  <c r="D710" i="25"/>
  <c r="C710" i="25"/>
  <c r="B710" i="25"/>
  <c r="F709" i="25"/>
  <c r="D709" i="25"/>
  <c r="C709" i="25"/>
  <c r="B709" i="25"/>
  <c r="F708" i="25"/>
  <c r="D708" i="25"/>
  <c r="C708" i="25"/>
  <c r="B708" i="25"/>
  <c r="F707" i="25"/>
  <c r="D707" i="25"/>
  <c r="C707" i="25"/>
  <c r="B707" i="25"/>
  <c r="F706" i="25"/>
  <c r="D706" i="25"/>
  <c r="C706" i="25"/>
  <c r="B706" i="25"/>
  <c r="F705" i="25"/>
  <c r="D705" i="25"/>
  <c r="C705" i="25"/>
  <c r="B705" i="25"/>
  <c r="F704" i="25"/>
  <c r="D704" i="25"/>
  <c r="C704" i="25"/>
  <c r="B704" i="25"/>
  <c r="F703" i="25"/>
  <c r="D703" i="25"/>
  <c r="C703" i="25"/>
  <c r="B703" i="25"/>
  <c r="F702" i="25"/>
  <c r="D702" i="25"/>
  <c r="C702" i="25"/>
  <c r="B702" i="25"/>
  <c r="F701" i="25"/>
  <c r="D701" i="25"/>
  <c r="C701" i="25"/>
  <c r="B701" i="25"/>
  <c r="F700" i="25"/>
  <c r="D700" i="25"/>
  <c r="C700" i="25"/>
  <c r="B700" i="25"/>
  <c r="F699" i="25"/>
  <c r="D699" i="25"/>
  <c r="C699" i="25"/>
  <c r="B699" i="25"/>
  <c r="F698" i="25"/>
  <c r="D698" i="25"/>
  <c r="C698" i="25"/>
  <c r="B698" i="25"/>
  <c r="F697" i="25"/>
  <c r="D697" i="25"/>
  <c r="C697" i="25"/>
  <c r="B697" i="25"/>
  <c r="F696" i="25"/>
  <c r="D696" i="25"/>
  <c r="C696" i="25"/>
  <c r="B696" i="25"/>
  <c r="F695" i="25"/>
  <c r="D695" i="25"/>
  <c r="C695" i="25"/>
  <c r="B695" i="25"/>
  <c r="F694" i="25"/>
  <c r="D694" i="25"/>
  <c r="C694" i="25"/>
  <c r="B694" i="25"/>
  <c r="F693" i="25"/>
  <c r="D693" i="25"/>
  <c r="C693" i="25"/>
  <c r="B693" i="25"/>
  <c r="F692" i="25"/>
  <c r="D692" i="25"/>
  <c r="C692" i="25"/>
  <c r="B692" i="25"/>
  <c r="F691" i="25"/>
  <c r="D691" i="25"/>
  <c r="C691" i="25"/>
  <c r="B691" i="25"/>
  <c r="F690" i="25"/>
  <c r="D690" i="25"/>
  <c r="C690" i="25"/>
  <c r="B690" i="25"/>
  <c r="F689" i="25"/>
  <c r="D689" i="25"/>
  <c r="C689" i="25"/>
  <c r="B689" i="25"/>
  <c r="F688" i="25"/>
  <c r="D688" i="25"/>
  <c r="C688" i="25"/>
  <c r="B688" i="25"/>
  <c r="F687" i="25"/>
  <c r="D687" i="25"/>
  <c r="C687" i="25"/>
  <c r="B687" i="25"/>
  <c r="F686" i="25"/>
  <c r="D686" i="25"/>
  <c r="C686" i="25"/>
  <c r="B686" i="25"/>
  <c r="F685" i="25"/>
  <c r="D685" i="25"/>
  <c r="C685" i="25"/>
  <c r="B685" i="25"/>
  <c r="F684" i="25"/>
  <c r="D684" i="25"/>
  <c r="C684" i="25"/>
  <c r="B684" i="25"/>
  <c r="F683" i="25"/>
  <c r="D683" i="25"/>
  <c r="C683" i="25"/>
  <c r="B683" i="25"/>
  <c r="F682" i="25"/>
  <c r="D682" i="25"/>
  <c r="C682" i="25"/>
  <c r="B682" i="25"/>
  <c r="F681" i="25"/>
  <c r="D681" i="25"/>
  <c r="C681" i="25"/>
  <c r="B681" i="25"/>
  <c r="F680" i="25"/>
  <c r="D680" i="25"/>
  <c r="C680" i="25"/>
  <c r="B680" i="25"/>
  <c r="F679" i="25"/>
  <c r="D679" i="25"/>
  <c r="C679" i="25"/>
  <c r="B679" i="25"/>
  <c r="F678" i="25"/>
  <c r="D678" i="25"/>
  <c r="C678" i="25"/>
  <c r="B678" i="25"/>
  <c r="F677" i="25"/>
  <c r="D677" i="25"/>
  <c r="C677" i="25"/>
  <c r="B677" i="25"/>
  <c r="F676" i="25"/>
  <c r="D676" i="25"/>
  <c r="C676" i="25"/>
  <c r="B676" i="25"/>
  <c r="F675" i="25"/>
  <c r="D675" i="25"/>
  <c r="C675" i="25"/>
  <c r="B675" i="25"/>
  <c r="F674" i="25"/>
  <c r="D674" i="25"/>
  <c r="C674" i="25"/>
  <c r="B674" i="25"/>
  <c r="F673" i="25"/>
  <c r="D673" i="25"/>
  <c r="C673" i="25"/>
  <c r="B673" i="25"/>
  <c r="F672" i="25"/>
  <c r="D672" i="25"/>
  <c r="C672" i="25"/>
  <c r="B672" i="25"/>
  <c r="F671" i="25"/>
  <c r="D671" i="25"/>
  <c r="C671" i="25"/>
  <c r="B671" i="25"/>
  <c r="F670" i="25"/>
  <c r="D670" i="25"/>
  <c r="C670" i="25"/>
  <c r="B670" i="25"/>
  <c r="F669" i="25"/>
  <c r="D669" i="25"/>
  <c r="C669" i="25"/>
  <c r="B669" i="25"/>
  <c r="F668" i="25"/>
  <c r="D668" i="25"/>
  <c r="C668" i="25"/>
  <c r="B668" i="25"/>
  <c r="F667" i="25"/>
  <c r="D667" i="25"/>
  <c r="C667" i="25"/>
  <c r="B667" i="25"/>
  <c r="F666" i="25"/>
  <c r="D666" i="25"/>
  <c r="C666" i="25"/>
  <c r="B666" i="25"/>
  <c r="F665" i="25"/>
  <c r="D665" i="25"/>
  <c r="C665" i="25"/>
  <c r="B665" i="25"/>
  <c r="F664" i="25"/>
  <c r="D664" i="25"/>
  <c r="C664" i="25"/>
  <c r="B664" i="25"/>
  <c r="F663" i="25"/>
  <c r="D663" i="25"/>
  <c r="C663" i="25"/>
  <c r="B663" i="25"/>
  <c r="F662" i="25"/>
  <c r="D662" i="25"/>
  <c r="C662" i="25"/>
  <c r="B662" i="25"/>
  <c r="F661" i="25"/>
  <c r="D661" i="25"/>
  <c r="C661" i="25"/>
  <c r="B661" i="25"/>
  <c r="F660" i="25"/>
  <c r="D660" i="25"/>
  <c r="C660" i="25"/>
  <c r="B660" i="25"/>
  <c r="F659" i="25"/>
  <c r="D659" i="25"/>
  <c r="C659" i="25"/>
  <c r="B659" i="25"/>
  <c r="F658" i="25"/>
  <c r="D658" i="25"/>
  <c r="C658" i="25"/>
  <c r="B658" i="25"/>
  <c r="F657" i="25"/>
  <c r="D657" i="25"/>
  <c r="C657" i="25"/>
  <c r="B657" i="25"/>
  <c r="F656" i="25"/>
  <c r="D656" i="25"/>
  <c r="C656" i="25"/>
  <c r="B656" i="25"/>
  <c r="F655" i="25"/>
  <c r="D655" i="25"/>
  <c r="C655" i="25"/>
  <c r="B655" i="25"/>
  <c r="F654" i="25"/>
  <c r="D654" i="25"/>
  <c r="C654" i="25"/>
  <c r="B654" i="25"/>
  <c r="F653" i="25"/>
  <c r="D653" i="25"/>
  <c r="C653" i="25"/>
  <c r="B653" i="25"/>
  <c r="F652" i="25"/>
  <c r="D652" i="25"/>
  <c r="C652" i="25"/>
  <c r="B652" i="25"/>
  <c r="F651" i="25"/>
  <c r="D651" i="25"/>
  <c r="C651" i="25"/>
  <c r="B651" i="25"/>
  <c r="F650" i="25"/>
  <c r="D650" i="25"/>
  <c r="C650" i="25"/>
  <c r="B650" i="25"/>
  <c r="F649" i="25"/>
  <c r="D649" i="25"/>
  <c r="C649" i="25"/>
  <c r="B649" i="25"/>
  <c r="F648" i="25"/>
  <c r="D648" i="25"/>
  <c r="C648" i="25"/>
  <c r="B648" i="25"/>
  <c r="F647" i="25"/>
  <c r="D647" i="25"/>
  <c r="C647" i="25"/>
  <c r="B647" i="25"/>
  <c r="F646" i="25"/>
  <c r="D646" i="25"/>
  <c r="C646" i="25"/>
  <c r="B646" i="25"/>
  <c r="F645" i="25"/>
  <c r="D645" i="25"/>
  <c r="C645" i="25"/>
  <c r="B645" i="25"/>
  <c r="F644" i="25"/>
  <c r="D644" i="25"/>
  <c r="C644" i="25"/>
  <c r="B644" i="25"/>
  <c r="F643" i="25"/>
  <c r="D643" i="25"/>
  <c r="C643" i="25"/>
  <c r="B643" i="25"/>
  <c r="F642" i="25"/>
  <c r="D642" i="25"/>
  <c r="C642" i="25"/>
  <c r="B642" i="25"/>
  <c r="F641" i="25"/>
  <c r="D641" i="25"/>
  <c r="C641" i="25"/>
  <c r="B641" i="25"/>
  <c r="F640" i="25"/>
  <c r="D640" i="25"/>
  <c r="C640" i="25"/>
  <c r="B640" i="25"/>
  <c r="F639" i="25"/>
  <c r="D639" i="25"/>
  <c r="C639" i="25"/>
  <c r="B639" i="25"/>
  <c r="F638" i="25"/>
  <c r="D638" i="25"/>
  <c r="C638" i="25"/>
  <c r="B638" i="25"/>
  <c r="F637" i="25"/>
  <c r="D637" i="25"/>
  <c r="C637" i="25"/>
  <c r="B637" i="25"/>
  <c r="F636" i="25"/>
  <c r="D636" i="25"/>
  <c r="C636" i="25"/>
  <c r="B636" i="25"/>
  <c r="F635" i="25"/>
  <c r="D635" i="25"/>
  <c r="C635" i="25"/>
  <c r="B635" i="25"/>
  <c r="F634" i="25"/>
  <c r="D634" i="25"/>
  <c r="C634" i="25"/>
  <c r="B634" i="25"/>
  <c r="F633" i="25"/>
  <c r="D633" i="25"/>
  <c r="C633" i="25"/>
  <c r="B633" i="25"/>
  <c r="F632" i="25"/>
  <c r="D632" i="25"/>
  <c r="C632" i="25"/>
  <c r="B632" i="25"/>
  <c r="F631" i="25"/>
  <c r="D631" i="25"/>
  <c r="C631" i="25"/>
  <c r="B631" i="25"/>
  <c r="F630" i="25"/>
  <c r="D630" i="25"/>
  <c r="C630" i="25"/>
  <c r="B630" i="25"/>
  <c r="F629" i="25"/>
  <c r="D629" i="25"/>
  <c r="C629" i="25"/>
  <c r="B629" i="25"/>
  <c r="F628" i="25"/>
  <c r="D628" i="25"/>
  <c r="C628" i="25"/>
  <c r="B628" i="25"/>
  <c r="F627" i="25"/>
  <c r="D627" i="25"/>
  <c r="C627" i="25"/>
  <c r="B627" i="25"/>
  <c r="F626" i="25"/>
  <c r="D626" i="25"/>
  <c r="C626" i="25"/>
  <c r="B626" i="25"/>
  <c r="F625" i="25"/>
  <c r="D625" i="25"/>
  <c r="C625" i="25"/>
  <c r="B625" i="25"/>
  <c r="F624" i="25"/>
  <c r="D624" i="25"/>
  <c r="C624" i="25"/>
  <c r="B624" i="25"/>
  <c r="F623" i="25"/>
  <c r="D623" i="25"/>
  <c r="C623" i="25"/>
  <c r="B623" i="25"/>
  <c r="F622" i="25"/>
  <c r="D622" i="25"/>
  <c r="C622" i="25"/>
  <c r="B622" i="25"/>
  <c r="F621" i="25"/>
  <c r="D621" i="25"/>
  <c r="C621" i="25"/>
  <c r="B621" i="25"/>
  <c r="F620" i="25"/>
  <c r="D620" i="25"/>
  <c r="C620" i="25"/>
  <c r="B620" i="25"/>
  <c r="F619" i="25"/>
  <c r="D619" i="25"/>
  <c r="C619" i="25"/>
  <c r="B619" i="25"/>
  <c r="F618" i="25"/>
  <c r="D618" i="25"/>
  <c r="C618" i="25"/>
  <c r="B618" i="25"/>
  <c r="F617" i="25"/>
  <c r="D617" i="25"/>
  <c r="C617" i="25"/>
  <c r="B617" i="25"/>
  <c r="F616" i="25"/>
  <c r="D616" i="25"/>
  <c r="C616" i="25"/>
  <c r="B616" i="25"/>
  <c r="F615" i="25"/>
  <c r="D615" i="25"/>
  <c r="C615" i="25"/>
  <c r="B615" i="25"/>
  <c r="F614" i="25"/>
  <c r="D614" i="25"/>
  <c r="C614" i="25"/>
  <c r="B614" i="25"/>
  <c r="F613" i="25"/>
  <c r="D613" i="25"/>
  <c r="C613" i="25"/>
  <c r="B613" i="25"/>
  <c r="F612" i="25"/>
  <c r="D612" i="25"/>
  <c r="C612" i="25"/>
  <c r="B612" i="25"/>
  <c r="F611" i="25"/>
  <c r="D611" i="25"/>
  <c r="C611" i="25"/>
  <c r="B611" i="25"/>
  <c r="F610" i="25"/>
  <c r="D610" i="25"/>
  <c r="C610" i="25"/>
  <c r="B610" i="25"/>
  <c r="F609" i="25"/>
  <c r="D609" i="25"/>
  <c r="C609" i="25"/>
  <c r="B609" i="25"/>
  <c r="F608" i="25"/>
  <c r="D608" i="25"/>
  <c r="C608" i="25"/>
  <c r="B608" i="25"/>
  <c r="F607" i="25"/>
  <c r="D607" i="25"/>
  <c r="C607" i="25"/>
  <c r="B607" i="25"/>
  <c r="F606" i="25"/>
  <c r="D606" i="25"/>
  <c r="C606" i="25"/>
  <c r="B606" i="25"/>
  <c r="F605" i="25"/>
  <c r="D605" i="25"/>
  <c r="C605" i="25"/>
  <c r="B605" i="25"/>
  <c r="F604" i="25"/>
  <c r="D604" i="25"/>
  <c r="C604" i="25"/>
  <c r="B604" i="25"/>
  <c r="F603" i="25"/>
  <c r="D603" i="25"/>
  <c r="C603" i="25"/>
  <c r="B603" i="25"/>
  <c r="F602" i="25"/>
  <c r="D602" i="25"/>
  <c r="C602" i="25"/>
  <c r="B602" i="25"/>
  <c r="F601" i="25"/>
  <c r="D601" i="25"/>
  <c r="C601" i="25"/>
  <c r="B601" i="25"/>
  <c r="F600" i="25"/>
  <c r="D600" i="25"/>
  <c r="C600" i="25"/>
  <c r="B600" i="25"/>
  <c r="F599" i="25"/>
  <c r="D599" i="25"/>
  <c r="C599" i="25"/>
  <c r="B599" i="25"/>
  <c r="F598" i="25"/>
  <c r="D598" i="25"/>
  <c r="C598" i="25"/>
  <c r="B598" i="25"/>
  <c r="F597" i="25"/>
  <c r="D597" i="25"/>
  <c r="C597" i="25"/>
  <c r="B597" i="25"/>
  <c r="F596" i="25"/>
  <c r="D596" i="25"/>
  <c r="C596" i="25"/>
  <c r="B596" i="25"/>
  <c r="F595" i="25"/>
  <c r="D595" i="25"/>
  <c r="C595" i="25"/>
  <c r="B595" i="25"/>
  <c r="F594" i="25"/>
  <c r="D594" i="25"/>
  <c r="C594" i="25"/>
  <c r="B594" i="25"/>
  <c r="F593" i="25"/>
  <c r="D593" i="25"/>
  <c r="C593" i="25"/>
  <c r="B593" i="25"/>
  <c r="F592" i="25"/>
  <c r="D592" i="25"/>
  <c r="C592" i="25"/>
  <c r="B592" i="25"/>
  <c r="F591" i="25"/>
  <c r="D591" i="25"/>
  <c r="C591" i="25"/>
  <c r="B591" i="25"/>
  <c r="F590" i="25"/>
  <c r="D590" i="25"/>
  <c r="C590" i="25"/>
  <c r="B590" i="25"/>
  <c r="F589" i="25"/>
  <c r="D589" i="25"/>
  <c r="C589" i="25"/>
  <c r="B589" i="25"/>
  <c r="F588" i="25"/>
  <c r="D588" i="25"/>
  <c r="C588" i="25"/>
  <c r="B588" i="25"/>
  <c r="F587" i="25"/>
  <c r="D587" i="25"/>
  <c r="C587" i="25"/>
  <c r="B587" i="25"/>
  <c r="F586" i="25"/>
  <c r="D586" i="25"/>
  <c r="C586" i="25"/>
  <c r="B586" i="25"/>
  <c r="F585" i="25"/>
  <c r="D585" i="25"/>
  <c r="C585" i="25"/>
  <c r="B585" i="25"/>
  <c r="F584" i="25"/>
  <c r="D584" i="25"/>
  <c r="C584" i="25"/>
  <c r="B584" i="25"/>
  <c r="F583" i="25"/>
  <c r="D583" i="25"/>
  <c r="C583" i="25"/>
  <c r="B583" i="25"/>
  <c r="F582" i="25"/>
  <c r="D582" i="25"/>
  <c r="C582" i="25"/>
  <c r="B582" i="25"/>
  <c r="F581" i="25"/>
  <c r="D581" i="25"/>
  <c r="C581" i="25"/>
  <c r="B581" i="25"/>
  <c r="F580" i="25"/>
  <c r="D580" i="25"/>
  <c r="C580" i="25"/>
  <c r="B580" i="25"/>
  <c r="F579" i="25"/>
  <c r="D579" i="25"/>
  <c r="C579" i="25"/>
  <c r="B579" i="25"/>
  <c r="F578" i="25"/>
  <c r="D578" i="25"/>
  <c r="C578" i="25"/>
  <c r="B578" i="25"/>
  <c r="F577" i="25"/>
  <c r="D577" i="25"/>
  <c r="C577" i="25"/>
  <c r="B577" i="25"/>
  <c r="F576" i="25"/>
  <c r="D576" i="25"/>
  <c r="C576" i="25"/>
  <c r="B576" i="25"/>
  <c r="F575" i="25"/>
  <c r="D575" i="25"/>
  <c r="C575" i="25"/>
  <c r="B575" i="25"/>
  <c r="F574" i="25"/>
  <c r="D574" i="25"/>
  <c r="C574" i="25"/>
  <c r="B574" i="25"/>
  <c r="F573" i="25"/>
  <c r="D573" i="25"/>
  <c r="C573" i="25"/>
  <c r="B573" i="25"/>
  <c r="F572" i="25"/>
  <c r="D572" i="25"/>
  <c r="C572" i="25"/>
  <c r="B572" i="25"/>
  <c r="F571" i="25"/>
  <c r="D571" i="25"/>
  <c r="C571" i="25"/>
  <c r="B571" i="25"/>
  <c r="F570" i="25"/>
  <c r="D570" i="25"/>
  <c r="C570" i="25"/>
  <c r="B570" i="25"/>
  <c r="F569" i="25"/>
  <c r="D569" i="25"/>
  <c r="C569" i="25"/>
  <c r="B569" i="25"/>
  <c r="F568" i="25"/>
  <c r="D568" i="25"/>
  <c r="C568" i="25"/>
  <c r="B568" i="25"/>
  <c r="F567" i="25"/>
  <c r="D567" i="25"/>
  <c r="C567" i="25"/>
  <c r="B567" i="25"/>
  <c r="F566" i="25"/>
  <c r="D566" i="25"/>
  <c r="C566" i="25"/>
  <c r="B566" i="25"/>
  <c r="F565" i="25"/>
  <c r="D565" i="25"/>
  <c r="C565" i="25"/>
  <c r="B565" i="25"/>
  <c r="F564" i="25"/>
  <c r="D564" i="25"/>
  <c r="C564" i="25"/>
  <c r="B564" i="25"/>
  <c r="F563" i="25"/>
  <c r="D563" i="25"/>
  <c r="C563" i="25"/>
  <c r="B563" i="25"/>
  <c r="F562" i="25"/>
  <c r="D562" i="25"/>
  <c r="C562" i="25"/>
  <c r="B562" i="25"/>
  <c r="F561" i="25"/>
  <c r="D561" i="25"/>
  <c r="C561" i="25"/>
  <c r="B561" i="25"/>
  <c r="F560" i="25"/>
  <c r="D560" i="25"/>
  <c r="C560" i="25"/>
  <c r="B560" i="25"/>
  <c r="F559" i="25"/>
  <c r="D559" i="25"/>
  <c r="C559" i="25"/>
  <c r="B559" i="25"/>
  <c r="F558" i="25"/>
  <c r="D558" i="25"/>
  <c r="C558" i="25"/>
  <c r="B558" i="25"/>
  <c r="F557" i="25"/>
  <c r="D557" i="25"/>
  <c r="C557" i="25"/>
  <c r="B557" i="25"/>
  <c r="F556" i="25"/>
  <c r="D556" i="25"/>
  <c r="C556" i="25"/>
  <c r="B556" i="25"/>
  <c r="F555" i="25"/>
  <c r="D555" i="25"/>
  <c r="C555" i="25"/>
  <c r="B555" i="25"/>
  <c r="F554" i="25"/>
  <c r="D554" i="25"/>
  <c r="C554" i="25"/>
  <c r="B554" i="25"/>
  <c r="F553" i="25"/>
  <c r="D553" i="25"/>
  <c r="C553" i="25"/>
  <c r="B553" i="25"/>
  <c r="F552" i="25"/>
  <c r="D552" i="25"/>
  <c r="C552" i="25"/>
  <c r="B552" i="25"/>
  <c r="F551" i="25"/>
  <c r="D551" i="25"/>
  <c r="C551" i="25"/>
  <c r="B551" i="25"/>
  <c r="F550" i="25"/>
  <c r="D550" i="25"/>
  <c r="C550" i="25"/>
  <c r="B550" i="25"/>
  <c r="F549" i="25"/>
  <c r="D549" i="25"/>
  <c r="C549" i="25"/>
  <c r="B549" i="25"/>
  <c r="F548" i="25"/>
  <c r="D548" i="25"/>
  <c r="C548" i="25"/>
  <c r="B548" i="25"/>
  <c r="F547" i="25"/>
  <c r="D547" i="25"/>
  <c r="C547" i="25"/>
  <c r="B547" i="25"/>
  <c r="F546" i="25"/>
  <c r="D546" i="25"/>
  <c r="C546" i="25"/>
  <c r="B546" i="25"/>
  <c r="F545" i="25"/>
  <c r="D545" i="25"/>
  <c r="C545" i="25"/>
  <c r="B545" i="25"/>
  <c r="F544" i="25"/>
  <c r="D544" i="25"/>
  <c r="C544" i="25"/>
  <c r="B544" i="25"/>
  <c r="F543" i="25"/>
  <c r="D543" i="25"/>
  <c r="C543" i="25"/>
  <c r="B543" i="25"/>
  <c r="F542" i="25"/>
  <c r="D542" i="25"/>
  <c r="C542" i="25"/>
  <c r="B542" i="25"/>
  <c r="F541" i="25"/>
  <c r="D541" i="25"/>
  <c r="C541" i="25"/>
  <c r="B541" i="25"/>
  <c r="F540" i="25"/>
  <c r="D540" i="25"/>
  <c r="C540" i="25"/>
  <c r="B540" i="25"/>
  <c r="F539" i="25"/>
  <c r="D539" i="25"/>
  <c r="C539" i="25"/>
  <c r="B539" i="25"/>
  <c r="F538" i="25"/>
  <c r="D538" i="25"/>
  <c r="C538" i="25"/>
  <c r="B538" i="25"/>
  <c r="F537" i="25"/>
  <c r="D537" i="25"/>
  <c r="C537" i="25"/>
  <c r="B537" i="25"/>
  <c r="F536" i="25"/>
  <c r="D536" i="25"/>
  <c r="C536" i="25"/>
  <c r="B536" i="25"/>
  <c r="F535" i="25"/>
  <c r="D535" i="25"/>
  <c r="C535" i="25"/>
  <c r="B535" i="25"/>
  <c r="F534" i="25"/>
  <c r="D534" i="25"/>
  <c r="C534" i="25"/>
  <c r="B534" i="25"/>
  <c r="F533" i="25"/>
  <c r="D533" i="25"/>
  <c r="C533" i="25"/>
  <c r="B533" i="25"/>
  <c r="F532" i="25"/>
  <c r="D532" i="25"/>
  <c r="C532" i="25"/>
  <c r="B532" i="25"/>
  <c r="F531" i="25"/>
  <c r="D531" i="25"/>
  <c r="C531" i="25"/>
  <c r="B531" i="25"/>
  <c r="F530" i="25"/>
  <c r="D530" i="25"/>
  <c r="C530" i="25"/>
  <c r="B530" i="25"/>
  <c r="F529" i="25"/>
  <c r="D529" i="25"/>
  <c r="C529" i="25"/>
  <c r="B529" i="25"/>
  <c r="F528" i="25"/>
  <c r="D528" i="25"/>
  <c r="C528" i="25"/>
  <c r="B528" i="25"/>
  <c r="F527" i="25"/>
  <c r="D527" i="25"/>
  <c r="C527" i="25"/>
  <c r="B527" i="25"/>
  <c r="F526" i="25"/>
  <c r="D526" i="25"/>
  <c r="C526" i="25"/>
  <c r="B526" i="25"/>
  <c r="F525" i="25"/>
  <c r="D525" i="25"/>
  <c r="C525" i="25"/>
  <c r="B525" i="25"/>
  <c r="F524" i="25"/>
  <c r="D524" i="25"/>
  <c r="C524" i="25"/>
  <c r="B524" i="25"/>
  <c r="F523" i="25"/>
  <c r="D523" i="25"/>
  <c r="C523" i="25"/>
  <c r="B523" i="25"/>
  <c r="F522" i="25"/>
  <c r="D522" i="25"/>
  <c r="C522" i="25"/>
  <c r="B522" i="25"/>
  <c r="F521" i="25"/>
  <c r="D521" i="25"/>
  <c r="C521" i="25"/>
  <c r="B521" i="25"/>
  <c r="F520" i="25"/>
  <c r="D520" i="25"/>
  <c r="C520" i="25"/>
  <c r="B520" i="25"/>
  <c r="F519" i="25"/>
  <c r="D519" i="25"/>
  <c r="C519" i="25"/>
  <c r="B519" i="25"/>
  <c r="F518" i="25"/>
  <c r="D518" i="25"/>
  <c r="C518" i="25"/>
  <c r="B518" i="25"/>
  <c r="F517" i="25"/>
  <c r="D517" i="25"/>
  <c r="C517" i="25"/>
  <c r="B517" i="25"/>
  <c r="F516" i="25"/>
  <c r="D516" i="25"/>
  <c r="C516" i="25"/>
  <c r="B516" i="25"/>
  <c r="F515" i="25"/>
  <c r="D515" i="25"/>
  <c r="C515" i="25"/>
  <c r="B515" i="25"/>
  <c r="F514" i="25"/>
  <c r="D514" i="25"/>
  <c r="C514" i="25"/>
  <c r="B514" i="25"/>
  <c r="F513" i="25"/>
  <c r="D513" i="25"/>
  <c r="C513" i="25"/>
  <c r="B513" i="25"/>
  <c r="F512" i="25"/>
  <c r="D512" i="25"/>
  <c r="C512" i="25"/>
  <c r="B512" i="25"/>
  <c r="F511" i="25"/>
  <c r="D511" i="25"/>
  <c r="C511" i="25"/>
  <c r="B511" i="25"/>
  <c r="F510" i="25"/>
  <c r="D510" i="25"/>
  <c r="C510" i="25"/>
  <c r="B510" i="25"/>
  <c r="F509" i="25"/>
  <c r="D509" i="25"/>
  <c r="C509" i="25"/>
  <c r="B509" i="25"/>
  <c r="F508" i="25"/>
  <c r="D508" i="25"/>
  <c r="C508" i="25"/>
  <c r="B508" i="25"/>
  <c r="F507" i="25"/>
  <c r="D507" i="25"/>
  <c r="C507" i="25"/>
  <c r="B507" i="25"/>
  <c r="F506" i="25"/>
  <c r="D506" i="25"/>
  <c r="C506" i="25"/>
  <c r="B506" i="25"/>
  <c r="F505" i="25"/>
  <c r="D505" i="25"/>
  <c r="C505" i="25"/>
  <c r="B505" i="25"/>
  <c r="F504" i="25"/>
  <c r="D504" i="25"/>
  <c r="C504" i="25"/>
  <c r="B504" i="25"/>
  <c r="F503" i="25"/>
  <c r="D503" i="25"/>
  <c r="C503" i="25"/>
  <c r="B503" i="25"/>
  <c r="F502" i="25"/>
  <c r="D502" i="25"/>
  <c r="C502" i="25"/>
  <c r="B502" i="25"/>
  <c r="F501" i="25"/>
  <c r="D501" i="25"/>
  <c r="C501" i="25"/>
  <c r="B501" i="25"/>
  <c r="F500" i="25"/>
  <c r="D500" i="25"/>
  <c r="C500" i="25"/>
  <c r="B500" i="25"/>
  <c r="F499" i="25"/>
  <c r="D499" i="25"/>
  <c r="C499" i="25"/>
  <c r="B499" i="25"/>
  <c r="F498" i="25"/>
  <c r="D498" i="25"/>
  <c r="C498" i="25"/>
  <c r="B498" i="25"/>
  <c r="F497" i="25"/>
  <c r="D497" i="25"/>
  <c r="C497" i="25"/>
  <c r="B497" i="25"/>
  <c r="F496" i="25"/>
  <c r="D496" i="25"/>
  <c r="C496" i="25"/>
  <c r="B496" i="25"/>
  <c r="F495" i="25"/>
  <c r="D495" i="25"/>
  <c r="C495" i="25"/>
  <c r="B495" i="25"/>
  <c r="F494" i="25"/>
  <c r="D494" i="25"/>
  <c r="C494" i="25"/>
  <c r="B494" i="25"/>
  <c r="F493" i="25"/>
  <c r="D493" i="25"/>
  <c r="C493" i="25"/>
  <c r="B493" i="25"/>
  <c r="F492" i="25"/>
  <c r="D492" i="25"/>
  <c r="C492" i="25"/>
  <c r="B492" i="25"/>
  <c r="F491" i="25"/>
  <c r="D491" i="25"/>
  <c r="C491" i="25"/>
  <c r="B491" i="25"/>
  <c r="F490" i="25"/>
  <c r="D490" i="25"/>
  <c r="C490" i="25"/>
  <c r="B490" i="25"/>
  <c r="F489" i="25"/>
  <c r="D489" i="25"/>
  <c r="C489" i="25"/>
  <c r="B489" i="25"/>
  <c r="F488" i="25"/>
  <c r="D488" i="25"/>
  <c r="C488" i="25"/>
  <c r="B488" i="25"/>
  <c r="F487" i="25"/>
  <c r="D487" i="25"/>
  <c r="C487" i="25"/>
  <c r="B487" i="25"/>
  <c r="F486" i="25"/>
  <c r="D486" i="25"/>
  <c r="C486" i="25"/>
  <c r="B486" i="25"/>
  <c r="F485" i="25"/>
  <c r="D485" i="25"/>
  <c r="C485" i="25"/>
  <c r="B485" i="25"/>
  <c r="F484" i="25"/>
  <c r="D484" i="25"/>
  <c r="C484" i="25"/>
  <c r="B484" i="25"/>
  <c r="F483" i="25"/>
  <c r="D483" i="25"/>
  <c r="C483" i="25"/>
  <c r="B483" i="25"/>
  <c r="F482" i="25"/>
  <c r="D482" i="25"/>
  <c r="C482" i="25"/>
  <c r="B482" i="25"/>
  <c r="F481" i="25"/>
  <c r="D481" i="25"/>
  <c r="C481" i="25"/>
  <c r="B481" i="25"/>
  <c r="F480" i="25"/>
  <c r="D480" i="25"/>
  <c r="C480" i="25"/>
  <c r="B480" i="25"/>
  <c r="F479" i="25"/>
  <c r="D479" i="25"/>
  <c r="C479" i="25"/>
  <c r="B479" i="25"/>
  <c r="F478" i="25"/>
  <c r="D478" i="25"/>
  <c r="C478" i="25"/>
  <c r="B478" i="25"/>
  <c r="F477" i="25"/>
  <c r="D477" i="25"/>
  <c r="C477" i="25"/>
  <c r="B477" i="25"/>
  <c r="F476" i="25"/>
  <c r="D476" i="25"/>
  <c r="C476" i="25"/>
  <c r="B476" i="25"/>
  <c r="F475" i="25"/>
  <c r="D475" i="25"/>
  <c r="C475" i="25"/>
  <c r="B475" i="25"/>
  <c r="F474" i="25"/>
  <c r="D474" i="25"/>
  <c r="C474" i="25"/>
  <c r="B474" i="25"/>
  <c r="F473" i="25"/>
  <c r="D473" i="25"/>
  <c r="C473" i="25"/>
  <c r="B473" i="25"/>
  <c r="F472" i="25"/>
  <c r="D472" i="25"/>
  <c r="C472" i="25"/>
  <c r="B472" i="25"/>
  <c r="F471" i="25"/>
  <c r="D471" i="25"/>
  <c r="C471" i="25"/>
  <c r="B471" i="25"/>
  <c r="F470" i="25"/>
  <c r="D470" i="25"/>
  <c r="C470" i="25"/>
  <c r="B470" i="25"/>
  <c r="F469" i="25"/>
  <c r="D469" i="25"/>
  <c r="C469" i="25"/>
  <c r="B469" i="25"/>
  <c r="F468" i="25"/>
  <c r="D468" i="25"/>
  <c r="C468" i="25"/>
  <c r="B468" i="25"/>
  <c r="F467" i="25"/>
  <c r="D467" i="25"/>
  <c r="C467" i="25"/>
  <c r="B467" i="25"/>
  <c r="F466" i="25"/>
  <c r="D466" i="25"/>
  <c r="C466" i="25"/>
  <c r="B466" i="25"/>
  <c r="F465" i="25"/>
  <c r="D465" i="25"/>
  <c r="C465" i="25"/>
  <c r="B465" i="25"/>
  <c r="F464" i="25"/>
  <c r="D464" i="25"/>
  <c r="C464" i="25"/>
  <c r="B464" i="25"/>
  <c r="F463" i="25"/>
  <c r="D463" i="25"/>
  <c r="C463" i="25"/>
  <c r="B463" i="25"/>
  <c r="F462" i="25"/>
  <c r="D462" i="25"/>
  <c r="C462" i="25"/>
  <c r="B462" i="25"/>
  <c r="F461" i="25"/>
  <c r="D461" i="25"/>
  <c r="C461" i="25"/>
  <c r="B461" i="25"/>
  <c r="F460" i="25"/>
  <c r="D460" i="25"/>
  <c r="C460" i="25"/>
  <c r="B460" i="25"/>
  <c r="F459" i="25"/>
  <c r="D459" i="25"/>
  <c r="C459" i="25"/>
  <c r="B459" i="25"/>
  <c r="F458" i="25"/>
  <c r="D458" i="25"/>
  <c r="C458" i="25"/>
  <c r="B458" i="25"/>
  <c r="F457" i="25"/>
  <c r="D457" i="25"/>
  <c r="C457" i="25"/>
  <c r="B457" i="25"/>
  <c r="F456" i="25"/>
  <c r="D456" i="25"/>
  <c r="C456" i="25"/>
  <c r="B456" i="25"/>
  <c r="F455" i="25"/>
  <c r="D455" i="25"/>
  <c r="C455" i="25"/>
  <c r="B455" i="25"/>
  <c r="F454" i="25"/>
  <c r="D454" i="25"/>
  <c r="C454" i="25"/>
  <c r="B454" i="25"/>
  <c r="F453" i="25"/>
  <c r="D453" i="25"/>
  <c r="C453" i="25"/>
  <c r="B453" i="25"/>
  <c r="F452" i="25"/>
  <c r="D452" i="25"/>
  <c r="C452" i="25"/>
  <c r="B452" i="25"/>
  <c r="F451" i="25"/>
  <c r="D451" i="25"/>
  <c r="C451" i="25"/>
  <c r="B451" i="25"/>
  <c r="F450" i="25"/>
  <c r="D450" i="25"/>
  <c r="C450" i="25"/>
  <c r="B450" i="25"/>
  <c r="F449" i="25"/>
  <c r="D449" i="25"/>
  <c r="C449" i="25"/>
  <c r="B449" i="25"/>
  <c r="F448" i="25"/>
  <c r="D448" i="25"/>
  <c r="C448" i="25"/>
  <c r="B448" i="25"/>
  <c r="F447" i="25"/>
  <c r="D447" i="25"/>
  <c r="C447" i="25"/>
  <c r="B447" i="25"/>
  <c r="F446" i="25"/>
  <c r="D446" i="25"/>
  <c r="C446" i="25"/>
  <c r="B446" i="25"/>
  <c r="F445" i="25"/>
  <c r="D445" i="25"/>
  <c r="C445" i="25"/>
  <c r="B445" i="25"/>
  <c r="F444" i="25"/>
  <c r="D444" i="25"/>
  <c r="C444" i="25"/>
  <c r="B444" i="25"/>
  <c r="F443" i="25"/>
  <c r="D443" i="25"/>
  <c r="C443" i="25"/>
  <c r="B443" i="25"/>
  <c r="F442" i="25"/>
  <c r="D442" i="25"/>
  <c r="C442" i="25"/>
  <c r="B442" i="25"/>
  <c r="F441" i="25"/>
  <c r="D441" i="25"/>
  <c r="C441" i="25"/>
  <c r="B441" i="25"/>
  <c r="F440" i="25"/>
  <c r="D440" i="25"/>
  <c r="C440" i="25"/>
  <c r="B440" i="25"/>
  <c r="F439" i="25"/>
  <c r="D439" i="25"/>
  <c r="C439" i="25"/>
  <c r="B439" i="25"/>
  <c r="F438" i="25"/>
  <c r="D438" i="25"/>
  <c r="C438" i="25"/>
  <c r="B438" i="25"/>
  <c r="F437" i="25"/>
  <c r="D437" i="25"/>
  <c r="C437" i="25"/>
  <c r="B437" i="25"/>
  <c r="F436" i="25"/>
  <c r="D436" i="25"/>
  <c r="C436" i="25"/>
  <c r="B436" i="25"/>
  <c r="F435" i="25"/>
  <c r="D435" i="25"/>
  <c r="C435" i="25"/>
  <c r="B435" i="25"/>
  <c r="F434" i="25"/>
  <c r="D434" i="25"/>
  <c r="C434" i="25"/>
  <c r="B434" i="25"/>
  <c r="F433" i="25"/>
  <c r="D433" i="25"/>
  <c r="C433" i="25"/>
  <c r="B433" i="25"/>
  <c r="F432" i="25"/>
  <c r="D432" i="25"/>
  <c r="C432" i="25"/>
  <c r="B432" i="25"/>
  <c r="F431" i="25"/>
  <c r="D431" i="25"/>
  <c r="C431" i="25"/>
  <c r="B431" i="25"/>
  <c r="F430" i="25"/>
  <c r="D430" i="25"/>
  <c r="C430" i="25"/>
  <c r="B430" i="25"/>
  <c r="F429" i="25"/>
  <c r="D429" i="25"/>
  <c r="C429" i="25"/>
  <c r="B429" i="25"/>
  <c r="F428" i="25"/>
  <c r="D428" i="25"/>
  <c r="C428" i="25"/>
  <c r="B428" i="25"/>
  <c r="F427" i="25"/>
  <c r="D427" i="25"/>
  <c r="C427" i="25"/>
  <c r="B427" i="25"/>
  <c r="F426" i="25"/>
  <c r="D426" i="25"/>
  <c r="C426" i="25"/>
  <c r="B426" i="25"/>
  <c r="F425" i="25"/>
  <c r="D425" i="25"/>
  <c r="C425" i="25"/>
  <c r="B425" i="25"/>
  <c r="F424" i="25"/>
  <c r="D424" i="25"/>
  <c r="C424" i="25"/>
  <c r="B424" i="25"/>
  <c r="F423" i="25"/>
  <c r="D423" i="25"/>
  <c r="C423" i="25"/>
  <c r="B423" i="25"/>
  <c r="F422" i="25"/>
  <c r="D422" i="25"/>
  <c r="C422" i="25"/>
  <c r="B422" i="25"/>
  <c r="F421" i="25"/>
  <c r="D421" i="25"/>
  <c r="C421" i="25"/>
  <c r="B421" i="25"/>
  <c r="F420" i="25"/>
  <c r="D420" i="25"/>
  <c r="C420" i="25"/>
  <c r="B420" i="25"/>
  <c r="F419" i="25"/>
  <c r="D419" i="25"/>
  <c r="C419" i="25"/>
  <c r="B419" i="25"/>
  <c r="F418" i="25"/>
  <c r="D418" i="25"/>
  <c r="C418" i="25"/>
  <c r="B418" i="25"/>
  <c r="F417" i="25"/>
  <c r="D417" i="25"/>
  <c r="C417" i="25"/>
  <c r="B417" i="25"/>
  <c r="F416" i="25"/>
  <c r="D416" i="25"/>
  <c r="C416" i="25"/>
  <c r="B416" i="25"/>
  <c r="F415" i="25"/>
  <c r="D415" i="25"/>
  <c r="C415" i="25"/>
  <c r="B415" i="25"/>
  <c r="F414" i="25"/>
  <c r="D414" i="25"/>
  <c r="C414" i="25"/>
  <c r="B414" i="25"/>
  <c r="F413" i="25"/>
  <c r="D413" i="25"/>
  <c r="C413" i="25"/>
  <c r="B413" i="25"/>
  <c r="F412" i="25"/>
  <c r="D412" i="25"/>
  <c r="C412" i="25"/>
  <c r="B412" i="25"/>
  <c r="F411" i="25"/>
  <c r="D411" i="25"/>
  <c r="C411" i="25"/>
  <c r="B411" i="25"/>
  <c r="F410" i="25"/>
  <c r="D410" i="25"/>
  <c r="C410" i="25"/>
  <c r="B410" i="25"/>
  <c r="F409" i="25"/>
  <c r="D409" i="25"/>
  <c r="C409" i="25"/>
  <c r="B409" i="25"/>
  <c r="F408" i="25"/>
  <c r="D408" i="25"/>
  <c r="C408" i="25"/>
  <c r="B408" i="25"/>
  <c r="F407" i="25"/>
  <c r="D407" i="25"/>
  <c r="C407" i="25"/>
  <c r="B407" i="25"/>
  <c r="F406" i="25"/>
  <c r="D406" i="25"/>
  <c r="C406" i="25"/>
  <c r="B406" i="25"/>
  <c r="F405" i="25"/>
  <c r="D405" i="25"/>
  <c r="C405" i="25"/>
  <c r="B405" i="25"/>
  <c r="F404" i="25"/>
  <c r="D404" i="25"/>
  <c r="C404" i="25"/>
  <c r="B404" i="25"/>
  <c r="F403" i="25"/>
  <c r="D403" i="25"/>
  <c r="C403" i="25"/>
  <c r="B403" i="25"/>
  <c r="F402" i="25"/>
  <c r="D402" i="25"/>
  <c r="C402" i="25"/>
  <c r="B402" i="25"/>
  <c r="F401" i="25"/>
  <c r="D401" i="25"/>
  <c r="C401" i="25"/>
  <c r="B401" i="25"/>
  <c r="F400" i="25"/>
  <c r="D400" i="25"/>
  <c r="C400" i="25"/>
  <c r="B400" i="25"/>
  <c r="F399" i="25"/>
  <c r="D399" i="25"/>
  <c r="C399" i="25"/>
  <c r="B399" i="25"/>
  <c r="F398" i="25"/>
  <c r="D398" i="25"/>
  <c r="C398" i="25"/>
  <c r="B398" i="25"/>
  <c r="F397" i="25"/>
  <c r="D397" i="25"/>
  <c r="C397" i="25"/>
  <c r="B397" i="25"/>
  <c r="F396" i="25"/>
  <c r="D396" i="25"/>
  <c r="C396" i="25"/>
  <c r="B396" i="25"/>
  <c r="F395" i="25"/>
  <c r="D395" i="25"/>
  <c r="C395" i="25"/>
  <c r="B395" i="25"/>
  <c r="F394" i="25"/>
  <c r="D394" i="25"/>
  <c r="C394" i="25"/>
  <c r="B394" i="25"/>
  <c r="F393" i="25"/>
  <c r="D393" i="25"/>
  <c r="C393" i="25"/>
  <c r="B393" i="25"/>
  <c r="F392" i="25"/>
  <c r="D392" i="25"/>
  <c r="C392" i="25"/>
  <c r="B392" i="25"/>
  <c r="F391" i="25"/>
  <c r="D391" i="25"/>
  <c r="C391" i="25"/>
  <c r="B391" i="25"/>
  <c r="F390" i="25"/>
  <c r="D390" i="25"/>
  <c r="C390" i="25"/>
  <c r="B390" i="25"/>
  <c r="F389" i="25"/>
  <c r="C389" i="25"/>
  <c r="B389" i="25"/>
  <c r="F388" i="25"/>
  <c r="D388" i="25"/>
  <c r="C388" i="25"/>
  <c r="B388" i="25"/>
  <c r="F387" i="25"/>
  <c r="D387" i="25"/>
  <c r="C387" i="25"/>
  <c r="B387" i="25"/>
  <c r="F386" i="25"/>
  <c r="D386" i="25"/>
  <c r="C386" i="25"/>
  <c r="B386" i="25"/>
  <c r="F385" i="25"/>
  <c r="D385" i="25"/>
  <c r="C385" i="25"/>
  <c r="B385" i="25"/>
  <c r="F384" i="25"/>
  <c r="D384" i="25"/>
  <c r="C384" i="25"/>
  <c r="B384" i="25"/>
  <c r="F383" i="25"/>
  <c r="D383" i="25"/>
  <c r="C383" i="25"/>
  <c r="B383" i="25"/>
  <c r="F382" i="25"/>
  <c r="D382" i="25"/>
  <c r="C382" i="25"/>
  <c r="B382" i="25"/>
  <c r="F381" i="25"/>
  <c r="D381" i="25"/>
  <c r="C381" i="25"/>
  <c r="B381" i="25"/>
  <c r="F380" i="25"/>
  <c r="D380" i="25"/>
  <c r="C380" i="25"/>
  <c r="B380" i="25"/>
  <c r="F379" i="25"/>
  <c r="D379" i="25"/>
  <c r="C379" i="25"/>
  <c r="B379" i="25"/>
  <c r="F378" i="25"/>
  <c r="D378" i="25"/>
  <c r="C378" i="25"/>
  <c r="B378" i="25"/>
  <c r="F377" i="25"/>
  <c r="D377" i="25"/>
  <c r="C377" i="25"/>
  <c r="B377" i="25"/>
  <c r="F376" i="25"/>
  <c r="D376" i="25"/>
  <c r="C376" i="25"/>
  <c r="B376" i="25"/>
  <c r="F375" i="25"/>
  <c r="D375" i="25"/>
  <c r="C375" i="25"/>
  <c r="B375" i="25"/>
  <c r="F374" i="25"/>
  <c r="D374" i="25"/>
  <c r="C374" i="25"/>
  <c r="B374" i="25"/>
  <c r="F373" i="25"/>
  <c r="D373" i="25"/>
  <c r="C373" i="25"/>
  <c r="B373" i="25"/>
  <c r="F372" i="25"/>
  <c r="D372" i="25"/>
  <c r="C372" i="25"/>
  <c r="B372" i="25"/>
  <c r="F371" i="25"/>
  <c r="D371" i="25"/>
  <c r="C371" i="25"/>
  <c r="B371" i="25"/>
  <c r="F370" i="25"/>
  <c r="D370" i="25"/>
  <c r="C370" i="25"/>
  <c r="B370" i="25"/>
  <c r="F369" i="25"/>
  <c r="D369" i="25"/>
  <c r="C369" i="25"/>
  <c r="B369" i="25"/>
  <c r="F368" i="25"/>
  <c r="D368" i="25"/>
  <c r="C368" i="25"/>
  <c r="B368" i="25"/>
  <c r="F367" i="25"/>
  <c r="D367" i="25"/>
  <c r="C367" i="25"/>
  <c r="B367" i="25"/>
  <c r="F366" i="25"/>
  <c r="D366" i="25"/>
  <c r="C366" i="25"/>
  <c r="B366" i="25"/>
  <c r="F365" i="25"/>
  <c r="D365" i="25"/>
  <c r="C365" i="25"/>
  <c r="B365" i="25"/>
  <c r="F364" i="25"/>
  <c r="D364" i="25"/>
  <c r="C364" i="25"/>
  <c r="B364" i="25"/>
  <c r="F363" i="25"/>
  <c r="D363" i="25"/>
  <c r="C363" i="25"/>
  <c r="B363" i="25"/>
  <c r="F362" i="25"/>
  <c r="D362" i="25"/>
  <c r="C362" i="25"/>
  <c r="B362" i="25"/>
  <c r="F361" i="25"/>
  <c r="D361" i="25"/>
  <c r="C361" i="25"/>
  <c r="B361" i="25"/>
  <c r="F360" i="25"/>
  <c r="D360" i="25"/>
  <c r="C360" i="25"/>
  <c r="B360" i="25"/>
  <c r="F359" i="25"/>
  <c r="D359" i="25"/>
  <c r="C359" i="25"/>
  <c r="B359" i="25"/>
  <c r="F358" i="25"/>
  <c r="D358" i="25"/>
  <c r="C358" i="25"/>
  <c r="B358" i="25"/>
  <c r="F357" i="25"/>
  <c r="D357" i="25"/>
  <c r="C357" i="25"/>
  <c r="B357" i="25"/>
  <c r="F356" i="25"/>
  <c r="D356" i="25"/>
  <c r="C356" i="25"/>
  <c r="B356" i="25"/>
  <c r="F355" i="25"/>
  <c r="D355" i="25"/>
  <c r="C355" i="25"/>
  <c r="B355" i="25"/>
  <c r="F354" i="25"/>
  <c r="D354" i="25"/>
  <c r="C354" i="25"/>
  <c r="B354" i="25"/>
  <c r="F353" i="25"/>
  <c r="D353" i="25"/>
  <c r="C353" i="25"/>
  <c r="B353" i="25"/>
  <c r="F352" i="25"/>
  <c r="D352" i="25"/>
  <c r="C352" i="25"/>
  <c r="B352" i="25"/>
  <c r="F351" i="25"/>
  <c r="D351" i="25"/>
  <c r="C351" i="25"/>
  <c r="B351" i="25"/>
  <c r="F350" i="25"/>
  <c r="D350" i="25"/>
  <c r="C350" i="25"/>
  <c r="B350" i="25"/>
  <c r="F349" i="25"/>
  <c r="D349" i="25"/>
  <c r="C349" i="25"/>
  <c r="B349" i="25"/>
  <c r="F348" i="25"/>
  <c r="D348" i="25"/>
  <c r="C348" i="25"/>
  <c r="B348" i="25"/>
  <c r="F347" i="25"/>
  <c r="D347" i="25"/>
  <c r="C347" i="25"/>
  <c r="B347" i="25"/>
  <c r="F346" i="25"/>
  <c r="D346" i="25"/>
  <c r="C346" i="25"/>
  <c r="B346" i="25"/>
  <c r="F345" i="25"/>
  <c r="D345" i="25"/>
  <c r="C345" i="25"/>
  <c r="B345" i="25"/>
  <c r="F344" i="25"/>
  <c r="D344" i="25"/>
  <c r="C344" i="25"/>
  <c r="B344" i="25"/>
  <c r="F343" i="25"/>
  <c r="D343" i="25"/>
  <c r="C343" i="25"/>
  <c r="B343" i="25"/>
  <c r="F342" i="25"/>
  <c r="D342" i="25"/>
  <c r="C342" i="25"/>
  <c r="B342" i="25"/>
  <c r="F341" i="25"/>
  <c r="D341" i="25"/>
  <c r="C341" i="25"/>
  <c r="B341" i="25"/>
  <c r="F340" i="25"/>
  <c r="D340" i="25"/>
  <c r="C340" i="25"/>
  <c r="B340" i="25"/>
  <c r="F339" i="25"/>
  <c r="D339" i="25"/>
  <c r="C339" i="25"/>
  <c r="B339" i="25"/>
  <c r="F338" i="25"/>
  <c r="D338" i="25"/>
  <c r="C338" i="25"/>
  <c r="B338" i="25"/>
  <c r="F337" i="25"/>
  <c r="D337" i="25"/>
  <c r="C337" i="25"/>
  <c r="B337" i="25"/>
  <c r="F336" i="25"/>
  <c r="D336" i="25"/>
  <c r="C336" i="25"/>
  <c r="B336" i="25"/>
  <c r="F335" i="25"/>
  <c r="D335" i="25"/>
  <c r="C335" i="25"/>
  <c r="B335" i="25"/>
  <c r="F334" i="25"/>
  <c r="D334" i="25"/>
  <c r="C334" i="25"/>
  <c r="B334" i="25"/>
  <c r="F333" i="25"/>
  <c r="D333" i="25"/>
  <c r="C333" i="25"/>
  <c r="B333" i="25"/>
  <c r="F332" i="25"/>
  <c r="D332" i="25"/>
  <c r="C332" i="25"/>
  <c r="B332" i="25"/>
  <c r="F331" i="25"/>
  <c r="D331" i="25"/>
  <c r="C331" i="25"/>
  <c r="B331" i="25"/>
  <c r="F330" i="25"/>
  <c r="D330" i="25"/>
  <c r="C330" i="25"/>
  <c r="B330" i="25"/>
  <c r="F329" i="25"/>
  <c r="D329" i="25"/>
  <c r="C329" i="25"/>
  <c r="B329" i="25"/>
  <c r="F328" i="25"/>
  <c r="D328" i="25"/>
  <c r="C328" i="25"/>
  <c r="B328" i="25"/>
  <c r="F327" i="25"/>
  <c r="D327" i="25"/>
  <c r="C327" i="25"/>
  <c r="B327" i="25"/>
  <c r="F326" i="25"/>
  <c r="D326" i="25"/>
  <c r="C326" i="25"/>
  <c r="B326" i="25"/>
  <c r="F325" i="25"/>
  <c r="D325" i="25"/>
  <c r="C325" i="25"/>
  <c r="B325" i="25"/>
  <c r="F324" i="25"/>
  <c r="D324" i="25"/>
  <c r="C324" i="25"/>
  <c r="B324" i="25"/>
  <c r="F323" i="25"/>
  <c r="D323" i="25"/>
  <c r="C323" i="25"/>
  <c r="B323" i="25"/>
  <c r="F322" i="25"/>
  <c r="D322" i="25"/>
  <c r="C322" i="25"/>
  <c r="B322" i="25"/>
  <c r="F321" i="25"/>
  <c r="D321" i="25"/>
  <c r="C321" i="25"/>
  <c r="B321" i="25"/>
  <c r="F320" i="25"/>
  <c r="D320" i="25"/>
  <c r="C320" i="25"/>
  <c r="B320" i="25"/>
  <c r="F319" i="25"/>
  <c r="D319" i="25"/>
  <c r="C319" i="25"/>
  <c r="B319" i="25"/>
  <c r="F318" i="25"/>
  <c r="D318" i="25"/>
  <c r="C318" i="25"/>
  <c r="B318" i="25"/>
  <c r="F317" i="25"/>
  <c r="D317" i="25"/>
  <c r="C317" i="25"/>
  <c r="B317" i="25"/>
  <c r="F316" i="25"/>
  <c r="D316" i="25"/>
  <c r="C316" i="25"/>
  <c r="B316" i="25"/>
  <c r="F315" i="25"/>
  <c r="D315" i="25"/>
  <c r="C315" i="25"/>
  <c r="B315" i="25"/>
  <c r="F314" i="25"/>
  <c r="D314" i="25"/>
  <c r="C314" i="25"/>
  <c r="B314" i="25"/>
  <c r="F313" i="25"/>
  <c r="D313" i="25"/>
  <c r="C313" i="25"/>
  <c r="B313" i="25"/>
  <c r="F312" i="25"/>
  <c r="D312" i="25"/>
  <c r="C312" i="25"/>
  <c r="B312" i="25"/>
  <c r="F311" i="25"/>
  <c r="D311" i="25"/>
  <c r="C311" i="25"/>
  <c r="B311" i="25"/>
  <c r="F310" i="25"/>
  <c r="D310" i="25"/>
  <c r="C310" i="25"/>
  <c r="B310" i="25"/>
  <c r="F309" i="25"/>
  <c r="D309" i="25"/>
  <c r="C309" i="25"/>
  <c r="B309" i="25"/>
  <c r="F308" i="25"/>
  <c r="D308" i="25"/>
  <c r="C308" i="25"/>
  <c r="B308" i="25"/>
  <c r="F307" i="25"/>
  <c r="D307" i="25"/>
  <c r="C307" i="25"/>
  <c r="B307" i="25"/>
  <c r="F306" i="25"/>
  <c r="D306" i="25"/>
  <c r="C306" i="25"/>
  <c r="B306" i="25"/>
  <c r="F305" i="25"/>
  <c r="D305" i="25"/>
  <c r="C305" i="25"/>
  <c r="B305" i="25"/>
  <c r="F304" i="25"/>
  <c r="D304" i="25"/>
  <c r="C304" i="25"/>
  <c r="B304" i="25"/>
  <c r="F303" i="25"/>
  <c r="D303" i="25"/>
  <c r="C303" i="25"/>
  <c r="B303" i="25"/>
  <c r="F302" i="25"/>
  <c r="D302" i="25"/>
  <c r="C302" i="25"/>
  <c r="B302" i="25"/>
  <c r="F301" i="25"/>
  <c r="D301" i="25"/>
  <c r="C301" i="25"/>
  <c r="B301" i="25"/>
  <c r="F300" i="25"/>
  <c r="D300" i="25"/>
  <c r="C300" i="25"/>
  <c r="B300" i="25"/>
  <c r="F299" i="25"/>
  <c r="D299" i="25"/>
  <c r="C299" i="25"/>
  <c r="B299" i="25"/>
  <c r="F298" i="25"/>
  <c r="D298" i="25"/>
  <c r="C298" i="25"/>
  <c r="B298" i="25"/>
  <c r="F297" i="25"/>
  <c r="D297" i="25"/>
  <c r="C297" i="25"/>
  <c r="B297" i="25"/>
  <c r="F296" i="25"/>
  <c r="D296" i="25"/>
  <c r="C296" i="25"/>
  <c r="B296" i="25"/>
  <c r="F295" i="25"/>
  <c r="D295" i="25"/>
  <c r="C295" i="25"/>
  <c r="B295" i="25"/>
  <c r="F294" i="25"/>
  <c r="D294" i="25"/>
  <c r="C294" i="25"/>
  <c r="B294" i="25"/>
  <c r="F293" i="25"/>
  <c r="D293" i="25"/>
  <c r="C293" i="25"/>
  <c r="B293" i="25"/>
  <c r="F292" i="25"/>
  <c r="D292" i="25"/>
  <c r="C292" i="25"/>
  <c r="B292" i="25"/>
  <c r="F291" i="25"/>
  <c r="D291" i="25"/>
  <c r="C291" i="25"/>
  <c r="B291" i="25"/>
  <c r="F290" i="25"/>
  <c r="D290" i="25"/>
  <c r="C290" i="25"/>
  <c r="B290" i="25"/>
  <c r="F289" i="25"/>
  <c r="D289" i="25"/>
  <c r="C289" i="25"/>
  <c r="B289" i="25"/>
  <c r="F288" i="25"/>
  <c r="D288" i="25"/>
  <c r="C288" i="25"/>
  <c r="B288" i="25"/>
  <c r="F287" i="25"/>
  <c r="D287" i="25"/>
  <c r="C287" i="25"/>
  <c r="B287" i="25"/>
  <c r="F286" i="25"/>
  <c r="D286" i="25"/>
  <c r="C286" i="25"/>
  <c r="B286" i="25"/>
  <c r="F285" i="25"/>
  <c r="D285" i="25"/>
  <c r="C285" i="25"/>
  <c r="B285" i="25"/>
  <c r="F284" i="25"/>
  <c r="D284" i="25"/>
  <c r="C284" i="25"/>
  <c r="B284" i="25"/>
  <c r="F283" i="25"/>
  <c r="D283" i="25"/>
  <c r="C283" i="25"/>
  <c r="B283" i="25"/>
  <c r="F282" i="25"/>
  <c r="D282" i="25"/>
  <c r="C282" i="25"/>
  <c r="B282" i="25"/>
  <c r="F281" i="25"/>
  <c r="D281" i="25"/>
  <c r="C281" i="25"/>
  <c r="B281" i="25"/>
  <c r="F280" i="25"/>
  <c r="D280" i="25"/>
  <c r="C280" i="25"/>
  <c r="B280" i="25"/>
  <c r="F279" i="25"/>
  <c r="D279" i="25"/>
  <c r="C279" i="25"/>
  <c r="B279" i="25"/>
  <c r="F278" i="25"/>
  <c r="D278" i="25"/>
  <c r="C278" i="25"/>
  <c r="B278" i="25"/>
  <c r="F277" i="25"/>
  <c r="D277" i="25"/>
  <c r="C277" i="25"/>
  <c r="B277" i="25"/>
  <c r="F276" i="25"/>
  <c r="D276" i="25"/>
  <c r="C276" i="25"/>
  <c r="B276" i="25"/>
  <c r="F275" i="25"/>
  <c r="D275" i="25"/>
  <c r="C275" i="25"/>
  <c r="B275" i="25"/>
  <c r="F274" i="25"/>
  <c r="D274" i="25"/>
  <c r="C274" i="25"/>
  <c r="B274" i="25"/>
  <c r="F273" i="25"/>
  <c r="D273" i="25"/>
  <c r="C273" i="25"/>
  <c r="B273" i="25"/>
  <c r="F272" i="25"/>
  <c r="D272" i="25"/>
  <c r="C272" i="25"/>
  <c r="B272" i="25"/>
  <c r="F271" i="25"/>
  <c r="D271" i="25"/>
  <c r="C271" i="25"/>
  <c r="B271" i="25"/>
  <c r="F270" i="25"/>
  <c r="D270" i="25"/>
  <c r="C270" i="25"/>
  <c r="B270" i="25"/>
  <c r="F269" i="25"/>
  <c r="D269" i="25"/>
  <c r="C269" i="25"/>
  <c r="B269" i="25"/>
  <c r="F268" i="25"/>
  <c r="D268" i="25"/>
  <c r="C268" i="25"/>
  <c r="B268" i="25"/>
  <c r="F267" i="25"/>
  <c r="D267" i="25"/>
  <c r="C267" i="25"/>
  <c r="B267" i="25"/>
  <c r="F266" i="25"/>
  <c r="D266" i="25"/>
  <c r="C266" i="25"/>
  <c r="B266" i="25"/>
  <c r="F265" i="25"/>
  <c r="D265" i="25"/>
  <c r="C265" i="25"/>
  <c r="B265" i="25"/>
  <c r="F264" i="25"/>
  <c r="D264" i="25"/>
  <c r="C264" i="25"/>
  <c r="B264" i="25"/>
  <c r="F263" i="25"/>
  <c r="D263" i="25"/>
  <c r="C263" i="25"/>
  <c r="B263" i="25"/>
  <c r="F262" i="25"/>
  <c r="D262" i="25"/>
  <c r="C262" i="25"/>
  <c r="B262" i="25"/>
  <c r="F261" i="25"/>
  <c r="D261" i="25"/>
  <c r="C261" i="25"/>
  <c r="B261" i="25"/>
  <c r="F260" i="25"/>
  <c r="D260" i="25"/>
  <c r="C260" i="25"/>
  <c r="B260" i="25"/>
  <c r="F259" i="25"/>
  <c r="D259" i="25"/>
  <c r="C259" i="25"/>
  <c r="B259" i="25"/>
  <c r="F258" i="25"/>
  <c r="D258" i="25"/>
  <c r="C258" i="25"/>
  <c r="B258" i="25"/>
  <c r="F257" i="25"/>
  <c r="D257" i="25"/>
  <c r="C257" i="25"/>
  <c r="B257" i="25"/>
  <c r="F256" i="25"/>
  <c r="D256" i="25"/>
  <c r="C256" i="25"/>
  <c r="B256" i="25"/>
  <c r="F255" i="25"/>
  <c r="D255" i="25"/>
  <c r="C255" i="25"/>
  <c r="B255" i="25"/>
  <c r="F254" i="25"/>
  <c r="D254" i="25"/>
  <c r="C254" i="25"/>
  <c r="B254" i="25"/>
  <c r="F253" i="25"/>
  <c r="D253" i="25"/>
  <c r="C253" i="25"/>
  <c r="B253" i="25"/>
  <c r="F252" i="25"/>
  <c r="D252" i="25"/>
  <c r="C252" i="25"/>
  <c r="B252" i="25"/>
  <c r="F251" i="25"/>
  <c r="D251" i="25"/>
  <c r="C251" i="25"/>
  <c r="B251" i="25"/>
  <c r="F250" i="25"/>
  <c r="D250" i="25"/>
  <c r="C250" i="25"/>
  <c r="B250" i="25"/>
  <c r="F249" i="25"/>
  <c r="D249" i="25"/>
  <c r="C249" i="25"/>
  <c r="B249" i="25"/>
  <c r="F248" i="25"/>
  <c r="D248" i="25"/>
  <c r="C248" i="25"/>
  <c r="B248" i="25"/>
  <c r="F247" i="25"/>
  <c r="D247" i="25"/>
  <c r="C247" i="25"/>
  <c r="B247" i="25"/>
  <c r="F246" i="25"/>
  <c r="D246" i="25"/>
  <c r="C246" i="25"/>
  <c r="B246" i="25"/>
  <c r="F245" i="25"/>
  <c r="D245" i="25"/>
  <c r="C245" i="25"/>
  <c r="B245" i="25"/>
  <c r="F244" i="25"/>
  <c r="D244" i="25"/>
  <c r="C244" i="25"/>
  <c r="B244" i="25"/>
  <c r="F243" i="25"/>
  <c r="D243" i="25"/>
  <c r="C243" i="25"/>
  <c r="B243" i="25"/>
  <c r="F242" i="25"/>
  <c r="D242" i="25"/>
  <c r="C242" i="25"/>
  <c r="B242" i="25"/>
  <c r="F241" i="25"/>
  <c r="D241" i="25"/>
  <c r="C241" i="25"/>
  <c r="B241" i="25"/>
  <c r="F240" i="25"/>
  <c r="D240" i="25"/>
  <c r="C240" i="25"/>
  <c r="B240" i="25"/>
  <c r="F239" i="25"/>
  <c r="D239" i="25"/>
  <c r="C239" i="25"/>
  <c r="B239" i="25"/>
  <c r="F238" i="25"/>
  <c r="D238" i="25"/>
  <c r="C238" i="25"/>
  <c r="B238" i="25"/>
  <c r="F237" i="25"/>
  <c r="D237" i="25"/>
  <c r="C237" i="25"/>
  <c r="B237" i="25"/>
  <c r="F236" i="25"/>
  <c r="D236" i="25"/>
  <c r="C236" i="25"/>
  <c r="B236" i="25"/>
  <c r="F235" i="25"/>
  <c r="D235" i="25"/>
  <c r="C235" i="25"/>
  <c r="B235" i="25"/>
  <c r="F234" i="25"/>
  <c r="D234" i="25"/>
  <c r="C234" i="25"/>
  <c r="B234" i="25"/>
  <c r="F233" i="25"/>
  <c r="D233" i="25"/>
  <c r="C233" i="25"/>
  <c r="B233" i="25"/>
  <c r="F232" i="25"/>
  <c r="D232" i="25"/>
  <c r="C232" i="25"/>
  <c r="B232" i="25"/>
  <c r="F231" i="25"/>
  <c r="D231" i="25"/>
  <c r="C231" i="25"/>
  <c r="B231" i="25"/>
  <c r="F230" i="25"/>
  <c r="D230" i="25"/>
  <c r="C230" i="25"/>
  <c r="B230" i="25"/>
  <c r="F229" i="25"/>
  <c r="D229" i="25"/>
  <c r="C229" i="25"/>
  <c r="B229" i="25"/>
  <c r="F228" i="25"/>
  <c r="D228" i="25"/>
  <c r="C228" i="25"/>
  <c r="B228" i="25"/>
  <c r="F227" i="25"/>
  <c r="D227" i="25"/>
  <c r="C227" i="25"/>
  <c r="B227" i="25"/>
  <c r="F226" i="25"/>
  <c r="D226" i="25"/>
  <c r="C226" i="25"/>
  <c r="B226" i="25"/>
  <c r="F225" i="25"/>
  <c r="D225" i="25"/>
  <c r="C225" i="25"/>
  <c r="B225" i="25"/>
  <c r="F224" i="25"/>
  <c r="D224" i="25"/>
  <c r="C224" i="25"/>
  <c r="B224" i="25"/>
  <c r="F223" i="25"/>
  <c r="D223" i="25"/>
  <c r="C223" i="25"/>
  <c r="B223" i="25"/>
  <c r="F222" i="25"/>
  <c r="D222" i="25"/>
  <c r="C222" i="25"/>
  <c r="B222" i="25"/>
  <c r="F221" i="25"/>
  <c r="D221" i="25"/>
  <c r="C221" i="25"/>
  <c r="B221" i="25"/>
  <c r="F220" i="25"/>
  <c r="D220" i="25"/>
  <c r="C220" i="25"/>
  <c r="B220" i="25"/>
  <c r="F219" i="25"/>
  <c r="D219" i="25"/>
  <c r="C219" i="25"/>
  <c r="B219" i="25"/>
  <c r="F218" i="25"/>
  <c r="D218" i="25"/>
  <c r="C218" i="25"/>
  <c r="B218" i="25"/>
  <c r="F217" i="25"/>
  <c r="D217" i="25"/>
  <c r="C217" i="25"/>
  <c r="B217" i="25"/>
  <c r="F216" i="25"/>
  <c r="D216" i="25"/>
  <c r="C216" i="25"/>
  <c r="B216" i="25"/>
  <c r="F215" i="25"/>
  <c r="D215" i="25"/>
  <c r="C215" i="25"/>
  <c r="B215" i="25"/>
  <c r="F214" i="25"/>
  <c r="D214" i="25"/>
  <c r="C214" i="25"/>
  <c r="B214" i="25"/>
  <c r="F213" i="25"/>
  <c r="D213" i="25"/>
  <c r="C213" i="25"/>
  <c r="B213" i="25"/>
  <c r="F212" i="25"/>
  <c r="D212" i="25"/>
  <c r="C212" i="25"/>
  <c r="B212" i="25"/>
  <c r="F211" i="25"/>
  <c r="D211" i="25"/>
  <c r="C211" i="25"/>
  <c r="B211" i="25"/>
  <c r="F210" i="25"/>
  <c r="D210" i="25"/>
  <c r="C210" i="25"/>
  <c r="B210" i="25"/>
  <c r="F209" i="25"/>
  <c r="D209" i="25"/>
  <c r="C209" i="25"/>
  <c r="B209" i="25"/>
  <c r="F208" i="25"/>
  <c r="D208" i="25"/>
  <c r="C208" i="25"/>
  <c r="B208" i="25"/>
  <c r="F207" i="25"/>
  <c r="D207" i="25"/>
  <c r="C207" i="25"/>
  <c r="B207" i="25"/>
  <c r="F206" i="25"/>
  <c r="D206" i="25"/>
  <c r="C206" i="25"/>
  <c r="B206" i="25"/>
  <c r="F205" i="25"/>
  <c r="D205" i="25"/>
  <c r="C205" i="25"/>
  <c r="B205" i="25"/>
  <c r="F204" i="25"/>
  <c r="D204" i="25"/>
  <c r="C204" i="25"/>
  <c r="B204" i="25"/>
  <c r="F203" i="25"/>
  <c r="D203" i="25"/>
  <c r="C203" i="25"/>
  <c r="B203" i="25"/>
  <c r="F202" i="25"/>
  <c r="D202" i="25"/>
  <c r="C202" i="25"/>
  <c r="B202" i="25"/>
  <c r="F201" i="25"/>
  <c r="D201" i="25"/>
  <c r="C201" i="25"/>
  <c r="B201" i="25"/>
  <c r="F200" i="25"/>
  <c r="D200" i="25"/>
  <c r="C200" i="25"/>
  <c r="B200" i="25"/>
  <c r="F199" i="25"/>
  <c r="D199" i="25"/>
  <c r="C199" i="25"/>
  <c r="B199" i="25"/>
  <c r="F198" i="25"/>
  <c r="D198" i="25"/>
  <c r="C198" i="25"/>
  <c r="B198" i="25"/>
  <c r="F197" i="25"/>
  <c r="D197" i="25"/>
  <c r="C197" i="25"/>
  <c r="B197" i="25"/>
  <c r="F196" i="25"/>
  <c r="D196" i="25"/>
  <c r="C196" i="25"/>
  <c r="B196" i="25"/>
  <c r="F195" i="25"/>
  <c r="D195" i="25"/>
  <c r="C195" i="25"/>
  <c r="B195" i="25"/>
  <c r="F194" i="25"/>
  <c r="D194" i="25"/>
  <c r="C194" i="25"/>
  <c r="B194" i="25"/>
  <c r="F193" i="25"/>
  <c r="D193" i="25"/>
  <c r="C193" i="25"/>
  <c r="B193" i="25"/>
  <c r="F192" i="25"/>
  <c r="D192" i="25"/>
  <c r="C192" i="25"/>
  <c r="B192" i="25"/>
  <c r="F191" i="25"/>
  <c r="D191" i="25"/>
  <c r="C191" i="25"/>
  <c r="B191" i="25"/>
  <c r="F190" i="25"/>
  <c r="D190" i="25"/>
  <c r="C190" i="25"/>
  <c r="B190" i="25"/>
  <c r="F189" i="25"/>
  <c r="D189" i="25"/>
  <c r="C189" i="25"/>
  <c r="B189" i="25"/>
  <c r="F188" i="25"/>
  <c r="D188" i="25"/>
  <c r="C188" i="25"/>
  <c r="B188" i="25"/>
  <c r="F187" i="25"/>
  <c r="D187" i="25"/>
  <c r="C187" i="25"/>
  <c r="B187" i="25"/>
  <c r="F186" i="25"/>
  <c r="D186" i="25"/>
  <c r="C186" i="25"/>
  <c r="B186" i="25"/>
  <c r="F185" i="25"/>
  <c r="D185" i="25"/>
  <c r="C185" i="25"/>
  <c r="B185" i="25"/>
  <c r="F184" i="25"/>
  <c r="D184" i="25"/>
  <c r="C184" i="25"/>
  <c r="B184" i="25"/>
  <c r="F183" i="25"/>
  <c r="D183" i="25"/>
  <c r="C183" i="25"/>
  <c r="B183" i="25"/>
  <c r="F182" i="25"/>
  <c r="D182" i="25"/>
  <c r="C182" i="25"/>
  <c r="B182" i="25"/>
  <c r="F181" i="25"/>
  <c r="D181" i="25"/>
  <c r="C181" i="25"/>
  <c r="B181" i="25"/>
  <c r="F180" i="25"/>
  <c r="D180" i="25"/>
  <c r="C180" i="25"/>
  <c r="B180" i="25"/>
  <c r="F179" i="25"/>
  <c r="D179" i="25"/>
  <c r="C179" i="25"/>
  <c r="B179" i="25"/>
  <c r="F178" i="25"/>
  <c r="D178" i="25"/>
  <c r="C178" i="25"/>
  <c r="B178" i="25"/>
  <c r="F177" i="25"/>
  <c r="D177" i="25"/>
  <c r="C177" i="25"/>
  <c r="B177" i="25"/>
  <c r="F176" i="25"/>
  <c r="D176" i="25"/>
  <c r="C176" i="25"/>
  <c r="B176" i="25"/>
  <c r="F175" i="25"/>
  <c r="D175" i="25"/>
  <c r="C175" i="25"/>
  <c r="B175" i="25"/>
  <c r="F174" i="25"/>
  <c r="D174" i="25"/>
  <c r="C174" i="25"/>
  <c r="B174" i="25"/>
  <c r="F173" i="25"/>
  <c r="D173" i="25"/>
  <c r="C173" i="25"/>
  <c r="B173" i="25"/>
  <c r="F172" i="25"/>
  <c r="D172" i="25"/>
  <c r="C172" i="25"/>
  <c r="B172" i="25"/>
  <c r="F171" i="25"/>
  <c r="D171" i="25"/>
  <c r="C171" i="25"/>
  <c r="B171" i="25"/>
  <c r="F170" i="25"/>
  <c r="D170" i="25"/>
  <c r="C170" i="25"/>
  <c r="B170" i="25"/>
  <c r="F169" i="25"/>
  <c r="D169" i="25"/>
  <c r="C169" i="25"/>
  <c r="B169" i="25"/>
  <c r="F168" i="25"/>
  <c r="D168" i="25"/>
  <c r="C168" i="25"/>
  <c r="B168" i="25"/>
  <c r="F167" i="25"/>
  <c r="D167" i="25"/>
  <c r="C167" i="25"/>
  <c r="B167" i="25"/>
  <c r="F166" i="25"/>
  <c r="D166" i="25"/>
  <c r="C166" i="25"/>
  <c r="B166" i="25"/>
  <c r="F165" i="25"/>
  <c r="D165" i="25"/>
  <c r="C165" i="25"/>
  <c r="B165" i="25"/>
  <c r="F164" i="25"/>
  <c r="D164" i="25"/>
  <c r="C164" i="25"/>
  <c r="B164" i="25"/>
  <c r="F163" i="25"/>
  <c r="D163" i="25"/>
  <c r="C163" i="25"/>
  <c r="B163" i="25"/>
  <c r="F162" i="25"/>
  <c r="D162" i="25"/>
  <c r="C162" i="25"/>
  <c r="B162" i="25"/>
  <c r="F161" i="25"/>
  <c r="D161" i="25"/>
  <c r="C161" i="25"/>
  <c r="B161" i="25"/>
  <c r="F160" i="25"/>
  <c r="D160" i="25"/>
  <c r="C160" i="25"/>
  <c r="B160" i="25"/>
  <c r="F159" i="25"/>
  <c r="D159" i="25"/>
  <c r="C159" i="25"/>
  <c r="B159" i="25"/>
  <c r="F158" i="25"/>
  <c r="D158" i="25"/>
  <c r="C158" i="25"/>
  <c r="B158" i="25"/>
  <c r="F157" i="25"/>
  <c r="D157" i="25"/>
  <c r="C157" i="25"/>
  <c r="B157" i="25"/>
  <c r="F156" i="25"/>
  <c r="D156" i="25"/>
  <c r="C156" i="25"/>
  <c r="B156" i="25"/>
  <c r="F155" i="25"/>
  <c r="D155" i="25"/>
  <c r="C155" i="25"/>
  <c r="B155" i="25"/>
  <c r="F154" i="25"/>
  <c r="D154" i="25"/>
  <c r="C154" i="25"/>
  <c r="B154" i="25"/>
  <c r="F153" i="25"/>
  <c r="D153" i="25"/>
  <c r="C153" i="25"/>
  <c r="B153" i="25"/>
  <c r="F152" i="25"/>
  <c r="D152" i="25"/>
  <c r="C152" i="25"/>
  <c r="B152" i="25"/>
  <c r="F151" i="25"/>
  <c r="D151" i="25"/>
  <c r="C151" i="25"/>
  <c r="B151" i="25"/>
  <c r="F150" i="25"/>
  <c r="D150" i="25"/>
  <c r="C150" i="25"/>
  <c r="B150" i="25"/>
  <c r="F149" i="25"/>
  <c r="D149" i="25"/>
  <c r="C149" i="25"/>
  <c r="B149" i="25"/>
  <c r="F148" i="25"/>
  <c r="D148" i="25"/>
  <c r="C148" i="25"/>
  <c r="B148" i="25"/>
  <c r="F147" i="25"/>
  <c r="D147" i="25"/>
  <c r="C147" i="25"/>
  <c r="B147" i="25"/>
  <c r="F146" i="25"/>
  <c r="D146" i="25"/>
  <c r="C146" i="25"/>
  <c r="B146" i="25"/>
  <c r="F145" i="25"/>
  <c r="D145" i="25"/>
  <c r="C145" i="25"/>
  <c r="B145" i="25"/>
  <c r="F144" i="25"/>
  <c r="D144" i="25"/>
  <c r="C144" i="25"/>
  <c r="B144" i="25"/>
  <c r="F143" i="25"/>
  <c r="D143" i="25"/>
  <c r="C143" i="25"/>
  <c r="B143" i="25"/>
  <c r="F142" i="25"/>
  <c r="D142" i="25"/>
  <c r="C142" i="25"/>
  <c r="B142" i="25"/>
  <c r="F141" i="25"/>
  <c r="D141" i="25"/>
  <c r="C141" i="25"/>
  <c r="B141" i="25"/>
  <c r="F140" i="25"/>
  <c r="D140" i="25"/>
  <c r="C140" i="25"/>
  <c r="B140" i="25"/>
  <c r="F139" i="25"/>
  <c r="D139" i="25"/>
  <c r="C139" i="25"/>
  <c r="B139" i="25"/>
  <c r="F138" i="25"/>
  <c r="D138" i="25"/>
  <c r="C138" i="25"/>
  <c r="B138" i="25"/>
  <c r="F137" i="25"/>
  <c r="D137" i="25"/>
  <c r="C137" i="25"/>
  <c r="B137" i="25"/>
  <c r="F136" i="25"/>
  <c r="D136" i="25"/>
  <c r="C136" i="25"/>
  <c r="B136" i="25"/>
  <c r="F135" i="25"/>
  <c r="D135" i="25"/>
  <c r="C135" i="25"/>
  <c r="B135" i="25"/>
  <c r="F134" i="25"/>
  <c r="D134" i="25"/>
  <c r="C134" i="25"/>
  <c r="B134" i="25"/>
  <c r="F133" i="25"/>
  <c r="D133" i="25"/>
  <c r="C133" i="25"/>
  <c r="B133" i="25"/>
  <c r="F132" i="25"/>
  <c r="D132" i="25"/>
  <c r="C132" i="25"/>
  <c r="B132" i="25"/>
  <c r="F131" i="25"/>
  <c r="D131" i="25"/>
  <c r="C131" i="25"/>
  <c r="B131" i="25"/>
  <c r="F130" i="25"/>
  <c r="D130" i="25"/>
  <c r="C130" i="25"/>
  <c r="B130" i="25"/>
  <c r="F129" i="25"/>
  <c r="D129" i="25"/>
  <c r="C129" i="25"/>
  <c r="B129" i="25"/>
  <c r="F128" i="25"/>
  <c r="D128" i="25"/>
  <c r="C128" i="25"/>
  <c r="B128" i="25"/>
  <c r="F127" i="25"/>
  <c r="D127" i="25"/>
  <c r="C127" i="25"/>
  <c r="B127" i="25"/>
  <c r="F126" i="25"/>
  <c r="D126" i="25"/>
  <c r="C126" i="25"/>
  <c r="B126" i="25"/>
  <c r="F125" i="25"/>
  <c r="D125" i="25"/>
  <c r="C125" i="25"/>
  <c r="B125" i="25"/>
  <c r="F124" i="25"/>
  <c r="D124" i="25"/>
  <c r="C124" i="25"/>
  <c r="B124" i="25"/>
  <c r="F123" i="25"/>
  <c r="D123" i="25"/>
  <c r="C123" i="25"/>
  <c r="B123" i="25"/>
  <c r="F122" i="25"/>
  <c r="D122" i="25"/>
  <c r="C122" i="25"/>
  <c r="B122" i="25"/>
  <c r="F121" i="25"/>
  <c r="D121" i="25"/>
  <c r="C121" i="25"/>
  <c r="B121" i="25"/>
  <c r="F120" i="25"/>
  <c r="D120" i="25"/>
  <c r="C120" i="25"/>
  <c r="B120" i="25"/>
  <c r="F119" i="25"/>
  <c r="D119" i="25"/>
  <c r="C119" i="25"/>
  <c r="B119" i="25"/>
  <c r="F118" i="25"/>
  <c r="D118" i="25"/>
  <c r="C118" i="25"/>
  <c r="B118" i="25"/>
  <c r="F117" i="25"/>
  <c r="D117" i="25"/>
  <c r="C117" i="25"/>
  <c r="B117" i="25"/>
  <c r="F116" i="25"/>
  <c r="D116" i="25"/>
  <c r="C116" i="25"/>
  <c r="B116" i="25"/>
  <c r="F115" i="25"/>
  <c r="D115" i="25"/>
  <c r="C115" i="25"/>
  <c r="B115" i="25"/>
  <c r="F114" i="25"/>
  <c r="D114" i="25"/>
  <c r="C114" i="25"/>
  <c r="B114" i="25"/>
  <c r="F113" i="25"/>
  <c r="D113" i="25"/>
  <c r="C113" i="25"/>
  <c r="B113" i="25"/>
  <c r="F112" i="25"/>
  <c r="D112" i="25"/>
  <c r="C112" i="25"/>
  <c r="B112" i="25"/>
  <c r="F111" i="25"/>
  <c r="D111" i="25"/>
  <c r="C111" i="25"/>
  <c r="B111" i="25"/>
  <c r="F110" i="25"/>
  <c r="D110" i="25"/>
  <c r="C110" i="25"/>
  <c r="B110" i="25"/>
  <c r="F109" i="25"/>
  <c r="D109" i="25"/>
  <c r="C109" i="25"/>
  <c r="B109" i="25"/>
  <c r="F108" i="25"/>
  <c r="D108" i="25"/>
  <c r="C108" i="25"/>
  <c r="B108" i="25"/>
  <c r="F107" i="25"/>
  <c r="D107" i="25"/>
  <c r="C107" i="25"/>
  <c r="B107" i="25"/>
  <c r="F106" i="25"/>
  <c r="D106" i="25"/>
  <c r="C106" i="25"/>
  <c r="B106" i="25"/>
  <c r="F105" i="25"/>
  <c r="D105" i="25"/>
  <c r="C105" i="25"/>
  <c r="B105" i="25"/>
  <c r="F104" i="25"/>
  <c r="D104" i="25"/>
  <c r="C104" i="25"/>
  <c r="B104" i="25"/>
  <c r="F103" i="25"/>
  <c r="D103" i="25"/>
  <c r="C103" i="25"/>
  <c r="B103" i="25"/>
  <c r="F102" i="25"/>
  <c r="D102" i="25"/>
  <c r="C102" i="25"/>
  <c r="B102" i="25"/>
  <c r="F101" i="25"/>
  <c r="D101" i="25"/>
  <c r="C101" i="25"/>
  <c r="B101" i="25"/>
  <c r="F100" i="25"/>
  <c r="D100" i="25"/>
  <c r="C100" i="25"/>
  <c r="B100" i="25"/>
  <c r="F99" i="25"/>
  <c r="D99" i="25"/>
  <c r="C99" i="25"/>
  <c r="B99" i="25"/>
  <c r="F98" i="25"/>
  <c r="D98" i="25"/>
  <c r="C98" i="25"/>
  <c r="B98" i="25"/>
  <c r="F97" i="25"/>
  <c r="D97" i="25"/>
  <c r="C97" i="25"/>
  <c r="B97" i="25"/>
  <c r="F96" i="25"/>
  <c r="D96" i="25"/>
  <c r="C96" i="25"/>
  <c r="B96" i="25"/>
  <c r="F95" i="25"/>
  <c r="D95" i="25"/>
  <c r="C95" i="25"/>
  <c r="B95" i="25"/>
  <c r="F94" i="25"/>
  <c r="D94" i="25"/>
  <c r="C94" i="25"/>
  <c r="B94" i="25"/>
  <c r="F93" i="25"/>
  <c r="D93" i="25"/>
  <c r="C93" i="25"/>
  <c r="B93" i="25"/>
  <c r="F92" i="25"/>
  <c r="D92" i="25"/>
  <c r="C92" i="25"/>
  <c r="B92" i="25"/>
  <c r="F91" i="25"/>
  <c r="D91" i="25"/>
  <c r="C91" i="25"/>
  <c r="B91" i="25"/>
  <c r="F90" i="25"/>
  <c r="D90" i="25"/>
  <c r="C90" i="25"/>
  <c r="B90" i="25"/>
  <c r="F89" i="25"/>
  <c r="D89" i="25"/>
  <c r="C89" i="25"/>
  <c r="B89" i="25"/>
  <c r="F88" i="25"/>
  <c r="D88" i="25"/>
  <c r="C88" i="25"/>
  <c r="B88" i="25"/>
  <c r="F87" i="25"/>
  <c r="D87" i="25"/>
  <c r="C87" i="25"/>
  <c r="B87" i="25"/>
  <c r="F86" i="25"/>
  <c r="D86" i="25"/>
  <c r="C86" i="25"/>
  <c r="B86" i="25"/>
  <c r="F85" i="25"/>
  <c r="D85" i="25"/>
  <c r="C85" i="25"/>
  <c r="B85" i="25"/>
  <c r="F84" i="25"/>
  <c r="D84" i="25"/>
  <c r="C84" i="25"/>
  <c r="B84" i="25"/>
  <c r="F83" i="25"/>
  <c r="D83" i="25"/>
  <c r="C83" i="25"/>
  <c r="B83" i="25"/>
  <c r="F82" i="25"/>
  <c r="D82" i="25"/>
  <c r="C82" i="25"/>
  <c r="B82" i="25"/>
  <c r="F81" i="25"/>
  <c r="D81" i="25"/>
  <c r="C81" i="25"/>
  <c r="B81" i="25"/>
  <c r="F80" i="25"/>
  <c r="D80" i="25"/>
  <c r="C80" i="25"/>
  <c r="B80" i="25"/>
  <c r="F79" i="25"/>
  <c r="D79" i="25"/>
  <c r="C79" i="25"/>
  <c r="B79" i="25"/>
  <c r="F78" i="25"/>
  <c r="D78" i="25"/>
  <c r="C78" i="25"/>
  <c r="B78" i="25"/>
  <c r="F77" i="25"/>
  <c r="D77" i="25"/>
  <c r="C77" i="25"/>
  <c r="B77" i="25"/>
  <c r="F76" i="25"/>
  <c r="D76" i="25"/>
  <c r="C76" i="25"/>
  <c r="B76" i="25"/>
  <c r="F75" i="25"/>
  <c r="D75" i="25"/>
  <c r="C75" i="25"/>
  <c r="B75" i="25"/>
  <c r="F74" i="25"/>
  <c r="D74" i="25"/>
  <c r="C74" i="25"/>
  <c r="B74" i="25"/>
  <c r="F73" i="25"/>
  <c r="D73" i="25"/>
  <c r="C73" i="25"/>
  <c r="B73" i="25"/>
  <c r="F72" i="25"/>
  <c r="D72" i="25"/>
  <c r="C72" i="25"/>
  <c r="B72" i="25"/>
  <c r="F71" i="25"/>
  <c r="D71" i="25"/>
  <c r="C71" i="25"/>
  <c r="B71" i="25"/>
  <c r="F70" i="25"/>
  <c r="D70" i="25"/>
  <c r="C70" i="25"/>
  <c r="B70" i="25"/>
  <c r="F69" i="25"/>
  <c r="D69" i="25"/>
  <c r="C69" i="25"/>
  <c r="B69" i="25"/>
  <c r="F68" i="25"/>
  <c r="D68" i="25"/>
  <c r="C68" i="25"/>
  <c r="B68" i="25"/>
  <c r="F67" i="25"/>
  <c r="D67" i="25"/>
  <c r="C67" i="25"/>
  <c r="B67" i="25"/>
  <c r="F66" i="25"/>
  <c r="D66" i="25"/>
  <c r="C66" i="25"/>
  <c r="B66" i="25"/>
  <c r="F65" i="25"/>
  <c r="D65" i="25"/>
  <c r="C65" i="25"/>
  <c r="B65" i="25"/>
  <c r="F64" i="25"/>
  <c r="D64" i="25"/>
  <c r="C64" i="25"/>
  <c r="B64" i="25"/>
  <c r="F63" i="25"/>
  <c r="D63" i="25"/>
  <c r="C63" i="25"/>
  <c r="B63" i="25"/>
  <c r="F62" i="25"/>
  <c r="D62" i="25"/>
  <c r="C62" i="25"/>
  <c r="B62" i="25"/>
  <c r="F61" i="25"/>
  <c r="D61" i="25"/>
  <c r="C61" i="25"/>
  <c r="B61" i="25"/>
  <c r="F60" i="25"/>
  <c r="D60" i="25"/>
  <c r="C60" i="25"/>
  <c r="B60" i="25"/>
  <c r="F59" i="25"/>
  <c r="D59" i="25"/>
  <c r="C59" i="25"/>
  <c r="B59" i="25"/>
  <c r="F58" i="25"/>
  <c r="D58" i="25"/>
  <c r="C58" i="25"/>
  <c r="B58" i="25"/>
  <c r="F57" i="25"/>
  <c r="D57" i="25"/>
  <c r="C57" i="25"/>
  <c r="B57" i="25"/>
  <c r="F56" i="25"/>
  <c r="D56" i="25"/>
  <c r="C56" i="25"/>
  <c r="B56" i="25"/>
  <c r="F55" i="25"/>
  <c r="D55" i="25"/>
  <c r="C55" i="25"/>
  <c r="B55" i="25"/>
  <c r="F54" i="25"/>
  <c r="D54" i="25"/>
  <c r="C54" i="25"/>
  <c r="B54" i="25"/>
  <c r="F53" i="25"/>
  <c r="D53" i="25"/>
  <c r="C53" i="25"/>
  <c r="B53" i="25"/>
  <c r="F52" i="25"/>
  <c r="D52" i="25"/>
  <c r="C52" i="25"/>
  <c r="B52" i="25"/>
  <c r="F51" i="25"/>
  <c r="D51" i="25"/>
  <c r="C51" i="25"/>
  <c r="B51" i="25"/>
  <c r="F50" i="25"/>
  <c r="D50" i="25"/>
  <c r="C50" i="25"/>
  <c r="B50" i="25"/>
  <c r="F49" i="25"/>
  <c r="D49" i="25"/>
  <c r="C49" i="25"/>
  <c r="B49" i="25"/>
  <c r="F48" i="25"/>
  <c r="D48" i="25"/>
  <c r="C48" i="25"/>
  <c r="B48" i="25"/>
  <c r="F47" i="25"/>
  <c r="D47" i="25"/>
  <c r="C47" i="25"/>
  <c r="B47" i="25"/>
  <c r="F46" i="25"/>
  <c r="D46" i="25"/>
  <c r="C46" i="25"/>
  <c r="B46" i="25"/>
  <c r="F45" i="25"/>
  <c r="D45" i="25"/>
  <c r="C45" i="25"/>
  <c r="B45" i="25"/>
  <c r="F44" i="25"/>
  <c r="D44" i="25"/>
  <c r="C44" i="25"/>
  <c r="B44" i="25"/>
  <c r="F43" i="25"/>
  <c r="D43" i="25"/>
  <c r="C43" i="25"/>
  <c r="B43" i="25"/>
  <c r="F42" i="25"/>
  <c r="D42" i="25"/>
  <c r="C42" i="25"/>
  <c r="B42" i="25"/>
  <c r="F41" i="25"/>
  <c r="D41" i="25"/>
  <c r="C41" i="25"/>
  <c r="B41" i="25"/>
  <c r="F40" i="25"/>
  <c r="D40" i="25"/>
  <c r="C40" i="25"/>
  <c r="B40" i="25"/>
  <c r="F39" i="25"/>
  <c r="D39" i="25"/>
  <c r="C39" i="25"/>
  <c r="B39" i="25"/>
  <c r="F38" i="25"/>
  <c r="D38" i="25"/>
  <c r="C38" i="25"/>
  <c r="B38" i="25"/>
  <c r="F37" i="25"/>
  <c r="D37" i="25"/>
  <c r="C37" i="25"/>
  <c r="B37" i="25"/>
  <c r="F36" i="25"/>
  <c r="D36" i="25"/>
  <c r="C36" i="25"/>
  <c r="B36" i="25"/>
  <c r="F35" i="25"/>
  <c r="D35" i="25"/>
  <c r="C35" i="25"/>
  <c r="B35" i="25"/>
  <c r="F34" i="25"/>
  <c r="D34" i="25"/>
  <c r="C34" i="25"/>
  <c r="B34" i="25"/>
  <c r="F33" i="25"/>
  <c r="D33" i="25"/>
  <c r="C33" i="25"/>
  <c r="B33" i="25"/>
  <c r="F32" i="25"/>
  <c r="D32" i="25"/>
  <c r="C32" i="25"/>
  <c r="B32" i="25"/>
  <c r="F31" i="25"/>
  <c r="D31" i="25"/>
  <c r="C31" i="25"/>
  <c r="B31" i="25"/>
  <c r="F30" i="25"/>
  <c r="D30" i="25"/>
  <c r="C30" i="25"/>
  <c r="B30" i="25"/>
  <c r="F29" i="25"/>
  <c r="D29" i="25"/>
  <c r="C29" i="25"/>
  <c r="B29" i="25"/>
  <c r="F28" i="25"/>
  <c r="D28" i="25"/>
  <c r="C28" i="25"/>
  <c r="B28" i="25"/>
  <c r="F27" i="25"/>
  <c r="D27" i="25"/>
  <c r="C27" i="25"/>
  <c r="B27" i="25"/>
  <c r="F26" i="25"/>
  <c r="D26" i="25"/>
  <c r="C26" i="25"/>
  <c r="B26" i="25"/>
  <c r="F25" i="25"/>
  <c r="D25" i="25"/>
  <c r="C25" i="25"/>
  <c r="B25" i="25"/>
  <c r="F24" i="25"/>
  <c r="D24" i="25"/>
  <c r="C24" i="25"/>
  <c r="B24" i="25"/>
  <c r="F23" i="25"/>
  <c r="D23" i="25"/>
  <c r="C23" i="25"/>
  <c r="B23" i="25"/>
  <c r="F22" i="25"/>
  <c r="D22" i="25"/>
  <c r="C22" i="25"/>
  <c r="B22" i="25"/>
  <c r="F21" i="25"/>
  <c r="D21" i="25"/>
  <c r="C21" i="25"/>
  <c r="B21" i="25"/>
  <c r="F20" i="25"/>
  <c r="D20" i="25"/>
  <c r="C20" i="25"/>
  <c r="B20" i="25"/>
  <c r="F19" i="25"/>
  <c r="D19" i="25"/>
  <c r="C19" i="25"/>
  <c r="B19" i="25"/>
  <c r="F18" i="25"/>
  <c r="D18" i="25"/>
  <c r="C18" i="25"/>
  <c r="B18" i="25"/>
  <c r="F17" i="25"/>
  <c r="D17" i="25"/>
  <c r="C17" i="25"/>
  <c r="B17" i="25"/>
  <c r="F16" i="25"/>
  <c r="D16" i="25"/>
  <c r="C16" i="25"/>
  <c r="B16" i="25"/>
  <c r="F15" i="25"/>
  <c r="D15" i="25"/>
  <c r="C15" i="25"/>
  <c r="B15" i="25"/>
  <c r="F14" i="25"/>
  <c r="D14" i="25"/>
  <c r="C14" i="25"/>
  <c r="B14" i="25"/>
  <c r="F13" i="25"/>
  <c r="D13" i="25"/>
  <c r="C13" i="25"/>
  <c r="B13" i="25"/>
  <c r="F12" i="25"/>
  <c r="D12" i="25"/>
  <c r="C12" i="25"/>
  <c r="B12" i="25"/>
  <c r="F11" i="25"/>
  <c r="D11" i="25"/>
  <c r="C11" i="25"/>
  <c r="B11" i="25"/>
  <c r="F10" i="25"/>
  <c r="D10" i="25"/>
  <c r="C10" i="25"/>
  <c r="B10" i="25"/>
  <c r="F9" i="25"/>
  <c r="D9" i="25"/>
  <c r="C9" i="25"/>
  <c r="B9" i="25"/>
  <c r="F8" i="25"/>
  <c r="D8" i="25"/>
  <c r="C8" i="25"/>
  <c r="B8" i="25"/>
  <c r="F7" i="25"/>
  <c r="D7" i="25"/>
  <c r="C7" i="25"/>
  <c r="B7" i="25"/>
  <c r="F6" i="25"/>
  <c r="D6" i="25"/>
  <c r="C6" i="25"/>
  <c r="B6" i="25"/>
  <c r="F5" i="25"/>
  <c r="D5" i="25"/>
  <c r="C5" i="25"/>
  <c r="B5" i="25"/>
  <c r="F4" i="25"/>
  <c r="D4" i="25"/>
  <c r="C4" i="25"/>
  <c r="B4" i="25"/>
  <c r="F3" i="25"/>
  <c r="D3" i="25"/>
  <c r="C3" i="25"/>
  <c r="B3" i="25"/>
  <c r="L20" i="20"/>
  <c r="L19" i="20"/>
  <c r="C19" i="20"/>
  <c r="L18" i="20"/>
  <c r="C18" i="20"/>
  <c r="L17" i="20"/>
  <c r="C17" i="20"/>
  <c r="L16" i="20"/>
  <c r="C16" i="20"/>
  <c r="L15" i="20"/>
  <c r="C15" i="20"/>
  <c r="L14" i="20"/>
  <c r="C14" i="20"/>
  <c r="L13" i="20"/>
  <c r="C13" i="20"/>
  <c r="L12" i="20"/>
  <c r="C12" i="20"/>
  <c r="L11" i="20"/>
  <c r="C11" i="20"/>
  <c r="L10" i="20"/>
  <c r="C10" i="20"/>
  <c r="L9" i="20"/>
  <c r="C9" i="20"/>
  <c r="L8" i="20"/>
  <c r="C8" i="20"/>
  <c r="GH61" i="19"/>
  <c r="C61" i="19"/>
  <c r="B61" i="19"/>
  <c r="GH60" i="19"/>
  <c r="C60" i="19"/>
  <c r="B60" i="19"/>
  <c r="GH59" i="19"/>
  <c r="C59" i="19"/>
  <c r="B59" i="19"/>
  <c r="GH58" i="19"/>
  <c r="C58" i="19"/>
  <c r="B58" i="19"/>
  <c r="GH57" i="19"/>
  <c r="GB57" i="19"/>
  <c r="GA57" i="19"/>
  <c r="BA57" i="19"/>
  <c r="AZ57" i="19"/>
  <c r="AY57" i="19"/>
  <c r="AX57" i="19"/>
  <c r="AW57" i="19"/>
  <c r="AV57" i="19"/>
  <c r="AU57" i="19"/>
  <c r="D57" i="19"/>
  <c r="C57" i="19"/>
  <c r="A57" i="19"/>
  <c r="GH56" i="19"/>
  <c r="GB56" i="19"/>
  <c r="GA56" i="19"/>
  <c r="BA56" i="19"/>
  <c r="B56" i="19" s="1"/>
  <c r="AZ56" i="19"/>
  <c r="AY56" i="19"/>
  <c r="AX56" i="19"/>
  <c r="AW56" i="19"/>
  <c r="AV56" i="19"/>
  <c r="AU56" i="19"/>
  <c r="D56" i="19"/>
  <c r="C56" i="19"/>
  <c r="A56" i="19"/>
  <c r="GH55" i="19"/>
  <c r="GB55" i="19"/>
  <c r="GA55" i="19"/>
  <c r="BA55" i="19"/>
  <c r="AZ55" i="19"/>
  <c r="AY55" i="19"/>
  <c r="AX55" i="19"/>
  <c r="AW55" i="19"/>
  <c r="AV55" i="19"/>
  <c r="AU55" i="19"/>
  <c r="D55" i="19"/>
  <c r="C55" i="19"/>
  <c r="A55" i="19"/>
  <c r="GH54" i="19"/>
  <c r="GB54" i="19"/>
  <c r="GA54" i="19"/>
  <c r="BA54" i="19"/>
  <c r="AZ54" i="19"/>
  <c r="AY54" i="19"/>
  <c r="AX54" i="19"/>
  <c r="AW54" i="19"/>
  <c r="AV54" i="19"/>
  <c r="AU54" i="19"/>
  <c r="D54" i="19"/>
  <c r="C54" i="19"/>
  <c r="A54" i="19"/>
  <c r="GH53" i="19"/>
  <c r="GB53" i="19"/>
  <c r="GA53" i="19"/>
  <c r="B53" i="19" s="1"/>
  <c r="BA53" i="19"/>
  <c r="AZ53" i="19"/>
  <c r="AY53" i="19"/>
  <c r="AX53" i="19"/>
  <c r="AW53" i="19"/>
  <c r="AV53" i="19"/>
  <c r="AU53" i="19"/>
  <c r="D53" i="19"/>
  <c r="C53" i="19"/>
  <c r="A53" i="19"/>
  <c r="GH52" i="19"/>
  <c r="GB52" i="19"/>
  <c r="GA52" i="19"/>
  <c r="BA52" i="19"/>
  <c r="B52" i="19" s="1"/>
  <c r="AZ52" i="19"/>
  <c r="AY52" i="19"/>
  <c r="AX52" i="19"/>
  <c r="AW52" i="19"/>
  <c r="AV52" i="19"/>
  <c r="AU52" i="19"/>
  <c r="D52" i="19"/>
  <c r="C52" i="19"/>
  <c r="A52" i="19"/>
  <c r="GH51" i="19"/>
  <c r="GB51" i="19"/>
  <c r="GA51" i="19"/>
  <c r="BA51" i="19"/>
  <c r="AZ51" i="19"/>
  <c r="AY51" i="19"/>
  <c r="AX51" i="19"/>
  <c r="AW51" i="19"/>
  <c r="AV51" i="19"/>
  <c r="AU51" i="19"/>
  <c r="D51" i="19"/>
  <c r="C51" i="19"/>
  <c r="A51" i="19"/>
  <c r="GH50" i="19"/>
  <c r="GB50" i="19"/>
  <c r="GA50" i="19"/>
  <c r="BA50" i="19"/>
  <c r="AZ50" i="19"/>
  <c r="AY50" i="19"/>
  <c r="AX50" i="19"/>
  <c r="AW50" i="19"/>
  <c r="AV50" i="19"/>
  <c r="AU50" i="19"/>
  <c r="D50" i="19"/>
  <c r="C50" i="19"/>
  <c r="A50" i="19"/>
  <c r="GH49" i="19"/>
  <c r="GB49" i="19"/>
  <c r="GA49" i="19"/>
  <c r="BA49" i="19"/>
  <c r="AZ49" i="19"/>
  <c r="AY49" i="19"/>
  <c r="AX49" i="19"/>
  <c r="AW49" i="19"/>
  <c r="AV49" i="19"/>
  <c r="AU49" i="19"/>
  <c r="D49" i="19"/>
  <c r="C49" i="19"/>
  <c r="B49" i="19"/>
  <c r="A49" i="19"/>
  <c r="GH48" i="19"/>
  <c r="GB48" i="19"/>
  <c r="GA48" i="19"/>
  <c r="BA48" i="19"/>
  <c r="AZ48" i="19"/>
  <c r="AY48" i="19"/>
  <c r="AX48" i="19"/>
  <c r="AW48" i="19"/>
  <c r="AV48" i="19"/>
  <c r="AU48" i="19"/>
  <c r="D48" i="19"/>
  <c r="C48" i="19"/>
  <c r="A48" i="19"/>
  <c r="GH47" i="19"/>
  <c r="GB47" i="19"/>
  <c r="GA47" i="19"/>
  <c r="BA47" i="19"/>
  <c r="AZ47" i="19"/>
  <c r="AY47" i="19"/>
  <c r="AX47" i="19"/>
  <c r="AW47" i="19"/>
  <c r="AV47" i="19"/>
  <c r="AU47" i="19"/>
  <c r="D47" i="19"/>
  <c r="C47" i="19"/>
  <c r="A47" i="19"/>
  <c r="GH46" i="19"/>
  <c r="GB46" i="19"/>
  <c r="GA46" i="19"/>
  <c r="BA46" i="19"/>
  <c r="AZ46" i="19"/>
  <c r="AY46" i="19"/>
  <c r="AX46" i="19"/>
  <c r="AW46" i="19"/>
  <c r="AV46" i="19"/>
  <c r="AU46" i="19"/>
  <c r="D46" i="19"/>
  <c r="C46" i="19"/>
  <c r="A46" i="19"/>
  <c r="GH45" i="19"/>
  <c r="GB45" i="19"/>
  <c r="GA45" i="19"/>
  <c r="BA45" i="19"/>
  <c r="AZ45" i="19"/>
  <c r="AY45" i="19"/>
  <c r="AX45" i="19"/>
  <c r="AW45" i="19"/>
  <c r="AV45" i="19"/>
  <c r="AU45" i="19"/>
  <c r="D45" i="19"/>
  <c r="C45" i="19"/>
  <c r="A45" i="19"/>
  <c r="GH44" i="19"/>
  <c r="GB44" i="19"/>
  <c r="GA44" i="19"/>
  <c r="BA44" i="19"/>
  <c r="AZ44" i="19"/>
  <c r="AY44" i="19"/>
  <c r="AX44" i="19"/>
  <c r="AW44" i="19"/>
  <c r="AV44" i="19"/>
  <c r="AU44" i="19"/>
  <c r="D44" i="19"/>
  <c r="C44" i="19"/>
  <c r="A44" i="19"/>
  <c r="GH43" i="19"/>
  <c r="GB43" i="19"/>
  <c r="GA43" i="19"/>
  <c r="BA43" i="19"/>
  <c r="AZ43" i="19"/>
  <c r="AY43" i="19"/>
  <c r="AX43" i="19"/>
  <c r="AW43" i="19"/>
  <c r="AV43" i="19"/>
  <c r="AU43" i="19"/>
  <c r="D43" i="19"/>
  <c r="C43" i="19"/>
  <c r="A43" i="19"/>
  <c r="GH42" i="19"/>
  <c r="GB42" i="19"/>
  <c r="GA42" i="19"/>
  <c r="BA42" i="19"/>
  <c r="AZ42" i="19"/>
  <c r="AY42" i="19"/>
  <c r="AX42" i="19"/>
  <c r="AW42" i="19"/>
  <c r="AV42" i="19"/>
  <c r="AU42" i="19"/>
  <c r="D42" i="19"/>
  <c r="C42" i="19"/>
  <c r="A42" i="19"/>
  <c r="GH41" i="19"/>
  <c r="GB41" i="19"/>
  <c r="GA41" i="19"/>
  <c r="BA41" i="19"/>
  <c r="B41" i="19" s="1"/>
  <c r="AZ41" i="19"/>
  <c r="AY41" i="19"/>
  <c r="AX41" i="19"/>
  <c r="AW41" i="19"/>
  <c r="AV41" i="19"/>
  <c r="AU41" i="19"/>
  <c r="D41" i="19"/>
  <c r="C41" i="19"/>
  <c r="A41" i="19"/>
  <c r="GH40" i="19"/>
  <c r="GB40" i="19"/>
  <c r="GA40" i="19"/>
  <c r="BA40" i="19"/>
  <c r="AZ40" i="19"/>
  <c r="AY40" i="19"/>
  <c r="AX40" i="19"/>
  <c r="AW40" i="19"/>
  <c r="AV40" i="19"/>
  <c r="AU40" i="19"/>
  <c r="D40" i="19"/>
  <c r="C40" i="19"/>
  <c r="A40" i="19"/>
  <c r="GH39" i="19"/>
  <c r="GB39" i="19"/>
  <c r="GA39" i="19"/>
  <c r="BA39" i="19"/>
  <c r="B39" i="19" s="1"/>
  <c r="AZ39" i="19"/>
  <c r="AY39" i="19"/>
  <c r="AX39" i="19"/>
  <c r="AW39" i="19"/>
  <c r="AV39" i="19"/>
  <c r="AU39" i="19"/>
  <c r="D39" i="19"/>
  <c r="C39" i="19"/>
  <c r="A39" i="19"/>
  <c r="GH38" i="19"/>
  <c r="GB38" i="19"/>
  <c r="GA38" i="19"/>
  <c r="BA38" i="19"/>
  <c r="AZ38" i="19"/>
  <c r="AY38" i="19"/>
  <c r="AX38" i="19"/>
  <c r="AW38" i="19"/>
  <c r="AV38" i="19"/>
  <c r="AU38" i="19"/>
  <c r="D38" i="19"/>
  <c r="C38" i="19"/>
  <c r="A38" i="19"/>
  <c r="GH37" i="19"/>
  <c r="GB37" i="19"/>
  <c r="GA37" i="19"/>
  <c r="BA37" i="19"/>
  <c r="B37" i="19" s="1"/>
  <c r="AZ37" i="19"/>
  <c r="AY37" i="19"/>
  <c r="AX37" i="19"/>
  <c r="AW37" i="19"/>
  <c r="AV37" i="19"/>
  <c r="AU37" i="19"/>
  <c r="D37" i="19"/>
  <c r="C37" i="19"/>
  <c r="A37" i="19"/>
  <c r="GH36" i="19"/>
  <c r="GB36" i="19"/>
  <c r="GA36" i="19"/>
  <c r="BA36" i="19"/>
  <c r="AZ36" i="19"/>
  <c r="AY36" i="19"/>
  <c r="AX36" i="19"/>
  <c r="AW36" i="19"/>
  <c r="AV36" i="19"/>
  <c r="AU36" i="19"/>
  <c r="D36" i="19"/>
  <c r="C36" i="19"/>
  <c r="A36" i="19"/>
  <c r="GH35" i="19"/>
  <c r="GB35" i="19"/>
  <c r="GA35" i="19"/>
  <c r="BA35" i="19"/>
  <c r="AZ35" i="19"/>
  <c r="AY35" i="19"/>
  <c r="AX35" i="19"/>
  <c r="AW35" i="19"/>
  <c r="AV35" i="19"/>
  <c r="AU35" i="19"/>
  <c r="D35" i="19"/>
  <c r="C35" i="19"/>
  <c r="A35" i="19"/>
  <c r="GH34" i="19"/>
  <c r="GB34" i="19"/>
  <c r="GA34" i="19"/>
  <c r="BA34" i="19"/>
  <c r="AZ34" i="19"/>
  <c r="AY34" i="19"/>
  <c r="AX34" i="19"/>
  <c r="AW34" i="19"/>
  <c r="AV34" i="19"/>
  <c r="AU34" i="19"/>
  <c r="D34" i="19"/>
  <c r="C34" i="19"/>
  <c r="A34" i="19"/>
  <c r="GH33" i="19"/>
  <c r="GB33" i="19"/>
  <c r="GA33" i="19"/>
  <c r="BA33" i="19"/>
  <c r="AZ33" i="19"/>
  <c r="AY33" i="19"/>
  <c r="AX33" i="19"/>
  <c r="AW33" i="19"/>
  <c r="AV33" i="19"/>
  <c r="AU33" i="19"/>
  <c r="D33" i="19"/>
  <c r="C33" i="19"/>
  <c r="A33" i="19"/>
  <c r="GH32" i="19"/>
  <c r="GB32" i="19"/>
  <c r="GA32" i="19"/>
  <c r="BA32" i="19"/>
  <c r="AZ32" i="19"/>
  <c r="AY32" i="19"/>
  <c r="AX32" i="19"/>
  <c r="AW32" i="19"/>
  <c r="AV32" i="19"/>
  <c r="AU32" i="19"/>
  <c r="D32" i="19"/>
  <c r="C32" i="19"/>
  <c r="A32" i="19"/>
  <c r="GH31" i="19"/>
  <c r="GB31" i="19"/>
  <c r="GA31" i="19"/>
  <c r="BA31" i="19"/>
  <c r="AZ31" i="19"/>
  <c r="AY31" i="19"/>
  <c r="AX31" i="19"/>
  <c r="AW31" i="19"/>
  <c r="AV31" i="19"/>
  <c r="AU31" i="19"/>
  <c r="D31" i="19"/>
  <c r="C31" i="19"/>
  <c r="A31" i="19"/>
  <c r="GH30" i="19"/>
  <c r="GB30" i="19"/>
  <c r="GA30" i="19"/>
  <c r="BA30" i="19"/>
  <c r="AZ30" i="19"/>
  <c r="AY30" i="19"/>
  <c r="AX30" i="19"/>
  <c r="AW30" i="19"/>
  <c r="AV30" i="19"/>
  <c r="AU30" i="19"/>
  <c r="D30" i="19"/>
  <c r="C30" i="19"/>
  <c r="A30" i="19"/>
  <c r="GH29" i="19"/>
  <c r="GB29" i="19"/>
  <c r="GA29" i="19"/>
  <c r="BA29" i="19"/>
  <c r="AZ29" i="19"/>
  <c r="AY29" i="19"/>
  <c r="AX29" i="19"/>
  <c r="AW29" i="19"/>
  <c r="AV29" i="19"/>
  <c r="AU29" i="19"/>
  <c r="D29" i="19"/>
  <c r="C29" i="19"/>
  <c r="A29" i="19"/>
  <c r="GH28" i="19"/>
  <c r="GB28" i="19"/>
  <c r="GA28" i="19"/>
  <c r="BA28" i="19"/>
  <c r="AZ28" i="19"/>
  <c r="AY28" i="19"/>
  <c r="AX28" i="19"/>
  <c r="AW28" i="19"/>
  <c r="AV28" i="19"/>
  <c r="AU28" i="19"/>
  <c r="D28" i="19"/>
  <c r="C28" i="19"/>
  <c r="A28" i="19"/>
  <c r="GH27" i="19"/>
  <c r="GB27" i="19"/>
  <c r="GA27" i="19"/>
  <c r="BA27" i="19"/>
  <c r="AZ27" i="19"/>
  <c r="AY27" i="19"/>
  <c r="AX27" i="19"/>
  <c r="AW27" i="19"/>
  <c r="AV27" i="19"/>
  <c r="AU27" i="19"/>
  <c r="D27" i="19"/>
  <c r="C27" i="19"/>
  <c r="A27" i="19"/>
  <c r="GH26" i="19"/>
  <c r="GB26" i="19"/>
  <c r="GA26" i="19"/>
  <c r="BA26" i="19"/>
  <c r="AZ26" i="19"/>
  <c r="AY26" i="19"/>
  <c r="AX26" i="19"/>
  <c r="AW26" i="19"/>
  <c r="AV26" i="19"/>
  <c r="AU26" i="19"/>
  <c r="D26" i="19"/>
  <c r="C26" i="19"/>
  <c r="A26" i="19"/>
  <c r="GH25" i="19"/>
  <c r="GB25" i="19"/>
  <c r="GA25" i="19"/>
  <c r="BA25" i="19"/>
  <c r="AZ25" i="19"/>
  <c r="AY25" i="19"/>
  <c r="AX25" i="19"/>
  <c r="AW25" i="19"/>
  <c r="AV25" i="19"/>
  <c r="AU25" i="19"/>
  <c r="D25" i="19"/>
  <c r="C25" i="19"/>
  <c r="A25" i="19"/>
  <c r="GH24" i="19"/>
  <c r="GB24" i="19"/>
  <c r="GA24" i="19"/>
  <c r="BA24" i="19"/>
  <c r="AZ24" i="19"/>
  <c r="AY24" i="19"/>
  <c r="AX24" i="19"/>
  <c r="AW24" i="19"/>
  <c r="AV24" i="19"/>
  <c r="AU24" i="19"/>
  <c r="D24" i="19"/>
  <c r="C24" i="19"/>
  <c r="A24" i="19"/>
  <c r="GH23" i="19"/>
  <c r="GB23" i="19"/>
  <c r="GA23" i="19"/>
  <c r="BA23" i="19"/>
  <c r="AZ23" i="19"/>
  <c r="AY23" i="19"/>
  <c r="AX23" i="19"/>
  <c r="AW23" i="19"/>
  <c r="AV23" i="19"/>
  <c r="AU23" i="19"/>
  <c r="D23" i="19"/>
  <c r="C23" i="19"/>
  <c r="A23" i="19"/>
  <c r="GH22" i="19"/>
  <c r="GB22" i="19"/>
  <c r="GA22" i="19"/>
  <c r="BA22" i="19"/>
  <c r="AZ22" i="19"/>
  <c r="AY22" i="19"/>
  <c r="AX22" i="19"/>
  <c r="AW22" i="19"/>
  <c r="AV22" i="19"/>
  <c r="AU22" i="19"/>
  <c r="D22" i="19"/>
  <c r="C22" i="19"/>
  <c r="A22" i="19"/>
  <c r="GH21" i="19"/>
  <c r="GB21" i="19"/>
  <c r="GA21" i="19"/>
  <c r="BA21" i="19"/>
  <c r="AZ21" i="19"/>
  <c r="AY21" i="19"/>
  <c r="AX21" i="19"/>
  <c r="AW21" i="19"/>
  <c r="AV21" i="19"/>
  <c r="AU21" i="19"/>
  <c r="D21" i="19"/>
  <c r="C21" i="19"/>
  <c r="A21" i="19"/>
  <c r="GH20" i="19"/>
  <c r="GB20" i="19"/>
  <c r="GA20" i="19"/>
  <c r="BA20" i="19"/>
  <c r="AZ20" i="19"/>
  <c r="AY20" i="19"/>
  <c r="AX20" i="19"/>
  <c r="AW20" i="19"/>
  <c r="AV20" i="19"/>
  <c r="AU20" i="19"/>
  <c r="D20" i="19"/>
  <c r="C20" i="19"/>
  <c r="A20" i="19"/>
  <c r="GH19" i="19"/>
  <c r="GB19" i="19"/>
  <c r="GA19" i="19"/>
  <c r="BA19" i="19"/>
  <c r="AZ19" i="19"/>
  <c r="AY19" i="19"/>
  <c r="AX19" i="19"/>
  <c r="AW19" i="19"/>
  <c r="AV19" i="19"/>
  <c r="AU19" i="19"/>
  <c r="D19" i="19"/>
  <c r="C19" i="19"/>
  <c r="A19" i="19"/>
  <c r="GH18" i="19"/>
  <c r="GB18" i="19"/>
  <c r="GA18" i="19"/>
  <c r="BA18" i="19"/>
  <c r="AZ18" i="19"/>
  <c r="AY18" i="19"/>
  <c r="AX18" i="19"/>
  <c r="AW18" i="19"/>
  <c r="AV18" i="19"/>
  <c r="AU18" i="19"/>
  <c r="D18" i="19"/>
  <c r="C18" i="19"/>
  <c r="A18" i="19"/>
  <c r="GH17" i="19"/>
  <c r="GB17" i="19"/>
  <c r="GA17" i="19"/>
  <c r="BA17" i="19"/>
  <c r="B17" i="19" s="1"/>
  <c r="AZ17" i="19"/>
  <c r="AY17" i="19"/>
  <c r="AX17" i="19"/>
  <c r="AW17" i="19"/>
  <c r="AV17" i="19"/>
  <c r="AU17" i="19"/>
  <c r="D17" i="19"/>
  <c r="C17" i="19"/>
  <c r="A17" i="19"/>
  <c r="GH16" i="19"/>
  <c r="GB16" i="19"/>
  <c r="GA16" i="19"/>
  <c r="BA16" i="19"/>
  <c r="AZ16" i="19"/>
  <c r="AY16" i="19"/>
  <c r="AX16" i="19"/>
  <c r="AW16" i="19"/>
  <c r="AV16" i="19"/>
  <c r="AU16" i="19"/>
  <c r="D16" i="19"/>
  <c r="C16" i="19"/>
  <c r="A16" i="19"/>
  <c r="GH15" i="19"/>
  <c r="GB15" i="19"/>
  <c r="GA15" i="19"/>
  <c r="BA15" i="19"/>
  <c r="AZ15" i="19"/>
  <c r="AY15" i="19"/>
  <c r="AX15" i="19"/>
  <c r="AW15" i="19"/>
  <c r="AV15" i="19"/>
  <c r="AU15" i="19"/>
  <c r="D15" i="19"/>
  <c r="C15" i="19"/>
  <c r="A15" i="19"/>
  <c r="GH14" i="19"/>
  <c r="GB14" i="19"/>
  <c r="GA14" i="19"/>
  <c r="BA14" i="19"/>
  <c r="AZ14" i="19"/>
  <c r="AY14" i="19"/>
  <c r="AX14" i="19"/>
  <c r="AW14" i="19"/>
  <c r="AV14" i="19"/>
  <c r="AU14" i="19"/>
  <c r="D14" i="19"/>
  <c r="C14" i="19"/>
  <c r="A14" i="19"/>
  <c r="GH13" i="19"/>
  <c r="GB13" i="19"/>
  <c r="GA13" i="19"/>
  <c r="BA13" i="19"/>
  <c r="B13" i="19" s="1"/>
  <c r="AZ13" i="19"/>
  <c r="AY13" i="19"/>
  <c r="AX13" i="19"/>
  <c r="AW13" i="19"/>
  <c r="AV13" i="19"/>
  <c r="AU13" i="19"/>
  <c r="D13" i="19"/>
  <c r="C13" i="19"/>
  <c r="A13" i="19"/>
  <c r="GH12" i="19"/>
  <c r="GB12" i="19"/>
  <c r="GA12" i="19"/>
  <c r="BA12" i="19"/>
  <c r="AZ12" i="19"/>
  <c r="AY12" i="19"/>
  <c r="AX12" i="19"/>
  <c r="AW12" i="19"/>
  <c r="AV12" i="19"/>
  <c r="AU12" i="19"/>
  <c r="D12" i="19"/>
  <c r="C12" i="19"/>
  <c r="A12" i="19"/>
  <c r="GH11" i="19"/>
  <c r="GB11" i="19"/>
  <c r="GA11" i="19"/>
  <c r="BA11" i="19"/>
  <c r="AZ11" i="19"/>
  <c r="AY11" i="19"/>
  <c r="AX11" i="19"/>
  <c r="AW11" i="19"/>
  <c r="AV11" i="19"/>
  <c r="AU11" i="19"/>
  <c r="D11" i="19"/>
  <c r="C11" i="19"/>
  <c r="A11" i="19"/>
  <c r="GH10" i="19"/>
  <c r="GB10" i="19"/>
  <c r="GA10" i="19"/>
  <c r="BA10" i="19"/>
  <c r="AZ10" i="19"/>
  <c r="AY10" i="19"/>
  <c r="AX10" i="19"/>
  <c r="AW10" i="19"/>
  <c r="AV10" i="19"/>
  <c r="AU10" i="19"/>
  <c r="D10" i="19"/>
  <c r="C10" i="19"/>
  <c r="A10" i="19"/>
  <c r="GH9" i="19"/>
  <c r="GB9" i="19"/>
  <c r="GA9" i="19"/>
  <c r="BA9" i="19"/>
  <c r="AZ9" i="19"/>
  <c r="AY9" i="19"/>
  <c r="AX9" i="19"/>
  <c r="AW9" i="19"/>
  <c r="AV9" i="19"/>
  <c r="AU9" i="19"/>
  <c r="D9" i="19"/>
  <c r="C9" i="19"/>
  <c r="A9" i="19"/>
  <c r="GH8" i="19"/>
  <c r="GB8" i="19"/>
  <c r="GA8" i="19"/>
  <c r="BA8" i="19"/>
  <c r="AZ8" i="19"/>
  <c r="AY8" i="19"/>
  <c r="AX8" i="19"/>
  <c r="AW8" i="19"/>
  <c r="AV8" i="19"/>
  <c r="AU8" i="19"/>
  <c r="D8" i="19"/>
  <c r="C8" i="19"/>
  <c r="A8" i="19"/>
  <c r="GH7" i="19"/>
  <c r="GB7" i="19"/>
  <c r="GA7" i="19"/>
  <c r="BA7" i="19"/>
  <c r="AZ7" i="19"/>
  <c r="AY7" i="19"/>
  <c r="AX7" i="19"/>
  <c r="AW7" i="19"/>
  <c r="AV7" i="19"/>
  <c r="AU7" i="19"/>
  <c r="D7" i="19"/>
  <c r="C7" i="19"/>
  <c r="A7" i="19"/>
  <c r="BF127" i="18"/>
  <c r="B127" i="18" s="1"/>
  <c r="G127" i="18"/>
  <c r="C127" i="18"/>
  <c r="BF126" i="18"/>
  <c r="B126" i="18" s="1"/>
  <c r="G126" i="18"/>
  <c r="C126" i="18"/>
  <c r="BF125" i="18"/>
  <c r="B125" i="18" s="1"/>
  <c r="G125" i="18"/>
  <c r="C125" i="18"/>
  <c r="BF124" i="18"/>
  <c r="B124" i="18" s="1"/>
  <c r="G124" i="18"/>
  <c r="C124" i="18"/>
  <c r="BF123" i="18"/>
  <c r="B123" i="18" s="1"/>
  <c r="G123" i="18"/>
  <c r="C123" i="18"/>
  <c r="BF122" i="18"/>
  <c r="B122" i="18" s="1"/>
  <c r="G122" i="18"/>
  <c r="C122" i="18"/>
  <c r="BF121" i="18"/>
  <c r="B121" i="18" s="1"/>
  <c r="G121" i="18"/>
  <c r="C121" i="18"/>
  <c r="BF120" i="18"/>
  <c r="B120" i="18" s="1"/>
  <c r="G120" i="18"/>
  <c r="C120" i="18"/>
  <c r="BF119" i="18"/>
  <c r="B119" i="18" s="1"/>
  <c r="G119" i="18"/>
  <c r="C119" i="18"/>
  <c r="BF118" i="18"/>
  <c r="B118" i="18" s="1"/>
  <c r="G118" i="18"/>
  <c r="C118" i="18"/>
  <c r="BF117" i="18"/>
  <c r="B117" i="18" s="1"/>
  <c r="G117" i="18"/>
  <c r="C117" i="18"/>
  <c r="BF116" i="18"/>
  <c r="B116" i="18" s="1"/>
  <c r="G116" i="18"/>
  <c r="C116" i="18"/>
  <c r="BF115" i="18"/>
  <c r="B115" i="18" s="1"/>
  <c r="G115" i="18"/>
  <c r="C115" i="18"/>
  <c r="BF114" i="18"/>
  <c r="B114" i="18" s="1"/>
  <c r="G114" i="18"/>
  <c r="C114" i="18"/>
  <c r="BF113" i="18"/>
  <c r="B113" i="18" s="1"/>
  <c r="G113" i="18"/>
  <c r="C113" i="18"/>
  <c r="BF112" i="18"/>
  <c r="B112" i="18" s="1"/>
  <c r="G112" i="18"/>
  <c r="C112" i="18"/>
  <c r="BF111" i="18"/>
  <c r="B111" i="18" s="1"/>
  <c r="G111" i="18"/>
  <c r="C111" i="18"/>
  <c r="BF110" i="18"/>
  <c r="B110" i="18" s="1"/>
  <c r="G110" i="18"/>
  <c r="C110" i="18"/>
  <c r="BF109" i="18"/>
  <c r="B109" i="18" s="1"/>
  <c r="G109" i="18"/>
  <c r="C109" i="18"/>
  <c r="BF108" i="18"/>
  <c r="B108" i="18" s="1"/>
  <c r="G108" i="18"/>
  <c r="C108" i="18"/>
  <c r="BF107" i="18"/>
  <c r="B107" i="18" s="1"/>
  <c r="G107" i="18"/>
  <c r="C107" i="18"/>
  <c r="BF106" i="18"/>
  <c r="B106" i="18" s="1"/>
  <c r="G106" i="18"/>
  <c r="C106" i="18"/>
  <c r="BF105" i="18"/>
  <c r="B105" i="18" s="1"/>
  <c r="G105" i="18"/>
  <c r="C105" i="18"/>
  <c r="BF104" i="18"/>
  <c r="B104" i="18" s="1"/>
  <c r="G104" i="18"/>
  <c r="C104" i="18"/>
  <c r="BF103" i="18"/>
  <c r="G103" i="18"/>
  <c r="C103" i="18"/>
  <c r="B103" i="18"/>
  <c r="BF102" i="18"/>
  <c r="B102" i="18" s="1"/>
  <c r="G102" i="18"/>
  <c r="C102" i="18"/>
  <c r="BF101" i="18"/>
  <c r="B101" i="18" s="1"/>
  <c r="G101" i="18"/>
  <c r="C101" i="18"/>
  <c r="BF100" i="18"/>
  <c r="B100" i="18" s="1"/>
  <c r="G100" i="18"/>
  <c r="C100" i="18"/>
  <c r="BF99" i="18"/>
  <c r="B99" i="18" s="1"/>
  <c r="G99" i="18"/>
  <c r="C99" i="18"/>
  <c r="BF98" i="18"/>
  <c r="B98" i="18" s="1"/>
  <c r="G98" i="18"/>
  <c r="C98" i="18"/>
  <c r="BF97" i="18"/>
  <c r="B97" i="18" s="1"/>
  <c r="G97" i="18"/>
  <c r="C97" i="18"/>
  <c r="BF96" i="18"/>
  <c r="B96" i="18" s="1"/>
  <c r="G96" i="18"/>
  <c r="C96" i="18"/>
  <c r="BF95" i="18"/>
  <c r="B95" i="18" s="1"/>
  <c r="G95" i="18"/>
  <c r="C95" i="18"/>
  <c r="BF94" i="18"/>
  <c r="B94" i="18" s="1"/>
  <c r="G94" i="18"/>
  <c r="C94" i="18"/>
  <c r="BF93" i="18"/>
  <c r="B93" i="18" s="1"/>
  <c r="G93" i="18"/>
  <c r="C93" i="18"/>
  <c r="BF92" i="18"/>
  <c r="B92" i="18" s="1"/>
  <c r="G92" i="18"/>
  <c r="C92" i="18"/>
  <c r="BF91" i="18"/>
  <c r="B91" i="18" s="1"/>
  <c r="G91" i="18"/>
  <c r="C91" i="18"/>
  <c r="BF90" i="18"/>
  <c r="B90" i="18" s="1"/>
  <c r="G90" i="18"/>
  <c r="C90" i="18"/>
  <c r="BF89" i="18"/>
  <c r="B89" i="18" s="1"/>
  <c r="G89" i="18"/>
  <c r="C89" i="18"/>
  <c r="BF88" i="18"/>
  <c r="B88" i="18" s="1"/>
  <c r="G88" i="18"/>
  <c r="C88" i="18"/>
  <c r="BF87" i="18"/>
  <c r="B87" i="18" s="1"/>
  <c r="G87" i="18"/>
  <c r="C87" i="18"/>
  <c r="BF86" i="18"/>
  <c r="B86" i="18" s="1"/>
  <c r="G86" i="18"/>
  <c r="C86" i="18"/>
  <c r="BF85" i="18"/>
  <c r="B85" i="18" s="1"/>
  <c r="G85" i="18"/>
  <c r="C85" i="18"/>
  <c r="BF84" i="18"/>
  <c r="B84" i="18" s="1"/>
  <c r="G84" i="18"/>
  <c r="C84" i="18"/>
  <c r="BF83" i="18"/>
  <c r="B83" i="18" s="1"/>
  <c r="G83" i="18"/>
  <c r="C83" i="18"/>
  <c r="BF82" i="18"/>
  <c r="B82" i="18" s="1"/>
  <c r="G82" i="18"/>
  <c r="C82" i="18"/>
  <c r="BF81" i="18"/>
  <c r="B81" i="18" s="1"/>
  <c r="G81" i="18"/>
  <c r="C81" i="18"/>
  <c r="BF80" i="18"/>
  <c r="B80" i="18" s="1"/>
  <c r="G80" i="18"/>
  <c r="C80" i="18"/>
  <c r="BF79" i="18"/>
  <c r="B79" i="18" s="1"/>
  <c r="G79" i="18"/>
  <c r="C79" i="18"/>
  <c r="BF78" i="18"/>
  <c r="B78" i="18" s="1"/>
  <c r="G78" i="18"/>
  <c r="C78" i="18"/>
  <c r="BF77" i="18"/>
  <c r="B77" i="18" s="1"/>
  <c r="G77" i="18"/>
  <c r="C77" i="18"/>
  <c r="GM76" i="18"/>
  <c r="BF76" i="18"/>
  <c r="B76" i="18" s="1"/>
  <c r="G76" i="18"/>
  <c r="C76" i="18"/>
  <c r="GM75" i="18"/>
  <c r="BF75" i="18"/>
  <c r="B75" i="18" s="1"/>
  <c r="G75" i="18"/>
  <c r="C75" i="18"/>
  <c r="BF74" i="18"/>
  <c r="B74" i="18" s="1"/>
  <c r="G74" i="18"/>
  <c r="C74" i="18"/>
  <c r="GM73" i="18"/>
  <c r="BF73" i="18"/>
  <c r="B73" i="18" s="1"/>
  <c r="G73" i="18"/>
  <c r="C73" i="18"/>
  <c r="GM72" i="18"/>
  <c r="BF72" i="18"/>
  <c r="B72" i="18" s="1"/>
  <c r="G72" i="18"/>
  <c r="C72" i="18"/>
  <c r="GM71" i="18"/>
  <c r="BF71" i="18"/>
  <c r="B71" i="18" s="1"/>
  <c r="G71" i="18"/>
  <c r="C71" i="18"/>
  <c r="BF70" i="18"/>
  <c r="B70" i="18" s="1"/>
  <c r="G70" i="18"/>
  <c r="C70" i="18"/>
  <c r="GM69" i="18"/>
  <c r="BF69" i="18"/>
  <c r="B69" i="18" s="1"/>
  <c r="G69" i="18"/>
  <c r="C69" i="18"/>
  <c r="GM68" i="18"/>
  <c r="BF68" i="18"/>
  <c r="B68" i="18" s="1"/>
  <c r="G68" i="18"/>
  <c r="C68" i="18"/>
  <c r="GM67" i="18"/>
  <c r="BF67" i="18"/>
  <c r="B67" i="18" s="1"/>
  <c r="G67" i="18"/>
  <c r="C67" i="18"/>
  <c r="BF66" i="18"/>
  <c r="B66" i="18" s="1"/>
  <c r="G66" i="18"/>
  <c r="C66" i="18"/>
  <c r="GM65" i="18"/>
  <c r="BF65" i="18"/>
  <c r="B65" i="18" s="1"/>
  <c r="G65" i="18"/>
  <c r="C65" i="18"/>
  <c r="GM64" i="18"/>
  <c r="BF64" i="18"/>
  <c r="B64" i="18" s="1"/>
  <c r="G64" i="18"/>
  <c r="C64" i="18"/>
  <c r="GM63" i="18"/>
  <c r="BF63" i="18"/>
  <c r="B63" i="18" s="1"/>
  <c r="G63" i="18"/>
  <c r="C63" i="18"/>
  <c r="BF62" i="18"/>
  <c r="B62" i="18" s="1"/>
  <c r="G62" i="18"/>
  <c r="C62" i="18"/>
  <c r="GM61" i="18"/>
  <c r="BF61" i="18"/>
  <c r="B61" i="18" s="1"/>
  <c r="G61" i="18"/>
  <c r="C61" i="18"/>
  <c r="GM60" i="18"/>
  <c r="BF60" i="18"/>
  <c r="B60" i="18" s="1"/>
  <c r="G60" i="18"/>
  <c r="C60" i="18"/>
  <c r="GM59" i="18"/>
  <c r="BF59" i="18"/>
  <c r="B59" i="18" s="1"/>
  <c r="G59" i="18"/>
  <c r="C59" i="18"/>
  <c r="BF58" i="18"/>
  <c r="B58" i="18" s="1"/>
  <c r="G58" i="18"/>
  <c r="C58" i="18"/>
  <c r="GM57" i="18"/>
  <c r="BF57" i="18"/>
  <c r="B57" i="18" s="1"/>
  <c r="G57" i="18"/>
  <c r="C57" i="18"/>
  <c r="GM56" i="18"/>
  <c r="BF56" i="18"/>
  <c r="B56" i="18" s="1"/>
  <c r="G56" i="18"/>
  <c r="C56" i="18"/>
  <c r="GM55" i="18"/>
  <c r="BF55" i="18"/>
  <c r="B55" i="18" s="1"/>
  <c r="G55" i="18"/>
  <c r="C55" i="18"/>
  <c r="BF54" i="18"/>
  <c r="B54" i="18" s="1"/>
  <c r="G54" i="18"/>
  <c r="C54" i="18"/>
  <c r="GM53" i="18"/>
  <c r="BF53" i="18"/>
  <c r="B53" i="18" s="1"/>
  <c r="G53" i="18"/>
  <c r="C53" i="18"/>
  <c r="GM52" i="18"/>
  <c r="BF52" i="18"/>
  <c r="B52" i="18" s="1"/>
  <c r="G52" i="18"/>
  <c r="C52" i="18"/>
  <c r="GM51" i="18"/>
  <c r="BF51" i="18"/>
  <c r="G51" i="18"/>
  <c r="C51" i="18"/>
  <c r="B51" i="18"/>
  <c r="BF50" i="18"/>
  <c r="B50" i="18" s="1"/>
  <c r="G50" i="18"/>
  <c r="C50" i="18"/>
  <c r="GM49" i="18"/>
  <c r="BF49" i="18"/>
  <c r="B49" i="18" s="1"/>
  <c r="G49" i="18"/>
  <c r="C49" i="18"/>
  <c r="GM48" i="18"/>
  <c r="BF48" i="18"/>
  <c r="B48" i="18" s="1"/>
  <c r="G48" i="18"/>
  <c r="C48" i="18"/>
  <c r="GM47" i="18"/>
  <c r="BF47" i="18"/>
  <c r="G47" i="18"/>
  <c r="C47" i="18"/>
  <c r="B47" i="18"/>
  <c r="GM46" i="18"/>
  <c r="BF46" i="18"/>
  <c r="B46" i="18" s="1"/>
  <c r="G46" i="18"/>
  <c r="C46" i="18"/>
  <c r="GM45" i="18"/>
  <c r="BF45" i="18"/>
  <c r="B45" i="18" s="1"/>
  <c r="G45" i="18"/>
  <c r="C45" i="18"/>
  <c r="GM44" i="18"/>
  <c r="BF44" i="18"/>
  <c r="B44" i="18" s="1"/>
  <c r="G44" i="18"/>
  <c r="C44" i="18"/>
  <c r="GM43" i="18"/>
  <c r="BF43" i="18"/>
  <c r="B43" i="18" s="1"/>
  <c r="G43" i="18"/>
  <c r="C43" i="18"/>
  <c r="GM42" i="18"/>
  <c r="BF42" i="18"/>
  <c r="B42" i="18" s="1"/>
  <c r="G42" i="18"/>
  <c r="C42" i="18"/>
  <c r="GM41" i="18"/>
  <c r="BF41" i="18"/>
  <c r="B41" i="18" s="1"/>
  <c r="G41" i="18"/>
  <c r="C41" i="18"/>
  <c r="GM40" i="18"/>
  <c r="BF40" i="18"/>
  <c r="B40" i="18" s="1"/>
  <c r="G40" i="18"/>
  <c r="C40" i="18"/>
  <c r="GM39" i="18"/>
  <c r="BF39" i="18"/>
  <c r="B39" i="18" s="1"/>
  <c r="G39" i="18"/>
  <c r="C39" i="18"/>
  <c r="GM38" i="18"/>
  <c r="BF38" i="18"/>
  <c r="B38" i="18" s="1"/>
  <c r="G38" i="18"/>
  <c r="C38" i="18"/>
  <c r="GM37" i="18"/>
  <c r="BF37" i="18"/>
  <c r="B37" i="18" s="1"/>
  <c r="G37" i="18"/>
  <c r="C37" i="18"/>
  <c r="GM36" i="18"/>
  <c r="BF36" i="18"/>
  <c r="B36" i="18" s="1"/>
  <c r="G36" i="18"/>
  <c r="C36" i="18"/>
  <c r="GM35" i="18"/>
  <c r="BF35" i="18"/>
  <c r="B35" i="18" s="1"/>
  <c r="G35" i="18"/>
  <c r="C35" i="18"/>
  <c r="GM34" i="18"/>
  <c r="BF34" i="18"/>
  <c r="B34" i="18" s="1"/>
  <c r="G34" i="18"/>
  <c r="C34" i="18"/>
  <c r="GM33" i="18"/>
  <c r="BF33" i="18"/>
  <c r="B33" i="18" s="1"/>
  <c r="G33" i="18"/>
  <c r="C33" i="18"/>
  <c r="GM32" i="18"/>
  <c r="BF32" i="18"/>
  <c r="B32" i="18" s="1"/>
  <c r="G32" i="18"/>
  <c r="C32" i="18"/>
  <c r="GM31" i="18"/>
  <c r="BF31" i="18"/>
  <c r="B31" i="18" s="1"/>
  <c r="G31" i="18"/>
  <c r="C31" i="18"/>
  <c r="GM30" i="18"/>
  <c r="BF30" i="18"/>
  <c r="B30" i="18" s="1"/>
  <c r="G30" i="18"/>
  <c r="C30" i="18"/>
  <c r="GM29" i="18"/>
  <c r="BF29" i="18"/>
  <c r="B29" i="18" s="1"/>
  <c r="G29" i="18"/>
  <c r="C29" i="18"/>
  <c r="GM28" i="18"/>
  <c r="BF28" i="18"/>
  <c r="B28" i="18" s="1"/>
  <c r="G28" i="18"/>
  <c r="C28" i="18"/>
  <c r="GM27" i="18"/>
  <c r="BF27" i="18"/>
  <c r="B27" i="18" s="1"/>
  <c r="G27" i="18"/>
  <c r="C27" i="18"/>
  <c r="GM26" i="18"/>
  <c r="BF26" i="18"/>
  <c r="B26" i="18" s="1"/>
  <c r="G26" i="18"/>
  <c r="C26" i="18"/>
  <c r="GM25" i="18"/>
  <c r="BF25" i="18"/>
  <c r="B25" i="18" s="1"/>
  <c r="G25" i="18"/>
  <c r="C25" i="18"/>
  <c r="GM24" i="18"/>
  <c r="BF24" i="18"/>
  <c r="B24" i="18" s="1"/>
  <c r="G24" i="18"/>
  <c r="C24" i="18"/>
  <c r="GM23" i="18"/>
  <c r="BF23" i="18"/>
  <c r="B23" i="18" s="1"/>
  <c r="G23" i="18"/>
  <c r="C23" i="18"/>
  <c r="GM22" i="18"/>
  <c r="BF22" i="18"/>
  <c r="B22" i="18" s="1"/>
  <c r="G22" i="18"/>
  <c r="C22" i="18"/>
  <c r="GM21" i="18"/>
  <c r="BF21" i="18"/>
  <c r="B21" i="18" s="1"/>
  <c r="G21" i="18"/>
  <c r="C21" i="18"/>
  <c r="GM20" i="18"/>
  <c r="BF20" i="18"/>
  <c r="B20" i="18" s="1"/>
  <c r="G20" i="18"/>
  <c r="C20" i="18"/>
  <c r="GM19" i="18"/>
  <c r="BF19" i="18"/>
  <c r="B19" i="18" s="1"/>
  <c r="G19" i="18"/>
  <c r="C19" i="18"/>
  <c r="GM18" i="18"/>
  <c r="BF18" i="18"/>
  <c r="B18" i="18" s="1"/>
  <c r="G18" i="18"/>
  <c r="C18" i="18"/>
  <c r="GM17" i="18"/>
  <c r="BF17" i="18"/>
  <c r="B17" i="18" s="1"/>
  <c r="G17" i="18"/>
  <c r="C17" i="18"/>
  <c r="GM16" i="18"/>
  <c r="BF16" i="18"/>
  <c r="B16" i="18" s="1"/>
  <c r="G16" i="18"/>
  <c r="C16" i="18"/>
  <c r="GM15" i="18"/>
  <c r="BF15" i="18"/>
  <c r="B15" i="18" s="1"/>
  <c r="G15" i="18"/>
  <c r="C15" i="18"/>
  <c r="GM14" i="18"/>
  <c r="BF14" i="18"/>
  <c r="B14" i="18" s="1"/>
  <c r="G14" i="18"/>
  <c r="C14" i="18"/>
  <c r="GM13" i="18"/>
  <c r="BF13" i="18"/>
  <c r="B13" i="18" s="1"/>
  <c r="G13" i="18"/>
  <c r="C13" i="18"/>
  <c r="GM12" i="18"/>
  <c r="BF12" i="18"/>
  <c r="B12" i="18" s="1"/>
  <c r="G12" i="18"/>
  <c r="C12" i="18"/>
  <c r="GM11" i="18"/>
  <c r="BF11" i="18"/>
  <c r="B11" i="18" s="1"/>
  <c r="G11" i="18"/>
  <c r="C11" i="18"/>
  <c r="GM10" i="18"/>
  <c r="BF10" i="18"/>
  <c r="B10" i="18" s="1"/>
  <c r="G10" i="18"/>
  <c r="C10" i="18"/>
  <c r="GM9" i="18"/>
  <c r="BF9" i="18"/>
  <c r="B9" i="18" s="1"/>
  <c r="C9" i="18"/>
  <c r="U61" i="14"/>
  <c r="Q61" i="14"/>
  <c r="N61" i="14"/>
  <c r="I61" i="14"/>
  <c r="A61" i="14"/>
  <c r="U60" i="14"/>
  <c r="Q60" i="14"/>
  <c r="N60" i="14"/>
  <c r="I60" i="14"/>
  <c r="A60" i="14"/>
  <c r="U59" i="14"/>
  <c r="Q59" i="14"/>
  <c r="N59" i="14"/>
  <c r="I59" i="14"/>
  <c r="A59" i="14"/>
  <c r="U58" i="14"/>
  <c r="Q58" i="14"/>
  <c r="N58" i="14"/>
  <c r="I58" i="14"/>
  <c r="A58" i="14"/>
  <c r="U57" i="14"/>
  <c r="Q57" i="14"/>
  <c r="N57" i="14"/>
  <c r="I57" i="14"/>
  <c r="A57" i="14"/>
  <c r="U56" i="14"/>
  <c r="Q56" i="14"/>
  <c r="N56" i="14"/>
  <c r="I56" i="14"/>
  <c r="A56" i="14"/>
  <c r="U55" i="14"/>
  <c r="Q55" i="14"/>
  <c r="N55" i="14"/>
  <c r="I55" i="14"/>
  <c r="A55" i="14"/>
  <c r="U54" i="14"/>
  <c r="Q54" i="14"/>
  <c r="N54" i="14"/>
  <c r="I54" i="14"/>
  <c r="A54" i="14"/>
  <c r="U53" i="14"/>
  <c r="Q53" i="14"/>
  <c r="N53" i="14"/>
  <c r="I53" i="14"/>
  <c r="A53" i="14"/>
  <c r="U52" i="14"/>
  <c r="Q52" i="14"/>
  <c r="N52" i="14"/>
  <c r="I52" i="14"/>
  <c r="A52" i="14"/>
  <c r="U51" i="14"/>
  <c r="Q51" i="14"/>
  <c r="N51" i="14"/>
  <c r="I51" i="14"/>
  <c r="A51" i="14"/>
  <c r="U50" i="14"/>
  <c r="Q50" i="14"/>
  <c r="N50" i="14"/>
  <c r="I50" i="14"/>
  <c r="A50" i="14"/>
  <c r="U49" i="14"/>
  <c r="Q49" i="14"/>
  <c r="N49" i="14"/>
  <c r="I49" i="14"/>
  <c r="A49" i="14"/>
  <c r="U48" i="14"/>
  <c r="Q48" i="14"/>
  <c r="N48" i="14"/>
  <c r="I48" i="14"/>
  <c r="A48" i="14"/>
  <c r="U47" i="14"/>
  <c r="Q47" i="14"/>
  <c r="N47" i="14"/>
  <c r="I47" i="14"/>
  <c r="A47" i="14"/>
  <c r="U46" i="14"/>
  <c r="Q46" i="14"/>
  <c r="N46" i="14"/>
  <c r="I46" i="14"/>
  <c r="A46" i="14"/>
  <c r="U45" i="14"/>
  <c r="Q45" i="14"/>
  <c r="N45" i="14"/>
  <c r="I45" i="14"/>
  <c r="A45" i="14"/>
  <c r="U44" i="14"/>
  <c r="Q44" i="14"/>
  <c r="N44" i="14"/>
  <c r="I44" i="14"/>
  <c r="A44" i="14"/>
  <c r="U43" i="14"/>
  <c r="Q43" i="14"/>
  <c r="N43" i="14"/>
  <c r="I43" i="14"/>
  <c r="A43" i="14"/>
  <c r="U42" i="14"/>
  <c r="Q42" i="14"/>
  <c r="N42" i="14"/>
  <c r="I42" i="14"/>
  <c r="A42" i="14"/>
  <c r="U41" i="14"/>
  <c r="Q41" i="14"/>
  <c r="N41" i="14"/>
  <c r="I41" i="14"/>
  <c r="A41" i="14"/>
  <c r="U40" i="14"/>
  <c r="Q40" i="14"/>
  <c r="N40" i="14"/>
  <c r="I40" i="14"/>
  <c r="A40" i="14"/>
  <c r="U39" i="14"/>
  <c r="Q39" i="14"/>
  <c r="N39" i="14"/>
  <c r="I39" i="14"/>
  <c r="A39" i="14"/>
  <c r="U38" i="14"/>
  <c r="Q38" i="14"/>
  <c r="N38" i="14"/>
  <c r="I38" i="14"/>
  <c r="A38" i="14"/>
  <c r="U37" i="14"/>
  <c r="Q37" i="14"/>
  <c r="N37" i="14"/>
  <c r="I37" i="14"/>
  <c r="A37" i="14"/>
  <c r="U36" i="14"/>
  <c r="Q36" i="14"/>
  <c r="N36" i="14"/>
  <c r="I36" i="14"/>
  <c r="A36" i="14"/>
  <c r="U35" i="14"/>
  <c r="Q35" i="14"/>
  <c r="N35" i="14"/>
  <c r="I35" i="14"/>
  <c r="A35" i="14"/>
  <c r="U34" i="14"/>
  <c r="Q34" i="14"/>
  <c r="N34" i="14"/>
  <c r="I34" i="14"/>
  <c r="A34" i="14"/>
  <c r="U33" i="14"/>
  <c r="Q33" i="14"/>
  <c r="N33" i="14"/>
  <c r="I33" i="14"/>
  <c r="A33" i="14"/>
  <c r="U32" i="14"/>
  <c r="Q32" i="14"/>
  <c r="N32" i="14"/>
  <c r="I32" i="14"/>
  <c r="A32" i="14"/>
  <c r="U31" i="14"/>
  <c r="Q31" i="14"/>
  <c r="N31" i="14"/>
  <c r="I31" i="14"/>
  <c r="A31" i="14"/>
  <c r="U30" i="14"/>
  <c r="Q30" i="14"/>
  <c r="N30" i="14"/>
  <c r="I30" i="14"/>
  <c r="A30" i="14"/>
  <c r="U29" i="14"/>
  <c r="Q29" i="14"/>
  <c r="N29" i="14"/>
  <c r="I29" i="14"/>
  <c r="A29" i="14"/>
  <c r="U28" i="14"/>
  <c r="Q28" i="14"/>
  <c r="N28" i="14"/>
  <c r="J28" i="14"/>
  <c r="I28" i="14"/>
  <c r="A28" i="14"/>
  <c r="U27" i="14"/>
  <c r="Q27" i="14"/>
  <c r="N27" i="14"/>
  <c r="I27" i="14"/>
  <c r="A27" i="14"/>
  <c r="U26" i="14"/>
  <c r="Q26" i="14"/>
  <c r="N26" i="14"/>
  <c r="J26" i="14"/>
  <c r="I26" i="14"/>
  <c r="A26" i="14"/>
  <c r="U25" i="14"/>
  <c r="Q25" i="14"/>
  <c r="N25" i="14"/>
  <c r="I25" i="14"/>
  <c r="A25" i="14"/>
  <c r="U24" i="14"/>
  <c r="Q24" i="14"/>
  <c r="N24" i="14"/>
  <c r="J24" i="14"/>
  <c r="I24" i="14"/>
  <c r="A24" i="14"/>
  <c r="U23" i="14"/>
  <c r="Q23" i="14"/>
  <c r="N23" i="14"/>
  <c r="I23" i="14"/>
  <c r="A23" i="14"/>
  <c r="U22" i="14"/>
  <c r="Q22" i="14"/>
  <c r="N22" i="14"/>
  <c r="J22" i="14"/>
  <c r="I22" i="14"/>
  <c r="A22" i="14"/>
  <c r="U21" i="14"/>
  <c r="Q21" i="14"/>
  <c r="N21" i="14"/>
  <c r="I21" i="14"/>
  <c r="CX6" i="28" s="1"/>
  <c r="A21" i="14"/>
  <c r="U20" i="14"/>
  <c r="Q20" i="14"/>
  <c r="N20" i="14"/>
  <c r="I20" i="14"/>
  <c r="CO6" i="28" s="1"/>
  <c r="A20" i="14"/>
  <c r="U19" i="14"/>
  <c r="Q19" i="14"/>
  <c r="N19" i="14"/>
  <c r="I19" i="14"/>
  <c r="CF6" i="28" s="1"/>
  <c r="A19" i="14"/>
  <c r="U18" i="14"/>
  <c r="Q18" i="14"/>
  <c r="N18" i="14"/>
  <c r="I18" i="14"/>
  <c r="BW6" i="28" s="1"/>
  <c r="A18" i="14"/>
  <c r="U17" i="14"/>
  <c r="Q17" i="14"/>
  <c r="N17" i="14"/>
  <c r="J17" i="14"/>
  <c r="BO6" i="28" s="1"/>
  <c r="I17" i="14"/>
  <c r="BN6" i="28" s="1"/>
  <c r="A17" i="14"/>
  <c r="U16" i="14"/>
  <c r="Q16" i="14"/>
  <c r="N16" i="14"/>
  <c r="I16" i="14"/>
  <c r="BE6" i="28" s="1"/>
  <c r="A16" i="14"/>
  <c r="U15" i="14"/>
  <c r="Q15" i="14"/>
  <c r="N15" i="14"/>
  <c r="I15" i="14"/>
  <c r="AV6" i="28" s="1"/>
  <c r="A15" i="14"/>
  <c r="U14" i="14"/>
  <c r="Q14" i="14"/>
  <c r="N14" i="14"/>
  <c r="J14" i="14"/>
  <c r="AN6" i="28" s="1"/>
  <c r="I14" i="14"/>
  <c r="AM6" i="28" s="1"/>
  <c r="A14" i="14"/>
  <c r="U13" i="14"/>
  <c r="Q13" i="14"/>
  <c r="N13" i="14"/>
  <c r="I13" i="14"/>
  <c r="AD6" i="28" s="1"/>
  <c r="A13" i="14"/>
  <c r="U12" i="14"/>
  <c r="Q12" i="14"/>
  <c r="N12" i="14"/>
  <c r="I12" i="14"/>
  <c r="U6" i="28" s="1"/>
  <c r="A12" i="14"/>
  <c r="U11" i="14"/>
  <c r="Q11" i="14"/>
  <c r="N11" i="14"/>
  <c r="I11" i="14"/>
  <c r="L6" i="28" s="1"/>
  <c r="A11" i="14"/>
  <c r="U10" i="14"/>
  <c r="N10" i="14"/>
  <c r="I10" i="14"/>
  <c r="U9" i="14"/>
  <c r="N9" i="14"/>
  <c r="I9" i="14"/>
  <c r="U8" i="14"/>
  <c r="N8" i="14"/>
  <c r="I8" i="14"/>
  <c r="K42" i="13"/>
  <c r="C42" i="13"/>
  <c r="H42" i="13" s="1"/>
  <c r="M41" i="13"/>
  <c r="L41" i="13"/>
  <c r="K41" i="13"/>
  <c r="J41" i="13" s="1"/>
  <c r="C41" i="13"/>
  <c r="H41" i="13" s="1"/>
  <c r="M40" i="13"/>
  <c r="L40" i="13"/>
  <c r="K40" i="13"/>
  <c r="C40" i="13"/>
  <c r="H40" i="13" s="1"/>
  <c r="M39" i="13"/>
  <c r="L39" i="13"/>
  <c r="K39" i="13"/>
  <c r="J39" i="13" s="1"/>
  <c r="C39" i="13"/>
  <c r="H39" i="13" s="1"/>
  <c r="M38" i="13"/>
  <c r="L38" i="13"/>
  <c r="K38" i="13"/>
  <c r="J38" i="13" s="1"/>
  <c r="C38" i="13"/>
  <c r="H38" i="13" s="1"/>
  <c r="M37" i="13"/>
  <c r="L37" i="13"/>
  <c r="K37" i="13"/>
  <c r="J37" i="13" s="1"/>
  <c r="C37" i="13"/>
  <c r="H37" i="13" s="1"/>
  <c r="M36" i="13"/>
  <c r="L36" i="13"/>
  <c r="K36" i="13"/>
  <c r="C36" i="13"/>
  <c r="H36" i="13" s="1"/>
  <c r="M35" i="13"/>
  <c r="L35" i="13"/>
  <c r="K35" i="13"/>
  <c r="J35" i="13" s="1"/>
  <c r="C35" i="13"/>
  <c r="H35" i="13" s="1"/>
  <c r="M34" i="13"/>
  <c r="L34" i="13"/>
  <c r="K34" i="13"/>
  <c r="J34" i="13" s="1"/>
  <c r="C34" i="13"/>
  <c r="H34" i="13" s="1"/>
  <c r="M33" i="13"/>
  <c r="L33" i="13"/>
  <c r="K33" i="13"/>
  <c r="J33" i="13" s="1"/>
  <c r="C33" i="13"/>
  <c r="H33" i="13" s="1"/>
  <c r="M32" i="13"/>
  <c r="L32" i="13"/>
  <c r="K32" i="13"/>
  <c r="C32" i="13"/>
  <c r="H32" i="13" s="1"/>
  <c r="M31" i="13"/>
  <c r="L31" i="13"/>
  <c r="K31" i="13"/>
  <c r="J31" i="13" s="1"/>
  <c r="C31" i="13"/>
  <c r="H31" i="13" s="1"/>
  <c r="M30" i="13"/>
  <c r="L30" i="13"/>
  <c r="K30" i="13"/>
  <c r="J30" i="13" s="1"/>
  <c r="C30" i="13"/>
  <c r="H30" i="13" s="1"/>
  <c r="M29" i="13"/>
  <c r="L29" i="13"/>
  <c r="K29" i="13"/>
  <c r="J29" i="13" s="1"/>
  <c r="C29" i="13"/>
  <c r="H29" i="13" s="1"/>
  <c r="M28" i="13"/>
  <c r="L28" i="13"/>
  <c r="K28" i="13"/>
  <c r="C28" i="13"/>
  <c r="H28" i="13" s="1"/>
  <c r="M27" i="13"/>
  <c r="L27" i="13"/>
  <c r="K27" i="13"/>
  <c r="J27" i="13" s="1"/>
  <c r="C27" i="13"/>
  <c r="H27" i="13" s="1"/>
  <c r="M26" i="13"/>
  <c r="L26" i="13"/>
  <c r="K26" i="13"/>
  <c r="J26" i="13" s="1"/>
  <c r="C26" i="13"/>
  <c r="H26" i="13" s="1"/>
  <c r="M25" i="13"/>
  <c r="L25" i="13"/>
  <c r="K25" i="13"/>
  <c r="J25" i="13"/>
  <c r="C25" i="13"/>
  <c r="H25" i="13" s="1"/>
  <c r="M24" i="13"/>
  <c r="L24" i="13"/>
  <c r="K24" i="13"/>
  <c r="C24" i="13"/>
  <c r="H24" i="13" s="1"/>
  <c r="M23" i="13"/>
  <c r="L23" i="13"/>
  <c r="K23" i="13"/>
  <c r="J23" i="13" s="1"/>
  <c r="C23" i="13"/>
  <c r="H23" i="13" s="1"/>
  <c r="M22" i="13"/>
  <c r="L22" i="13"/>
  <c r="K22" i="13"/>
  <c r="J22" i="13" s="1"/>
  <c r="C22" i="13"/>
  <c r="H22" i="13" s="1"/>
  <c r="M21" i="13"/>
  <c r="L21" i="13"/>
  <c r="K21" i="13"/>
  <c r="J21" i="13" s="1"/>
  <c r="C21" i="13"/>
  <c r="H21" i="13" s="1"/>
  <c r="M20" i="13"/>
  <c r="L20" i="13"/>
  <c r="K20" i="13"/>
  <c r="C20" i="13"/>
  <c r="H20" i="13" s="1"/>
  <c r="M19" i="13"/>
  <c r="L19" i="13"/>
  <c r="K19" i="13"/>
  <c r="J19" i="13" s="1"/>
  <c r="C19" i="13"/>
  <c r="H19" i="13" s="1"/>
  <c r="M18" i="13"/>
  <c r="L18" i="13"/>
  <c r="K18" i="13"/>
  <c r="J18" i="13" s="1"/>
  <c r="H18" i="13"/>
  <c r="C18" i="13"/>
  <c r="M17" i="13"/>
  <c r="L17" i="13"/>
  <c r="K17" i="13"/>
  <c r="J17" i="13"/>
  <c r="C17" i="13"/>
  <c r="H17" i="13" s="1"/>
  <c r="M16" i="13"/>
  <c r="L16" i="13"/>
  <c r="J16" i="13" s="1"/>
  <c r="K16" i="13"/>
  <c r="C16" i="13"/>
  <c r="H16" i="13" s="1"/>
  <c r="M15" i="13"/>
  <c r="L15" i="13"/>
  <c r="K15" i="13"/>
  <c r="J15" i="13" s="1"/>
  <c r="C15" i="13"/>
  <c r="H15" i="13" s="1"/>
  <c r="M14" i="13"/>
  <c r="L14" i="13"/>
  <c r="K14" i="13"/>
  <c r="J14" i="13" s="1"/>
  <c r="C14" i="13"/>
  <c r="H14" i="13" s="1"/>
  <c r="M13" i="13"/>
  <c r="L13" i="13"/>
  <c r="K13" i="13"/>
  <c r="J13" i="13" s="1"/>
  <c r="C13" i="13"/>
  <c r="H13" i="13" s="1"/>
  <c r="M12" i="13"/>
  <c r="L12" i="13"/>
  <c r="K12" i="13"/>
  <c r="C12" i="13"/>
  <c r="H12" i="13" s="1"/>
  <c r="M11" i="13"/>
  <c r="L11" i="13"/>
  <c r="K11" i="13"/>
  <c r="J11" i="13" s="1"/>
  <c r="C11" i="13"/>
  <c r="H11" i="13" s="1"/>
  <c r="M10" i="13"/>
  <c r="L10" i="13"/>
  <c r="K10" i="13"/>
  <c r="J10" i="13" s="1"/>
  <c r="C10" i="13"/>
  <c r="H10" i="13" s="1"/>
  <c r="M9" i="13"/>
  <c r="L9" i="13"/>
  <c r="K9" i="13"/>
  <c r="J9" i="13" s="1"/>
  <c r="C9" i="13"/>
  <c r="H9" i="13" s="1"/>
  <c r="M8" i="13"/>
  <c r="L8" i="13"/>
  <c r="K8" i="13"/>
  <c r="C8" i="13"/>
  <c r="H8" i="13" s="1"/>
  <c r="M7" i="13"/>
  <c r="L7" i="13"/>
  <c r="K7" i="13"/>
  <c r="J7" i="13" s="1"/>
  <c r="C7" i="13"/>
  <c r="H7" i="13" s="1"/>
  <c r="X535" i="11"/>
  <c r="X534" i="11"/>
  <c r="X533" i="11"/>
  <c r="X532" i="11"/>
  <c r="X531" i="11"/>
  <c r="X530" i="11"/>
  <c r="X529" i="11"/>
  <c r="X528" i="11"/>
  <c r="X527" i="11"/>
  <c r="X526" i="11"/>
  <c r="X525" i="11"/>
  <c r="X524" i="11"/>
  <c r="X523" i="11"/>
  <c r="X522" i="11"/>
  <c r="X521" i="11"/>
  <c r="X520" i="11"/>
  <c r="X519" i="11"/>
  <c r="X518" i="11"/>
  <c r="X517" i="11"/>
  <c r="X516" i="11"/>
  <c r="X515" i="11"/>
  <c r="X514" i="11"/>
  <c r="X513" i="11"/>
  <c r="X512" i="11"/>
  <c r="X511" i="11"/>
  <c r="X510" i="11"/>
  <c r="X509" i="11"/>
  <c r="X508" i="11"/>
  <c r="X507" i="11"/>
  <c r="X506" i="11"/>
  <c r="X505" i="11"/>
  <c r="X504" i="11"/>
  <c r="X503" i="11"/>
  <c r="X502" i="11"/>
  <c r="X501" i="11"/>
  <c r="X500" i="11"/>
  <c r="X499" i="11"/>
  <c r="X498" i="11"/>
  <c r="X497" i="11"/>
  <c r="X496" i="11"/>
  <c r="X495" i="11"/>
  <c r="X494" i="11"/>
  <c r="X493" i="11"/>
  <c r="X492" i="11"/>
  <c r="X491" i="11"/>
  <c r="X490" i="11"/>
  <c r="X489" i="11"/>
  <c r="X488" i="11"/>
  <c r="X487" i="11"/>
  <c r="X486" i="11"/>
  <c r="X485" i="11"/>
  <c r="X484" i="11"/>
  <c r="X483" i="11"/>
  <c r="X482" i="11"/>
  <c r="X481" i="11"/>
  <c r="X480" i="11"/>
  <c r="X479" i="11"/>
  <c r="X478" i="11"/>
  <c r="X477" i="11"/>
  <c r="X476" i="11"/>
  <c r="X475" i="11"/>
  <c r="X474" i="11"/>
  <c r="X473" i="11"/>
  <c r="X472" i="11"/>
  <c r="X471" i="11"/>
  <c r="X470" i="11"/>
  <c r="X469" i="11"/>
  <c r="X468" i="11"/>
  <c r="X467" i="11"/>
  <c r="X466" i="11"/>
  <c r="X465" i="11"/>
  <c r="X464" i="11"/>
  <c r="X463" i="11"/>
  <c r="X462" i="11"/>
  <c r="X461" i="11"/>
  <c r="X460" i="11"/>
  <c r="X459" i="11"/>
  <c r="X458" i="11"/>
  <c r="X457" i="11"/>
  <c r="X456" i="11"/>
  <c r="X455" i="11"/>
  <c r="X454" i="11"/>
  <c r="X453" i="11"/>
  <c r="X452" i="11"/>
  <c r="X451" i="11"/>
  <c r="X450" i="11"/>
  <c r="X449" i="11"/>
  <c r="X448" i="11"/>
  <c r="X447" i="11"/>
  <c r="X446" i="11"/>
  <c r="X445" i="11"/>
  <c r="X444" i="11"/>
  <c r="X443" i="11"/>
  <c r="X442" i="11"/>
  <c r="X441" i="11"/>
  <c r="X440" i="11"/>
  <c r="X439" i="11"/>
  <c r="X438" i="11"/>
  <c r="X437" i="11"/>
  <c r="X436" i="11"/>
  <c r="X435" i="11"/>
  <c r="X434" i="11"/>
  <c r="X433" i="11"/>
  <c r="X432" i="11"/>
  <c r="X431" i="11"/>
  <c r="X430" i="11"/>
  <c r="X429" i="11"/>
  <c r="X428" i="11"/>
  <c r="X427" i="11"/>
  <c r="X426" i="11"/>
  <c r="X425" i="11"/>
  <c r="X424" i="11"/>
  <c r="X423" i="11"/>
  <c r="X422" i="11"/>
  <c r="X421" i="11"/>
  <c r="X420" i="11"/>
  <c r="X419" i="11"/>
  <c r="X418" i="11"/>
  <c r="X417" i="11"/>
  <c r="X416" i="11"/>
  <c r="X415" i="11"/>
  <c r="X414" i="11"/>
  <c r="X413" i="11"/>
  <c r="X412" i="11"/>
  <c r="X411" i="11"/>
  <c r="X410" i="11"/>
  <c r="X409" i="11"/>
  <c r="X408" i="11"/>
  <c r="X407" i="11"/>
  <c r="X406" i="11"/>
  <c r="X405" i="11"/>
  <c r="X404" i="11"/>
  <c r="X403" i="11"/>
  <c r="X402" i="11"/>
  <c r="X401" i="11"/>
  <c r="X400" i="11"/>
  <c r="X399" i="11"/>
  <c r="X398" i="11"/>
  <c r="X397" i="11"/>
  <c r="X396" i="11"/>
  <c r="X395" i="11"/>
  <c r="X394" i="11"/>
  <c r="X393" i="11"/>
  <c r="X392" i="11"/>
  <c r="X391" i="11"/>
  <c r="X390" i="11"/>
  <c r="X389" i="11"/>
  <c r="X388" i="11"/>
  <c r="X387" i="11"/>
  <c r="X386" i="11"/>
  <c r="X385" i="11"/>
  <c r="X384" i="11"/>
  <c r="X383" i="11"/>
  <c r="X382" i="11"/>
  <c r="X381" i="11"/>
  <c r="X380" i="11"/>
  <c r="X379" i="11"/>
  <c r="X378" i="11"/>
  <c r="X377" i="11"/>
  <c r="X376" i="11"/>
  <c r="X375" i="11"/>
  <c r="X374" i="11"/>
  <c r="X373" i="11"/>
  <c r="X372" i="11"/>
  <c r="X371" i="11"/>
  <c r="X370" i="11"/>
  <c r="X369" i="11"/>
  <c r="X368" i="11"/>
  <c r="X367" i="11"/>
  <c r="X366" i="11"/>
  <c r="X365" i="11"/>
  <c r="X364" i="11"/>
  <c r="X363" i="11"/>
  <c r="X362" i="11"/>
  <c r="X361" i="11"/>
  <c r="X360" i="11"/>
  <c r="X359" i="11"/>
  <c r="X358" i="11"/>
  <c r="X357" i="11"/>
  <c r="X356" i="11"/>
  <c r="X355" i="11"/>
  <c r="X354" i="11"/>
  <c r="X353" i="11"/>
  <c r="X352" i="11"/>
  <c r="X351" i="11"/>
  <c r="X350" i="11"/>
  <c r="X349" i="11"/>
  <c r="X348" i="11"/>
  <c r="X347" i="11"/>
  <c r="X346" i="11"/>
  <c r="X345" i="11"/>
  <c r="X344" i="11"/>
  <c r="X343" i="11"/>
  <c r="X342" i="11"/>
  <c r="X341" i="11"/>
  <c r="X340" i="11"/>
  <c r="X339" i="11"/>
  <c r="X338" i="11"/>
  <c r="X337" i="11"/>
  <c r="X336" i="11"/>
  <c r="X335" i="11"/>
  <c r="X334" i="11"/>
  <c r="X333" i="11"/>
  <c r="X332" i="11"/>
  <c r="X331" i="11"/>
  <c r="X330" i="11"/>
  <c r="X329" i="11"/>
  <c r="X328" i="11"/>
  <c r="X327" i="11"/>
  <c r="X326" i="11"/>
  <c r="X325" i="11"/>
  <c r="X324" i="11"/>
  <c r="X323" i="11"/>
  <c r="X322" i="11"/>
  <c r="X321" i="11"/>
  <c r="X320" i="11"/>
  <c r="X319" i="11"/>
  <c r="X318" i="11"/>
  <c r="X317" i="11"/>
  <c r="X316" i="11"/>
  <c r="X315" i="11"/>
  <c r="X314" i="11"/>
  <c r="X313" i="11"/>
  <c r="X312" i="11"/>
  <c r="X311" i="11"/>
  <c r="X310" i="11"/>
  <c r="X309" i="11"/>
  <c r="X308" i="11"/>
  <c r="X307" i="11"/>
  <c r="X306" i="11"/>
  <c r="X305" i="11"/>
  <c r="X304" i="11"/>
  <c r="X303" i="11"/>
  <c r="X302" i="11"/>
  <c r="X301" i="11"/>
  <c r="X300" i="11"/>
  <c r="X299" i="11"/>
  <c r="X298" i="11"/>
  <c r="X297" i="11"/>
  <c r="X296" i="11"/>
  <c r="X295" i="11"/>
  <c r="X294" i="11"/>
  <c r="X293" i="11"/>
  <c r="X292" i="11"/>
  <c r="X291" i="11"/>
  <c r="X290" i="11"/>
  <c r="X289" i="11"/>
  <c r="X288" i="11"/>
  <c r="X287" i="11"/>
  <c r="X286" i="11"/>
  <c r="X285" i="11"/>
  <c r="X284" i="11"/>
  <c r="X283" i="11"/>
  <c r="X282" i="11"/>
  <c r="X281" i="11"/>
  <c r="X280" i="11"/>
  <c r="X279" i="11"/>
  <c r="X278" i="11"/>
  <c r="X277" i="11"/>
  <c r="X276" i="11"/>
  <c r="X275" i="11"/>
  <c r="X274" i="11"/>
  <c r="X273" i="11"/>
  <c r="X272" i="11"/>
  <c r="X271" i="11"/>
  <c r="X270" i="11"/>
  <c r="X269" i="11"/>
  <c r="X268" i="11"/>
  <c r="X267" i="11"/>
  <c r="X266" i="11"/>
  <c r="X265" i="11"/>
  <c r="X264" i="11"/>
  <c r="X263" i="11"/>
  <c r="X262" i="11"/>
  <c r="X261" i="11"/>
  <c r="X260" i="11"/>
  <c r="X259" i="11"/>
  <c r="X258" i="11"/>
  <c r="X257" i="11"/>
  <c r="X256" i="11"/>
  <c r="X255" i="11"/>
  <c r="X254" i="11"/>
  <c r="X253" i="11"/>
  <c r="X252" i="11"/>
  <c r="X251" i="11"/>
  <c r="X250" i="11"/>
  <c r="X249" i="11"/>
  <c r="X248" i="11"/>
  <c r="X247" i="11"/>
  <c r="X246" i="11"/>
  <c r="X245" i="11"/>
  <c r="X244" i="11"/>
  <c r="X243" i="11"/>
  <c r="X242" i="11"/>
  <c r="X241" i="11"/>
  <c r="X240" i="11"/>
  <c r="X239" i="11"/>
  <c r="X238" i="11"/>
  <c r="X237" i="11"/>
  <c r="X236" i="11"/>
  <c r="X235" i="11"/>
  <c r="X234" i="11"/>
  <c r="X233" i="11"/>
  <c r="X232" i="11"/>
  <c r="X231" i="11"/>
  <c r="X230" i="11"/>
  <c r="X229" i="11"/>
  <c r="X228" i="11"/>
  <c r="X227" i="11"/>
  <c r="X226" i="11"/>
  <c r="X225" i="11"/>
  <c r="X224" i="11"/>
  <c r="X223" i="11"/>
  <c r="X222" i="11"/>
  <c r="X221" i="11"/>
  <c r="X220" i="11"/>
  <c r="X219" i="11"/>
  <c r="X218" i="11"/>
  <c r="X217" i="11"/>
  <c r="X216" i="11"/>
  <c r="X215" i="11"/>
  <c r="X214" i="11"/>
  <c r="X213" i="11"/>
  <c r="X212" i="11"/>
  <c r="X211" i="11"/>
  <c r="X210" i="11"/>
  <c r="X209" i="11"/>
  <c r="X208" i="11"/>
  <c r="X207" i="11"/>
  <c r="X206" i="11"/>
  <c r="X205" i="11"/>
  <c r="X204" i="11"/>
  <c r="X203" i="11"/>
  <c r="X202" i="11"/>
  <c r="X201" i="11"/>
  <c r="X200" i="11"/>
  <c r="X199" i="11"/>
  <c r="X198" i="11"/>
  <c r="X197" i="11"/>
  <c r="X196" i="11"/>
  <c r="X195" i="11"/>
  <c r="X194" i="11"/>
  <c r="X193" i="11"/>
  <c r="X192" i="11"/>
  <c r="X191" i="11"/>
  <c r="X190" i="11"/>
  <c r="X189" i="11"/>
  <c r="X188" i="11"/>
  <c r="X187" i="11"/>
  <c r="X186" i="11"/>
  <c r="X185" i="11"/>
  <c r="X184" i="11"/>
  <c r="X183" i="11"/>
  <c r="X182" i="11"/>
  <c r="X181" i="11"/>
  <c r="X180" i="11"/>
  <c r="X179" i="11"/>
  <c r="X178" i="11"/>
  <c r="X177" i="11"/>
  <c r="X176" i="11"/>
  <c r="X175" i="11"/>
  <c r="X174" i="11"/>
  <c r="X173" i="11"/>
  <c r="X172" i="11"/>
  <c r="X171" i="11"/>
  <c r="X170" i="11"/>
  <c r="X169" i="11"/>
  <c r="X168" i="11"/>
  <c r="X167" i="11"/>
  <c r="X166" i="11"/>
  <c r="X165" i="11"/>
  <c r="X164" i="11"/>
  <c r="X163" i="11"/>
  <c r="X162" i="11"/>
  <c r="X161" i="11"/>
  <c r="X160" i="11"/>
  <c r="X159" i="11"/>
  <c r="X158" i="11"/>
  <c r="X157" i="11"/>
  <c r="X156" i="11"/>
  <c r="X155" i="11"/>
  <c r="X154" i="11"/>
  <c r="X153" i="11"/>
  <c r="X152" i="11"/>
  <c r="X151" i="11"/>
  <c r="X150" i="11"/>
  <c r="X149" i="11"/>
  <c r="X148" i="11"/>
  <c r="X147" i="11"/>
  <c r="X146" i="11"/>
  <c r="X145" i="11"/>
  <c r="X144" i="11"/>
  <c r="X143" i="11"/>
  <c r="X142" i="11"/>
  <c r="X141" i="11"/>
  <c r="X140" i="11"/>
  <c r="X139" i="11"/>
  <c r="X138" i="11"/>
  <c r="X137" i="11"/>
  <c r="X136" i="11"/>
  <c r="X135" i="11"/>
  <c r="X134" i="11"/>
  <c r="X133" i="11"/>
  <c r="X132" i="11"/>
  <c r="X131" i="11"/>
  <c r="X130" i="11"/>
  <c r="X129" i="11"/>
  <c r="X128"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E13" i="9"/>
  <c r="E12" i="9"/>
  <c r="E11" i="9"/>
  <c r="E10" i="9"/>
  <c r="E9" i="9"/>
  <c r="H11" i="7"/>
  <c r="H10" i="7"/>
  <c r="H9" i="7"/>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A19" i="3"/>
  <c r="CA416" i="2"/>
  <c r="BW416" i="2"/>
  <c r="F416" i="2"/>
  <c r="D416" i="2"/>
  <c r="CA415" i="2"/>
  <c r="BW415" i="2"/>
  <c r="AP415" i="2"/>
  <c r="Y415" i="2"/>
  <c r="F415" i="2"/>
  <c r="D415" i="2"/>
  <c r="CA414" i="2"/>
  <c r="BW414" i="2"/>
  <c r="AP414" i="2"/>
  <c r="Y414" i="2"/>
  <c r="F414" i="2"/>
  <c r="D414" i="2"/>
  <c r="CA413" i="2"/>
  <c r="BW413" i="2"/>
  <c r="AP413" i="2"/>
  <c r="Y413" i="2"/>
  <c r="F413" i="2"/>
  <c r="D413" i="2"/>
  <c r="CA412" i="2"/>
  <c r="BW412" i="2"/>
  <c r="AP412" i="2"/>
  <c r="Y412" i="2"/>
  <c r="F412" i="2"/>
  <c r="D412" i="2"/>
  <c r="CA411" i="2"/>
  <c r="BW411" i="2"/>
  <c r="AP411" i="2"/>
  <c r="Y411" i="2"/>
  <c r="F411" i="2"/>
  <c r="D411" i="2"/>
  <c r="CA410" i="2"/>
  <c r="BW410" i="2"/>
  <c r="AP410" i="2"/>
  <c r="Y410" i="2"/>
  <c r="F410" i="2"/>
  <c r="D410" i="2"/>
  <c r="CA409" i="2"/>
  <c r="BW409" i="2"/>
  <c r="AP409" i="2"/>
  <c r="Y409" i="2"/>
  <c r="F409" i="2"/>
  <c r="D409" i="2"/>
  <c r="CA408" i="2"/>
  <c r="BW408" i="2"/>
  <c r="AP408" i="2"/>
  <c r="Y408" i="2"/>
  <c r="F408" i="2"/>
  <c r="D408" i="2"/>
  <c r="CA407" i="2"/>
  <c r="BW407" i="2"/>
  <c r="AP407" i="2"/>
  <c r="Y407" i="2"/>
  <c r="F407" i="2"/>
  <c r="D407" i="2"/>
  <c r="CA406" i="2"/>
  <c r="BW406" i="2"/>
  <c r="AP406" i="2"/>
  <c r="Y406" i="2"/>
  <c r="F406" i="2"/>
  <c r="D406" i="2"/>
  <c r="CA405" i="2"/>
  <c r="BW405" i="2"/>
  <c r="AP405" i="2"/>
  <c r="Y405" i="2"/>
  <c r="F405" i="2"/>
  <c r="D405" i="2"/>
  <c r="CA404" i="2"/>
  <c r="BW404" i="2"/>
  <c r="AP404" i="2"/>
  <c r="Y404" i="2"/>
  <c r="F404" i="2"/>
  <c r="D404" i="2"/>
  <c r="CA403" i="2"/>
  <c r="BW403" i="2"/>
  <c r="AP403" i="2"/>
  <c r="Y403" i="2"/>
  <c r="F403" i="2"/>
  <c r="D403" i="2"/>
  <c r="CA402" i="2"/>
  <c r="BW402" i="2"/>
  <c r="F402" i="2"/>
  <c r="D402" i="2"/>
  <c r="CA401" i="2"/>
  <c r="BW401" i="2"/>
  <c r="AP401" i="2"/>
  <c r="Y401" i="2"/>
  <c r="F401" i="2"/>
  <c r="D401" i="2"/>
  <c r="CA400" i="2"/>
  <c r="AP400" i="2"/>
  <c r="Y400" i="2"/>
  <c r="F400" i="2"/>
  <c r="D400" i="2"/>
  <c r="CA399" i="2"/>
  <c r="AP399" i="2"/>
  <c r="Y399" i="2"/>
  <c r="F399" i="2"/>
  <c r="D399" i="2"/>
  <c r="CA398" i="2"/>
  <c r="AP398" i="2"/>
  <c r="Y398" i="2"/>
  <c r="F398" i="2"/>
  <c r="D398" i="2"/>
  <c r="CA397" i="2"/>
  <c r="AP397" i="2"/>
  <c r="Y397" i="2"/>
  <c r="F397" i="2"/>
  <c r="D397" i="2"/>
  <c r="CA396" i="2"/>
  <c r="AP396" i="2"/>
  <c r="Y396" i="2"/>
  <c r="F396" i="2"/>
  <c r="D396" i="2"/>
  <c r="CA395" i="2"/>
  <c r="AP395" i="2"/>
  <c r="Y395" i="2"/>
  <c r="F395" i="2"/>
  <c r="D395" i="2"/>
  <c r="CA394" i="2"/>
  <c r="AP394" i="2"/>
  <c r="Y394" i="2"/>
  <c r="F394" i="2"/>
  <c r="D394" i="2"/>
  <c r="CA393" i="2"/>
  <c r="AP393" i="2"/>
  <c r="Y393" i="2"/>
  <c r="F393" i="2"/>
  <c r="D393" i="2"/>
  <c r="CA392" i="2"/>
  <c r="AP392" i="2"/>
  <c r="Y392" i="2"/>
  <c r="F392" i="2"/>
  <c r="D392" i="2"/>
  <c r="CA391" i="2"/>
  <c r="AP391" i="2"/>
  <c r="Y391" i="2"/>
  <c r="F391" i="2"/>
  <c r="D391" i="2"/>
  <c r="CA390" i="2"/>
  <c r="AP390" i="2"/>
  <c r="Y390" i="2"/>
  <c r="F390" i="2"/>
  <c r="D390" i="2"/>
  <c r="CA389" i="2"/>
  <c r="AP389" i="2"/>
  <c r="Y389" i="2"/>
  <c r="F389" i="2"/>
  <c r="D389" i="2"/>
  <c r="CA388" i="2"/>
  <c r="AP388" i="2"/>
  <c r="Y388" i="2"/>
  <c r="F388" i="2"/>
  <c r="D388" i="2"/>
  <c r="CA387" i="2"/>
  <c r="AP387" i="2"/>
  <c r="Y387" i="2"/>
  <c r="F387" i="2"/>
  <c r="D387" i="2"/>
  <c r="CA386" i="2"/>
  <c r="AP386" i="2"/>
  <c r="Y386" i="2"/>
  <c r="F386" i="2"/>
  <c r="D386" i="2"/>
  <c r="CA385" i="2"/>
  <c r="AP385" i="2"/>
  <c r="Y385" i="2"/>
  <c r="F385" i="2"/>
  <c r="D385" i="2"/>
  <c r="CA384" i="2"/>
  <c r="AP384" i="2"/>
  <c r="Y384" i="2"/>
  <c r="F384" i="2"/>
  <c r="D384" i="2"/>
  <c r="CA383" i="2"/>
  <c r="AP383" i="2"/>
  <c r="Y383" i="2"/>
  <c r="F383" i="2"/>
  <c r="D383" i="2"/>
  <c r="CA382" i="2"/>
  <c r="AP382" i="2"/>
  <c r="Y382" i="2"/>
  <c r="F382" i="2"/>
  <c r="D382" i="2"/>
  <c r="CA381" i="2"/>
  <c r="AP381" i="2"/>
  <c r="Y381" i="2"/>
  <c r="F381" i="2"/>
  <c r="D381" i="2"/>
  <c r="CA380" i="2"/>
  <c r="AP380" i="2"/>
  <c r="Y380" i="2"/>
  <c r="F380" i="2"/>
  <c r="D380" i="2"/>
  <c r="CA379" i="2"/>
  <c r="F379" i="2"/>
  <c r="D379" i="2"/>
  <c r="CA378" i="2"/>
  <c r="F378" i="2"/>
  <c r="D378" i="2"/>
  <c r="CA377" i="2"/>
  <c r="F377" i="2"/>
  <c r="D377" i="2"/>
  <c r="CA376" i="2"/>
  <c r="F376" i="2"/>
  <c r="D376" i="2"/>
  <c r="CA375" i="2"/>
  <c r="F375" i="2"/>
  <c r="D375" i="2"/>
  <c r="CA374" i="2"/>
  <c r="F374" i="2"/>
  <c r="D374" i="2"/>
  <c r="CA373" i="2"/>
  <c r="F373" i="2"/>
  <c r="D373" i="2"/>
  <c r="CA372" i="2"/>
  <c r="F372" i="2"/>
  <c r="D372" i="2"/>
  <c r="CA371" i="2"/>
  <c r="F371" i="2"/>
  <c r="D371" i="2"/>
  <c r="CA370" i="2"/>
  <c r="F370" i="2"/>
  <c r="D370" i="2"/>
  <c r="CA369" i="2"/>
  <c r="F369" i="2"/>
  <c r="D369" i="2"/>
  <c r="CA368" i="2"/>
  <c r="F368" i="2"/>
  <c r="D368" i="2"/>
  <c r="CA367" i="2"/>
  <c r="F367" i="2"/>
  <c r="D367" i="2"/>
  <c r="CA366" i="2"/>
  <c r="F366" i="2"/>
  <c r="D366" i="2"/>
  <c r="CA365" i="2"/>
  <c r="F365" i="2"/>
  <c r="D365" i="2"/>
  <c r="CA364" i="2"/>
  <c r="F364" i="2"/>
  <c r="D364" i="2"/>
  <c r="CA363" i="2"/>
  <c r="F363" i="2"/>
  <c r="D363" i="2"/>
  <c r="CA362" i="2"/>
  <c r="F362" i="2"/>
  <c r="D362" i="2"/>
  <c r="CA361" i="2"/>
  <c r="BW361" i="2"/>
  <c r="F361" i="2"/>
  <c r="D361" i="2"/>
  <c r="CA360" i="2"/>
  <c r="AP360" i="2"/>
  <c r="Y360" i="2"/>
  <c r="F360" i="2"/>
  <c r="D360" i="2"/>
  <c r="CA359" i="2"/>
  <c r="AP359" i="2"/>
  <c r="Y359" i="2"/>
  <c r="F359" i="2"/>
  <c r="D359" i="2"/>
  <c r="CA358" i="2"/>
  <c r="AP358" i="2"/>
  <c r="Y358" i="2"/>
  <c r="F358" i="2"/>
  <c r="D358" i="2"/>
  <c r="CA357" i="2"/>
  <c r="AP357" i="2"/>
  <c r="Y357" i="2"/>
  <c r="F357" i="2"/>
  <c r="D357" i="2"/>
  <c r="CA356" i="2"/>
  <c r="AP356" i="2"/>
  <c r="Y356" i="2"/>
  <c r="F356" i="2"/>
  <c r="D356" i="2"/>
  <c r="CA355" i="2"/>
  <c r="AP355" i="2"/>
  <c r="Y355" i="2"/>
  <c r="F355" i="2"/>
  <c r="D355" i="2"/>
  <c r="CA354" i="2"/>
  <c r="AP354" i="2"/>
  <c r="Y354" i="2"/>
  <c r="F354" i="2"/>
  <c r="D354" i="2"/>
  <c r="CA353" i="2"/>
  <c r="AP353" i="2"/>
  <c r="Y353" i="2"/>
  <c r="F353" i="2"/>
  <c r="D353" i="2"/>
  <c r="CA352" i="2"/>
  <c r="BW352" i="2"/>
  <c r="AP352" i="2"/>
  <c r="Y352" i="2"/>
  <c r="F352" i="2"/>
  <c r="D352" i="2"/>
  <c r="CA351" i="2"/>
  <c r="AP351" i="2"/>
  <c r="Y351" i="2"/>
  <c r="F351" i="2"/>
  <c r="D351" i="2"/>
  <c r="CA350" i="2"/>
  <c r="BW350" i="2"/>
  <c r="AP350" i="2"/>
  <c r="Y350" i="2"/>
  <c r="F350" i="2"/>
  <c r="D350" i="2"/>
  <c r="CA349" i="2"/>
  <c r="BW349" i="2"/>
  <c r="AP349" i="2"/>
  <c r="Y349" i="2"/>
  <c r="F349" i="2"/>
  <c r="D349" i="2"/>
  <c r="CA348" i="2"/>
  <c r="BW348" i="2"/>
  <c r="AP348" i="2"/>
  <c r="Y348" i="2"/>
  <c r="F348" i="2"/>
  <c r="D348" i="2"/>
  <c r="CA347" i="2"/>
  <c r="BW347" i="2"/>
  <c r="AP347" i="2"/>
  <c r="Y347" i="2"/>
  <c r="F347" i="2"/>
  <c r="D347" i="2"/>
  <c r="CA346" i="2"/>
  <c r="BW346" i="2"/>
  <c r="AP346" i="2"/>
  <c r="Y346" i="2"/>
  <c r="F346" i="2"/>
  <c r="D346" i="2"/>
  <c r="CA345" i="2"/>
  <c r="BW345" i="2"/>
  <c r="AP345" i="2"/>
  <c r="Y345" i="2"/>
  <c r="F345" i="2"/>
  <c r="D345" i="2"/>
  <c r="CA344" i="2"/>
  <c r="BW344" i="2"/>
  <c r="AP344" i="2"/>
  <c r="Y344" i="2"/>
  <c r="F344" i="2"/>
  <c r="D344" i="2"/>
  <c r="CA343" i="2"/>
  <c r="BW343" i="2"/>
  <c r="AP343" i="2"/>
  <c r="Y343" i="2"/>
  <c r="F343" i="2"/>
  <c r="D343" i="2"/>
  <c r="CA342" i="2"/>
  <c r="BW342" i="2"/>
  <c r="AP342" i="2"/>
  <c r="Y342" i="2"/>
  <c r="F342" i="2"/>
  <c r="D342" i="2"/>
  <c r="CA341" i="2"/>
  <c r="BW341" i="2"/>
  <c r="AP341" i="2"/>
  <c r="Y341" i="2"/>
  <c r="F341" i="2"/>
  <c r="D341" i="2"/>
  <c r="CA340" i="2"/>
  <c r="BW340" i="2"/>
  <c r="AP340" i="2"/>
  <c r="Y340" i="2"/>
  <c r="F340" i="2"/>
  <c r="D340" i="2"/>
  <c r="CA339" i="2"/>
  <c r="BW339" i="2"/>
  <c r="AP339" i="2"/>
  <c r="Y339" i="2"/>
  <c r="F339" i="2"/>
  <c r="D339" i="2"/>
  <c r="CA338" i="2"/>
  <c r="AP338" i="2"/>
  <c r="Y338" i="2"/>
  <c r="F338" i="2"/>
  <c r="D338" i="2"/>
  <c r="CA337" i="2"/>
  <c r="AP337" i="2"/>
  <c r="Y337" i="2"/>
  <c r="F337" i="2"/>
  <c r="D337" i="2"/>
  <c r="CA336" i="2"/>
  <c r="AP336" i="2"/>
  <c r="Y336" i="2"/>
  <c r="F336" i="2"/>
  <c r="D336" i="2"/>
  <c r="CA335" i="2"/>
  <c r="AP335" i="2"/>
  <c r="Y335" i="2"/>
  <c r="F335" i="2"/>
  <c r="D335" i="2"/>
  <c r="CA334" i="2"/>
  <c r="AP334" i="2"/>
  <c r="Y334" i="2"/>
  <c r="F334" i="2"/>
  <c r="D334" i="2"/>
  <c r="CA333" i="2"/>
  <c r="AP333" i="2"/>
  <c r="Y333" i="2"/>
  <c r="F333" i="2"/>
  <c r="D333" i="2"/>
  <c r="CA332" i="2"/>
  <c r="AP332" i="2"/>
  <c r="Y332" i="2"/>
  <c r="F332" i="2"/>
  <c r="D332" i="2"/>
  <c r="CA331" i="2"/>
  <c r="BW331" i="2"/>
  <c r="F331" i="2"/>
  <c r="D331" i="2"/>
  <c r="CA330" i="2"/>
  <c r="BW330" i="2"/>
  <c r="F330" i="2"/>
  <c r="D330" i="2"/>
  <c r="CA329" i="2"/>
  <c r="BW329" i="2"/>
  <c r="F329" i="2"/>
  <c r="D329" i="2"/>
  <c r="CA328" i="2"/>
  <c r="BW328" i="2"/>
  <c r="F328" i="2"/>
  <c r="D328" i="2"/>
  <c r="CA327" i="2"/>
  <c r="BW327" i="2"/>
  <c r="F327" i="2"/>
  <c r="D327" i="2"/>
  <c r="CA326" i="2"/>
  <c r="BW326" i="2"/>
  <c r="F326" i="2"/>
  <c r="D326" i="2"/>
  <c r="CA325" i="2"/>
  <c r="BW325" i="2"/>
  <c r="F325" i="2"/>
  <c r="D325" i="2"/>
  <c r="CA324" i="2"/>
  <c r="BW324" i="2"/>
  <c r="F324" i="2"/>
  <c r="D324" i="2"/>
  <c r="CA323" i="2"/>
  <c r="BW323" i="2"/>
  <c r="F323" i="2"/>
  <c r="D323" i="2"/>
  <c r="CA322" i="2"/>
  <c r="BW322" i="2"/>
  <c r="F322" i="2"/>
  <c r="D322" i="2"/>
  <c r="CA321" i="2"/>
  <c r="BW321" i="2"/>
  <c r="F321" i="2"/>
  <c r="D321" i="2"/>
  <c r="CA320" i="2"/>
  <c r="BW320" i="2"/>
  <c r="F320" i="2"/>
  <c r="D320" i="2"/>
  <c r="CA319" i="2"/>
  <c r="BW319" i="2"/>
  <c r="F319" i="2"/>
  <c r="D319" i="2"/>
  <c r="CA318" i="2"/>
  <c r="BW318" i="2"/>
  <c r="F318" i="2"/>
  <c r="D318" i="2"/>
  <c r="CA317" i="2"/>
  <c r="BW317" i="2"/>
  <c r="F317" i="2"/>
  <c r="D317" i="2"/>
  <c r="CA316" i="2"/>
  <c r="BW316" i="2"/>
  <c r="F316" i="2"/>
  <c r="D316" i="2"/>
  <c r="CA315" i="2"/>
  <c r="BW315" i="2"/>
  <c r="F315" i="2"/>
  <c r="D315" i="2"/>
  <c r="CA314" i="2"/>
  <c r="BW314" i="2"/>
  <c r="F314" i="2"/>
  <c r="D314" i="2"/>
  <c r="CA313" i="2"/>
  <c r="BW313" i="2"/>
  <c r="F313" i="2"/>
  <c r="D313" i="2"/>
  <c r="CA312" i="2"/>
  <c r="BW312" i="2"/>
  <c r="F312" i="2"/>
  <c r="D312" i="2"/>
  <c r="CA311" i="2"/>
  <c r="BW311" i="2"/>
  <c r="F311" i="2"/>
  <c r="D311" i="2"/>
  <c r="CA310" i="2"/>
  <c r="BW310" i="2"/>
  <c r="F310" i="2"/>
  <c r="D310" i="2"/>
  <c r="CA309" i="2"/>
  <c r="BW309" i="2"/>
  <c r="F309" i="2"/>
  <c r="D309" i="2"/>
  <c r="CA308" i="2"/>
  <c r="BW308" i="2"/>
  <c r="F308" i="2"/>
  <c r="D308" i="2"/>
  <c r="CA307" i="2"/>
  <c r="BW307" i="2"/>
  <c r="F307" i="2"/>
  <c r="D307" i="2"/>
  <c r="CA306" i="2"/>
  <c r="BW306" i="2"/>
  <c r="F306" i="2"/>
  <c r="D306" i="2"/>
  <c r="CA305" i="2"/>
  <c r="BW305" i="2"/>
  <c r="F305" i="2"/>
  <c r="D305" i="2"/>
  <c r="CA304" i="2"/>
  <c r="BW304" i="2"/>
  <c r="F304" i="2"/>
  <c r="D304" i="2"/>
  <c r="CA303" i="2"/>
  <c r="BW303" i="2"/>
  <c r="F303" i="2"/>
  <c r="D303" i="2"/>
  <c r="CA302" i="2"/>
  <c r="BW302" i="2"/>
  <c r="F302" i="2"/>
  <c r="D302" i="2"/>
  <c r="CA301" i="2"/>
  <c r="BW301" i="2"/>
  <c r="F301" i="2"/>
  <c r="D301" i="2"/>
  <c r="CA300" i="2"/>
  <c r="AP300" i="2"/>
  <c r="Y300" i="2"/>
  <c r="F300" i="2"/>
  <c r="D300" i="2"/>
  <c r="CA299" i="2"/>
  <c r="AP299" i="2"/>
  <c r="Y299" i="2"/>
  <c r="F299" i="2"/>
  <c r="D299" i="2"/>
  <c r="CA298" i="2"/>
  <c r="AP298" i="2"/>
  <c r="Y298" i="2"/>
  <c r="F298" i="2"/>
  <c r="D298" i="2"/>
  <c r="CA297" i="2"/>
  <c r="AP297" i="2"/>
  <c r="Y297" i="2"/>
  <c r="F297" i="2"/>
  <c r="D297" i="2"/>
  <c r="CA296" i="2"/>
  <c r="AP296" i="2"/>
  <c r="Y296" i="2"/>
  <c r="F296" i="2"/>
  <c r="D296" i="2"/>
  <c r="CA295" i="2"/>
  <c r="AP295" i="2"/>
  <c r="Y295" i="2"/>
  <c r="F295" i="2"/>
  <c r="D295" i="2"/>
  <c r="CA294" i="2"/>
  <c r="AP294" i="2"/>
  <c r="Y294" i="2"/>
  <c r="F294" i="2"/>
  <c r="D294" i="2"/>
  <c r="CA293" i="2"/>
  <c r="BW293" i="2"/>
  <c r="AP293" i="2"/>
  <c r="Y293" i="2"/>
  <c r="F293" i="2"/>
  <c r="D293" i="2"/>
  <c r="CA292" i="2"/>
  <c r="BW292" i="2"/>
  <c r="AP292" i="2"/>
  <c r="Y292" i="2"/>
  <c r="F292" i="2"/>
  <c r="D292" i="2"/>
  <c r="CA291" i="2"/>
  <c r="BW291" i="2"/>
  <c r="F291" i="2"/>
  <c r="D291" i="2"/>
  <c r="CA290" i="2"/>
  <c r="AP290" i="2"/>
  <c r="Y290" i="2"/>
  <c r="F290" i="2"/>
  <c r="D290" i="2"/>
  <c r="CA289" i="2"/>
  <c r="AP289" i="2"/>
  <c r="Y289" i="2"/>
  <c r="F289" i="2"/>
  <c r="D289" i="2"/>
  <c r="CA288" i="2"/>
  <c r="AP288" i="2"/>
  <c r="Y288" i="2"/>
  <c r="F288" i="2"/>
  <c r="D288" i="2"/>
  <c r="CA287" i="2"/>
  <c r="BW287" i="2"/>
  <c r="AP287" i="2"/>
  <c r="Y287" i="2"/>
  <c r="F287" i="2"/>
  <c r="D287" i="2"/>
  <c r="CA286" i="2"/>
  <c r="BW286" i="2"/>
  <c r="F286" i="2"/>
  <c r="D286" i="2"/>
  <c r="CA285" i="2"/>
  <c r="AP285" i="2"/>
  <c r="Y285" i="2"/>
  <c r="F285" i="2"/>
  <c r="D285" i="2"/>
  <c r="CA284" i="2"/>
  <c r="AP284" i="2"/>
  <c r="Y284" i="2"/>
  <c r="F284" i="2"/>
  <c r="D284" i="2"/>
  <c r="CA283" i="2"/>
  <c r="AP283" i="2"/>
  <c r="Y283" i="2"/>
  <c r="F283" i="2"/>
  <c r="D283" i="2"/>
  <c r="CA282" i="2"/>
  <c r="BW282" i="2"/>
  <c r="AP282" i="2"/>
  <c r="Y282" i="2"/>
  <c r="F282" i="2"/>
  <c r="D282" i="2"/>
  <c r="CA281" i="2"/>
  <c r="BW281" i="2"/>
  <c r="F281" i="2"/>
  <c r="D281" i="2"/>
  <c r="CA280" i="2"/>
  <c r="BW280" i="2"/>
  <c r="F280" i="2"/>
  <c r="D280" i="2"/>
  <c r="CA279" i="2"/>
  <c r="BW279" i="2"/>
  <c r="F279" i="2"/>
  <c r="D279" i="2"/>
  <c r="CA278" i="2"/>
  <c r="BW278" i="2"/>
  <c r="F278" i="2"/>
  <c r="D278" i="2"/>
  <c r="CA277" i="2"/>
  <c r="BW277" i="2"/>
  <c r="F277" i="2"/>
  <c r="D277" i="2"/>
  <c r="CA276" i="2"/>
  <c r="BW276" i="2"/>
  <c r="F276" i="2"/>
  <c r="D276" i="2"/>
  <c r="CA275" i="2"/>
  <c r="BW275" i="2"/>
  <c r="AP275" i="2"/>
  <c r="Y275" i="2"/>
  <c r="F275" i="2"/>
  <c r="D275" i="2"/>
  <c r="CA274" i="2"/>
  <c r="BW274" i="2"/>
  <c r="F274" i="2"/>
  <c r="D274" i="2"/>
  <c r="CA273" i="2"/>
  <c r="BW273" i="2"/>
  <c r="F273" i="2"/>
  <c r="D273" i="2"/>
  <c r="CA272" i="2"/>
  <c r="AP272" i="2"/>
  <c r="Y272" i="2"/>
  <c r="F272" i="2"/>
  <c r="D272" i="2"/>
  <c r="CA271" i="2"/>
  <c r="BW271" i="2"/>
  <c r="F271" i="2"/>
  <c r="D271" i="2"/>
  <c r="CA270" i="2"/>
  <c r="AP270" i="2"/>
  <c r="Y270" i="2"/>
  <c r="F270" i="2"/>
  <c r="D270" i="2"/>
  <c r="CA269" i="2"/>
  <c r="BW269" i="2"/>
  <c r="AP269" i="2"/>
  <c r="Y269" i="2"/>
  <c r="F269" i="2"/>
  <c r="D269" i="2"/>
  <c r="CA268" i="2"/>
  <c r="AP268" i="2"/>
  <c r="Y268" i="2"/>
  <c r="F268" i="2"/>
  <c r="D268" i="2"/>
  <c r="CA267" i="2"/>
  <c r="BW267" i="2"/>
  <c r="F267" i="2"/>
  <c r="D267" i="2"/>
  <c r="CA266" i="2"/>
  <c r="F266" i="2"/>
  <c r="D266" i="2"/>
  <c r="CA265" i="2"/>
  <c r="BW265" i="2"/>
  <c r="AP265" i="2"/>
  <c r="Y265" i="2"/>
  <c r="F265" i="2"/>
  <c r="D265" i="2"/>
  <c r="CA264" i="2"/>
  <c r="AP264" i="2"/>
  <c r="Y264" i="2"/>
  <c r="F264" i="2"/>
  <c r="D264" i="2"/>
  <c r="CA263" i="2"/>
  <c r="BW263" i="2"/>
  <c r="F263" i="2"/>
  <c r="D263" i="2"/>
  <c r="CA262" i="2"/>
  <c r="F262" i="2"/>
  <c r="D262" i="2"/>
  <c r="CA261" i="2"/>
  <c r="BW261" i="2"/>
  <c r="F261" i="2"/>
  <c r="D261" i="2"/>
  <c r="CA260" i="2"/>
  <c r="F260" i="2"/>
  <c r="D260" i="2"/>
  <c r="CA259" i="2"/>
  <c r="BW259" i="2"/>
  <c r="AP259" i="2"/>
  <c r="Y259" i="2"/>
  <c r="F259" i="2"/>
  <c r="D259" i="2"/>
  <c r="CA258" i="2"/>
  <c r="AP258" i="2"/>
  <c r="Y258" i="2"/>
  <c r="F258" i="2"/>
  <c r="D258" i="2"/>
  <c r="CA257" i="2"/>
  <c r="BW257" i="2"/>
  <c r="F257" i="2"/>
  <c r="D257" i="2"/>
  <c r="CA256" i="2"/>
  <c r="F256" i="2"/>
  <c r="D256" i="2"/>
  <c r="CA255" i="2"/>
  <c r="BW255" i="2"/>
  <c r="F255" i="2"/>
  <c r="D255" i="2"/>
  <c r="CA254" i="2"/>
  <c r="F254" i="2"/>
  <c r="D254" i="2"/>
  <c r="CA253" i="2"/>
  <c r="BW253" i="2"/>
  <c r="F253" i="2"/>
  <c r="D253" i="2"/>
  <c r="CA252" i="2"/>
  <c r="F252" i="2"/>
  <c r="D252" i="2"/>
  <c r="CA251" i="2"/>
  <c r="BW251" i="2"/>
  <c r="F251" i="2"/>
  <c r="D251" i="2"/>
  <c r="CA250" i="2"/>
  <c r="F250" i="2"/>
  <c r="D250" i="2"/>
  <c r="CA249" i="2"/>
  <c r="BW249" i="2"/>
  <c r="F249" i="2"/>
  <c r="D249" i="2"/>
  <c r="CA248" i="2"/>
  <c r="F248" i="2"/>
  <c r="D248" i="2"/>
  <c r="CA247" i="2"/>
  <c r="BW247" i="2"/>
  <c r="F247" i="2"/>
  <c r="D247" i="2"/>
  <c r="CA246" i="2"/>
  <c r="F246" i="2"/>
  <c r="D246" i="2"/>
  <c r="CA245" i="2"/>
  <c r="BW245" i="2"/>
  <c r="F245" i="2"/>
  <c r="D245" i="2"/>
  <c r="CA244" i="2"/>
  <c r="F244" i="2"/>
  <c r="D244" i="2"/>
  <c r="CA243" i="2"/>
  <c r="BW243" i="2"/>
  <c r="AP243" i="2"/>
  <c r="Y243" i="2"/>
  <c r="F243" i="2"/>
  <c r="D243" i="2"/>
  <c r="CA242" i="2"/>
  <c r="AP242" i="2"/>
  <c r="Y242" i="2"/>
  <c r="F242" i="2"/>
  <c r="D242" i="2"/>
  <c r="CA241" i="2"/>
  <c r="BW241" i="2"/>
  <c r="AP241" i="2"/>
  <c r="Y241" i="2"/>
  <c r="F241" i="2"/>
  <c r="D241" i="2"/>
  <c r="CA240" i="2"/>
  <c r="AP240" i="2"/>
  <c r="Y240" i="2"/>
  <c r="F240" i="2"/>
  <c r="D240" i="2"/>
  <c r="CA239" i="2"/>
  <c r="BW239" i="2"/>
  <c r="AP239" i="2"/>
  <c r="Y239" i="2"/>
  <c r="F239" i="2"/>
  <c r="D239" i="2"/>
  <c r="CA238" i="2"/>
  <c r="BW238" i="2"/>
  <c r="AP238" i="2"/>
  <c r="Y238" i="2"/>
  <c r="F238" i="2"/>
  <c r="D238" i="2"/>
  <c r="CA237" i="2"/>
  <c r="AP237" i="2"/>
  <c r="Y237" i="2"/>
  <c r="F237" i="2"/>
  <c r="D237" i="2"/>
  <c r="CA236" i="2"/>
  <c r="BW236" i="2"/>
  <c r="AP236" i="2"/>
  <c r="Y236" i="2"/>
  <c r="F236" i="2"/>
  <c r="D236" i="2"/>
  <c r="CA235" i="2"/>
  <c r="AP235" i="2"/>
  <c r="Y235" i="2"/>
  <c r="F235" i="2"/>
  <c r="D235" i="2"/>
  <c r="CA234" i="2"/>
  <c r="BW234" i="2"/>
  <c r="AP234" i="2"/>
  <c r="Y234" i="2"/>
  <c r="F234" i="2"/>
  <c r="D234" i="2"/>
  <c r="CA233" i="2"/>
  <c r="AP233" i="2"/>
  <c r="Y233" i="2"/>
  <c r="F233" i="2"/>
  <c r="D233" i="2"/>
  <c r="CA232" i="2"/>
  <c r="BW232" i="2"/>
  <c r="AP232" i="2"/>
  <c r="Y232" i="2"/>
  <c r="F232" i="2"/>
  <c r="D232" i="2"/>
  <c r="CA231" i="2"/>
  <c r="AP231" i="2"/>
  <c r="Y231" i="2"/>
  <c r="F231" i="2"/>
  <c r="D231" i="2"/>
  <c r="CA230" i="2"/>
  <c r="BW230" i="2"/>
  <c r="AP230" i="2"/>
  <c r="Y230" i="2"/>
  <c r="F230" i="2"/>
  <c r="D230" i="2"/>
  <c r="CA229" i="2"/>
  <c r="AP229" i="2"/>
  <c r="Y229" i="2"/>
  <c r="F229" i="2"/>
  <c r="D229" i="2"/>
  <c r="CA228" i="2"/>
  <c r="BW228" i="2"/>
  <c r="AP228" i="2"/>
  <c r="Y228" i="2"/>
  <c r="F228" i="2"/>
  <c r="D228" i="2"/>
  <c r="CA227" i="2"/>
  <c r="AP227" i="2"/>
  <c r="Y227" i="2"/>
  <c r="F227" i="2"/>
  <c r="D227" i="2"/>
  <c r="CA226" i="2"/>
  <c r="BW226" i="2"/>
  <c r="AP226" i="2"/>
  <c r="Y226" i="2"/>
  <c r="F226" i="2"/>
  <c r="D226" i="2"/>
  <c r="CA225" i="2"/>
  <c r="AP225" i="2"/>
  <c r="Y225" i="2"/>
  <c r="F225" i="2"/>
  <c r="D225" i="2"/>
  <c r="CA224" i="2"/>
  <c r="BW224" i="2"/>
  <c r="AP224" i="2"/>
  <c r="Y224" i="2"/>
  <c r="F224" i="2"/>
  <c r="D224" i="2"/>
  <c r="CA223" i="2"/>
  <c r="AP223" i="2"/>
  <c r="Y223" i="2"/>
  <c r="F223" i="2"/>
  <c r="D223" i="2"/>
  <c r="CA222" i="2"/>
  <c r="BW222" i="2"/>
  <c r="AP222" i="2"/>
  <c r="Y222" i="2"/>
  <c r="F222" i="2"/>
  <c r="D222" i="2"/>
  <c r="CA221" i="2"/>
  <c r="AP221" i="2"/>
  <c r="Y221" i="2"/>
  <c r="F221" i="2"/>
  <c r="D221" i="2"/>
  <c r="CA220" i="2"/>
  <c r="BW220" i="2"/>
  <c r="AP220" i="2"/>
  <c r="Y220" i="2"/>
  <c r="F220" i="2"/>
  <c r="D220" i="2"/>
  <c r="CA219" i="2"/>
  <c r="AP219" i="2"/>
  <c r="Y219" i="2"/>
  <c r="F219" i="2"/>
  <c r="D219" i="2"/>
  <c r="CA218" i="2"/>
  <c r="BW218" i="2"/>
  <c r="AP218" i="2"/>
  <c r="Y218" i="2"/>
  <c r="F218" i="2"/>
  <c r="D218" i="2"/>
  <c r="CA217" i="2"/>
  <c r="AP217" i="2"/>
  <c r="Y217" i="2"/>
  <c r="F217" i="2"/>
  <c r="D217" i="2"/>
  <c r="CA216" i="2"/>
  <c r="BW216" i="2"/>
  <c r="AP216" i="2"/>
  <c r="Y216" i="2"/>
  <c r="F216" i="2"/>
  <c r="D216" i="2"/>
  <c r="CA215" i="2"/>
  <c r="AP215" i="2"/>
  <c r="Y215" i="2"/>
  <c r="F215" i="2"/>
  <c r="D215" i="2"/>
  <c r="CA214" i="2"/>
  <c r="BW214" i="2"/>
  <c r="AP214" i="2"/>
  <c r="Y214" i="2"/>
  <c r="F214" i="2"/>
  <c r="D214" i="2"/>
  <c r="CA213" i="2"/>
  <c r="AP213" i="2"/>
  <c r="Y213" i="2"/>
  <c r="F213" i="2"/>
  <c r="D213" i="2"/>
  <c r="CA212" i="2"/>
  <c r="AP212" i="2"/>
  <c r="Y212" i="2"/>
  <c r="F212" i="2"/>
  <c r="D212" i="2"/>
  <c r="CA211" i="2"/>
  <c r="AP211" i="2"/>
  <c r="Y211" i="2"/>
  <c r="F211" i="2"/>
  <c r="D211" i="2"/>
  <c r="CA210" i="2"/>
  <c r="BW210" i="2"/>
  <c r="AP210" i="2"/>
  <c r="Y210" i="2"/>
  <c r="F210" i="2"/>
  <c r="D210" i="2"/>
  <c r="CA209" i="2"/>
  <c r="BW209" i="2"/>
  <c r="AP209" i="2"/>
  <c r="Y209" i="2"/>
  <c r="F209" i="2"/>
  <c r="D209" i="2"/>
  <c r="CA208" i="2"/>
  <c r="BW208" i="2"/>
  <c r="AP208" i="2"/>
  <c r="Y208" i="2"/>
  <c r="F208" i="2"/>
  <c r="D208" i="2"/>
  <c r="CA207" i="2"/>
  <c r="BW207" i="2"/>
  <c r="AP207" i="2"/>
  <c r="Y207" i="2"/>
  <c r="F207" i="2"/>
  <c r="D207" i="2"/>
  <c r="CA206" i="2"/>
  <c r="BW206" i="2"/>
  <c r="AP206" i="2"/>
  <c r="Y206" i="2"/>
  <c r="F206" i="2"/>
  <c r="D206" i="2"/>
  <c r="CA205" i="2"/>
  <c r="BW205" i="2"/>
  <c r="AP205" i="2"/>
  <c r="Y205" i="2"/>
  <c r="F205" i="2"/>
  <c r="D205" i="2"/>
  <c r="CA204" i="2"/>
  <c r="AP204" i="2"/>
  <c r="Y204" i="2"/>
  <c r="F204" i="2"/>
  <c r="D204" i="2"/>
  <c r="CA203" i="2"/>
  <c r="AP203" i="2"/>
  <c r="Y203" i="2"/>
  <c r="F203" i="2"/>
  <c r="D203" i="2"/>
  <c r="CA202" i="2"/>
  <c r="BW202" i="2"/>
  <c r="AP202" i="2"/>
  <c r="Y202" i="2"/>
  <c r="F202" i="2"/>
  <c r="D202" i="2"/>
  <c r="CA201" i="2"/>
  <c r="AP201" i="2"/>
  <c r="Y201" i="2"/>
  <c r="F201" i="2"/>
  <c r="D201" i="2"/>
  <c r="CA200" i="2"/>
  <c r="BW200" i="2"/>
  <c r="AP200" i="2"/>
  <c r="Y200" i="2"/>
  <c r="F200" i="2"/>
  <c r="D200" i="2"/>
  <c r="CA199" i="2"/>
  <c r="BW199" i="2"/>
  <c r="AP199" i="2"/>
  <c r="Y199" i="2"/>
  <c r="F199" i="2"/>
  <c r="D199" i="2"/>
  <c r="CA198" i="2"/>
  <c r="AP198" i="2"/>
  <c r="Y198" i="2"/>
  <c r="F198" i="2"/>
  <c r="D198" i="2"/>
  <c r="CA197" i="2"/>
  <c r="BW197" i="2"/>
  <c r="AP197" i="2"/>
  <c r="Y197" i="2"/>
  <c r="F197" i="2"/>
  <c r="D197" i="2"/>
  <c r="CA196" i="2"/>
  <c r="AP196" i="2"/>
  <c r="Y196" i="2"/>
  <c r="F196" i="2"/>
  <c r="D196" i="2"/>
  <c r="CA195" i="2"/>
  <c r="BW195" i="2"/>
  <c r="AP195" i="2"/>
  <c r="Y195" i="2"/>
  <c r="F195" i="2"/>
  <c r="D195" i="2"/>
  <c r="CA194" i="2"/>
  <c r="AP194" i="2"/>
  <c r="Y194" i="2"/>
  <c r="F194" i="2"/>
  <c r="D194" i="2"/>
  <c r="CA193" i="2"/>
  <c r="BW193" i="2"/>
  <c r="AP193" i="2"/>
  <c r="Y193" i="2"/>
  <c r="F193" i="2"/>
  <c r="D193" i="2"/>
  <c r="CA192" i="2"/>
  <c r="AP192" i="2"/>
  <c r="Y192" i="2"/>
  <c r="F192" i="2"/>
  <c r="D192" i="2"/>
  <c r="CA191" i="2"/>
  <c r="AP191" i="2"/>
  <c r="Y191" i="2"/>
  <c r="F191" i="2"/>
  <c r="D191" i="2"/>
  <c r="CA190" i="2"/>
  <c r="BW190" i="2"/>
  <c r="AP190" i="2"/>
  <c r="Y190" i="2"/>
  <c r="F190" i="2"/>
  <c r="D190" i="2"/>
  <c r="CA189" i="2"/>
  <c r="BW189" i="2"/>
  <c r="F189" i="2"/>
  <c r="D189" i="2"/>
  <c r="CA188" i="2"/>
  <c r="F188" i="2"/>
  <c r="D188" i="2"/>
  <c r="CA187" i="2"/>
  <c r="BW187" i="2"/>
  <c r="AP187" i="2"/>
  <c r="Y187" i="2"/>
  <c r="F187" i="2"/>
  <c r="D187" i="2"/>
  <c r="CA186" i="2"/>
  <c r="AP186" i="2"/>
  <c r="Y186" i="2"/>
  <c r="F186" i="2"/>
  <c r="D186" i="2"/>
  <c r="CA185" i="2"/>
  <c r="BW185" i="2"/>
  <c r="AP185" i="2"/>
  <c r="Y185" i="2"/>
  <c r="F185" i="2"/>
  <c r="D185" i="2"/>
  <c r="CA184" i="2"/>
  <c r="BW184" i="2"/>
  <c r="AP184" i="2"/>
  <c r="Y184" i="2"/>
  <c r="F184" i="2"/>
  <c r="D184" i="2"/>
  <c r="CA183" i="2"/>
  <c r="BW183" i="2"/>
  <c r="F183" i="2"/>
  <c r="D183" i="2"/>
  <c r="CA182" i="2"/>
  <c r="F182" i="2"/>
  <c r="D182" i="2"/>
  <c r="CA181" i="2"/>
  <c r="BW181" i="2"/>
  <c r="F181" i="2"/>
  <c r="D181" i="2"/>
  <c r="CA180" i="2"/>
  <c r="F180" i="2"/>
  <c r="D180" i="2"/>
  <c r="CA179" i="2"/>
  <c r="BW179" i="2"/>
  <c r="F179" i="2"/>
  <c r="D179" i="2"/>
  <c r="CA178" i="2"/>
  <c r="F178" i="2"/>
  <c r="D178" i="2"/>
  <c r="CA177" i="2"/>
  <c r="BW177" i="2"/>
  <c r="F177" i="2"/>
  <c r="D177" i="2"/>
  <c r="CA176" i="2"/>
  <c r="F176" i="2"/>
  <c r="D176" i="2"/>
  <c r="CA175" i="2"/>
  <c r="BW175" i="2"/>
  <c r="F175" i="2"/>
  <c r="D175" i="2"/>
  <c r="CA174" i="2"/>
  <c r="F174" i="2"/>
  <c r="D174" i="2"/>
  <c r="CA173" i="2"/>
  <c r="F173" i="2"/>
  <c r="D173" i="2"/>
  <c r="CA172" i="2"/>
  <c r="BW172" i="2"/>
  <c r="F172" i="2"/>
  <c r="D172" i="2"/>
  <c r="CA171" i="2"/>
  <c r="F171" i="2"/>
  <c r="D171" i="2"/>
  <c r="CA170" i="2"/>
  <c r="BW170" i="2"/>
  <c r="F170" i="2"/>
  <c r="D170" i="2"/>
  <c r="CA169" i="2"/>
  <c r="BW169" i="2"/>
  <c r="F169" i="2"/>
  <c r="D169" i="2"/>
  <c r="CA168" i="2"/>
  <c r="BW168" i="2"/>
  <c r="F168" i="2"/>
  <c r="D168" i="2"/>
  <c r="CA167" i="2"/>
  <c r="BW167" i="2"/>
  <c r="F167" i="2"/>
  <c r="D167" i="2"/>
  <c r="CA166" i="2"/>
  <c r="BW166" i="2"/>
  <c r="F166" i="2"/>
  <c r="D166" i="2"/>
  <c r="CA165" i="2"/>
  <c r="F165" i="2"/>
  <c r="D165" i="2"/>
  <c r="CA164" i="2"/>
  <c r="BW164" i="2"/>
  <c r="F164" i="2"/>
  <c r="D164" i="2"/>
  <c r="CA163" i="2"/>
  <c r="F163" i="2"/>
  <c r="D163" i="2"/>
  <c r="CA162" i="2"/>
  <c r="BW162" i="2"/>
  <c r="AP162" i="2"/>
  <c r="Y162" i="2"/>
  <c r="F162" i="2"/>
  <c r="D162" i="2"/>
  <c r="CA161" i="2"/>
  <c r="AP161" i="2"/>
  <c r="Y161" i="2"/>
  <c r="F161" i="2"/>
  <c r="D161" i="2"/>
  <c r="CA160" i="2"/>
  <c r="AP160" i="2"/>
  <c r="Y160" i="2"/>
  <c r="F160" i="2"/>
  <c r="D160" i="2"/>
  <c r="CA159" i="2"/>
  <c r="AP159" i="2"/>
  <c r="Y159" i="2"/>
  <c r="F159" i="2"/>
  <c r="D159" i="2"/>
  <c r="CA158" i="2"/>
  <c r="BW158" i="2"/>
  <c r="AP158" i="2"/>
  <c r="Y158" i="2"/>
  <c r="F158" i="2"/>
  <c r="D158" i="2"/>
  <c r="CA157" i="2"/>
  <c r="AP157" i="2"/>
  <c r="Y157" i="2"/>
  <c r="F157" i="2"/>
  <c r="D157" i="2"/>
  <c r="CA156" i="2"/>
  <c r="AP156" i="2"/>
  <c r="Y156" i="2"/>
  <c r="F156" i="2"/>
  <c r="D156" i="2"/>
  <c r="CA155" i="2"/>
  <c r="BW155" i="2"/>
  <c r="AP155" i="2"/>
  <c r="Y155" i="2"/>
  <c r="F155" i="2"/>
  <c r="D155" i="2"/>
  <c r="CA154" i="2"/>
  <c r="BW154" i="2"/>
  <c r="F154" i="2"/>
  <c r="D154" i="2"/>
  <c r="CA153" i="2"/>
  <c r="F153" i="2"/>
  <c r="D153" i="2"/>
  <c r="CA152" i="2"/>
  <c r="BW152" i="2"/>
  <c r="F152" i="2"/>
  <c r="D152" i="2"/>
  <c r="CA151" i="2"/>
  <c r="F151" i="2"/>
  <c r="D151" i="2"/>
  <c r="CA150" i="2"/>
  <c r="BW150" i="2"/>
  <c r="F150" i="2"/>
  <c r="D150" i="2"/>
  <c r="CA149" i="2"/>
  <c r="F149" i="2"/>
  <c r="D149" i="2"/>
  <c r="CA148" i="2"/>
  <c r="BW148" i="2"/>
  <c r="F148" i="2"/>
  <c r="D148" i="2"/>
  <c r="CA147" i="2"/>
  <c r="F147" i="2"/>
  <c r="D147" i="2"/>
  <c r="CA146" i="2"/>
  <c r="BW146" i="2"/>
  <c r="F146" i="2"/>
  <c r="D146" i="2"/>
  <c r="CA145" i="2"/>
  <c r="F145" i="2"/>
  <c r="D145" i="2"/>
  <c r="CA144" i="2"/>
  <c r="BW144" i="2"/>
  <c r="F144" i="2"/>
  <c r="D144" i="2"/>
  <c r="CA143" i="2"/>
  <c r="F143" i="2"/>
  <c r="D143" i="2"/>
  <c r="CA142" i="2"/>
  <c r="BW142" i="2"/>
  <c r="F142" i="2"/>
  <c r="CA141" i="2"/>
  <c r="F141" i="2"/>
  <c r="D141" i="2"/>
  <c r="CA140" i="2"/>
  <c r="BW140" i="2"/>
  <c r="F140" i="2"/>
  <c r="D140" i="2"/>
  <c r="CA139" i="2"/>
  <c r="F139" i="2"/>
  <c r="D139" i="2"/>
  <c r="CA138" i="2"/>
  <c r="BW138" i="2"/>
  <c r="AP138" i="2"/>
  <c r="Y138" i="2"/>
  <c r="F138" i="2"/>
  <c r="D138" i="2"/>
  <c r="CA137" i="2"/>
  <c r="AP137" i="2"/>
  <c r="Y137" i="2"/>
  <c r="F137" i="2"/>
  <c r="D137" i="2"/>
  <c r="CA136" i="2"/>
  <c r="F136" i="2"/>
  <c r="D136" i="2"/>
  <c r="CA135" i="2"/>
  <c r="BW135" i="2"/>
  <c r="F135" i="2"/>
  <c r="D135" i="2"/>
  <c r="CA134" i="2"/>
  <c r="BW134" i="2"/>
  <c r="AP134" i="2"/>
  <c r="Y134" i="2"/>
  <c r="F134" i="2"/>
  <c r="D134" i="2"/>
  <c r="CA133" i="2"/>
  <c r="BW133" i="2"/>
  <c r="F133" i="2"/>
  <c r="D133" i="2"/>
  <c r="CA132" i="2"/>
  <c r="F132" i="2"/>
  <c r="D132" i="2"/>
  <c r="CA131" i="2"/>
  <c r="BW131" i="2"/>
  <c r="F131" i="2"/>
  <c r="D131" i="2"/>
  <c r="CA130" i="2"/>
  <c r="F130" i="2"/>
  <c r="CA129" i="2"/>
  <c r="BW129" i="2"/>
  <c r="F129" i="2"/>
  <c r="D129" i="2"/>
  <c r="CA128" i="2"/>
  <c r="BW128" i="2"/>
  <c r="F128" i="2"/>
  <c r="D128" i="2"/>
  <c r="CA127" i="2"/>
  <c r="F127" i="2"/>
  <c r="D127" i="2"/>
  <c r="CA126" i="2"/>
  <c r="BW126" i="2"/>
  <c r="F126" i="2"/>
  <c r="D126" i="2"/>
  <c r="CA125" i="2"/>
  <c r="F125" i="2"/>
  <c r="CA124" i="2"/>
  <c r="BW124" i="2"/>
  <c r="F124" i="2"/>
  <c r="D124" i="2"/>
  <c r="CA123" i="2"/>
  <c r="BW123" i="2"/>
  <c r="F123" i="2"/>
  <c r="D123" i="2"/>
  <c r="CA122" i="2"/>
  <c r="F122" i="2"/>
  <c r="D122" i="2"/>
  <c r="CA121" i="2"/>
  <c r="BW121" i="2"/>
  <c r="F121" i="2"/>
  <c r="D121" i="2"/>
  <c r="CA120" i="2"/>
  <c r="F120" i="2"/>
  <c r="CA119" i="2"/>
  <c r="BW119" i="2"/>
  <c r="F119" i="2"/>
  <c r="D119" i="2"/>
  <c r="CA118" i="2"/>
  <c r="BW118" i="2"/>
  <c r="F118" i="2"/>
  <c r="D118" i="2"/>
  <c r="CA117" i="2"/>
  <c r="F117" i="2"/>
  <c r="D117" i="2"/>
  <c r="CA116" i="2"/>
  <c r="BW116" i="2"/>
  <c r="F116" i="2"/>
  <c r="D116" i="2"/>
  <c r="CA115" i="2"/>
  <c r="F115" i="2"/>
  <c r="CA114" i="2"/>
  <c r="BW114" i="2"/>
  <c r="F114" i="2"/>
  <c r="D114" i="2"/>
  <c r="CA113" i="2"/>
  <c r="BW113" i="2"/>
  <c r="F113" i="2"/>
  <c r="D113" i="2"/>
  <c r="CA112" i="2"/>
  <c r="F112" i="2"/>
  <c r="D112" i="2"/>
  <c r="CA111" i="2"/>
  <c r="BW111" i="2"/>
  <c r="F111" i="2"/>
  <c r="D111" i="2"/>
  <c r="CA110" i="2"/>
  <c r="F110" i="2"/>
  <c r="CA109" i="2"/>
  <c r="BW109" i="2"/>
  <c r="F109" i="2"/>
  <c r="D109" i="2"/>
  <c r="CA108" i="2"/>
  <c r="BW108" i="2"/>
  <c r="F108" i="2"/>
  <c r="D108" i="2"/>
  <c r="CA107" i="2"/>
  <c r="F107" i="2"/>
  <c r="D107" i="2"/>
  <c r="CA106" i="2"/>
  <c r="BW106" i="2"/>
  <c r="F106" i="2"/>
  <c r="D106" i="2"/>
  <c r="CA105" i="2"/>
  <c r="BW105" i="2"/>
  <c r="F105" i="2"/>
  <c r="D105" i="2"/>
  <c r="CA104" i="2"/>
  <c r="BW104" i="2"/>
  <c r="F104" i="2"/>
  <c r="D104" i="2"/>
  <c r="CA103" i="2"/>
  <c r="F103" i="2"/>
  <c r="D103" i="2"/>
  <c r="CA102" i="2"/>
  <c r="BW102" i="2"/>
  <c r="F102" i="2"/>
  <c r="D102" i="2"/>
  <c r="CA101" i="2"/>
  <c r="BW101" i="2"/>
  <c r="AP101" i="2"/>
  <c r="Y101" i="2"/>
  <c r="F101" i="2"/>
  <c r="D101" i="2"/>
  <c r="CA100" i="2"/>
  <c r="BW100" i="2"/>
  <c r="F100" i="2"/>
  <c r="D100" i="2"/>
  <c r="CA99" i="2"/>
  <c r="BW99" i="2"/>
  <c r="F99" i="2"/>
  <c r="D99" i="2"/>
  <c r="CA98" i="2"/>
  <c r="F98" i="2"/>
  <c r="D98" i="2"/>
  <c r="CA97" i="2"/>
  <c r="BW97" i="2"/>
  <c r="F97" i="2"/>
  <c r="D97" i="2"/>
  <c r="CA96" i="2"/>
  <c r="BW96" i="2"/>
  <c r="AP96" i="2"/>
  <c r="Y96" i="2"/>
  <c r="F96" i="2"/>
  <c r="D96" i="2"/>
  <c r="CA95" i="2"/>
  <c r="AP95" i="2"/>
  <c r="Y95" i="2"/>
  <c r="F95" i="2"/>
  <c r="D95" i="2"/>
  <c r="CA94" i="2"/>
  <c r="AP94" i="2"/>
  <c r="Y94" i="2"/>
  <c r="F94" i="2"/>
  <c r="D94" i="2"/>
  <c r="CA93" i="2"/>
  <c r="BW93" i="2"/>
  <c r="AP93" i="2"/>
  <c r="Y93" i="2"/>
  <c r="F93" i="2"/>
  <c r="D93" i="2"/>
  <c r="CA92" i="2"/>
  <c r="BW92" i="2"/>
  <c r="F92" i="2"/>
  <c r="D92" i="2"/>
  <c r="CA91" i="2"/>
  <c r="F91" i="2"/>
  <c r="D91" i="2"/>
  <c r="CA90" i="2"/>
  <c r="F90" i="2"/>
  <c r="D90" i="2"/>
  <c r="CA89" i="2"/>
  <c r="F89" i="2"/>
  <c r="D89" i="2"/>
  <c r="CA88" i="2"/>
  <c r="BW88" i="2"/>
  <c r="F88" i="2"/>
  <c r="D88" i="2"/>
  <c r="CA87" i="2"/>
  <c r="F87" i="2"/>
  <c r="D87" i="2"/>
  <c r="CA86" i="2"/>
  <c r="BW86" i="2"/>
  <c r="AP86" i="2"/>
  <c r="Y86" i="2"/>
  <c r="F86" i="2"/>
  <c r="D86" i="2"/>
  <c r="CA85" i="2"/>
  <c r="F85" i="2"/>
  <c r="D85" i="2"/>
  <c r="CA84" i="2"/>
  <c r="AP84" i="2"/>
  <c r="Y84" i="2"/>
  <c r="F84" i="2"/>
  <c r="D84" i="2"/>
  <c r="CA83" i="2"/>
  <c r="BW83" i="2"/>
  <c r="AP83" i="2"/>
  <c r="Y83" i="2"/>
  <c r="F83" i="2"/>
  <c r="D83" i="2"/>
  <c r="CA82" i="2"/>
  <c r="BW82" i="2"/>
  <c r="AP82" i="2"/>
  <c r="Y82" i="2"/>
  <c r="F82" i="2"/>
  <c r="D82" i="2"/>
  <c r="CA81" i="2"/>
  <c r="BW81" i="2"/>
  <c r="AP81" i="2"/>
  <c r="Y81" i="2"/>
  <c r="F81" i="2"/>
  <c r="D81" i="2"/>
  <c r="CA80" i="2"/>
  <c r="BW80" i="2"/>
  <c r="AP80" i="2"/>
  <c r="Y80" i="2"/>
  <c r="F80" i="2"/>
  <c r="D80" i="2"/>
  <c r="CA79" i="2"/>
  <c r="BW79" i="2"/>
  <c r="F79" i="2"/>
  <c r="D79" i="2"/>
  <c r="CA78" i="2"/>
  <c r="BW78" i="2"/>
  <c r="F78" i="2"/>
  <c r="D78" i="2"/>
  <c r="CA77" i="2"/>
  <c r="BW77" i="2"/>
  <c r="F77" i="2"/>
  <c r="D77" i="2"/>
  <c r="CA76" i="2"/>
  <c r="BW76" i="2"/>
  <c r="AP76" i="2"/>
  <c r="Y76" i="2"/>
  <c r="F76" i="2"/>
  <c r="D76" i="2"/>
  <c r="CA75" i="2"/>
  <c r="BW75" i="2"/>
  <c r="F75" i="2"/>
  <c r="D75" i="2"/>
  <c r="CA74" i="2"/>
  <c r="BW74" i="2"/>
  <c r="F74" i="2"/>
  <c r="D74" i="2"/>
  <c r="CA73" i="2"/>
  <c r="BW73" i="2"/>
  <c r="F73" i="2"/>
  <c r="D73" i="2"/>
  <c r="CA72" i="2"/>
  <c r="BW72" i="2"/>
  <c r="F72" i="2"/>
  <c r="D72" i="2"/>
  <c r="CA71" i="2"/>
  <c r="BW71" i="2"/>
  <c r="F71" i="2"/>
  <c r="D71" i="2"/>
  <c r="CA70" i="2"/>
  <c r="BW70" i="2"/>
  <c r="F70" i="2"/>
  <c r="D70" i="2"/>
  <c r="CA69" i="2"/>
  <c r="AP69" i="2"/>
  <c r="Y69" i="2"/>
  <c r="F69" i="2"/>
  <c r="D69" i="2"/>
  <c r="CA68" i="2"/>
  <c r="BW68" i="2"/>
  <c r="F68" i="2"/>
  <c r="D68" i="2"/>
  <c r="CA67" i="2"/>
  <c r="BW67" i="2"/>
  <c r="F67" i="2"/>
  <c r="D67" i="2"/>
  <c r="CA66" i="2"/>
  <c r="BW66" i="2"/>
  <c r="F66" i="2"/>
  <c r="D66" i="2"/>
  <c r="CA65" i="2"/>
  <c r="BW65" i="2"/>
  <c r="F65" i="2"/>
  <c r="D65" i="2"/>
  <c r="CA64" i="2"/>
  <c r="BW64" i="2"/>
  <c r="F64" i="2"/>
  <c r="D64" i="2"/>
  <c r="CA63" i="2"/>
  <c r="BW63" i="2"/>
  <c r="F63" i="2"/>
  <c r="D63" i="2"/>
  <c r="CA62" i="2"/>
  <c r="AP62" i="2"/>
  <c r="Y62" i="2"/>
  <c r="F62" i="2"/>
  <c r="D62" i="2"/>
  <c r="CA61" i="2"/>
  <c r="BW61" i="2"/>
  <c r="F61" i="2"/>
  <c r="D61" i="2"/>
  <c r="CA60" i="2"/>
  <c r="AP60" i="2"/>
  <c r="Y60" i="2"/>
  <c r="F60" i="2"/>
  <c r="D60" i="2"/>
  <c r="CA59" i="2"/>
  <c r="AP59" i="2"/>
  <c r="Y59" i="2"/>
  <c r="F59" i="2"/>
  <c r="D59" i="2"/>
  <c r="CA58" i="2"/>
  <c r="AP58" i="2"/>
  <c r="Y58" i="2"/>
  <c r="F58" i="2"/>
  <c r="D58" i="2"/>
  <c r="CA57" i="2"/>
  <c r="AP57" i="2"/>
  <c r="Y57" i="2"/>
  <c r="F57" i="2"/>
  <c r="D57" i="2"/>
  <c r="CA56" i="2"/>
  <c r="AP56" i="2"/>
  <c r="Y56" i="2"/>
  <c r="F56" i="2"/>
  <c r="D56" i="2"/>
  <c r="CA55" i="2"/>
  <c r="AP55" i="2"/>
  <c r="Y55" i="2"/>
  <c r="F55" i="2"/>
  <c r="D55" i="2"/>
  <c r="CA54" i="2"/>
  <c r="AP54" i="2"/>
  <c r="Y54" i="2"/>
  <c r="F54" i="2"/>
  <c r="D54" i="2"/>
  <c r="CA53" i="2"/>
  <c r="AP53" i="2"/>
  <c r="Y53" i="2"/>
  <c r="F53" i="2"/>
  <c r="D53" i="2"/>
  <c r="CA52" i="2"/>
  <c r="BW52" i="2"/>
  <c r="F52" i="2"/>
  <c r="D52" i="2"/>
  <c r="CA51" i="2"/>
  <c r="BW51" i="2"/>
  <c r="F51" i="2"/>
  <c r="D51" i="2"/>
  <c r="CA50" i="2"/>
  <c r="BW50" i="2"/>
  <c r="F50" i="2"/>
  <c r="D50" i="2"/>
  <c r="CA49" i="2"/>
  <c r="BW49" i="2"/>
  <c r="F49" i="2"/>
  <c r="D49" i="2"/>
  <c r="CA48" i="2"/>
  <c r="F48" i="2"/>
  <c r="D48" i="2"/>
  <c r="CA47" i="2"/>
  <c r="BW47" i="2"/>
  <c r="AP47" i="2"/>
  <c r="Y47" i="2"/>
  <c r="F47" i="2"/>
  <c r="D47" i="2"/>
  <c r="CA46" i="2"/>
  <c r="BW46" i="2"/>
  <c r="F46" i="2"/>
  <c r="D46" i="2"/>
  <c r="CA45" i="2"/>
  <c r="BW45" i="2"/>
  <c r="AP45" i="2"/>
  <c r="Y45" i="2"/>
  <c r="F45" i="2"/>
  <c r="D45" i="2"/>
  <c r="CA44" i="2"/>
  <c r="BW44" i="2"/>
  <c r="F44" i="2"/>
  <c r="D44" i="2"/>
  <c r="CA43" i="2"/>
  <c r="BW43" i="2"/>
  <c r="F43" i="2"/>
  <c r="D43" i="2"/>
  <c r="CA42" i="2"/>
  <c r="BW42" i="2"/>
  <c r="AP42" i="2"/>
  <c r="Y42" i="2"/>
  <c r="F42" i="2"/>
  <c r="D42" i="2"/>
  <c r="CA41" i="2"/>
  <c r="BW41" i="2"/>
  <c r="F41" i="2"/>
  <c r="D41" i="2"/>
  <c r="CA40" i="2"/>
  <c r="BW40" i="2"/>
  <c r="AP40" i="2"/>
  <c r="Y40" i="2"/>
  <c r="F40" i="2"/>
  <c r="D40" i="2"/>
  <c r="CA39" i="2"/>
  <c r="BW39" i="2"/>
  <c r="F39" i="2"/>
  <c r="D39" i="2"/>
  <c r="CA38" i="2"/>
  <c r="BW38" i="2"/>
  <c r="AP38" i="2"/>
  <c r="Y38" i="2"/>
  <c r="F38" i="2"/>
  <c r="D38" i="2"/>
  <c r="CA37" i="2"/>
  <c r="BW37" i="2"/>
  <c r="AP37" i="2"/>
  <c r="Y37" i="2"/>
  <c r="F37" i="2"/>
  <c r="D37" i="2"/>
  <c r="CA36" i="2"/>
  <c r="BW36" i="2"/>
  <c r="AP36" i="2"/>
  <c r="Y36" i="2"/>
  <c r="F36" i="2"/>
  <c r="D36" i="2"/>
  <c r="CA35" i="2"/>
  <c r="BW35" i="2"/>
  <c r="AP35" i="2"/>
  <c r="Y35" i="2"/>
  <c r="F35" i="2"/>
  <c r="D35" i="2"/>
  <c r="CA34" i="2"/>
  <c r="BW34" i="2"/>
  <c r="AP34" i="2"/>
  <c r="Y34" i="2"/>
  <c r="F34" i="2"/>
  <c r="D34" i="2"/>
  <c r="CA33" i="2"/>
  <c r="BW33" i="2"/>
  <c r="AP33" i="2"/>
  <c r="Y33" i="2"/>
  <c r="F33" i="2"/>
  <c r="D33" i="2"/>
  <c r="CA32" i="2"/>
  <c r="F32" i="2"/>
  <c r="D32" i="2"/>
  <c r="CA31" i="2"/>
  <c r="F31" i="2"/>
  <c r="D31" i="2"/>
  <c r="CA30" i="2"/>
  <c r="AP30" i="2"/>
  <c r="Y30" i="2"/>
  <c r="F30" i="2"/>
  <c r="CA29" i="2"/>
  <c r="F29" i="2"/>
  <c r="D29" i="2"/>
  <c r="CA28" i="2"/>
  <c r="BW28" i="2"/>
  <c r="F28" i="2"/>
  <c r="D28" i="2"/>
  <c r="CA27" i="2"/>
  <c r="BW27" i="2"/>
  <c r="F27" i="2"/>
  <c r="D27" i="2"/>
  <c r="CA26" i="2"/>
  <c r="BW26" i="2"/>
  <c r="F26" i="2"/>
  <c r="D26" i="2"/>
  <c r="CA25" i="2"/>
  <c r="BW25" i="2"/>
  <c r="F25" i="2"/>
  <c r="D25" i="2"/>
  <c r="CA24" i="2"/>
  <c r="BW24" i="2"/>
  <c r="F24" i="2"/>
  <c r="D24" i="2"/>
  <c r="CA23" i="2"/>
  <c r="BW23" i="2"/>
  <c r="F23" i="2"/>
  <c r="D23" i="2"/>
  <c r="CA22" i="2"/>
  <c r="BW22" i="2"/>
  <c r="F22" i="2"/>
  <c r="D22" i="2"/>
  <c r="CA21" i="2"/>
  <c r="BW21" i="2"/>
  <c r="F21" i="2"/>
  <c r="D21" i="2"/>
  <c r="CA20" i="2"/>
  <c r="BW20" i="2"/>
  <c r="F20" i="2"/>
  <c r="D20" i="2"/>
  <c r="CA19" i="2"/>
  <c r="BW19" i="2"/>
  <c r="F19" i="2"/>
  <c r="D19" i="2"/>
  <c r="CA18" i="2"/>
  <c r="BW18" i="2"/>
  <c r="F18" i="2"/>
  <c r="D18" i="2"/>
  <c r="CA17" i="2"/>
  <c r="BW17" i="2"/>
  <c r="F17" i="2"/>
  <c r="D17" i="2"/>
  <c r="CA16" i="2"/>
  <c r="BW16" i="2"/>
  <c r="AP16" i="2"/>
  <c r="Y16" i="2"/>
  <c r="F16" i="2"/>
  <c r="D16" i="2"/>
  <c r="CA15" i="2"/>
  <c r="BW15" i="2"/>
  <c r="AP15" i="2"/>
  <c r="Y15" i="2"/>
  <c r="F15" i="2"/>
  <c r="D15" i="2"/>
  <c r="CA14" i="2"/>
  <c r="BW14" i="2"/>
  <c r="AP14" i="2"/>
  <c r="Y14" i="2"/>
  <c r="F14" i="2"/>
  <c r="D14" i="2"/>
  <c r="CA13" i="2"/>
  <c r="BW13" i="2"/>
  <c r="AP13" i="2"/>
  <c r="Y13" i="2"/>
  <c r="F13" i="2"/>
  <c r="D13" i="2"/>
  <c r="CA12" i="2"/>
  <c r="BW12" i="2"/>
  <c r="AP12" i="2"/>
  <c r="Y12" i="2"/>
  <c r="F12" i="2"/>
  <c r="D12" i="2"/>
  <c r="CA11" i="2"/>
  <c r="BW11" i="2"/>
  <c r="AP11" i="2"/>
  <c r="Y11" i="2"/>
  <c r="F11" i="2"/>
  <c r="D11" i="2"/>
  <c r="CA10" i="2"/>
  <c r="BW10" i="2"/>
  <c r="AP10" i="2"/>
  <c r="Y10" i="2"/>
  <c r="F10" i="2"/>
  <c r="D10" i="2"/>
  <c r="CA9" i="2"/>
  <c r="BW9" i="2"/>
  <c r="AP9" i="2"/>
  <c r="Y9" i="2"/>
  <c r="F9" i="2"/>
  <c r="D9" i="2"/>
  <c r="CA8" i="2"/>
  <c r="F8" i="2"/>
  <c r="D8" i="2"/>
  <c r="CA7" i="2"/>
  <c r="F7" i="2"/>
  <c r="D7" i="2"/>
  <c r="CA6" i="2"/>
  <c r="F6" i="2"/>
  <c r="D6" i="2"/>
  <c r="CA5" i="2"/>
  <c r="F5" i="2"/>
  <c r="E124" i="18" s="1"/>
  <c r="D5" i="2"/>
  <c r="F638" i="1"/>
  <c r="B638" i="1"/>
  <c r="F637" i="1"/>
  <c r="B637" i="1"/>
  <c r="F636" i="1"/>
  <c r="B636" i="1"/>
  <c r="F635" i="1"/>
  <c r="B635" i="1"/>
  <c r="F634" i="1"/>
  <c r="B634" i="1"/>
  <c r="F633" i="1"/>
  <c r="B633" i="1"/>
  <c r="F632" i="1"/>
  <c r="B632" i="1"/>
  <c r="F631" i="1"/>
  <c r="B631" i="1"/>
  <c r="F630" i="1"/>
  <c r="B630" i="1"/>
  <c r="F629" i="1"/>
  <c r="B629" i="1"/>
  <c r="F628" i="1"/>
  <c r="B628" i="1"/>
  <c r="F627" i="1"/>
  <c r="B627" i="1"/>
  <c r="F626" i="1"/>
  <c r="B626" i="1"/>
  <c r="F625" i="1"/>
  <c r="B625" i="1"/>
  <c r="F624" i="1"/>
  <c r="B624" i="1"/>
  <c r="F623" i="1"/>
  <c r="B623" i="1"/>
  <c r="F622" i="1"/>
  <c r="B622" i="1"/>
  <c r="F621" i="1"/>
  <c r="B621" i="1"/>
  <c r="F620" i="1"/>
  <c r="B620" i="1"/>
  <c r="F619" i="1"/>
  <c r="B619" i="1"/>
  <c r="F618" i="1"/>
  <c r="B618" i="1"/>
  <c r="F617" i="1"/>
  <c r="B617" i="1"/>
  <c r="F616" i="1"/>
  <c r="B616" i="1"/>
  <c r="F615" i="1"/>
  <c r="B615" i="1"/>
  <c r="F614" i="1"/>
  <c r="B614" i="1"/>
  <c r="F613" i="1"/>
  <c r="B613" i="1"/>
  <c r="F612" i="1"/>
  <c r="B612" i="1"/>
  <c r="F611" i="1"/>
  <c r="B611" i="1"/>
  <c r="F610" i="1"/>
  <c r="B610" i="1"/>
  <c r="F609" i="1"/>
  <c r="B609" i="1"/>
  <c r="F608" i="1"/>
  <c r="B608" i="1"/>
  <c r="F607" i="1"/>
  <c r="B607" i="1"/>
  <c r="F606" i="1"/>
  <c r="B606" i="1"/>
  <c r="F605" i="1"/>
  <c r="D605" i="1"/>
  <c r="C605" i="1"/>
  <c r="B605" i="1"/>
  <c r="F604" i="1"/>
  <c r="D604" i="1"/>
  <c r="C604" i="1"/>
  <c r="B604" i="1"/>
  <c r="F603" i="1"/>
  <c r="D603" i="1"/>
  <c r="C603" i="1"/>
  <c r="B603" i="1"/>
  <c r="F602" i="1"/>
  <c r="D602" i="1"/>
  <c r="C602" i="1"/>
  <c r="B602" i="1"/>
  <c r="F601" i="1"/>
  <c r="D601" i="1"/>
  <c r="C601" i="1"/>
  <c r="B601" i="1"/>
  <c r="F600" i="1"/>
  <c r="D600" i="1"/>
  <c r="C600" i="1"/>
  <c r="B600" i="1"/>
  <c r="F599" i="1"/>
  <c r="D599" i="1"/>
  <c r="C599" i="1"/>
  <c r="B599" i="1"/>
  <c r="F598" i="1"/>
  <c r="D598" i="1"/>
  <c r="C598" i="1"/>
  <c r="B598" i="1"/>
  <c r="F597" i="1"/>
  <c r="D597" i="1"/>
  <c r="C597" i="1"/>
  <c r="B597" i="1"/>
  <c r="F596" i="1"/>
  <c r="D596" i="1"/>
  <c r="C596" i="1"/>
  <c r="B596" i="1"/>
  <c r="F595" i="1"/>
  <c r="D595" i="1"/>
  <c r="C595" i="1"/>
  <c r="B595" i="1"/>
  <c r="F594" i="1"/>
  <c r="D594" i="1"/>
  <c r="C594" i="1"/>
  <c r="B594" i="1"/>
  <c r="F593" i="1"/>
  <c r="D593" i="1"/>
  <c r="C593" i="1"/>
  <c r="B593" i="1"/>
  <c r="F592" i="1"/>
  <c r="D592" i="1"/>
  <c r="C592" i="1"/>
  <c r="B592" i="1"/>
  <c r="F591" i="1"/>
  <c r="D591" i="1"/>
  <c r="C591" i="1"/>
  <c r="B591" i="1"/>
  <c r="F590" i="1"/>
  <c r="D590" i="1"/>
  <c r="C590" i="1"/>
  <c r="B590" i="1"/>
  <c r="F589" i="1"/>
  <c r="D589" i="1"/>
  <c r="C589" i="1"/>
  <c r="B589" i="1"/>
  <c r="F588" i="1"/>
  <c r="D588" i="1"/>
  <c r="C588" i="1"/>
  <c r="B588" i="1"/>
  <c r="F587" i="1"/>
  <c r="D587" i="1"/>
  <c r="C587" i="1"/>
  <c r="B587" i="1"/>
  <c r="F586" i="1"/>
  <c r="D586" i="1"/>
  <c r="C586" i="1"/>
  <c r="B586" i="1"/>
  <c r="F585" i="1"/>
  <c r="B585" i="1"/>
  <c r="F584" i="1"/>
  <c r="B584" i="1"/>
  <c r="F583" i="1"/>
  <c r="B583" i="1"/>
  <c r="F582" i="1"/>
  <c r="B582" i="1"/>
  <c r="F581" i="1"/>
  <c r="D581" i="1"/>
  <c r="C581" i="1"/>
  <c r="B581" i="1"/>
  <c r="F580" i="1"/>
  <c r="D580" i="1"/>
  <c r="C580" i="1"/>
  <c r="B580" i="1"/>
  <c r="F579" i="1"/>
  <c r="D579" i="1"/>
  <c r="C579" i="1"/>
  <c r="B579" i="1"/>
  <c r="F578" i="1"/>
  <c r="D578" i="1"/>
  <c r="C578" i="1"/>
  <c r="B578" i="1"/>
  <c r="F577" i="1"/>
  <c r="B577" i="1"/>
  <c r="F576" i="1"/>
  <c r="B576" i="1"/>
  <c r="F575" i="1"/>
  <c r="B575" i="1"/>
  <c r="F574" i="1"/>
  <c r="B574" i="1"/>
  <c r="F573" i="1"/>
  <c r="B573" i="1"/>
  <c r="F572" i="1"/>
  <c r="B572" i="1"/>
  <c r="F571" i="1"/>
  <c r="B571" i="1"/>
  <c r="F570" i="1"/>
  <c r="B570" i="1"/>
  <c r="F569" i="1"/>
  <c r="B569" i="1"/>
  <c r="F568" i="1"/>
  <c r="B568" i="1"/>
  <c r="F567" i="1"/>
  <c r="B567" i="1"/>
  <c r="F566" i="1"/>
  <c r="B566" i="1"/>
  <c r="F565" i="1"/>
  <c r="D565" i="1"/>
  <c r="C565" i="1"/>
  <c r="B565" i="1"/>
  <c r="F564" i="1"/>
  <c r="D564" i="1"/>
  <c r="C564" i="1"/>
  <c r="B564" i="1"/>
  <c r="F563" i="1"/>
  <c r="D563" i="1"/>
  <c r="C563" i="1"/>
  <c r="B563" i="1"/>
  <c r="F562" i="1"/>
  <c r="D562" i="1"/>
  <c r="C562" i="1"/>
  <c r="B562" i="1"/>
  <c r="F561" i="1"/>
  <c r="B561" i="1"/>
  <c r="F560" i="1"/>
  <c r="B560" i="1"/>
  <c r="F559" i="1"/>
  <c r="B559" i="1"/>
  <c r="F558" i="1"/>
  <c r="B558" i="1"/>
  <c r="F557" i="1"/>
  <c r="D557" i="1"/>
  <c r="C557" i="1"/>
  <c r="B557" i="1"/>
  <c r="F556" i="1"/>
  <c r="D556" i="1"/>
  <c r="C556" i="1"/>
  <c r="B556" i="1"/>
  <c r="F555" i="1"/>
  <c r="D555" i="1"/>
  <c r="C555" i="1"/>
  <c r="B555" i="1"/>
  <c r="F554" i="1"/>
  <c r="D554" i="1"/>
  <c r="C554" i="1"/>
  <c r="B554" i="1"/>
  <c r="F553" i="1"/>
  <c r="D553" i="1"/>
  <c r="C553" i="1"/>
  <c r="B553" i="1"/>
  <c r="F552" i="1"/>
  <c r="D552" i="1"/>
  <c r="C552" i="1"/>
  <c r="B552" i="1"/>
  <c r="F551" i="1"/>
  <c r="D551" i="1"/>
  <c r="C551" i="1"/>
  <c r="B551" i="1"/>
  <c r="F550" i="1"/>
  <c r="D550" i="1"/>
  <c r="C550" i="1"/>
  <c r="B550" i="1"/>
  <c r="F549" i="1"/>
  <c r="B549" i="1"/>
  <c r="F548" i="1"/>
  <c r="B548" i="1"/>
  <c r="F547" i="1"/>
  <c r="B547" i="1"/>
  <c r="F546" i="1"/>
  <c r="B546" i="1"/>
  <c r="F545" i="1"/>
  <c r="D545" i="1"/>
  <c r="C545" i="1"/>
  <c r="B545" i="1"/>
  <c r="F544" i="1"/>
  <c r="D544" i="1"/>
  <c r="C544" i="1"/>
  <c r="B544" i="1"/>
  <c r="F543" i="1"/>
  <c r="D543" i="1"/>
  <c r="C543" i="1"/>
  <c r="B543" i="1"/>
  <c r="F542" i="1"/>
  <c r="D542" i="1"/>
  <c r="C542" i="1"/>
  <c r="B542" i="1"/>
  <c r="F541" i="1"/>
  <c r="D541" i="1"/>
  <c r="C541" i="1"/>
  <c r="B541" i="1"/>
  <c r="F540" i="1"/>
  <c r="D540" i="1"/>
  <c r="C540" i="1"/>
  <c r="B540" i="1"/>
  <c r="F539" i="1"/>
  <c r="D539" i="1"/>
  <c r="C539" i="1"/>
  <c r="B539" i="1"/>
  <c r="F538" i="1"/>
  <c r="D538" i="1"/>
  <c r="C538" i="1"/>
  <c r="B538" i="1"/>
  <c r="F537" i="1"/>
  <c r="D537" i="1"/>
  <c r="C537" i="1"/>
  <c r="B537" i="1"/>
  <c r="F536" i="1"/>
  <c r="D536" i="1"/>
  <c r="C536" i="1"/>
  <c r="B536" i="1"/>
  <c r="F535" i="1"/>
  <c r="D535" i="1"/>
  <c r="C535" i="1"/>
  <c r="B535" i="1"/>
  <c r="F534" i="1"/>
  <c r="D534" i="1"/>
  <c r="C534" i="1"/>
  <c r="B534" i="1"/>
  <c r="F533" i="1"/>
  <c r="B533" i="1"/>
  <c r="F532" i="1"/>
  <c r="B532" i="1"/>
  <c r="F531" i="1"/>
  <c r="B531" i="1"/>
  <c r="F530" i="1"/>
  <c r="B530" i="1"/>
  <c r="F529" i="1"/>
  <c r="B529" i="1"/>
  <c r="F528" i="1"/>
  <c r="B528" i="1"/>
  <c r="F527" i="1"/>
  <c r="B527" i="1"/>
  <c r="F526" i="1"/>
  <c r="B526" i="1"/>
  <c r="F525" i="1"/>
  <c r="D525" i="1"/>
  <c r="C525" i="1"/>
  <c r="B525" i="1"/>
  <c r="F524" i="1"/>
  <c r="D524" i="1"/>
  <c r="C524" i="1"/>
  <c r="B524" i="1"/>
  <c r="F523" i="1"/>
  <c r="D523" i="1"/>
  <c r="C523" i="1"/>
  <c r="B523" i="1"/>
  <c r="F522" i="1"/>
  <c r="D522" i="1"/>
  <c r="C522" i="1"/>
  <c r="B522" i="1"/>
  <c r="F521" i="1"/>
  <c r="D521" i="1"/>
  <c r="C521" i="1"/>
  <c r="B521" i="1"/>
  <c r="F520" i="1"/>
  <c r="D520" i="1"/>
  <c r="C520" i="1"/>
  <c r="B520" i="1"/>
  <c r="F519" i="1"/>
  <c r="D519" i="1"/>
  <c r="C519" i="1"/>
  <c r="B519" i="1"/>
  <c r="F518" i="1"/>
  <c r="D518" i="1"/>
  <c r="C518" i="1"/>
  <c r="B518" i="1"/>
  <c r="F517" i="1"/>
  <c r="D517" i="1"/>
  <c r="C517" i="1"/>
  <c r="B517" i="1"/>
  <c r="F516" i="1"/>
  <c r="D516" i="1"/>
  <c r="C516" i="1"/>
  <c r="B516" i="1"/>
  <c r="F515" i="1"/>
  <c r="D515" i="1"/>
  <c r="C515" i="1"/>
  <c r="B515" i="1"/>
  <c r="F514" i="1"/>
  <c r="D514" i="1"/>
  <c r="C514" i="1"/>
  <c r="B514" i="1"/>
  <c r="F513" i="1"/>
  <c r="D513" i="1"/>
  <c r="C513" i="1"/>
  <c r="B513" i="1"/>
  <c r="F512" i="1"/>
  <c r="D512" i="1"/>
  <c r="C512" i="1"/>
  <c r="B512" i="1"/>
  <c r="F511" i="1"/>
  <c r="D511" i="1"/>
  <c r="C511" i="1"/>
  <c r="B511" i="1"/>
  <c r="F510" i="1"/>
  <c r="D510" i="1"/>
  <c r="C510" i="1"/>
  <c r="B510" i="1"/>
  <c r="F509" i="1"/>
  <c r="D509" i="1"/>
  <c r="C509" i="1"/>
  <c r="B509" i="1"/>
  <c r="F508" i="1"/>
  <c r="D508" i="1"/>
  <c r="C508" i="1"/>
  <c r="B508" i="1"/>
  <c r="F507" i="1"/>
  <c r="D507" i="1"/>
  <c r="C507" i="1"/>
  <c r="B507" i="1"/>
  <c r="F506" i="1"/>
  <c r="D506" i="1"/>
  <c r="C506" i="1"/>
  <c r="B506" i="1"/>
  <c r="F505" i="1"/>
  <c r="B505" i="1"/>
  <c r="F504" i="1"/>
  <c r="B504" i="1"/>
  <c r="F503" i="1"/>
  <c r="B503" i="1"/>
  <c r="F502" i="1"/>
  <c r="B502" i="1"/>
  <c r="F501" i="1"/>
  <c r="D501" i="1"/>
  <c r="C501" i="1"/>
  <c r="B501" i="1"/>
  <c r="F500" i="1"/>
  <c r="D500" i="1"/>
  <c r="C500" i="1"/>
  <c r="B500" i="1"/>
  <c r="F499" i="1"/>
  <c r="D499" i="1"/>
  <c r="C499" i="1"/>
  <c r="B499" i="1"/>
  <c r="F498" i="1"/>
  <c r="D498" i="1"/>
  <c r="C498" i="1"/>
  <c r="B498" i="1"/>
  <c r="F497" i="1"/>
  <c r="D497" i="1"/>
  <c r="C497" i="1"/>
  <c r="B497" i="1"/>
  <c r="F496" i="1"/>
  <c r="D496" i="1"/>
  <c r="C496" i="1"/>
  <c r="B496" i="1"/>
  <c r="F495" i="1"/>
  <c r="D495" i="1"/>
  <c r="C495" i="1"/>
  <c r="B495" i="1"/>
  <c r="F494" i="1"/>
  <c r="D494" i="1"/>
  <c r="C494" i="1"/>
  <c r="B494" i="1"/>
  <c r="F493" i="1"/>
  <c r="D493" i="1"/>
  <c r="C493" i="1"/>
  <c r="B493" i="1"/>
  <c r="F492" i="1"/>
  <c r="D492" i="1"/>
  <c r="C492" i="1"/>
  <c r="B492" i="1"/>
  <c r="F491" i="1"/>
  <c r="D491" i="1"/>
  <c r="C491" i="1"/>
  <c r="B491" i="1"/>
  <c r="F490" i="1"/>
  <c r="D490" i="1"/>
  <c r="C490" i="1"/>
  <c r="B490" i="1"/>
  <c r="F489" i="1"/>
  <c r="B489" i="1"/>
  <c r="F488" i="1"/>
  <c r="B488" i="1"/>
  <c r="F487" i="1"/>
  <c r="B487" i="1"/>
  <c r="F486" i="1"/>
  <c r="B486" i="1"/>
  <c r="F485" i="1"/>
  <c r="B485" i="1"/>
  <c r="F484" i="1"/>
  <c r="B484" i="1"/>
  <c r="F483" i="1"/>
  <c r="B483" i="1"/>
  <c r="F482" i="1"/>
  <c r="B482" i="1"/>
  <c r="F481" i="1"/>
  <c r="D481" i="1"/>
  <c r="C481" i="1"/>
  <c r="B481" i="1"/>
  <c r="F480" i="1"/>
  <c r="D480" i="1"/>
  <c r="C480" i="1"/>
  <c r="B480" i="1"/>
  <c r="F479" i="1"/>
  <c r="D479" i="1"/>
  <c r="C479" i="1"/>
  <c r="B479" i="1"/>
  <c r="F478" i="1"/>
  <c r="D478" i="1"/>
  <c r="C478" i="1"/>
  <c r="B478" i="1"/>
  <c r="F477" i="1"/>
  <c r="B477" i="1"/>
  <c r="F476" i="1"/>
  <c r="B476" i="1"/>
  <c r="F475" i="1"/>
  <c r="B475" i="1"/>
  <c r="F474" i="1"/>
  <c r="B474" i="1"/>
  <c r="F473" i="1"/>
  <c r="D473" i="1"/>
  <c r="C473" i="1"/>
  <c r="B473" i="1"/>
  <c r="F472" i="1"/>
  <c r="D472" i="1"/>
  <c r="C472" i="1"/>
  <c r="B472" i="1"/>
  <c r="F471" i="1"/>
  <c r="D471" i="1"/>
  <c r="C471" i="1"/>
  <c r="B471" i="1"/>
  <c r="F470" i="1"/>
  <c r="D470" i="1"/>
  <c r="C470" i="1"/>
  <c r="B470" i="1"/>
  <c r="F469" i="1"/>
  <c r="B469" i="1"/>
  <c r="F468" i="1"/>
  <c r="B468" i="1"/>
  <c r="F467" i="1"/>
  <c r="B467" i="1"/>
  <c r="F466" i="1"/>
  <c r="B466" i="1"/>
  <c r="F465" i="1"/>
  <c r="D465" i="1"/>
  <c r="C465" i="1"/>
  <c r="B465" i="1"/>
  <c r="F464" i="1"/>
  <c r="D464" i="1"/>
  <c r="C464" i="1"/>
  <c r="B464" i="1"/>
  <c r="F463" i="1"/>
  <c r="D463" i="1"/>
  <c r="C463" i="1"/>
  <c r="B463" i="1"/>
  <c r="F462" i="1"/>
  <c r="D462" i="1"/>
  <c r="C462" i="1"/>
  <c r="B462" i="1"/>
  <c r="F461" i="1"/>
  <c r="B461" i="1"/>
  <c r="F460" i="1"/>
  <c r="B460" i="1"/>
  <c r="F459" i="1"/>
  <c r="B459" i="1"/>
  <c r="F458" i="1"/>
  <c r="B458" i="1"/>
  <c r="F457" i="1"/>
  <c r="D457" i="1"/>
  <c r="C457" i="1"/>
  <c r="B457" i="1"/>
  <c r="F456" i="1"/>
  <c r="D456" i="1"/>
  <c r="C456" i="1"/>
  <c r="B456" i="1"/>
  <c r="F455" i="1"/>
  <c r="D455" i="1"/>
  <c r="C455" i="1"/>
  <c r="B455" i="1"/>
  <c r="F454" i="1"/>
  <c r="D454" i="1"/>
  <c r="C454" i="1"/>
  <c r="B454" i="1"/>
  <c r="F453" i="1"/>
  <c r="B453" i="1"/>
  <c r="F452" i="1"/>
  <c r="B452" i="1"/>
  <c r="F451" i="1"/>
  <c r="B451" i="1"/>
  <c r="F450" i="1"/>
  <c r="B450" i="1"/>
  <c r="F449" i="1"/>
  <c r="D449" i="1"/>
  <c r="C449" i="1"/>
  <c r="B449" i="1"/>
  <c r="F448" i="1"/>
  <c r="D448" i="1"/>
  <c r="C448" i="1"/>
  <c r="B448" i="1"/>
  <c r="F447" i="1"/>
  <c r="D447" i="1"/>
  <c r="C447" i="1"/>
  <c r="B447" i="1"/>
  <c r="F446" i="1"/>
  <c r="D446" i="1"/>
  <c r="C446" i="1"/>
  <c r="B446" i="1"/>
  <c r="F445" i="1"/>
  <c r="D445" i="1"/>
  <c r="C445" i="1"/>
  <c r="B445" i="1"/>
  <c r="F444" i="1"/>
  <c r="D444" i="1"/>
  <c r="C444" i="1"/>
  <c r="B444" i="1"/>
  <c r="F443" i="1"/>
  <c r="D443" i="1"/>
  <c r="C443" i="1"/>
  <c r="B443" i="1"/>
  <c r="F442" i="1"/>
  <c r="D442" i="1"/>
  <c r="C442" i="1"/>
  <c r="B442" i="1"/>
  <c r="F441" i="1"/>
  <c r="D441" i="1"/>
  <c r="C441" i="1"/>
  <c r="B441" i="1"/>
  <c r="F440" i="1"/>
  <c r="D440" i="1"/>
  <c r="C440" i="1"/>
  <c r="B440" i="1"/>
  <c r="F439" i="1"/>
  <c r="D439" i="1"/>
  <c r="C439" i="1"/>
  <c r="B439" i="1"/>
  <c r="F438" i="1"/>
  <c r="D438" i="1"/>
  <c r="C438" i="1"/>
  <c r="B438" i="1"/>
  <c r="F437" i="1"/>
  <c r="D437" i="1"/>
  <c r="C437" i="1"/>
  <c r="B437" i="1"/>
  <c r="F436" i="1"/>
  <c r="D436" i="1"/>
  <c r="C436" i="1"/>
  <c r="B436" i="1"/>
  <c r="F435" i="1"/>
  <c r="D435" i="1"/>
  <c r="C435" i="1"/>
  <c r="B435" i="1"/>
  <c r="F434" i="1"/>
  <c r="D434" i="1"/>
  <c r="C434" i="1"/>
  <c r="B434" i="1"/>
  <c r="F433" i="1"/>
  <c r="D433" i="1"/>
  <c r="C433" i="1"/>
  <c r="B433" i="1"/>
  <c r="F432" i="1"/>
  <c r="D432" i="1"/>
  <c r="C432" i="1"/>
  <c r="B432" i="1"/>
  <c r="F431" i="1"/>
  <c r="D431" i="1"/>
  <c r="C431" i="1"/>
  <c r="B431" i="1"/>
  <c r="F430" i="1"/>
  <c r="D430" i="1"/>
  <c r="C430" i="1"/>
  <c r="B430" i="1"/>
  <c r="F429" i="1"/>
  <c r="D429" i="1"/>
  <c r="C429" i="1"/>
  <c r="B429" i="1"/>
  <c r="F428" i="1"/>
  <c r="D428" i="1"/>
  <c r="C428" i="1"/>
  <c r="B428" i="1"/>
  <c r="F427" i="1"/>
  <c r="D427" i="1"/>
  <c r="C427" i="1"/>
  <c r="B427" i="1"/>
  <c r="F426" i="1"/>
  <c r="D426" i="1"/>
  <c r="C426" i="1"/>
  <c r="B426" i="1"/>
  <c r="F425" i="1"/>
  <c r="D425" i="1"/>
  <c r="C425" i="1"/>
  <c r="B425" i="1"/>
  <c r="F424" i="1"/>
  <c r="D424" i="1"/>
  <c r="C424" i="1"/>
  <c r="B424" i="1"/>
  <c r="F423" i="1"/>
  <c r="D423" i="1"/>
  <c r="C423" i="1"/>
  <c r="B423" i="1"/>
  <c r="F422" i="1"/>
  <c r="D422" i="1"/>
  <c r="C422" i="1"/>
  <c r="B422" i="1"/>
  <c r="F421" i="1"/>
  <c r="D421" i="1"/>
  <c r="C421" i="1"/>
  <c r="B421" i="1"/>
  <c r="F420" i="1"/>
  <c r="D420" i="1"/>
  <c r="C420" i="1"/>
  <c r="B420" i="1"/>
  <c r="F419" i="1"/>
  <c r="D419" i="1"/>
  <c r="C419" i="1"/>
  <c r="B419" i="1"/>
  <c r="F418" i="1"/>
  <c r="D418" i="1"/>
  <c r="C418" i="1"/>
  <c r="B418" i="1"/>
  <c r="F417" i="1"/>
  <c r="D417" i="1"/>
  <c r="C417" i="1"/>
  <c r="B417" i="1"/>
  <c r="F416" i="1"/>
  <c r="D416" i="1"/>
  <c r="C416" i="1"/>
  <c r="B416" i="1"/>
  <c r="F415" i="1"/>
  <c r="D415" i="1"/>
  <c r="C415" i="1"/>
  <c r="B415" i="1"/>
  <c r="F414" i="1"/>
  <c r="D414" i="1"/>
  <c r="C414" i="1"/>
  <c r="B414" i="1"/>
  <c r="F413" i="1"/>
  <c r="D413" i="1"/>
  <c r="C413" i="1"/>
  <c r="B413" i="1"/>
  <c r="F412" i="1"/>
  <c r="D412" i="1"/>
  <c r="C412" i="1"/>
  <c r="B412" i="1"/>
  <c r="F411" i="1"/>
  <c r="D411" i="1"/>
  <c r="C411" i="1"/>
  <c r="B411" i="1"/>
  <c r="F410" i="1"/>
  <c r="D410" i="1"/>
  <c r="C410" i="1"/>
  <c r="B410" i="1"/>
  <c r="F409" i="1"/>
  <c r="D409" i="1"/>
  <c r="C409" i="1"/>
  <c r="B409" i="1"/>
  <c r="F408" i="1"/>
  <c r="D408" i="1"/>
  <c r="C408" i="1"/>
  <c r="B408" i="1"/>
  <c r="F407" i="1"/>
  <c r="D407" i="1"/>
  <c r="C407" i="1"/>
  <c r="B407" i="1"/>
  <c r="F406" i="1"/>
  <c r="D406" i="1"/>
  <c r="C406" i="1"/>
  <c r="B406" i="1"/>
  <c r="F405" i="1"/>
  <c r="D405" i="1"/>
  <c r="C405" i="1"/>
  <c r="B405" i="1"/>
  <c r="F404" i="1"/>
  <c r="D404" i="1"/>
  <c r="C404" i="1"/>
  <c r="B404" i="1"/>
  <c r="F403" i="1"/>
  <c r="D403" i="1"/>
  <c r="C403" i="1"/>
  <c r="B403" i="1"/>
  <c r="F402" i="1"/>
  <c r="D402" i="1"/>
  <c r="C402" i="1"/>
  <c r="B402" i="1"/>
  <c r="F401" i="1"/>
  <c r="D401" i="1"/>
  <c r="C401" i="1"/>
  <c r="B401" i="1"/>
  <c r="F400" i="1"/>
  <c r="D400" i="1"/>
  <c r="C400" i="1"/>
  <c r="B400" i="1"/>
  <c r="F399" i="1"/>
  <c r="D399" i="1"/>
  <c r="C399" i="1"/>
  <c r="B399" i="1"/>
  <c r="F398" i="1"/>
  <c r="D398" i="1"/>
  <c r="C398" i="1"/>
  <c r="B398" i="1"/>
  <c r="F397" i="1"/>
  <c r="D397" i="1"/>
  <c r="C397" i="1"/>
  <c r="B397" i="1"/>
  <c r="F396" i="1"/>
  <c r="D396" i="1"/>
  <c r="C396" i="1"/>
  <c r="B396" i="1"/>
  <c r="F395" i="1"/>
  <c r="D395" i="1"/>
  <c r="C395" i="1"/>
  <c r="B395" i="1"/>
  <c r="F394" i="1"/>
  <c r="D394" i="1"/>
  <c r="C394" i="1"/>
  <c r="B394" i="1"/>
  <c r="F393" i="1"/>
  <c r="B393" i="1"/>
  <c r="F392" i="1"/>
  <c r="B392" i="1"/>
  <c r="F391" i="1"/>
  <c r="B391" i="1"/>
  <c r="F390" i="1"/>
  <c r="D390" i="1"/>
  <c r="C390" i="1"/>
  <c r="B390" i="1"/>
  <c r="F389" i="1"/>
  <c r="D389" i="1"/>
  <c r="C389" i="1"/>
  <c r="B389" i="1"/>
  <c r="F388" i="1"/>
  <c r="D388" i="1"/>
  <c r="C388" i="1"/>
  <c r="B388" i="1"/>
  <c r="F387" i="1"/>
  <c r="D387" i="1"/>
  <c r="C387" i="1"/>
  <c r="B387" i="1"/>
  <c r="F386" i="1"/>
  <c r="D386" i="1"/>
  <c r="C386" i="1"/>
  <c r="B386" i="1"/>
  <c r="F385" i="1"/>
  <c r="D385" i="1"/>
  <c r="C385" i="1"/>
  <c r="B385" i="1"/>
  <c r="F384" i="1"/>
  <c r="D384" i="1"/>
  <c r="C384" i="1"/>
  <c r="B384" i="1"/>
  <c r="F383" i="1"/>
  <c r="D383" i="1"/>
  <c r="C383" i="1"/>
  <c r="B383" i="1"/>
  <c r="F382" i="1"/>
  <c r="D382" i="1"/>
  <c r="C382" i="1"/>
  <c r="B382" i="1"/>
  <c r="F381" i="1"/>
  <c r="D381" i="1"/>
  <c r="C381" i="1"/>
  <c r="B381" i="1"/>
  <c r="F380" i="1"/>
  <c r="D380" i="1"/>
  <c r="C380" i="1"/>
  <c r="B380" i="1"/>
  <c r="F379" i="1"/>
  <c r="D379" i="1"/>
  <c r="C379" i="1"/>
  <c r="B379" i="1"/>
  <c r="F378" i="1"/>
  <c r="D378" i="1"/>
  <c r="C378" i="1"/>
  <c r="B378" i="1"/>
  <c r="F377" i="1"/>
  <c r="D377" i="1"/>
  <c r="C377" i="1"/>
  <c r="B377" i="1"/>
  <c r="F376" i="1"/>
  <c r="D376" i="1"/>
  <c r="C376" i="1"/>
  <c r="B376" i="1"/>
  <c r="F375" i="1"/>
  <c r="D375" i="1"/>
  <c r="C375" i="1"/>
  <c r="B375" i="1"/>
  <c r="F374" i="1"/>
  <c r="D374" i="1"/>
  <c r="C374" i="1"/>
  <c r="B374" i="1"/>
  <c r="F373" i="1"/>
  <c r="D373" i="1"/>
  <c r="C373" i="1"/>
  <c r="B373" i="1"/>
  <c r="F372" i="1"/>
  <c r="D372" i="1"/>
  <c r="C372" i="1"/>
  <c r="B372" i="1"/>
  <c r="F371" i="1"/>
  <c r="D371" i="1"/>
  <c r="C371" i="1"/>
  <c r="B371" i="1"/>
  <c r="F370" i="1"/>
  <c r="D370" i="1"/>
  <c r="C370" i="1"/>
  <c r="B370" i="1"/>
  <c r="F369" i="1"/>
  <c r="D369" i="1"/>
  <c r="C369" i="1"/>
  <c r="B369" i="1"/>
  <c r="F368" i="1"/>
  <c r="D368" i="1"/>
  <c r="C368" i="1"/>
  <c r="B368" i="1"/>
  <c r="F367" i="1"/>
  <c r="D367" i="1"/>
  <c r="C367" i="1"/>
  <c r="B367" i="1"/>
  <c r="F366" i="1"/>
  <c r="D366" i="1"/>
  <c r="C366" i="1"/>
  <c r="B366" i="1"/>
  <c r="F365" i="1"/>
  <c r="D365" i="1"/>
  <c r="C365" i="1"/>
  <c r="B365" i="1"/>
  <c r="F364" i="1"/>
  <c r="D364" i="1"/>
  <c r="C364" i="1"/>
  <c r="B364" i="1"/>
  <c r="F363" i="1"/>
  <c r="D363" i="1"/>
  <c r="C363" i="1"/>
  <c r="B363" i="1"/>
  <c r="F362" i="1"/>
  <c r="D362" i="1"/>
  <c r="C362" i="1"/>
  <c r="B362" i="1"/>
  <c r="F361" i="1"/>
  <c r="D361" i="1"/>
  <c r="C361" i="1"/>
  <c r="B361" i="1"/>
  <c r="F360" i="1"/>
  <c r="D360" i="1"/>
  <c r="C360" i="1"/>
  <c r="B360" i="1"/>
  <c r="F359" i="1"/>
  <c r="D359" i="1"/>
  <c r="C359" i="1"/>
  <c r="B359" i="1"/>
  <c r="F358" i="1"/>
  <c r="D358" i="1"/>
  <c r="C358" i="1"/>
  <c r="B358" i="1"/>
  <c r="F357" i="1"/>
  <c r="D357" i="1"/>
  <c r="C357" i="1"/>
  <c r="B357" i="1"/>
  <c r="F356" i="1"/>
  <c r="D356" i="1"/>
  <c r="C356" i="1"/>
  <c r="B356" i="1"/>
  <c r="F355" i="1"/>
  <c r="D355" i="1"/>
  <c r="C355" i="1"/>
  <c r="B355" i="1"/>
  <c r="F354" i="1"/>
  <c r="D354" i="1"/>
  <c r="C354" i="1"/>
  <c r="B354" i="1"/>
  <c r="F353" i="1"/>
  <c r="D353" i="1"/>
  <c r="C353" i="1"/>
  <c r="B353" i="1"/>
  <c r="F352" i="1"/>
  <c r="D352" i="1"/>
  <c r="C352" i="1"/>
  <c r="B352" i="1"/>
  <c r="F351" i="1"/>
  <c r="D351" i="1"/>
  <c r="C351" i="1"/>
  <c r="B351" i="1"/>
  <c r="F350" i="1"/>
  <c r="D350" i="1"/>
  <c r="C350" i="1"/>
  <c r="B350" i="1"/>
  <c r="F349" i="1"/>
  <c r="D349" i="1"/>
  <c r="C349" i="1"/>
  <c r="B349" i="1"/>
  <c r="F348" i="1"/>
  <c r="D348" i="1"/>
  <c r="C348" i="1"/>
  <c r="B348" i="1"/>
  <c r="F347" i="1"/>
  <c r="D347" i="1"/>
  <c r="C347" i="1"/>
  <c r="B347" i="1"/>
  <c r="F346" i="1"/>
  <c r="D346" i="1"/>
  <c r="C346" i="1"/>
  <c r="B346" i="1"/>
  <c r="F345" i="1"/>
  <c r="D345" i="1"/>
  <c r="C345" i="1"/>
  <c r="B345" i="1"/>
  <c r="F344" i="1"/>
  <c r="D344" i="1"/>
  <c r="C344" i="1"/>
  <c r="B344" i="1"/>
  <c r="F343" i="1"/>
  <c r="D343" i="1"/>
  <c r="C343" i="1"/>
  <c r="B343" i="1"/>
  <c r="F342" i="1"/>
  <c r="D342" i="1"/>
  <c r="C342" i="1"/>
  <c r="B342" i="1"/>
  <c r="F341" i="1"/>
  <c r="D341" i="1"/>
  <c r="C341" i="1"/>
  <c r="B341" i="1"/>
  <c r="F340" i="1"/>
  <c r="D340" i="1"/>
  <c r="C340" i="1"/>
  <c r="B340" i="1"/>
  <c r="F339" i="1"/>
  <c r="C339" i="1"/>
  <c r="B339" i="1"/>
  <c r="F338" i="1"/>
  <c r="C338" i="1"/>
  <c r="B338" i="1"/>
  <c r="F337" i="1"/>
  <c r="C337" i="1"/>
  <c r="B337" i="1"/>
  <c r="F336" i="1"/>
  <c r="D336" i="1"/>
  <c r="C336" i="1"/>
  <c r="B336" i="1"/>
  <c r="F335" i="1"/>
  <c r="D335" i="1"/>
  <c r="C335" i="1"/>
  <c r="B335" i="1"/>
  <c r="F334" i="1"/>
  <c r="D334" i="1"/>
  <c r="C334" i="1"/>
  <c r="B334" i="1"/>
  <c r="F333" i="1"/>
  <c r="D333" i="1"/>
  <c r="C333" i="1"/>
  <c r="B333" i="1"/>
  <c r="F332" i="1"/>
  <c r="D332" i="1"/>
  <c r="C332" i="1"/>
  <c r="B332" i="1"/>
  <c r="F331" i="1"/>
  <c r="D331" i="1"/>
  <c r="C331" i="1"/>
  <c r="B331" i="1"/>
  <c r="F330" i="1"/>
  <c r="D330" i="1"/>
  <c r="C330" i="1"/>
  <c r="B330" i="1"/>
  <c r="F329" i="1"/>
  <c r="D329" i="1"/>
  <c r="C329" i="1"/>
  <c r="B329" i="1"/>
  <c r="F328" i="1"/>
  <c r="D328" i="1"/>
  <c r="C328" i="1"/>
  <c r="B328" i="1"/>
  <c r="F327" i="1"/>
  <c r="D327" i="1"/>
  <c r="C327" i="1"/>
  <c r="B327" i="1"/>
  <c r="F326" i="1"/>
  <c r="D326" i="1"/>
  <c r="C326" i="1"/>
  <c r="B326" i="1"/>
  <c r="F325" i="1"/>
  <c r="D325" i="1"/>
  <c r="C325" i="1"/>
  <c r="B325" i="1"/>
  <c r="F324" i="1"/>
  <c r="D324" i="1"/>
  <c r="C324" i="1"/>
  <c r="B324" i="1"/>
  <c r="F323" i="1"/>
  <c r="D323" i="1"/>
  <c r="C323" i="1"/>
  <c r="B323" i="1"/>
  <c r="F322" i="1"/>
  <c r="D322" i="1"/>
  <c r="C322" i="1"/>
  <c r="B322" i="1"/>
  <c r="F321" i="1"/>
  <c r="D321" i="1"/>
  <c r="C321" i="1"/>
  <c r="B321" i="1"/>
  <c r="F320" i="1"/>
  <c r="D320" i="1"/>
  <c r="C320" i="1"/>
  <c r="B320" i="1"/>
  <c r="F319" i="1"/>
  <c r="D319" i="1"/>
  <c r="C319" i="1"/>
  <c r="B319" i="1"/>
  <c r="F318" i="1"/>
  <c r="D318" i="1"/>
  <c r="C318" i="1"/>
  <c r="B318" i="1"/>
  <c r="F317" i="1"/>
  <c r="D317" i="1"/>
  <c r="C317" i="1"/>
  <c r="B317" i="1"/>
  <c r="F316" i="1"/>
  <c r="B316" i="1"/>
  <c r="F315" i="1"/>
  <c r="B315" i="1"/>
  <c r="F314" i="1"/>
  <c r="B314" i="1"/>
  <c r="F313" i="1"/>
  <c r="D313" i="1"/>
  <c r="C313" i="1"/>
  <c r="B313" i="1"/>
  <c r="F312" i="1"/>
  <c r="D312" i="1"/>
  <c r="C312" i="1"/>
  <c r="B312" i="1"/>
  <c r="F311" i="1"/>
  <c r="D311" i="1"/>
  <c r="C311" i="1"/>
  <c r="B311" i="1"/>
  <c r="F310" i="1"/>
  <c r="D310" i="1"/>
  <c r="C310" i="1"/>
  <c r="B310" i="1"/>
  <c r="F309" i="1"/>
  <c r="D309" i="1"/>
  <c r="C309" i="1"/>
  <c r="B309" i="1"/>
  <c r="F308" i="1"/>
  <c r="D308" i="1"/>
  <c r="C308" i="1"/>
  <c r="B308" i="1"/>
  <c r="F307" i="1"/>
  <c r="D307" i="1"/>
  <c r="C307" i="1"/>
  <c r="B307" i="1"/>
  <c r="F306" i="1"/>
  <c r="D306" i="1"/>
  <c r="C306" i="1"/>
  <c r="B306" i="1"/>
  <c r="F305" i="1"/>
  <c r="D305" i="1"/>
  <c r="C305" i="1"/>
  <c r="B305" i="1"/>
  <c r="F304" i="1"/>
  <c r="D304" i="1"/>
  <c r="C304" i="1"/>
  <c r="B304" i="1"/>
  <c r="F303" i="1"/>
  <c r="D303" i="1"/>
  <c r="C303" i="1"/>
  <c r="B303" i="1"/>
  <c r="F302" i="1"/>
  <c r="D302" i="1"/>
  <c r="C302" i="1"/>
  <c r="B302" i="1"/>
  <c r="F301" i="1"/>
  <c r="D301" i="1"/>
  <c r="C301" i="1"/>
  <c r="B301" i="1"/>
  <c r="F300" i="1"/>
  <c r="D300" i="1"/>
  <c r="C300" i="1"/>
  <c r="B300" i="1"/>
  <c r="F299" i="1"/>
  <c r="D299" i="1"/>
  <c r="C299" i="1"/>
  <c r="B299" i="1"/>
  <c r="F298" i="1"/>
  <c r="D298" i="1"/>
  <c r="C298" i="1"/>
  <c r="B298" i="1"/>
  <c r="F297" i="1"/>
  <c r="D297" i="1"/>
  <c r="C297" i="1"/>
  <c r="B297" i="1"/>
  <c r="F296" i="1"/>
  <c r="D296" i="1"/>
  <c r="C296" i="1"/>
  <c r="B296" i="1"/>
  <c r="F295" i="1"/>
  <c r="D295" i="1"/>
  <c r="C295" i="1"/>
  <c r="B295" i="1"/>
  <c r="F294" i="1"/>
  <c r="D294" i="1"/>
  <c r="C294" i="1"/>
  <c r="B294" i="1"/>
  <c r="F293" i="1"/>
  <c r="D293" i="1"/>
  <c r="C293" i="1"/>
  <c r="B293" i="1"/>
  <c r="F292" i="1"/>
  <c r="D292" i="1"/>
  <c r="C292" i="1"/>
  <c r="B292" i="1"/>
  <c r="F291" i="1"/>
  <c r="D291" i="1"/>
  <c r="C291" i="1"/>
  <c r="B291" i="1"/>
  <c r="F290" i="1"/>
  <c r="D290" i="1"/>
  <c r="C290" i="1"/>
  <c r="B290" i="1"/>
  <c r="F289" i="1"/>
  <c r="D289" i="1"/>
  <c r="C289" i="1"/>
  <c r="B289" i="1"/>
  <c r="F288" i="1"/>
  <c r="D288" i="1"/>
  <c r="C288" i="1"/>
  <c r="B288" i="1"/>
  <c r="F287" i="1"/>
  <c r="D287" i="1"/>
  <c r="C287" i="1"/>
  <c r="B287" i="1"/>
  <c r="F286" i="1"/>
  <c r="D286" i="1"/>
  <c r="C286" i="1"/>
  <c r="B286" i="1"/>
  <c r="F285" i="1"/>
  <c r="D285" i="1"/>
  <c r="C285" i="1"/>
  <c r="B285" i="1"/>
  <c r="F284" i="1"/>
  <c r="D284" i="1"/>
  <c r="C284" i="1"/>
  <c r="B284" i="1"/>
  <c r="F283" i="1"/>
  <c r="D283" i="1"/>
  <c r="C283" i="1"/>
  <c r="B283" i="1"/>
  <c r="F282" i="1"/>
  <c r="D282" i="1"/>
  <c r="C282" i="1"/>
  <c r="B282" i="1"/>
  <c r="F281" i="1"/>
  <c r="D281" i="1"/>
  <c r="C281" i="1"/>
  <c r="B281" i="1"/>
  <c r="F280" i="1"/>
  <c r="D280" i="1"/>
  <c r="C280" i="1"/>
  <c r="B280" i="1"/>
  <c r="F279" i="1"/>
  <c r="D279" i="1"/>
  <c r="C279" i="1"/>
  <c r="B279" i="1"/>
  <c r="F278" i="1"/>
  <c r="D278" i="1"/>
  <c r="C278" i="1"/>
  <c r="B278" i="1"/>
  <c r="F277" i="1"/>
  <c r="D277" i="1"/>
  <c r="C277" i="1"/>
  <c r="B277" i="1"/>
  <c r="F276" i="1"/>
  <c r="D276" i="1"/>
  <c r="C276" i="1"/>
  <c r="B276" i="1"/>
  <c r="F275" i="1"/>
  <c r="D275" i="1"/>
  <c r="C275" i="1"/>
  <c r="B275" i="1"/>
  <c r="F274" i="1"/>
  <c r="D274" i="1"/>
  <c r="C274" i="1"/>
  <c r="B274" i="1"/>
  <c r="F273" i="1"/>
  <c r="D273" i="1"/>
  <c r="C273" i="1"/>
  <c r="B273" i="1"/>
  <c r="F272" i="1"/>
  <c r="D272" i="1"/>
  <c r="C272" i="1"/>
  <c r="B272" i="1"/>
  <c r="F271" i="1"/>
  <c r="D271" i="1"/>
  <c r="C271" i="1"/>
  <c r="B271" i="1"/>
  <c r="F270" i="1"/>
  <c r="D270" i="1"/>
  <c r="C270" i="1"/>
  <c r="B270" i="1"/>
  <c r="F269" i="1"/>
  <c r="D269" i="1"/>
  <c r="C269" i="1"/>
  <c r="B269" i="1"/>
  <c r="F268" i="1"/>
  <c r="D268" i="1"/>
  <c r="C268" i="1"/>
  <c r="B268" i="1"/>
  <c r="F267" i="1"/>
  <c r="D267" i="1"/>
  <c r="C267" i="1"/>
  <c r="B267" i="1"/>
  <c r="F266" i="1"/>
  <c r="D266" i="1"/>
  <c r="C266" i="1"/>
  <c r="B266" i="1"/>
  <c r="F265" i="1"/>
  <c r="D265" i="1"/>
  <c r="C265" i="1"/>
  <c r="B265" i="1"/>
  <c r="F264" i="1"/>
  <c r="D264" i="1"/>
  <c r="C264" i="1"/>
  <c r="B264" i="1"/>
  <c r="F263" i="1"/>
  <c r="D263" i="1"/>
  <c r="C263" i="1"/>
  <c r="B263" i="1"/>
  <c r="F262" i="1"/>
  <c r="D262" i="1"/>
  <c r="C262" i="1"/>
  <c r="B262" i="1"/>
  <c r="F261" i="1"/>
  <c r="D261" i="1"/>
  <c r="C261" i="1"/>
  <c r="B261" i="1"/>
  <c r="F260" i="1"/>
  <c r="D260" i="1"/>
  <c r="C260" i="1"/>
  <c r="B260" i="1"/>
  <c r="F259" i="1"/>
  <c r="D259" i="1"/>
  <c r="C259" i="1"/>
  <c r="B259" i="1"/>
  <c r="F258" i="1"/>
  <c r="D258" i="1"/>
  <c r="C258" i="1"/>
  <c r="B258" i="1"/>
  <c r="F257" i="1"/>
  <c r="D257" i="1"/>
  <c r="C257" i="1"/>
  <c r="B257" i="1"/>
  <c r="F256" i="1"/>
  <c r="D256" i="1"/>
  <c r="C256" i="1"/>
  <c r="B256" i="1"/>
  <c r="F255" i="1"/>
  <c r="D255" i="1"/>
  <c r="C255" i="1"/>
  <c r="B255" i="1"/>
  <c r="F254" i="1"/>
  <c r="D254" i="1"/>
  <c r="C254" i="1"/>
  <c r="B254" i="1"/>
  <c r="F253" i="1"/>
  <c r="D253" i="1"/>
  <c r="C253" i="1"/>
  <c r="B253" i="1"/>
  <c r="F252" i="1"/>
  <c r="D252" i="1"/>
  <c r="C252" i="1"/>
  <c r="B252" i="1"/>
  <c r="F251" i="1"/>
  <c r="D251" i="1"/>
  <c r="C251" i="1"/>
  <c r="B251" i="1"/>
  <c r="F250" i="1"/>
  <c r="D250" i="1"/>
  <c r="C250" i="1"/>
  <c r="B250" i="1"/>
  <c r="F249" i="1"/>
  <c r="D249" i="1"/>
  <c r="C249" i="1"/>
  <c r="B249" i="1"/>
  <c r="F248" i="1"/>
  <c r="D248" i="1"/>
  <c r="C248" i="1"/>
  <c r="B248" i="1"/>
  <c r="F247" i="1"/>
  <c r="D247" i="1"/>
  <c r="C247" i="1"/>
  <c r="B247" i="1"/>
  <c r="F246" i="1"/>
  <c r="D246" i="1"/>
  <c r="C246" i="1"/>
  <c r="B246" i="1"/>
  <c r="F245" i="1"/>
  <c r="D245" i="1"/>
  <c r="C245" i="1"/>
  <c r="B245" i="1"/>
  <c r="F244" i="1"/>
  <c r="D244" i="1"/>
  <c r="C244" i="1"/>
  <c r="B244" i="1"/>
  <c r="F243" i="1"/>
  <c r="D243" i="1"/>
  <c r="C243" i="1"/>
  <c r="B243" i="1"/>
  <c r="F242" i="1"/>
  <c r="D242" i="1"/>
  <c r="C242" i="1"/>
  <c r="B242" i="1"/>
  <c r="F241" i="1"/>
  <c r="D241" i="1"/>
  <c r="C241" i="1"/>
  <c r="B241" i="1"/>
  <c r="F240" i="1"/>
  <c r="D240" i="1"/>
  <c r="C240" i="1"/>
  <c r="B240" i="1"/>
  <c r="F239" i="1"/>
  <c r="D239" i="1"/>
  <c r="C239" i="1"/>
  <c r="B239" i="1"/>
  <c r="F238" i="1"/>
  <c r="D238" i="1"/>
  <c r="C238" i="1"/>
  <c r="B238" i="1"/>
  <c r="F237" i="1"/>
  <c r="D237" i="1"/>
  <c r="C237" i="1"/>
  <c r="B237" i="1"/>
  <c r="F236" i="1"/>
  <c r="D236" i="1"/>
  <c r="C236" i="1"/>
  <c r="B236" i="1"/>
  <c r="F235" i="1"/>
  <c r="D235" i="1"/>
  <c r="C235" i="1"/>
  <c r="B235" i="1"/>
  <c r="F234" i="1"/>
  <c r="D234" i="1"/>
  <c r="C234" i="1"/>
  <c r="B234" i="1"/>
  <c r="F233" i="1"/>
  <c r="D233" i="1"/>
  <c r="C233" i="1"/>
  <c r="B233" i="1"/>
  <c r="F232" i="1"/>
  <c r="D232" i="1"/>
  <c r="C232" i="1"/>
  <c r="B232" i="1"/>
  <c r="F231" i="1"/>
  <c r="D231" i="1"/>
  <c r="C231" i="1"/>
  <c r="B231" i="1"/>
  <c r="F230" i="1"/>
  <c r="D230" i="1"/>
  <c r="C230" i="1"/>
  <c r="B230" i="1"/>
  <c r="F229" i="1"/>
  <c r="D229" i="1"/>
  <c r="C229" i="1"/>
  <c r="B229" i="1"/>
  <c r="F228" i="1"/>
  <c r="D228" i="1"/>
  <c r="C228" i="1"/>
  <c r="B228" i="1"/>
  <c r="F227" i="1"/>
  <c r="D227" i="1"/>
  <c r="C227" i="1"/>
  <c r="B227" i="1"/>
  <c r="F226" i="1"/>
  <c r="D226" i="1"/>
  <c r="C226" i="1"/>
  <c r="B226" i="1"/>
  <c r="F225" i="1"/>
  <c r="D225" i="1"/>
  <c r="C225" i="1"/>
  <c r="B225" i="1"/>
  <c r="F224" i="1"/>
  <c r="D224" i="1"/>
  <c r="C224" i="1"/>
  <c r="B224" i="1"/>
  <c r="F223" i="1"/>
  <c r="D223" i="1"/>
  <c r="C223" i="1"/>
  <c r="B223" i="1"/>
  <c r="F222" i="1"/>
  <c r="D222" i="1"/>
  <c r="C222" i="1"/>
  <c r="B222" i="1"/>
  <c r="F221" i="1"/>
  <c r="D221" i="1"/>
  <c r="C221" i="1"/>
  <c r="B221" i="1"/>
  <c r="F220" i="1"/>
  <c r="D220" i="1"/>
  <c r="C220" i="1"/>
  <c r="B220" i="1"/>
  <c r="F219" i="1"/>
  <c r="D219" i="1"/>
  <c r="C219" i="1"/>
  <c r="B219" i="1"/>
  <c r="F218" i="1"/>
  <c r="D218" i="1"/>
  <c r="C218" i="1"/>
  <c r="B218" i="1"/>
  <c r="F217" i="1"/>
  <c r="D217" i="1"/>
  <c r="C217" i="1"/>
  <c r="B217" i="1"/>
  <c r="F216" i="1"/>
  <c r="D216" i="1"/>
  <c r="C216" i="1"/>
  <c r="B216" i="1"/>
  <c r="F215" i="1"/>
  <c r="D215" i="1"/>
  <c r="C215" i="1"/>
  <c r="B215" i="1"/>
  <c r="F214" i="1"/>
  <c r="D214" i="1"/>
  <c r="C214" i="1"/>
  <c r="B214" i="1"/>
  <c r="F213" i="1"/>
  <c r="D213" i="1"/>
  <c r="C213" i="1"/>
  <c r="B213" i="1"/>
  <c r="F212" i="1"/>
  <c r="D212" i="1"/>
  <c r="C212" i="1"/>
  <c r="B212" i="1"/>
  <c r="F211" i="1"/>
  <c r="D211" i="1"/>
  <c r="C211" i="1"/>
  <c r="B211" i="1"/>
  <c r="F210" i="1"/>
  <c r="D210" i="1"/>
  <c r="C210" i="1"/>
  <c r="B210" i="1"/>
  <c r="F209" i="1"/>
  <c r="D209" i="1"/>
  <c r="C209" i="1"/>
  <c r="B209" i="1"/>
  <c r="F208" i="1"/>
  <c r="D208" i="1"/>
  <c r="C208" i="1"/>
  <c r="B208" i="1"/>
  <c r="F207" i="1"/>
  <c r="D207" i="1"/>
  <c r="C207" i="1"/>
  <c r="B207" i="1"/>
  <c r="F206" i="1"/>
  <c r="D206" i="1"/>
  <c r="C206" i="1"/>
  <c r="B206" i="1"/>
  <c r="F205" i="1"/>
  <c r="D205" i="1"/>
  <c r="C205" i="1"/>
  <c r="B205" i="1"/>
  <c r="F204" i="1"/>
  <c r="D204" i="1"/>
  <c r="C204" i="1"/>
  <c r="B204" i="1"/>
  <c r="F203" i="1"/>
  <c r="D203" i="1"/>
  <c r="C203" i="1"/>
  <c r="B203" i="1"/>
  <c r="F202" i="1"/>
  <c r="D202" i="1"/>
  <c r="C202" i="1"/>
  <c r="B202" i="1"/>
  <c r="F201" i="1"/>
  <c r="D201" i="1"/>
  <c r="C201" i="1"/>
  <c r="B201" i="1"/>
  <c r="F200" i="1"/>
  <c r="D200" i="1"/>
  <c r="C200" i="1"/>
  <c r="B200" i="1"/>
  <c r="F199" i="1"/>
  <c r="D199" i="1"/>
  <c r="C199" i="1"/>
  <c r="B199" i="1"/>
  <c r="F198" i="1"/>
  <c r="B198" i="1"/>
  <c r="F197" i="1"/>
  <c r="B197" i="1"/>
  <c r="F196" i="1"/>
  <c r="B196" i="1"/>
  <c r="F195" i="1"/>
  <c r="D195" i="1"/>
  <c r="C195" i="1"/>
  <c r="B195" i="1"/>
  <c r="F194" i="1"/>
  <c r="D194" i="1"/>
  <c r="C194" i="1"/>
  <c r="B194" i="1"/>
  <c r="F193" i="1"/>
  <c r="D193" i="1"/>
  <c r="C193" i="1"/>
  <c r="B193" i="1"/>
  <c r="F192" i="1"/>
  <c r="D192" i="1"/>
  <c r="C192" i="1"/>
  <c r="B192" i="1"/>
  <c r="F191" i="1"/>
  <c r="D191" i="1"/>
  <c r="C191" i="1"/>
  <c r="B191" i="1"/>
  <c r="F190" i="1"/>
  <c r="D190" i="1"/>
  <c r="C190" i="1"/>
  <c r="B190" i="1"/>
  <c r="F189" i="1"/>
  <c r="D189" i="1"/>
  <c r="C189" i="1"/>
  <c r="B189" i="1"/>
  <c r="F188" i="1"/>
  <c r="D188" i="1"/>
  <c r="C188" i="1"/>
  <c r="B188" i="1"/>
  <c r="F187" i="1"/>
  <c r="D187" i="1"/>
  <c r="C187" i="1"/>
  <c r="B187" i="1"/>
  <c r="F186" i="1"/>
  <c r="D186" i="1"/>
  <c r="C186" i="1"/>
  <c r="B186" i="1"/>
  <c r="F185" i="1"/>
  <c r="D185" i="1"/>
  <c r="C185" i="1"/>
  <c r="B185" i="1"/>
  <c r="F184" i="1"/>
  <c r="D184" i="1"/>
  <c r="C184" i="1"/>
  <c r="B184" i="1"/>
  <c r="F183" i="1"/>
  <c r="D183" i="1"/>
  <c r="C183" i="1"/>
  <c r="B183" i="1"/>
  <c r="F182" i="1"/>
  <c r="D182" i="1"/>
  <c r="C182" i="1"/>
  <c r="B182" i="1"/>
  <c r="F181" i="1"/>
  <c r="D181" i="1"/>
  <c r="C181" i="1"/>
  <c r="B181" i="1"/>
  <c r="F180" i="1"/>
  <c r="D180" i="1"/>
  <c r="C180" i="1"/>
  <c r="B180" i="1"/>
  <c r="F179" i="1"/>
  <c r="D179" i="1"/>
  <c r="C179" i="1"/>
  <c r="B179" i="1"/>
  <c r="F178" i="1"/>
  <c r="D178" i="1"/>
  <c r="C178" i="1"/>
  <c r="B178" i="1"/>
  <c r="F177" i="1"/>
  <c r="D177" i="1"/>
  <c r="C177" i="1"/>
  <c r="B177" i="1"/>
  <c r="F176" i="1"/>
  <c r="D176" i="1"/>
  <c r="C176" i="1"/>
  <c r="B176" i="1"/>
  <c r="F175" i="1"/>
  <c r="D175" i="1"/>
  <c r="C175" i="1"/>
  <c r="B175" i="1"/>
  <c r="F174" i="1"/>
  <c r="D174" i="1"/>
  <c r="C174" i="1"/>
  <c r="B174" i="1"/>
  <c r="F173" i="1"/>
  <c r="D173" i="1"/>
  <c r="C173" i="1"/>
  <c r="B173" i="1"/>
  <c r="F172" i="1"/>
  <c r="D172" i="1"/>
  <c r="C172" i="1"/>
  <c r="B172" i="1"/>
  <c r="F171" i="1"/>
  <c r="D171" i="1"/>
  <c r="C171" i="1"/>
  <c r="B171" i="1"/>
  <c r="F170" i="1"/>
  <c r="D170" i="1"/>
  <c r="C170" i="1"/>
  <c r="B170" i="1"/>
  <c r="F169" i="1"/>
  <c r="D169" i="1"/>
  <c r="C169" i="1"/>
  <c r="B169" i="1"/>
  <c r="F168" i="1"/>
  <c r="D168" i="1"/>
  <c r="C168" i="1"/>
  <c r="B168" i="1"/>
  <c r="F167" i="1"/>
  <c r="D167" i="1"/>
  <c r="C167" i="1"/>
  <c r="B167" i="1"/>
  <c r="F166" i="1"/>
  <c r="D166" i="1"/>
  <c r="C166" i="1"/>
  <c r="B166" i="1"/>
  <c r="F165" i="1"/>
  <c r="D165" i="1"/>
  <c r="C165" i="1"/>
  <c r="B165" i="1"/>
  <c r="F164" i="1"/>
  <c r="D164" i="1"/>
  <c r="C164" i="1"/>
  <c r="B164" i="1"/>
  <c r="F163" i="1"/>
  <c r="D163" i="1"/>
  <c r="C163" i="1"/>
  <c r="B163" i="1"/>
  <c r="F162" i="1"/>
  <c r="D162" i="1"/>
  <c r="C162" i="1"/>
  <c r="B162" i="1"/>
  <c r="F161" i="1"/>
  <c r="D161" i="1"/>
  <c r="C161" i="1"/>
  <c r="B161" i="1"/>
  <c r="F160" i="1"/>
  <c r="D160" i="1"/>
  <c r="C160" i="1"/>
  <c r="B160" i="1"/>
  <c r="F159" i="1"/>
  <c r="D159" i="1"/>
  <c r="C159" i="1"/>
  <c r="B159" i="1"/>
  <c r="F158" i="1"/>
  <c r="D158" i="1"/>
  <c r="C158" i="1"/>
  <c r="B158" i="1"/>
  <c r="F157" i="1"/>
  <c r="D157" i="1"/>
  <c r="C157" i="1"/>
  <c r="B157" i="1"/>
  <c r="F156" i="1"/>
  <c r="D156" i="1"/>
  <c r="C156" i="1"/>
  <c r="B156" i="1"/>
  <c r="F155" i="1"/>
  <c r="D155" i="1"/>
  <c r="C155" i="1"/>
  <c r="B155" i="1"/>
  <c r="F154" i="1"/>
  <c r="D154" i="1"/>
  <c r="C154" i="1"/>
  <c r="B154" i="1"/>
  <c r="F153" i="1"/>
  <c r="D153" i="1"/>
  <c r="C153" i="1"/>
  <c r="B153" i="1"/>
  <c r="F152" i="1"/>
  <c r="D152" i="1"/>
  <c r="C152" i="1"/>
  <c r="B152" i="1"/>
  <c r="F151" i="1"/>
  <c r="D151" i="1"/>
  <c r="C151" i="1"/>
  <c r="B151" i="1"/>
  <c r="F150" i="1"/>
  <c r="D150" i="1"/>
  <c r="C150" i="1"/>
  <c r="B150" i="1"/>
  <c r="F149" i="1"/>
  <c r="D149" i="1"/>
  <c r="C149" i="1"/>
  <c r="B149" i="1"/>
  <c r="F148" i="1"/>
  <c r="D148" i="1"/>
  <c r="C148" i="1"/>
  <c r="B148" i="1"/>
  <c r="F147" i="1"/>
  <c r="D147" i="1"/>
  <c r="C147" i="1"/>
  <c r="B147" i="1"/>
  <c r="F146" i="1"/>
  <c r="D146" i="1"/>
  <c r="C146" i="1"/>
  <c r="B146" i="1"/>
  <c r="F145" i="1"/>
  <c r="D145" i="1"/>
  <c r="C145" i="1"/>
  <c r="B145" i="1"/>
  <c r="F144" i="1"/>
  <c r="D144" i="1"/>
  <c r="C144" i="1"/>
  <c r="B144" i="1"/>
  <c r="F143" i="1"/>
  <c r="D143" i="1"/>
  <c r="C143" i="1"/>
  <c r="B143" i="1"/>
  <c r="F142" i="1"/>
  <c r="D142" i="1"/>
  <c r="C142" i="1"/>
  <c r="B142" i="1"/>
  <c r="F141" i="1"/>
  <c r="D141" i="1"/>
  <c r="C141" i="1"/>
  <c r="B141" i="1"/>
  <c r="F140" i="1"/>
  <c r="D140" i="1"/>
  <c r="C140" i="1"/>
  <c r="B140" i="1"/>
  <c r="F139" i="1"/>
  <c r="D139" i="1"/>
  <c r="C139" i="1"/>
  <c r="B139" i="1"/>
  <c r="F138" i="1"/>
  <c r="D138" i="1"/>
  <c r="C138" i="1"/>
  <c r="B138" i="1"/>
  <c r="F137" i="1"/>
  <c r="D137" i="1"/>
  <c r="C137" i="1"/>
  <c r="B137" i="1"/>
  <c r="F136" i="1"/>
  <c r="D136" i="1"/>
  <c r="C136" i="1"/>
  <c r="B136" i="1"/>
  <c r="F135" i="1"/>
  <c r="D135" i="1"/>
  <c r="C135" i="1"/>
  <c r="B135" i="1"/>
  <c r="F134" i="1"/>
  <c r="D134" i="1"/>
  <c r="C134" i="1"/>
  <c r="B134" i="1"/>
  <c r="F133" i="1"/>
  <c r="D133" i="1"/>
  <c r="C133" i="1"/>
  <c r="B133" i="1"/>
  <c r="F132" i="1"/>
  <c r="D132" i="1"/>
  <c r="C132" i="1"/>
  <c r="B132" i="1"/>
  <c r="F131" i="1"/>
  <c r="B131" i="1"/>
  <c r="F130" i="1"/>
  <c r="B130" i="1"/>
  <c r="F129" i="1"/>
  <c r="B129" i="1"/>
  <c r="F128" i="1"/>
  <c r="B128" i="1"/>
  <c r="F127" i="1"/>
  <c r="B127" i="1"/>
  <c r="F126" i="1"/>
  <c r="D126" i="1"/>
  <c r="C126" i="1"/>
  <c r="B126" i="1"/>
  <c r="F125" i="1"/>
  <c r="D125" i="1"/>
  <c r="C125" i="1"/>
  <c r="B125" i="1"/>
  <c r="F124" i="1"/>
  <c r="D124" i="1"/>
  <c r="C124" i="1"/>
  <c r="B124" i="1"/>
  <c r="F123" i="1"/>
  <c r="D123" i="1"/>
  <c r="C123" i="1"/>
  <c r="B123" i="1"/>
  <c r="F122" i="1"/>
  <c r="D122" i="1"/>
  <c r="C122" i="1"/>
  <c r="B122" i="1"/>
  <c r="F121" i="1"/>
  <c r="D121" i="1"/>
  <c r="C121" i="1"/>
  <c r="B121" i="1"/>
  <c r="F120" i="1"/>
  <c r="D120" i="1"/>
  <c r="C120" i="1"/>
  <c r="B120" i="1"/>
  <c r="F119" i="1"/>
  <c r="D119" i="1"/>
  <c r="C119" i="1"/>
  <c r="B119" i="1"/>
  <c r="F118" i="1"/>
  <c r="D118" i="1"/>
  <c r="C118" i="1"/>
  <c r="B118" i="1"/>
  <c r="F117" i="1"/>
  <c r="D117" i="1"/>
  <c r="C117" i="1"/>
  <c r="B117" i="1"/>
  <c r="F116" i="1"/>
  <c r="D116" i="1"/>
  <c r="C116" i="1"/>
  <c r="B116" i="1"/>
  <c r="F115" i="1"/>
  <c r="D115" i="1"/>
  <c r="C115" i="1"/>
  <c r="B115" i="1"/>
  <c r="F114" i="1"/>
  <c r="D114" i="1"/>
  <c r="C114" i="1"/>
  <c r="B114" i="1"/>
  <c r="F113" i="1"/>
  <c r="D113" i="1"/>
  <c r="C113" i="1"/>
  <c r="B113" i="1"/>
  <c r="F112" i="1"/>
  <c r="D112" i="1"/>
  <c r="C112" i="1"/>
  <c r="B112" i="1"/>
  <c r="F111" i="1"/>
  <c r="D111" i="1"/>
  <c r="C111" i="1"/>
  <c r="B111" i="1"/>
  <c r="F110" i="1"/>
  <c r="D110" i="1"/>
  <c r="C110" i="1"/>
  <c r="B110" i="1"/>
  <c r="F109" i="1"/>
  <c r="D109" i="1"/>
  <c r="C109" i="1"/>
  <c r="B109" i="1"/>
  <c r="F108" i="1"/>
  <c r="D108" i="1"/>
  <c r="C108" i="1"/>
  <c r="B108" i="1"/>
  <c r="F107" i="1"/>
  <c r="D107" i="1"/>
  <c r="C107" i="1"/>
  <c r="B107" i="1"/>
  <c r="F106" i="1"/>
  <c r="D106" i="1"/>
  <c r="C106" i="1"/>
  <c r="B106" i="1"/>
  <c r="F105" i="1"/>
  <c r="D105" i="1"/>
  <c r="C105" i="1"/>
  <c r="B105" i="1"/>
  <c r="F104" i="1"/>
  <c r="D104" i="1"/>
  <c r="C104" i="1"/>
  <c r="B104" i="1"/>
  <c r="F103" i="1"/>
  <c r="B103" i="1"/>
  <c r="F102" i="1"/>
  <c r="B102" i="1"/>
  <c r="F101" i="1"/>
  <c r="B101" i="1"/>
  <c r="F100" i="1"/>
  <c r="D100" i="1"/>
  <c r="C100" i="1"/>
  <c r="B100" i="1"/>
  <c r="F99" i="1"/>
  <c r="D99" i="1"/>
  <c r="C99" i="1"/>
  <c r="B99" i="1"/>
  <c r="F98" i="1"/>
  <c r="D98" i="1"/>
  <c r="C98" i="1"/>
  <c r="B98" i="1"/>
  <c r="F97" i="1"/>
  <c r="D97" i="1"/>
  <c r="C97" i="1"/>
  <c r="B97" i="1"/>
  <c r="F96" i="1"/>
  <c r="D96" i="1"/>
  <c r="C96" i="1"/>
  <c r="B96" i="1"/>
  <c r="F95" i="1"/>
  <c r="D95" i="1"/>
  <c r="C95" i="1"/>
  <c r="B95" i="1"/>
  <c r="F94" i="1"/>
  <c r="D94" i="1"/>
  <c r="C94" i="1"/>
  <c r="B94" i="1"/>
  <c r="F93" i="1"/>
  <c r="D93" i="1"/>
  <c r="C93" i="1"/>
  <c r="B93" i="1"/>
  <c r="F92" i="1"/>
  <c r="D92" i="1"/>
  <c r="C92" i="1"/>
  <c r="B92" i="1"/>
  <c r="F91" i="1"/>
  <c r="D91" i="1"/>
  <c r="C91" i="1"/>
  <c r="B91" i="1"/>
  <c r="F90" i="1"/>
  <c r="D90" i="1"/>
  <c r="C90" i="1"/>
  <c r="B90" i="1"/>
  <c r="F89" i="1"/>
  <c r="D89" i="1"/>
  <c r="C89" i="1"/>
  <c r="B89" i="1"/>
  <c r="F88" i="1"/>
  <c r="D88" i="1"/>
  <c r="C88" i="1"/>
  <c r="B88" i="1"/>
  <c r="F87" i="1"/>
  <c r="D87" i="1"/>
  <c r="C87" i="1"/>
  <c r="B87" i="1"/>
  <c r="F86" i="1"/>
  <c r="D86" i="1"/>
  <c r="C86" i="1"/>
  <c r="B86" i="1"/>
  <c r="F85" i="1"/>
  <c r="D85" i="1"/>
  <c r="C85" i="1"/>
  <c r="B85" i="1"/>
  <c r="F84" i="1"/>
  <c r="D84" i="1"/>
  <c r="C84" i="1"/>
  <c r="B84" i="1"/>
  <c r="F83" i="1"/>
  <c r="D83" i="1"/>
  <c r="C83" i="1"/>
  <c r="B83" i="1"/>
  <c r="F82" i="1"/>
  <c r="D82" i="1"/>
  <c r="C82" i="1"/>
  <c r="B82" i="1"/>
  <c r="F81" i="1"/>
  <c r="D81" i="1"/>
  <c r="C81" i="1"/>
  <c r="B81" i="1"/>
  <c r="F80" i="1"/>
  <c r="D80" i="1"/>
  <c r="C80" i="1"/>
  <c r="B80" i="1"/>
  <c r="F79" i="1"/>
  <c r="D79" i="1"/>
  <c r="C79" i="1"/>
  <c r="B79" i="1"/>
  <c r="F78" i="1"/>
  <c r="D78" i="1"/>
  <c r="C78" i="1"/>
  <c r="B78" i="1"/>
  <c r="F77" i="1"/>
  <c r="D77" i="1"/>
  <c r="C77" i="1"/>
  <c r="B77" i="1"/>
  <c r="F76" i="1"/>
  <c r="D76" i="1"/>
  <c r="C76" i="1"/>
  <c r="B76" i="1"/>
  <c r="F75" i="1"/>
  <c r="D75" i="1"/>
  <c r="C75" i="1"/>
  <c r="B75" i="1"/>
  <c r="F74" i="1"/>
  <c r="D74" i="1"/>
  <c r="C74" i="1"/>
  <c r="B74" i="1"/>
  <c r="F73" i="1"/>
  <c r="D73" i="1"/>
  <c r="C73" i="1"/>
  <c r="B73" i="1"/>
  <c r="F72" i="1"/>
  <c r="D72" i="1"/>
  <c r="C72" i="1"/>
  <c r="B72" i="1"/>
  <c r="F71" i="1"/>
  <c r="D71" i="1"/>
  <c r="C71" i="1"/>
  <c r="B71" i="1"/>
  <c r="F70" i="1"/>
  <c r="D70" i="1"/>
  <c r="C70" i="1"/>
  <c r="B70" i="1"/>
  <c r="F69" i="1"/>
  <c r="D69" i="1"/>
  <c r="C69" i="1"/>
  <c r="B69" i="1"/>
  <c r="F68" i="1"/>
  <c r="D68" i="1"/>
  <c r="C68" i="1"/>
  <c r="B68" i="1"/>
  <c r="F67" i="1"/>
  <c r="D67" i="1"/>
  <c r="C67" i="1"/>
  <c r="B67" i="1"/>
  <c r="F66" i="1"/>
  <c r="D66" i="1"/>
  <c r="C66" i="1"/>
  <c r="B66" i="1"/>
  <c r="F65" i="1"/>
  <c r="D65" i="1"/>
  <c r="C65" i="1"/>
  <c r="B65" i="1"/>
  <c r="F64" i="1"/>
  <c r="D64" i="1"/>
  <c r="C64" i="1"/>
  <c r="B64" i="1"/>
  <c r="F63" i="1"/>
  <c r="D63" i="1"/>
  <c r="C63" i="1"/>
  <c r="B63" i="1"/>
  <c r="F62" i="1"/>
  <c r="D62" i="1"/>
  <c r="C62" i="1"/>
  <c r="B62" i="1"/>
  <c r="F61" i="1"/>
  <c r="D61" i="1"/>
  <c r="C61" i="1"/>
  <c r="B61" i="1"/>
  <c r="F60" i="1"/>
  <c r="D60" i="1"/>
  <c r="C60" i="1"/>
  <c r="B60" i="1"/>
  <c r="F59" i="1"/>
  <c r="D59" i="1"/>
  <c r="C59" i="1"/>
  <c r="B59" i="1"/>
  <c r="F58" i="1"/>
  <c r="D58" i="1"/>
  <c r="C58" i="1"/>
  <c r="B58" i="1"/>
  <c r="F57" i="1"/>
  <c r="D57" i="1"/>
  <c r="C57" i="1"/>
  <c r="B57" i="1"/>
  <c r="F56" i="1"/>
  <c r="D56" i="1"/>
  <c r="C56" i="1"/>
  <c r="B56" i="1"/>
  <c r="F55" i="1"/>
  <c r="D55" i="1"/>
  <c r="C55" i="1"/>
  <c r="B55" i="1"/>
  <c r="F54" i="1"/>
  <c r="D54" i="1"/>
  <c r="C54" i="1"/>
  <c r="B54" i="1"/>
  <c r="F53" i="1"/>
  <c r="D53" i="1"/>
  <c r="C53" i="1"/>
  <c r="B53" i="1"/>
  <c r="F52" i="1"/>
  <c r="D52" i="1"/>
  <c r="C52" i="1"/>
  <c r="B52" i="1"/>
  <c r="F51" i="1"/>
  <c r="D51" i="1"/>
  <c r="C51" i="1"/>
  <c r="B51" i="1"/>
  <c r="F50" i="1"/>
  <c r="D50" i="1"/>
  <c r="C50" i="1"/>
  <c r="B50" i="1"/>
  <c r="F49" i="1"/>
  <c r="D49" i="1"/>
  <c r="C49" i="1"/>
  <c r="B49" i="1"/>
  <c r="F48" i="1"/>
  <c r="D48" i="1"/>
  <c r="C48" i="1"/>
  <c r="B48" i="1"/>
  <c r="F47" i="1"/>
  <c r="D47" i="1"/>
  <c r="C47" i="1"/>
  <c r="B47" i="1"/>
  <c r="F46" i="1"/>
  <c r="D46" i="1"/>
  <c r="C46" i="1"/>
  <c r="B46" i="1"/>
  <c r="F45" i="1"/>
  <c r="D45" i="1"/>
  <c r="C45" i="1"/>
  <c r="B45" i="1"/>
  <c r="F44" i="1"/>
  <c r="D44" i="1"/>
  <c r="C44" i="1"/>
  <c r="B44" i="1"/>
  <c r="F43" i="1"/>
  <c r="D43" i="1"/>
  <c r="C43" i="1"/>
  <c r="B43" i="1"/>
  <c r="F42" i="1"/>
  <c r="D42" i="1"/>
  <c r="C42" i="1"/>
  <c r="B42" i="1"/>
  <c r="F41" i="1"/>
  <c r="D41" i="1"/>
  <c r="C41" i="1"/>
  <c r="B41" i="1"/>
  <c r="F40" i="1"/>
  <c r="D40" i="1"/>
  <c r="C40" i="1"/>
  <c r="B40" i="1"/>
  <c r="F39" i="1"/>
  <c r="D39" i="1"/>
  <c r="C39" i="1"/>
  <c r="B39" i="1"/>
  <c r="F38" i="1"/>
  <c r="D38" i="1"/>
  <c r="C38" i="1"/>
  <c r="B38" i="1"/>
  <c r="F37" i="1"/>
  <c r="B37" i="1"/>
  <c r="F36" i="1"/>
  <c r="B36" i="1"/>
  <c r="F35" i="1"/>
  <c r="B35" i="1"/>
  <c r="F34" i="1"/>
  <c r="D34" i="1"/>
  <c r="C34" i="1"/>
  <c r="B34" i="1"/>
  <c r="F33" i="1"/>
  <c r="D33" i="1"/>
  <c r="C33" i="1"/>
  <c r="B33" i="1"/>
  <c r="F32" i="1"/>
  <c r="D32" i="1"/>
  <c r="C32" i="1"/>
  <c r="B32" i="1"/>
  <c r="F31" i="1"/>
  <c r="D31" i="1"/>
  <c r="C31" i="1"/>
  <c r="B31" i="1"/>
  <c r="F30" i="1"/>
  <c r="D30" i="1"/>
  <c r="C30" i="1"/>
  <c r="B30" i="1"/>
  <c r="F29" i="1"/>
  <c r="D29" i="1"/>
  <c r="C29" i="1"/>
  <c r="B29" i="1"/>
  <c r="F28" i="1"/>
  <c r="D28" i="1"/>
  <c r="C28" i="1"/>
  <c r="B28" i="1"/>
  <c r="F27" i="1"/>
  <c r="D27" i="1"/>
  <c r="C27" i="1"/>
  <c r="B27" i="1"/>
  <c r="F26" i="1"/>
  <c r="D26" i="1"/>
  <c r="C26" i="1"/>
  <c r="B26" i="1"/>
  <c r="F25" i="1"/>
  <c r="D25" i="1"/>
  <c r="C25" i="1"/>
  <c r="B25" i="1"/>
  <c r="F24" i="1"/>
  <c r="D24" i="1"/>
  <c r="C24" i="1"/>
  <c r="B24" i="1"/>
  <c r="F23" i="1"/>
  <c r="D23" i="1"/>
  <c r="C23" i="1"/>
  <c r="B23" i="1"/>
  <c r="F22" i="1"/>
  <c r="B22" i="1"/>
  <c r="F21" i="1"/>
  <c r="B21" i="1"/>
  <c r="F20" i="1"/>
  <c r="B20" i="1"/>
  <c r="F19" i="1"/>
  <c r="B19" i="1"/>
  <c r="F18" i="1"/>
  <c r="B18" i="1"/>
  <c r="F17" i="1"/>
  <c r="B17" i="1"/>
  <c r="F16" i="1"/>
  <c r="B16" i="1"/>
  <c r="F15" i="1"/>
  <c r="B15" i="1"/>
  <c r="F14" i="1"/>
  <c r="B14" i="1"/>
  <c r="F13" i="1"/>
  <c r="B13" i="1"/>
  <c r="F12" i="1"/>
  <c r="B12" i="1"/>
  <c r="F11" i="1"/>
  <c r="B11" i="1"/>
  <c r="F10" i="1"/>
  <c r="B10" i="1"/>
  <c r="F9" i="1"/>
  <c r="B9" i="1"/>
  <c r="F8" i="1"/>
  <c r="B8" i="1"/>
  <c r="F7" i="1"/>
  <c r="B7" i="1"/>
  <c r="F6" i="1"/>
  <c r="B6" i="1"/>
  <c r="F5" i="1"/>
  <c r="B5" i="1"/>
  <c r="F4" i="1"/>
  <c r="B4" i="1"/>
  <c r="F3" i="1"/>
  <c r="B3" i="1"/>
  <c r="B12" i="19" l="1"/>
  <c r="B36" i="19"/>
  <c r="B55" i="19"/>
  <c r="B46" i="19"/>
  <c r="B57" i="19"/>
  <c r="B24" i="19"/>
  <c r="B11" i="19"/>
  <c r="B27" i="19"/>
  <c r="B35" i="19"/>
  <c r="B10" i="19"/>
  <c r="B21" i="19"/>
  <c r="J28" i="13"/>
  <c r="B32" i="19"/>
  <c r="B43" i="19"/>
  <c r="B7" i="19"/>
  <c r="B15" i="19"/>
  <c r="B29" i="19"/>
  <c r="B40" i="19"/>
  <c r="B48" i="19"/>
  <c r="B51" i="19"/>
  <c r="J24" i="13"/>
  <c r="B33" i="19"/>
  <c r="B9" i="19"/>
  <c r="B20" i="19"/>
  <c r="B23" i="19"/>
  <c r="B45" i="19"/>
  <c r="J8" i="13"/>
  <c r="J32" i="13"/>
  <c r="J12" i="13"/>
  <c r="G42" i="13" a="1"/>
  <c r="G42" i="13" s="1"/>
  <c r="M42" i="13" s="1"/>
  <c r="B31" i="19"/>
  <c r="B54" i="19"/>
  <c r="J40" i="13"/>
  <c r="B14" i="19"/>
  <c r="B28" i="19"/>
  <c r="B42" i="19"/>
  <c r="J36" i="13"/>
  <c r="B8" i="19"/>
  <c r="B25" i="19"/>
  <c r="J20" i="13"/>
  <c r="D42" i="13" a="1"/>
  <c r="D42" i="13" s="1"/>
  <c r="L42" i="13" s="1"/>
  <c r="B16" i="19"/>
  <c r="B19" i="19"/>
  <c r="B22" i="19"/>
  <c r="B30" i="19"/>
  <c r="B44" i="19"/>
  <c r="B47" i="19"/>
  <c r="AC124" i="18"/>
  <c r="AB124" i="18"/>
  <c r="AF124" i="18" s="1"/>
  <c r="A9" i="18"/>
  <c r="E11" i="18"/>
  <c r="A13" i="18"/>
  <c r="E15" i="18"/>
  <c r="F18" i="18"/>
  <c r="AD18" i="18" s="1"/>
  <c r="A19" i="18"/>
  <c r="F20" i="18"/>
  <c r="AD20" i="18" s="1"/>
  <c r="A21" i="18"/>
  <c r="D22" i="18"/>
  <c r="R22" i="18" s="1"/>
  <c r="F27" i="18"/>
  <c r="AD27" i="18" s="1"/>
  <c r="A28" i="18"/>
  <c r="E35" i="18"/>
  <c r="D41" i="18"/>
  <c r="R41" i="18" s="1"/>
  <c r="A44" i="18"/>
  <c r="D48" i="18"/>
  <c r="R48" i="18" s="1"/>
  <c r="F49" i="18"/>
  <c r="AD49" i="18" s="1"/>
  <c r="A54" i="18"/>
  <c r="E63" i="18"/>
  <c r="E66" i="18"/>
  <c r="E75" i="18"/>
  <c r="D81" i="18"/>
  <c r="R81" i="18" s="1"/>
  <c r="E87" i="18"/>
  <c r="D108" i="18"/>
  <c r="R108" i="18" s="1"/>
  <c r="D10" i="18"/>
  <c r="R10" i="18" s="1"/>
  <c r="F11" i="18"/>
  <c r="AD11" i="18" s="1"/>
  <c r="D14" i="18"/>
  <c r="R14" i="18" s="1"/>
  <c r="F15" i="18"/>
  <c r="AD15" i="18" s="1"/>
  <c r="D17" i="18"/>
  <c r="R17" i="18" s="1"/>
  <c r="E22" i="18"/>
  <c r="E24" i="18"/>
  <c r="D30" i="18"/>
  <c r="R30" i="18" s="1"/>
  <c r="F35" i="18"/>
  <c r="AD35" i="18" s="1"/>
  <c r="A37" i="18"/>
  <c r="E41" i="18"/>
  <c r="D42" i="18"/>
  <c r="R42" i="18" s="1"/>
  <c r="E48" i="18"/>
  <c r="A69" i="18"/>
  <c r="E81" i="18"/>
  <c r="F87" i="18"/>
  <c r="AD87" i="18" s="1"/>
  <c r="A92" i="18"/>
  <c r="A107" i="18"/>
  <c r="A116" i="18"/>
  <c r="E10" i="18"/>
  <c r="A12" i="18"/>
  <c r="E14" i="18"/>
  <c r="A16" i="18"/>
  <c r="E17" i="18"/>
  <c r="D19" i="18"/>
  <c r="R19" i="18" s="1"/>
  <c r="F22" i="18"/>
  <c r="AD22" i="18" s="1"/>
  <c r="A23" i="18"/>
  <c r="F24" i="18"/>
  <c r="AD24" i="18" s="1"/>
  <c r="A25" i="18"/>
  <c r="D26" i="18"/>
  <c r="R26" i="18" s="1"/>
  <c r="E30" i="18"/>
  <c r="A31" i="18"/>
  <c r="D33" i="18"/>
  <c r="R33" i="18" s="1"/>
  <c r="F42" i="18"/>
  <c r="AD42" i="18" s="1"/>
  <c r="A51" i="18"/>
  <c r="A53" i="18"/>
  <c r="A60" i="18"/>
  <c r="E62" i="18"/>
  <c r="D89" i="18"/>
  <c r="R89" i="18" s="1"/>
  <c r="F98" i="18"/>
  <c r="AD98" i="18" s="1"/>
  <c r="D121" i="18"/>
  <c r="R121" i="18" s="1"/>
  <c r="D125" i="18"/>
  <c r="R125" i="18" s="1"/>
  <c r="D9" i="18"/>
  <c r="R9" i="18" s="1"/>
  <c r="F10" i="18"/>
  <c r="AD10" i="18" s="1"/>
  <c r="D13" i="18"/>
  <c r="R13" i="18" s="1"/>
  <c r="F14" i="18"/>
  <c r="AD14" i="18" s="1"/>
  <c r="A18" i="18"/>
  <c r="E19" i="18"/>
  <c r="D21" i="18"/>
  <c r="R21" i="18" s="1"/>
  <c r="E26" i="18"/>
  <c r="E28" i="18"/>
  <c r="A29" i="18"/>
  <c r="F30" i="18"/>
  <c r="AD30" i="18" s="1"/>
  <c r="E33" i="18"/>
  <c r="A34" i="18"/>
  <c r="D44" i="18"/>
  <c r="R44" i="18" s="1"/>
  <c r="F45" i="18"/>
  <c r="AD45" i="18" s="1"/>
  <c r="F46" i="18"/>
  <c r="AD46" i="18" s="1"/>
  <c r="A58" i="18"/>
  <c r="D70" i="18"/>
  <c r="R70" i="18" s="1"/>
  <c r="E77" i="18"/>
  <c r="A97" i="18"/>
  <c r="E100" i="18"/>
  <c r="E9" i="18"/>
  <c r="A11" i="18"/>
  <c r="E13" i="18"/>
  <c r="A15" i="18"/>
  <c r="F19" i="18"/>
  <c r="AD19" i="18" s="1"/>
  <c r="A20" i="18"/>
  <c r="E21" i="18"/>
  <c r="D23" i="18"/>
  <c r="R23" i="18" s="1"/>
  <c r="F26" i="18"/>
  <c r="AD26" i="18" s="1"/>
  <c r="A27" i="18"/>
  <c r="E31" i="18"/>
  <c r="A32" i="18"/>
  <c r="D37" i="18"/>
  <c r="R37" i="18" s="1"/>
  <c r="A39" i="18"/>
  <c r="E44" i="18"/>
  <c r="D52" i="18"/>
  <c r="R52" i="18" s="1"/>
  <c r="F53" i="18"/>
  <c r="AD53" i="18" s="1"/>
  <c r="D59" i="18"/>
  <c r="R59" i="18" s="1"/>
  <c r="D69" i="18"/>
  <c r="R69" i="18" s="1"/>
  <c r="D95" i="18"/>
  <c r="R95" i="18" s="1"/>
  <c r="F107" i="18"/>
  <c r="AD107" i="18" s="1"/>
  <c r="E120" i="18"/>
  <c r="F9" i="18"/>
  <c r="AD9" i="18" s="1"/>
  <c r="D12" i="18"/>
  <c r="R12" i="18" s="1"/>
  <c r="F13" i="18"/>
  <c r="AD13" i="18" s="1"/>
  <c r="E16" i="18"/>
  <c r="A22" i="18"/>
  <c r="E23" i="18"/>
  <c r="D25" i="18"/>
  <c r="R25" i="18" s="1"/>
  <c r="F31" i="18"/>
  <c r="AD31" i="18" s="1"/>
  <c r="D34" i="18"/>
  <c r="R34" i="18" s="1"/>
  <c r="E37" i="18"/>
  <c r="D38" i="18"/>
  <c r="R38" i="18" s="1"/>
  <c r="A41" i="18"/>
  <c r="E52" i="18"/>
  <c r="F57" i="18"/>
  <c r="AD57" i="18" s="1"/>
  <c r="A64" i="18"/>
  <c r="A65" i="18"/>
  <c r="E67" i="18"/>
  <c r="E69" i="18"/>
  <c r="A72" i="18"/>
  <c r="D79" i="18"/>
  <c r="R79" i="18" s="1"/>
  <c r="A85" i="18"/>
  <c r="F104" i="18"/>
  <c r="AD104" i="18" s="1"/>
  <c r="E111" i="18"/>
  <c r="D127" i="18"/>
  <c r="R127" i="18" s="1"/>
  <c r="G9" i="18"/>
  <c r="A10" i="18"/>
  <c r="E12" i="18"/>
  <c r="A14" i="18"/>
  <c r="F16" i="18"/>
  <c r="AD16" i="18" s="1"/>
  <c r="A17" i="18"/>
  <c r="D18" i="18"/>
  <c r="R18" i="18" s="1"/>
  <c r="F23" i="18"/>
  <c r="AD23" i="18" s="1"/>
  <c r="A24" i="18"/>
  <c r="E25" i="18"/>
  <c r="D27" i="18"/>
  <c r="R27" i="18" s="1"/>
  <c r="D29" i="18"/>
  <c r="R29" i="18" s="1"/>
  <c r="E34" i="18"/>
  <c r="A35" i="18"/>
  <c r="F38" i="18"/>
  <c r="AD38" i="18" s="1"/>
  <c r="E39" i="18"/>
  <c r="F56" i="18"/>
  <c r="AD56" i="18" s="1"/>
  <c r="D58" i="18"/>
  <c r="R58" i="18" s="1"/>
  <c r="F79" i="18"/>
  <c r="AD79" i="18" s="1"/>
  <c r="F88" i="18"/>
  <c r="AD88" i="18" s="1"/>
  <c r="D106" i="18"/>
  <c r="R106" i="18" s="1"/>
  <c r="F111" i="18"/>
  <c r="AD111" i="18" s="1"/>
  <c r="E127" i="18"/>
  <c r="D124" i="18"/>
  <c r="R124" i="18" s="1"/>
  <c r="A123" i="18"/>
  <c r="F122" i="18"/>
  <c r="AD122" i="18" s="1"/>
  <c r="A127" i="18"/>
  <c r="F126" i="18"/>
  <c r="AD126" i="18" s="1"/>
  <c r="E123" i="18"/>
  <c r="D120" i="18"/>
  <c r="R120" i="18" s="1"/>
  <c r="A119" i="18"/>
  <c r="F118" i="18"/>
  <c r="AD118" i="18" s="1"/>
  <c r="E115" i="18"/>
  <c r="D112" i="18"/>
  <c r="R112" i="18" s="1"/>
  <c r="A111" i="18"/>
  <c r="F110" i="18"/>
  <c r="AD110" i="18" s="1"/>
  <c r="E107" i="18"/>
  <c r="D104" i="18"/>
  <c r="R104" i="18" s="1"/>
  <c r="A103" i="18"/>
  <c r="F102" i="18"/>
  <c r="AD102" i="18" s="1"/>
  <c r="E99" i="18"/>
  <c r="D96" i="18"/>
  <c r="R96" i="18" s="1"/>
  <c r="A95" i="18"/>
  <c r="F94" i="18"/>
  <c r="AD94" i="18" s="1"/>
  <c r="E91" i="18"/>
  <c r="D88" i="18"/>
  <c r="R88" i="18" s="1"/>
  <c r="A87" i="18"/>
  <c r="F86" i="18"/>
  <c r="AD86" i="18" s="1"/>
  <c r="E83" i="18"/>
  <c r="D80" i="18"/>
  <c r="R80" i="18" s="1"/>
  <c r="A79" i="18"/>
  <c r="F78" i="18"/>
  <c r="AD78" i="18" s="1"/>
  <c r="A76" i="18"/>
  <c r="D74" i="18"/>
  <c r="R74" i="18" s="1"/>
  <c r="E126" i="18"/>
  <c r="D123" i="18"/>
  <c r="R123" i="18" s="1"/>
  <c r="A122" i="18"/>
  <c r="F121" i="18"/>
  <c r="AD121" i="18" s="1"/>
  <c r="E118" i="18"/>
  <c r="D115" i="18"/>
  <c r="R115" i="18" s="1"/>
  <c r="A114" i="18"/>
  <c r="F113" i="18"/>
  <c r="AD113" i="18" s="1"/>
  <c r="E110" i="18"/>
  <c r="D107" i="18"/>
  <c r="R107" i="18" s="1"/>
  <c r="A106" i="18"/>
  <c r="F105" i="18"/>
  <c r="AD105" i="18" s="1"/>
  <c r="E102" i="18"/>
  <c r="D99" i="18"/>
  <c r="R99" i="18" s="1"/>
  <c r="A98" i="18"/>
  <c r="F97" i="18"/>
  <c r="AD97" i="18" s="1"/>
  <c r="E94" i="18"/>
  <c r="D91" i="18"/>
  <c r="R91" i="18" s="1"/>
  <c r="A90" i="18"/>
  <c r="F89" i="18"/>
  <c r="AD89" i="18" s="1"/>
  <c r="E86" i="18"/>
  <c r="D83" i="18"/>
  <c r="R83" i="18" s="1"/>
  <c r="A82" i="18"/>
  <c r="F81" i="18"/>
  <c r="AD81" i="18" s="1"/>
  <c r="D126" i="18"/>
  <c r="R126" i="18" s="1"/>
  <c r="A125" i="18"/>
  <c r="F124" i="18"/>
  <c r="AD124" i="18" s="1"/>
  <c r="E121" i="18"/>
  <c r="D118" i="18"/>
  <c r="R118" i="18" s="1"/>
  <c r="A117" i="18"/>
  <c r="F116" i="18"/>
  <c r="AD116" i="18" s="1"/>
  <c r="E113" i="18"/>
  <c r="D110" i="18"/>
  <c r="R110" i="18" s="1"/>
  <c r="A109" i="18"/>
  <c r="F108" i="18"/>
  <c r="AD108" i="18" s="1"/>
  <c r="E105" i="18"/>
  <c r="D102" i="18"/>
  <c r="R102" i="18" s="1"/>
  <c r="A101" i="18"/>
  <c r="F100" i="18"/>
  <c r="AD100" i="18" s="1"/>
  <c r="E97" i="18"/>
  <c r="D117" i="18"/>
  <c r="R117" i="18" s="1"/>
  <c r="E116" i="18"/>
  <c r="A113" i="18"/>
  <c r="A112" i="18"/>
  <c r="D111" i="18"/>
  <c r="R111" i="18" s="1"/>
  <c r="F109" i="18"/>
  <c r="AD109" i="18" s="1"/>
  <c r="E104" i="18"/>
  <c r="F103" i="18"/>
  <c r="AD103" i="18" s="1"/>
  <c r="A100" i="18"/>
  <c r="D98" i="18"/>
  <c r="R98" i="18" s="1"/>
  <c r="E93" i="18"/>
  <c r="E90" i="18"/>
  <c r="A88" i="18"/>
  <c r="D87" i="18"/>
  <c r="R87" i="18" s="1"/>
  <c r="D84" i="18"/>
  <c r="R84" i="18" s="1"/>
  <c r="E78" i="18"/>
  <c r="A77" i="18"/>
  <c r="F76" i="18"/>
  <c r="AD76" i="18" s="1"/>
  <c r="E71" i="18"/>
  <c r="F68" i="18"/>
  <c r="AD68" i="18" s="1"/>
  <c r="D67" i="18"/>
  <c r="R67" i="18" s="1"/>
  <c r="A66" i="18"/>
  <c r="E64" i="18"/>
  <c r="F61" i="18"/>
  <c r="AD61" i="18" s="1"/>
  <c r="D60" i="18"/>
  <c r="R60" i="18" s="1"/>
  <c r="E57" i="18"/>
  <c r="A55" i="18"/>
  <c r="F54" i="18"/>
  <c r="AD54" i="18" s="1"/>
  <c r="D53" i="18"/>
  <c r="R53" i="18" s="1"/>
  <c r="E50" i="18"/>
  <c r="A48" i="18"/>
  <c r="A118" i="18"/>
  <c r="D116" i="18"/>
  <c r="R116" i="18" s="1"/>
  <c r="E109" i="18"/>
  <c r="E103" i="18"/>
  <c r="A99" i="18"/>
  <c r="D97" i="18"/>
  <c r="R97" i="18" s="1"/>
  <c r="F96" i="18"/>
  <c r="AD96" i="18" s="1"/>
  <c r="A94" i="18"/>
  <c r="D93" i="18"/>
  <c r="R93" i="18" s="1"/>
  <c r="A91" i="18"/>
  <c r="D90" i="18"/>
  <c r="R90" i="18" s="1"/>
  <c r="F80" i="18"/>
  <c r="AD80" i="18" s="1"/>
  <c r="D78" i="18"/>
  <c r="R78" i="18" s="1"/>
  <c r="E76" i="18"/>
  <c r="F74" i="18"/>
  <c r="AD74" i="18" s="1"/>
  <c r="A73" i="18"/>
  <c r="F72" i="18"/>
  <c r="AD72" i="18" s="1"/>
  <c r="D71" i="18"/>
  <c r="R71" i="18" s="1"/>
  <c r="A70" i="18"/>
  <c r="E68" i="18"/>
  <c r="F65" i="18"/>
  <c r="AD65" i="18" s="1"/>
  <c r="D64" i="18"/>
  <c r="R64" i="18" s="1"/>
  <c r="E61" i="18"/>
  <c r="A59" i="18"/>
  <c r="F58" i="18"/>
  <c r="AD58" i="18" s="1"/>
  <c r="D57" i="18"/>
  <c r="R57" i="18" s="1"/>
  <c r="E54" i="18"/>
  <c r="A52" i="18"/>
  <c r="D50" i="18"/>
  <c r="R50" i="18" s="1"/>
  <c r="F47" i="18"/>
  <c r="AD47" i="18" s="1"/>
  <c r="D46" i="18"/>
  <c r="R46" i="18" s="1"/>
  <c r="F43" i="18"/>
  <c r="AD43" i="18" s="1"/>
  <c r="F127" i="18"/>
  <c r="AD127" i="18" s="1"/>
  <c r="F125" i="18"/>
  <c r="AD125" i="18" s="1"/>
  <c r="E122" i="18"/>
  <c r="F115" i="18"/>
  <c r="AD115" i="18" s="1"/>
  <c r="F114" i="18"/>
  <c r="AD114" i="18" s="1"/>
  <c r="D109" i="18"/>
  <c r="R109" i="18" s="1"/>
  <c r="E108" i="18"/>
  <c r="A105" i="18"/>
  <c r="A104" i="18"/>
  <c r="D103" i="18"/>
  <c r="R103" i="18" s="1"/>
  <c r="F101" i="18"/>
  <c r="AD101" i="18" s="1"/>
  <c r="E96" i="18"/>
  <c r="F95" i="18"/>
  <c r="AD95" i="18" s="1"/>
  <c r="F92" i="18"/>
  <c r="AD92" i="18" s="1"/>
  <c r="E89" i="18"/>
  <c r="D86" i="18"/>
  <c r="R86" i="18" s="1"/>
  <c r="F83" i="18"/>
  <c r="AD83" i="18" s="1"/>
  <c r="A81" i="18"/>
  <c r="E80" i="18"/>
  <c r="D76" i="18"/>
  <c r="R76" i="18" s="1"/>
  <c r="A75" i="18"/>
  <c r="E74" i="18"/>
  <c r="E72" i="18"/>
  <c r="F69" i="18"/>
  <c r="AD69" i="18" s="1"/>
  <c r="D68" i="18"/>
  <c r="R68" i="18" s="1"/>
  <c r="E65" i="18"/>
  <c r="A63" i="18"/>
  <c r="F62" i="18"/>
  <c r="AD62" i="18" s="1"/>
  <c r="D61" i="18"/>
  <c r="R61" i="18" s="1"/>
  <c r="E58" i="18"/>
  <c r="A56" i="18"/>
  <c r="D54" i="18"/>
  <c r="R54" i="18" s="1"/>
  <c r="F51" i="18"/>
  <c r="AD51" i="18" s="1"/>
  <c r="A49" i="18"/>
  <c r="E47" i="18"/>
  <c r="A45" i="18"/>
  <c r="A126" i="18"/>
  <c r="E119" i="18"/>
  <c r="A115" i="18"/>
  <c r="D113" i="18"/>
  <c r="R113" i="18" s="1"/>
  <c r="F112" i="18"/>
  <c r="AD112" i="18" s="1"/>
  <c r="E106" i="18"/>
  <c r="A102" i="18"/>
  <c r="D100" i="18"/>
  <c r="R100" i="18" s="1"/>
  <c r="E88" i="18"/>
  <c r="A86" i="18"/>
  <c r="D85" i="18"/>
  <c r="R85" i="18" s="1"/>
  <c r="A83" i="18"/>
  <c r="D82" i="18"/>
  <c r="R82" i="18" s="1"/>
  <c r="A80" i="18"/>
  <c r="E79" i="18"/>
  <c r="D77" i="18"/>
  <c r="R77" i="18" s="1"/>
  <c r="F75" i="18"/>
  <c r="AD75" i="18" s="1"/>
  <c r="A74" i="18"/>
  <c r="F73" i="18"/>
  <c r="AD73" i="18" s="1"/>
  <c r="E70" i="18"/>
  <c r="A68" i="18"/>
  <c r="D66" i="18"/>
  <c r="R66" i="18" s="1"/>
  <c r="A124" i="18"/>
  <c r="F123" i="18"/>
  <c r="AD123" i="18" s="1"/>
  <c r="F119" i="18"/>
  <c r="AD119" i="18" s="1"/>
  <c r="E101" i="18"/>
  <c r="E92" i="18"/>
  <c r="F90" i="18"/>
  <c r="AD90" i="18" s="1"/>
  <c r="E82" i="18"/>
  <c r="A67" i="18"/>
  <c r="D65" i="18"/>
  <c r="R65" i="18" s="1"/>
  <c r="A62" i="18"/>
  <c r="F60" i="18"/>
  <c r="AD60" i="18" s="1"/>
  <c r="E56" i="18"/>
  <c r="E51" i="18"/>
  <c r="A46" i="18"/>
  <c r="E45" i="18"/>
  <c r="E43" i="18"/>
  <c r="F40" i="18"/>
  <c r="AD40" i="18" s="1"/>
  <c r="D39" i="18"/>
  <c r="R39" i="18" s="1"/>
  <c r="F36" i="18"/>
  <c r="AD36" i="18" s="1"/>
  <c r="D35" i="18"/>
  <c r="R35" i="18" s="1"/>
  <c r="F32" i="18"/>
  <c r="AD32" i="18" s="1"/>
  <c r="D31" i="18"/>
  <c r="R31" i="18" s="1"/>
  <c r="F28" i="18"/>
  <c r="AD28" i="18" s="1"/>
  <c r="D119" i="18"/>
  <c r="R119" i="18" s="1"/>
  <c r="E114" i="18"/>
  <c r="A108" i="18"/>
  <c r="D105" i="18"/>
  <c r="R105" i="18" s="1"/>
  <c r="D101" i="18"/>
  <c r="R101" i="18" s="1"/>
  <c r="F93" i="18"/>
  <c r="AD93" i="18" s="1"/>
  <c r="D92" i="18"/>
  <c r="R92" i="18" s="1"/>
  <c r="F91" i="18"/>
  <c r="AD91" i="18" s="1"/>
  <c r="A89" i="18"/>
  <c r="F85" i="18"/>
  <c r="AD85" i="18" s="1"/>
  <c r="F84" i="18"/>
  <c r="AD84" i="18" s="1"/>
  <c r="E73" i="18"/>
  <c r="F64" i="18"/>
  <c r="AD64" i="18" s="1"/>
  <c r="E60" i="18"/>
  <c r="F59" i="18"/>
  <c r="AD59" i="18" s="1"/>
  <c r="A57" i="18"/>
  <c r="D56" i="18"/>
  <c r="R56" i="18" s="1"/>
  <c r="F55" i="18"/>
  <c r="AD55" i="18" s="1"/>
  <c r="D51" i="18"/>
  <c r="R51" i="18" s="1"/>
  <c r="D45" i="18"/>
  <c r="R45" i="18" s="1"/>
  <c r="D43" i="18"/>
  <c r="R43" i="18" s="1"/>
  <c r="A42" i="18"/>
  <c r="E40" i="18"/>
  <c r="A38" i="18"/>
  <c r="E36" i="18"/>
  <c r="F120" i="18"/>
  <c r="AD120" i="18" s="1"/>
  <c r="D114" i="18"/>
  <c r="R114" i="18" s="1"/>
  <c r="F106" i="18"/>
  <c r="AD106" i="18" s="1"/>
  <c r="E95" i="18"/>
  <c r="D94" i="18"/>
  <c r="R94" i="18" s="1"/>
  <c r="E85" i="18"/>
  <c r="E84" i="18"/>
  <c r="F77" i="18"/>
  <c r="AD77" i="18" s="1"/>
  <c r="D73" i="18"/>
  <c r="R73" i="18" s="1"/>
  <c r="D72" i="18"/>
  <c r="R72" i="18" s="1"/>
  <c r="F71" i="18"/>
  <c r="AD71" i="18" s="1"/>
  <c r="F70" i="18"/>
  <c r="AD70" i="18" s="1"/>
  <c r="F63" i="18"/>
  <c r="AD63" i="18" s="1"/>
  <c r="A61" i="18"/>
  <c r="E59" i="18"/>
  <c r="E55" i="18"/>
  <c r="F50" i="18"/>
  <c r="AD50" i="18" s="1"/>
  <c r="D47" i="18"/>
  <c r="R47" i="18" s="1"/>
  <c r="F44" i="18"/>
  <c r="AD44" i="18" s="1"/>
  <c r="F41" i="18"/>
  <c r="AD41" i="18" s="1"/>
  <c r="D40" i="18"/>
  <c r="R40" i="18" s="1"/>
  <c r="F37" i="18"/>
  <c r="AD37" i="18" s="1"/>
  <c r="D36" i="18"/>
  <c r="R36" i="18" s="1"/>
  <c r="F33" i="18"/>
  <c r="AD33" i="18" s="1"/>
  <c r="D32" i="18"/>
  <c r="R32" i="18" s="1"/>
  <c r="F29" i="18"/>
  <c r="AD29" i="18" s="1"/>
  <c r="D28" i="18"/>
  <c r="R28" i="18" s="1"/>
  <c r="F25" i="18"/>
  <c r="AD25" i="18" s="1"/>
  <c r="D24" i="18"/>
  <c r="R24" i="18" s="1"/>
  <c r="F21" i="18"/>
  <c r="AD21" i="18" s="1"/>
  <c r="D20" i="18"/>
  <c r="R20" i="18" s="1"/>
  <c r="F17" i="18"/>
  <c r="AD17" i="18" s="1"/>
  <c r="D16" i="18"/>
  <c r="R16" i="18" s="1"/>
  <c r="A120" i="18"/>
  <c r="F117" i="18"/>
  <c r="AD117" i="18" s="1"/>
  <c r="E112" i="18"/>
  <c r="F99" i="18"/>
  <c r="AD99" i="18" s="1"/>
  <c r="E98" i="18"/>
  <c r="A96" i="18"/>
  <c r="A84" i="18"/>
  <c r="A78" i="18"/>
  <c r="A71" i="18"/>
  <c r="F67" i="18"/>
  <c r="AD67" i="18" s="1"/>
  <c r="F66" i="18"/>
  <c r="AD66" i="18" s="1"/>
  <c r="D62" i="18"/>
  <c r="R62" i="18" s="1"/>
  <c r="E53" i="18"/>
  <c r="F52" i="18"/>
  <c r="AD52" i="18" s="1"/>
  <c r="A50" i="18"/>
  <c r="D49" i="18"/>
  <c r="R49" i="18" s="1"/>
  <c r="F48" i="18"/>
  <c r="AD48" i="18" s="1"/>
  <c r="A47" i="18"/>
  <c r="E46" i="18"/>
  <c r="E42" i="18"/>
  <c r="A40" i="18"/>
  <c r="E38" i="18"/>
  <c r="E125" i="18"/>
  <c r="D122" i="18"/>
  <c r="R122" i="18" s="1"/>
  <c r="E117" i="18"/>
  <c r="A110" i="18"/>
  <c r="D11" i="18"/>
  <c r="R11" i="18" s="1"/>
  <c r="F12" i="18"/>
  <c r="AD12" i="18" s="1"/>
  <c r="D15" i="18"/>
  <c r="R15" i="18" s="1"/>
  <c r="E18" i="18"/>
  <c r="E20" i="18"/>
  <c r="A26" i="18"/>
  <c r="E27" i="18"/>
  <c r="E29" i="18"/>
  <c r="A30" i="18"/>
  <c r="E32" i="18"/>
  <c r="A33" i="18"/>
  <c r="F34" i="18"/>
  <c r="AD34" i="18" s="1"/>
  <c r="A36" i="18"/>
  <c r="F39" i="18"/>
  <c r="AD39" i="18" s="1"/>
  <c r="A43" i="18"/>
  <c r="E49" i="18"/>
  <c r="D55" i="18"/>
  <c r="R55" i="18" s="1"/>
  <c r="D63" i="18"/>
  <c r="R63" i="18" s="1"/>
  <c r="D75" i="18"/>
  <c r="R75" i="18" s="1"/>
  <c r="F82" i="18"/>
  <c r="AD82" i="18" s="1"/>
  <c r="A93" i="18"/>
  <c r="A121" i="18"/>
  <c r="B26" i="19"/>
  <c r="B34" i="19"/>
  <c r="B18" i="19"/>
  <c r="B50" i="19"/>
  <c r="B38" i="19"/>
  <c r="J42" i="13" l="1"/>
  <c r="AC73" i="18"/>
  <c r="AB73" i="18"/>
  <c r="AF73" i="18" s="1"/>
  <c r="AC105" i="18"/>
  <c r="AB105" i="18"/>
  <c r="AF105" i="18" s="1"/>
  <c r="AB121" i="18"/>
  <c r="AF121" i="18" s="1"/>
  <c r="AC121" i="18"/>
  <c r="AC25" i="18"/>
  <c r="AB25" i="18"/>
  <c r="AF25" i="18" s="1"/>
  <c r="AC69" i="18"/>
  <c r="AB69" i="18"/>
  <c r="AF69" i="18" s="1"/>
  <c r="AB37" i="18"/>
  <c r="AF37" i="18" s="1"/>
  <c r="AC37" i="18"/>
  <c r="AC100" i="18"/>
  <c r="AB100" i="18"/>
  <c r="AF100" i="18" s="1"/>
  <c r="AC30" i="18"/>
  <c r="AB30" i="18"/>
  <c r="AF30" i="18" s="1"/>
  <c r="AC81" i="18"/>
  <c r="AB81" i="18"/>
  <c r="AF81" i="18" s="1"/>
  <c r="AC24" i="18"/>
  <c r="AB24" i="18"/>
  <c r="AF24" i="18" s="1"/>
  <c r="AB87" i="18"/>
  <c r="AF87" i="18" s="1"/>
  <c r="AC87" i="18"/>
  <c r="AC88" i="18"/>
  <c r="AB88" i="18"/>
  <c r="AF88" i="18" s="1"/>
  <c r="AC90" i="18"/>
  <c r="AB90" i="18"/>
  <c r="AF90" i="18" s="1"/>
  <c r="AC27" i="18"/>
  <c r="AB27" i="18"/>
  <c r="AF27" i="18" s="1"/>
  <c r="AC117" i="18"/>
  <c r="AB117" i="18"/>
  <c r="AF117" i="18" s="1"/>
  <c r="AC96" i="18"/>
  <c r="AB96" i="18"/>
  <c r="AF96" i="18" s="1"/>
  <c r="AB68" i="18"/>
  <c r="AF68" i="18" s="1"/>
  <c r="AC68" i="18"/>
  <c r="AB103" i="18"/>
  <c r="AF103" i="18" s="1"/>
  <c r="AC103" i="18"/>
  <c r="AB71" i="18"/>
  <c r="AF71" i="18" s="1"/>
  <c r="AC71" i="18"/>
  <c r="AC93" i="18"/>
  <c r="AB93" i="18"/>
  <c r="AF93" i="18" s="1"/>
  <c r="AB83" i="18"/>
  <c r="AF83" i="18" s="1"/>
  <c r="AC83" i="18"/>
  <c r="AC99" i="18"/>
  <c r="AB99" i="18"/>
  <c r="AF99" i="18" s="1"/>
  <c r="AC115" i="18"/>
  <c r="AB115" i="18"/>
  <c r="AF115" i="18" s="1"/>
  <c r="AC67" i="18"/>
  <c r="AB67" i="18"/>
  <c r="AF67" i="18" s="1"/>
  <c r="AB44" i="18"/>
  <c r="AF44" i="18" s="1"/>
  <c r="AC44" i="18"/>
  <c r="AB21" i="18"/>
  <c r="AF21" i="18" s="1"/>
  <c r="AC21" i="18"/>
  <c r="AC33" i="18"/>
  <c r="AB33" i="18"/>
  <c r="AF33" i="18" s="1"/>
  <c r="AC62" i="18"/>
  <c r="AB62" i="18"/>
  <c r="AF62" i="18" s="1"/>
  <c r="AC14" i="18"/>
  <c r="AB14" i="18"/>
  <c r="AF14" i="18" s="1"/>
  <c r="AC22" i="18"/>
  <c r="AB22" i="18"/>
  <c r="AF22" i="18" s="1"/>
  <c r="AC29" i="18"/>
  <c r="AB29" i="18"/>
  <c r="AF29" i="18" s="1"/>
  <c r="AC109" i="18"/>
  <c r="AB109" i="18"/>
  <c r="AF109" i="18" s="1"/>
  <c r="AC57" i="18"/>
  <c r="AB57" i="18"/>
  <c r="AF57" i="18" s="1"/>
  <c r="AC116" i="18"/>
  <c r="AB116" i="18"/>
  <c r="AF116" i="18" s="1"/>
  <c r="AC39" i="18"/>
  <c r="AB39" i="18"/>
  <c r="AF39" i="18" s="1"/>
  <c r="AC120" i="18"/>
  <c r="AB120" i="18"/>
  <c r="AF120" i="18" s="1"/>
  <c r="AB77" i="18"/>
  <c r="AF77" i="18" s="1"/>
  <c r="AC77" i="18"/>
  <c r="AB48" i="18"/>
  <c r="AF48" i="18" s="1"/>
  <c r="AC48" i="18"/>
  <c r="AC75" i="18"/>
  <c r="AB75" i="18"/>
  <c r="AF75" i="18" s="1"/>
  <c r="AC35" i="18"/>
  <c r="AB35" i="18"/>
  <c r="AF35" i="18" s="1"/>
  <c r="AC15" i="18"/>
  <c r="AB15" i="18"/>
  <c r="AF15" i="18" s="1"/>
  <c r="AC47" i="18"/>
  <c r="AB47" i="18"/>
  <c r="AF47" i="18" s="1"/>
  <c r="AC125" i="18"/>
  <c r="AB125" i="18"/>
  <c r="AF125" i="18" s="1"/>
  <c r="AC36" i="18"/>
  <c r="AB36" i="18"/>
  <c r="AF36" i="18" s="1"/>
  <c r="AC65" i="18"/>
  <c r="AB65" i="18"/>
  <c r="AF65" i="18" s="1"/>
  <c r="AC94" i="18"/>
  <c r="AB94" i="18"/>
  <c r="AF94" i="18" s="1"/>
  <c r="AC110" i="18"/>
  <c r="AB110" i="18"/>
  <c r="AF110" i="18" s="1"/>
  <c r="AC126" i="18"/>
  <c r="AB126" i="18"/>
  <c r="AF126" i="18" s="1"/>
  <c r="AB127" i="18"/>
  <c r="AF127" i="18" s="1"/>
  <c r="AC127" i="18"/>
  <c r="AB111" i="18"/>
  <c r="AF111" i="18" s="1"/>
  <c r="AC111" i="18"/>
  <c r="AC10" i="18"/>
  <c r="AB10" i="18"/>
  <c r="AF10" i="18" s="1"/>
  <c r="AB66" i="18"/>
  <c r="AF66" i="18" s="1"/>
  <c r="AC66" i="18"/>
  <c r="AC114" i="18"/>
  <c r="AB114" i="18"/>
  <c r="AF114" i="18" s="1"/>
  <c r="AB78" i="18"/>
  <c r="AF78" i="18" s="1"/>
  <c r="AC78" i="18"/>
  <c r="AC23" i="18"/>
  <c r="AB23" i="18"/>
  <c r="AF23" i="18" s="1"/>
  <c r="AC28" i="18"/>
  <c r="AB28" i="18"/>
  <c r="AF28" i="18" s="1"/>
  <c r="AC41" i="18"/>
  <c r="AB41" i="18"/>
  <c r="AF41" i="18" s="1"/>
  <c r="AC63" i="18"/>
  <c r="AB63" i="18"/>
  <c r="AF63" i="18" s="1"/>
  <c r="AC11" i="18"/>
  <c r="AB11" i="18"/>
  <c r="AF11" i="18" s="1"/>
  <c r="AC122" i="18"/>
  <c r="AB122" i="18"/>
  <c r="AF122" i="18" s="1"/>
  <c r="AB55" i="18"/>
  <c r="AF55" i="18" s="1"/>
  <c r="AC55" i="18"/>
  <c r="AC53" i="18"/>
  <c r="AB53" i="18"/>
  <c r="AF53" i="18" s="1"/>
  <c r="AC98" i="18"/>
  <c r="AB98" i="18"/>
  <c r="AF98" i="18" s="1"/>
  <c r="AC85" i="18"/>
  <c r="AB85" i="18"/>
  <c r="AF85" i="18" s="1"/>
  <c r="AB40" i="18"/>
  <c r="AF40" i="18" s="1"/>
  <c r="AC40" i="18"/>
  <c r="AC70" i="18"/>
  <c r="AB70" i="18"/>
  <c r="AF70" i="18" s="1"/>
  <c r="AC64" i="18"/>
  <c r="AB64" i="18"/>
  <c r="AF64" i="18" s="1"/>
  <c r="AC104" i="18"/>
  <c r="AB104" i="18"/>
  <c r="AF104" i="18" s="1"/>
  <c r="AC91" i="18"/>
  <c r="AB91" i="18"/>
  <c r="AF91" i="18" s="1"/>
  <c r="AC107" i="18"/>
  <c r="AB107" i="18"/>
  <c r="AF107" i="18" s="1"/>
  <c r="AB123" i="18"/>
  <c r="AF123" i="18" s="1"/>
  <c r="AC123" i="18"/>
  <c r="AC34" i="18"/>
  <c r="AB34" i="18"/>
  <c r="AF34" i="18" s="1"/>
  <c r="AC52" i="18"/>
  <c r="AB52" i="18"/>
  <c r="AF52" i="18" s="1"/>
  <c r="AC31" i="18"/>
  <c r="AB31" i="18"/>
  <c r="AF31" i="18" s="1"/>
  <c r="AC13" i="18"/>
  <c r="AB13" i="18"/>
  <c r="AF13" i="18" s="1"/>
  <c r="AC26" i="18"/>
  <c r="AB26" i="18"/>
  <c r="AF26" i="18" s="1"/>
  <c r="AB79" i="18"/>
  <c r="AF79" i="18" s="1"/>
  <c r="AC79" i="18"/>
  <c r="AC80" i="18"/>
  <c r="AB80" i="18"/>
  <c r="AF80" i="18" s="1"/>
  <c r="AC54" i="18"/>
  <c r="AB54" i="18"/>
  <c r="AF54" i="18" s="1"/>
  <c r="AC20" i="18"/>
  <c r="AB20" i="18"/>
  <c r="AF20" i="18" s="1"/>
  <c r="AC106" i="18"/>
  <c r="AB106" i="18"/>
  <c r="AF106" i="18" s="1"/>
  <c r="AC18" i="18"/>
  <c r="AB18" i="18"/>
  <c r="AF18" i="18" s="1"/>
  <c r="AC84" i="18"/>
  <c r="AB84" i="18"/>
  <c r="AF84" i="18" s="1"/>
  <c r="AC45" i="18"/>
  <c r="AB45" i="18"/>
  <c r="AF45" i="18" s="1"/>
  <c r="AC97" i="18"/>
  <c r="AB97" i="18"/>
  <c r="AF97" i="18" s="1"/>
  <c r="AC32" i="18"/>
  <c r="AB32" i="18"/>
  <c r="AF32" i="18" s="1"/>
  <c r="AC42" i="18"/>
  <c r="AB42" i="18"/>
  <c r="AF42" i="18" s="1"/>
  <c r="AC60" i="18"/>
  <c r="AB60" i="18"/>
  <c r="AF60" i="18" s="1"/>
  <c r="AC51" i="18"/>
  <c r="AB51" i="18"/>
  <c r="AF51" i="18" s="1"/>
  <c r="AB92" i="18"/>
  <c r="AF92" i="18" s="1"/>
  <c r="AC92" i="18"/>
  <c r="AB72" i="18"/>
  <c r="AF72" i="18" s="1"/>
  <c r="AC72" i="18"/>
  <c r="AB89" i="18"/>
  <c r="AF89" i="18" s="1"/>
  <c r="AC89" i="18"/>
  <c r="AB108" i="18"/>
  <c r="AF108" i="18" s="1"/>
  <c r="AC108" i="18"/>
  <c r="AB61" i="18"/>
  <c r="AF61" i="18" s="1"/>
  <c r="AC61" i="18"/>
  <c r="AB50" i="18"/>
  <c r="AF50" i="18" s="1"/>
  <c r="AC50" i="18"/>
  <c r="AC16" i="18"/>
  <c r="AB16" i="18"/>
  <c r="AF16" i="18" s="1"/>
  <c r="AC49" i="18"/>
  <c r="AB49" i="18"/>
  <c r="AF49" i="18" s="1"/>
  <c r="AB43" i="18"/>
  <c r="AF43" i="18" s="1"/>
  <c r="AC43" i="18"/>
  <c r="AC38" i="18"/>
  <c r="AB38" i="18"/>
  <c r="AF38" i="18" s="1"/>
  <c r="AC59" i="18"/>
  <c r="AB59" i="18"/>
  <c r="AF59" i="18" s="1"/>
  <c r="AC82" i="18"/>
  <c r="AB82" i="18"/>
  <c r="AF82" i="18" s="1"/>
  <c r="AC113" i="18"/>
  <c r="AB113" i="18"/>
  <c r="AF113" i="18" s="1"/>
  <c r="AC46" i="18"/>
  <c r="AB46" i="18"/>
  <c r="AF46" i="18" s="1"/>
  <c r="AC112" i="18"/>
  <c r="AB112" i="18"/>
  <c r="AF112" i="18" s="1"/>
  <c r="AB95" i="18"/>
  <c r="AF95" i="18" s="1"/>
  <c r="AC95" i="18"/>
  <c r="AC56" i="18"/>
  <c r="AB56" i="18"/>
  <c r="AF56" i="18" s="1"/>
  <c r="AC101" i="18"/>
  <c r="AB101" i="18"/>
  <c r="AF101" i="18" s="1"/>
  <c r="AB119" i="18"/>
  <c r="AF119" i="18" s="1"/>
  <c r="AC119" i="18"/>
  <c r="AC58" i="18"/>
  <c r="AB58" i="18"/>
  <c r="AF58" i="18" s="1"/>
  <c r="AC74" i="18"/>
  <c r="AB74" i="18"/>
  <c r="AF74" i="18" s="1"/>
  <c r="AB76" i="18"/>
  <c r="AF76" i="18" s="1"/>
  <c r="AC76" i="18"/>
  <c r="AC86" i="18"/>
  <c r="AB86" i="18"/>
  <c r="AF86" i="18" s="1"/>
  <c r="AB102" i="18"/>
  <c r="AF102" i="18" s="1"/>
  <c r="AC102" i="18"/>
  <c r="AB118" i="18"/>
  <c r="AF118" i="18" s="1"/>
  <c r="AC118" i="18"/>
  <c r="AC12" i="18"/>
  <c r="AB12" i="18"/>
  <c r="AF12" i="18" s="1"/>
  <c r="AC9" i="18"/>
  <c r="AB9" i="18"/>
  <c r="AF9" i="18" s="1"/>
  <c r="AC19" i="18"/>
  <c r="AB19" i="18"/>
  <c r="AF19" i="18" s="1"/>
  <c r="AC17" i="18"/>
  <c r="AB17" i="18"/>
  <c r="AF17"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F2" authorId="0" shapeId="0" xr:uid="{00000000-0006-0000-0100-000003000000}">
      <text>
        <r>
          <rPr>
            <sz val="10"/>
            <color rgb="FF000000"/>
            <rFont val="Arial"/>
            <scheme val="minor"/>
          </rPr>
          <t>@jenny.lim@valtech.com @erica.mccay@mjdinteractive.com Make sure to update this column as soon as we have the placeholder assets from UO DEP.
_Assigned to Jenny Lim_
	-Erica McCay</t>
        </r>
      </text>
    </comment>
    <comment ref="N3" authorId="0" shapeId="0" xr:uid="{00000000-0006-0000-0100-000002000000}">
      <text>
        <r>
          <rPr>
            <sz val="10"/>
            <color rgb="FF000000"/>
            <rFont val="Arial"/>
            <scheme val="minor"/>
          </rPr>
          <t>@le.cabrera@mjdinteractive.com If a park affects a certain elemental (or all launchers, or selected launcher, or whatever) does that info go in this column? Thanks!
	-Jenny Lim
@jenny.lim@valtech.com Could you clarify what you mean by "affects"? 
Right now, 331 mobile is using this column to group/link together items that go together.  So "force" is the category for elementalForce and all the skins for elementalForce.  However, every game is free to use the column however it wants.
If you want to grant an achievement when a player has all the launchers, you need to use a rewardForAllInClass reward and set the item class id to "launcher" in the itemClass section.
	-Le Cabrera
I'm thinking of, say, a perk that only applies to the lightning elemental. Or a perk that applies to all elementals. Should that be noted here, or elsewhere? (Currently it's in the PF description)
	-Jenny Lim
ah, the 331 playfab catalog is currently not tracking that. i'd say use category but that column is currently only for single values. we could either: change category to take a list of all elementals, but we'd need to notify the mobile team of the change. or keep it single and tell mobile team if the value is a class name, then it's for all items in that class.
	-Le Cabrera</t>
        </r>
      </text>
    </comment>
    <comment ref="E61" authorId="0" shapeId="0" xr:uid="{00000000-0006-0000-0100-000001000000}">
      <text>
        <r>
          <rPr>
            <sz val="10"/>
            <color rgb="FF000000"/>
            <rFont val="Arial"/>
            <scheme val="minor"/>
          </rPr>
          <t>@le.cabrera@mjdinteractive.com These used to be called perkAutoX but that name is not accurate anymore. How much of a pain in the butt is it to change the catalog IDs at this point? If it's a big pain I'll change them back!
	-Jenny Lim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N79" authorId="0" shapeId="0" xr:uid="{00000000-0006-0000-0A00-000001000000}">
      <text>
        <r>
          <rPr>
            <sz val="10"/>
            <color rgb="FF000000"/>
            <rFont val="Arial"/>
            <scheme val="minor"/>
          </rPr>
          <t>@le.cabrera@mjdinteractive.com I went through and find/replaced "lootBrattLunchbox" with "lootLunchbox" – I hope that is okay! :O
	-Jenny Lim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1600-000002000000}">
      <text>
        <r>
          <rPr>
            <sz val="10"/>
            <color rgb="FF000000"/>
            <rFont val="Arial"/>
            <scheme val="minor"/>
          </rPr>
          <t>@le.cabrera@mjdinteractive.com @victoria.gonzalez@valtech.com @erica.mccay@mjdinteractive.com Just a heads-up that IE is changing "badges" to "trophies" for now. If the art doesn't match, then we'll deal with that later. All we need to know for the 12/16 release is that there are copy changes in this tab and of course in Catalog (everyone's favorite tab). Thanks all!
	-Jenny Lim
is badges/trophies same as achievements?  i.e., is "achievements" the generic term?
	-Le Cabrera
Yes, "achievements" is the generic term for badges/trophies!
	-Jenny Lim</t>
        </r>
      </text>
    </comment>
    <comment ref="E167" authorId="0" shapeId="0" xr:uid="{00000000-0006-0000-1600-000004000000}">
      <text>
        <r>
          <rPr>
            <sz val="10"/>
            <color rgb="FF000000"/>
            <rFont val="Arial"/>
            <scheme val="minor"/>
          </rPr>
          <t>This is the header of the section that opens when you click How to Play Tips in Options
	-Jenny Lim</t>
        </r>
      </text>
    </comment>
    <comment ref="E168" authorId="0" shapeId="0" xr:uid="{00000000-0006-0000-1600-000003000000}">
      <text>
        <r>
          <rPr>
            <sz val="10"/>
            <color rgb="FF000000"/>
            <rFont val="Arial"/>
            <scheme val="minor"/>
          </rPr>
          <t>This is the Tile Description that appears beneath "Tips &amp; FAQ"
	-Jenny Lim</t>
        </r>
      </text>
    </comment>
    <comment ref="C176" authorId="0" shapeId="0" xr:uid="{00000000-0006-0000-1600-000001000000}">
      <text>
        <r>
          <rPr>
            <sz val="10"/>
            <color rgb="FF000000"/>
            <rFont val="Arial"/>
            <scheme val="minor"/>
          </rPr>
          <t>@victoria.gonzalez@valtech.com Here's the change we discussed in creative checkin today
	-Jenny Lim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56" authorId="0" shapeId="0" xr:uid="{00000000-0006-0000-2500-000001000000}">
      <text>
        <r>
          <rPr>
            <sz val="10"/>
            <color rgb="FF000000"/>
            <rFont val="Arial"/>
            <scheme val="minor"/>
          </rPr>
          <t>@le.cabrera@mjdinteractive.com I'm so sorry, now that's changed from a Bratt to a Scarlet lunchbox I renamed the playfab ID to just lootLunchbox. We'll see if GameSim changes their tag as well; if they do, I'll update it here.
	-Jenny Lim
GameSim is changing their tag; I asked them to do Pickup.pickupLoot.lootLunchbox in order to most closely match ours. So sorry Le! I will update the json shortly
	-Jenny Lim</t>
        </r>
      </text>
    </comment>
  </commentList>
</comments>
</file>

<file path=xl/sharedStrings.xml><?xml version="1.0" encoding="utf-8"?>
<sst xmlns="http://schemas.openxmlformats.org/spreadsheetml/2006/main" count="23755" uniqueCount="7279">
  <si>
    <t>Catalog Item Type</t>
  </si>
  <si>
    <t>PF Item ID</t>
  </si>
  <si>
    <t>State ID</t>
  </si>
  <si>
    <t>State Type</t>
  </si>
  <si>
    <t>Text Type</t>
  </si>
  <si>
    <t>English</t>
  </si>
  <si>
    <t>Status</t>
  </si>
  <si>
    <t>Notes</t>
  </si>
  <si>
    <t>Suggested Changes (from UC/IE)</t>
  </si>
  <si>
    <t>Welcome</t>
  </si>
  <si>
    <t>titleData</t>
  </si>
  <si>
    <t>Message</t>
  </si>
  <si>
    <t>IE approved 12/12/22</t>
  </si>
  <si>
    <t>pop-up</t>
  </si>
  <si>
    <t>IE approved 1/5/23</t>
  </si>
  <si>
    <t>Blaster - Sync</t>
  </si>
  <si>
    <t>front page scroll</t>
  </si>
  <si>
    <t>button</t>
  </si>
  <si>
    <t>Lab - MAIN</t>
  </si>
  <si>
    <t>Tile Header</t>
  </si>
  <si>
    <t>Tile Description</t>
  </si>
  <si>
    <t>Help</t>
  </si>
  <si>
    <t>Lab - Elemental</t>
  </si>
  <si>
    <t>Name</t>
  </si>
  <si>
    <t>Summary Description</t>
  </si>
  <si>
    <t>Detail Description</t>
  </si>
  <si>
    <t>Lab - Launcher</t>
  </si>
  <si>
    <t>Lab - Skin</t>
  </si>
  <si>
    <t>IE approved 1/11/23</t>
  </si>
  <si>
    <t>Lab - Ultimate</t>
  </si>
  <si>
    <t>Lab - Perk</t>
  </si>
  <si>
    <t>Subtitle</t>
  </si>
  <si>
    <t>Missions</t>
  </si>
  <si>
    <t>Mission Title</t>
  </si>
  <si>
    <t>Reward Info</t>
  </si>
  <si>
    <t>Badges</t>
  </si>
  <si>
    <t>Changed by legal 2/13/23</t>
  </si>
  <si>
    <t>unearned</t>
  </si>
  <si>
    <t>earned</t>
  </si>
  <si>
    <t>Loot</t>
  </si>
  <si>
    <t>Loot - Outside</t>
  </si>
  <si>
    <t>Loot - Inside</t>
  </si>
  <si>
    <t>placement: Jetpack Minion sc03</t>
  </si>
  <si>
    <t>placement: In recess behind painting sc02</t>
  </si>
  <si>
    <t>placement: Disco Wall Secret Panel sc06</t>
  </si>
  <si>
    <t>Destroy Toothsome sign sc 07, emerges from funnel-shaped pipe</t>
  </si>
  <si>
    <t>Right Jumbotron Monitor</t>
  </si>
  <si>
    <t>Left Jumbotron Monitor</t>
  </si>
  <si>
    <t>in Green Crates, random spawn</t>
  </si>
  <si>
    <t>Hidden in Universal Arch</t>
  </si>
  <si>
    <t>in Vicious 6 Special Boxes</t>
  </si>
  <si>
    <t>IE approved 1/13/23</t>
  </si>
  <si>
    <t>Appears in sc02 when skeleton is destroyed</t>
  </si>
  <si>
    <t>in Monitor Pipes sc04</t>
  </si>
  <si>
    <t>Left Wall Left Monitor Painting sc02</t>
  </si>
  <si>
    <t>with Jetpack Minion</t>
  </si>
  <si>
    <t>in Green Crates</t>
  </si>
  <si>
    <t>IE approved 2/02/23</t>
  </si>
  <si>
    <t>on pistons sc 01</t>
  </si>
  <si>
    <t>Appears on top of smoke stack when toothsome sign destroyed sc07</t>
  </si>
  <si>
    <t>Open the Clamshell w/ Botticelli Minion</t>
  </si>
  <si>
    <t>Destroy all Speakers sc06</t>
  </si>
  <si>
    <t>Unified Music Style (Freeze/Hip-Hop) sc03</t>
  </si>
  <si>
    <t>Destroy all Onscreen Jumbotrons</t>
  </si>
  <si>
    <t>In recess behind painting</t>
  </si>
  <si>
    <t>IE approved 1/24/23</t>
  </si>
  <si>
    <t>Destroy all onscreen chandeliers sc02</t>
  </si>
  <si>
    <t>Unified Music Style (Force/classical) Sc03</t>
  </si>
  <si>
    <t>Destroy IOA lighthouse sign</t>
  </si>
  <si>
    <t>Unified Music Style (Fire/rock)</t>
  </si>
  <si>
    <t>Unified Music Style (Lightning/synth)</t>
  </si>
  <si>
    <t>Flame the Left Pipe sc04</t>
  </si>
  <si>
    <t>Destroy the Spiked Blimp</t>
  </si>
  <si>
    <t>IE approved 1/12/23</t>
  </si>
  <si>
    <t>Sc 04 behind Jean Clawed's castle</t>
  </si>
  <si>
    <t>If player triggers Minion platform sc01</t>
  </si>
  <si>
    <t>Destroy the Sun</t>
  </si>
  <si>
    <t>Destroy "V" on Universal Globe</t>
  </si>
  <si>
    <t>Open the Treasure Chest after Orca is destroyed</t>
  </si>
  <si>
    <t>Vicious 6 Marquee Sign Game</t>
  </si>
  <si>
    <t>Leaderboards</t>
  </si>
  <si>
    <t>Home - Score</t>
  </si>
  <si>
    <t>Pop-up</t>
  </si>
  <si>
    <t>Home - Player Level</t>
  </si>
  <si>
    <t>Options</t>
  </si>
  <si>
    <t>Error popup</t>
  </si>
  <si>
    <t>Options - Follow Players</t>
  </si>
  <si>
    <t>text input</t>
  </si>
  <si>
    <t>Options - Help</t>
  </si>
  <si>
    <t>Button</t>
  </si>
  <si>
    <t>HOLD FOR QUESTIONS</t>
  </si>
  <si>
    <t>FROM PLAYTEST</t>
  </si>
  <si>
    <t>TRUE/FALSE (default if empty is FALSE)</t>
  </si>
  <si>
    <t>Looking up Item Id doesn't work since this sheet has deprecated and non-deprecated rows with same item id</t>
  </si>
  <si>
    <t>REWARDS COLUMNS MOVED TO  END</t>
  </si>
  <si>
    <t>TIERS HAVE BEEN ELIMINATED</t>
  </si>
  <si>
    <t>cms://assetKey or file://localAssetName  (no protocol means local)</t>
  </si>
  <si>
    <t>Changed to "type"</t>
  </si>
  <si>
    <t>[Rarity deleted because not used in tier 2]</t>
  </si>
  <si>
    <t>AUTO-COPIED to TitleData: Rewards</t>
  </si>
  <si>
    <t>default alway</t>
  </si>
  <si>
    <t>AUTO-COPIED to TitleData: Rewards IF TYPE "reward...."</t>
  </si>
  <si>
    <t>PULLED from TitleData: Rewards.items</t>
  </si>
  <si>
    <t>Spreadsheet Entry Version</t>
  </si>
  <si>
    <t>Deprecated?</t>
  </si>
  <si>
    <t>PF Class</t>
  </si>
  <si>
    <t>Is Stackable</t>
  </si>
  <si>
    <t>Item Id</t>
  </si>
  <si>
    <t>Unique VLookup Id</t>
  </si>
  <si>
    <t>PF Name [not guest facing]</t>
  </si>
  <si>
    <t>PF Description  [not guest facing]</t>
  </si>
  <si>
    <t>Logic Owner</t>
  </si>
  <si>
    <t>Meta Data Collected Notes</t>
  </si>
  <si>
    <t>Meta Data Outcome Values Notes</t>
  </si>
  <si>
    <t>Associated Statistic Notes</t>
  </si>
  <si>
    <t>Is Tiered?</t>
  </si>
  <si>
    <t>Custom Data -  Categories - 0</t>
  </si>
  <si>
    <t>Custom Data -  Categories - 1</t>
  </si>
  <si>
    <t>Custom Data - Mobile App - Order In Page</t>
  </si>
  <si>
    <t>Custom Data - Events - Id</t>
  </si>
  <si>
    <t>Custom Data - Events - Amount Update - Amount</t>
  </si>
  <si>
    <t>Custom Data - Events - Amount Update - Type</t>
  </si>
  <si>
    <t>Custom Data - Events - Custom Data Updates - 0 - Key</t>
  </si>
  <si>
    <t>Custom Data - Events - Custom Data Updates - 0 - Value</t>
  </si>
  <si>
    <t>Custom Data - Events - Custom Data Updates - 0 - Type</t>
  </si>
  <si>
    <t>Custom Data - States - Unearned/Locked - Id</t>
  </si>
  <si>
    <t>Custom Data - States - Unearned/Locked - Type (internal)</t>
  </si>
  <si>
    <t>Custom Data - States - Unearned/Locked - Images - 0</t>
  </si>
  <si>
    <t>Custom Data - States - Unearned/Locked - Images - 1</t>
  </si>
  <si>
    <t>Custom Data - States - Unearned/Locked - Texts - English - Locale</t>
  </si>
  <si>
    <t>Custom Data - States - Unearned/Locked - Texts - English - Name</t>
  </si>
  <si>
    <t>Custom Data - States - Unearned/Locked - Texts - English - Summary Description</t>
  </si>
  <si>
    <t>Custom Data - States - Unearned/Locked - Texts - English - Detail Description</t>
  </si>
  <si>
    <t>Custom Data - States - Unearned/Locked - Texts - English - Reward Info</t>
  </si>
  <si>
    <t>Custom Data - States - Unearned/Locked - Texts - English - Rarity</t>
  </si>
  <si>
    <t>Custom Data - States - Unearned/Locked - Texts - Portuguese - Locale</t>
  </si>
  <si>
    <t>Custom Data - States - Locked - Texts - Portuguese - Name</t>
  </si>
  <si>
    <t>Custom Data - States - Locked - Texts - Portuguese - Summary Description</t>
  </si>
  <si>
    <t>Custom Data - States - Locked - Texts - Portuguese - Detail Description</t>
  </si>
  <si>
    <t>Custom Data - States - Locked - Texts - Portuguese - Reward Info</t>
  </si>
  <si>
    <t>Custom Data - States - Locked - Texts - Portuguese - Rarity</t>
  </si>
  <si>
    <t>Custom Data - States - Available - Id</t>
  </si>
  <si>
    <t>Custom Data - States - Available - Type (internal)</t>
  </si>
  <si>
    <t>Custom Data - States - Available - Images - 0</t>
  </si>
  <si>
    <t>Custom Data - States - Available - Images - 1</t>
  </si>
  <si>
    <t>Custom Data - States - Available - Texts - English - Locale</t>
  </si>
  <si>
    <t>Custom Data - States - Available - Texts - English - Name</t>
  </si>
  <si>
    <t>Custom Data - States - Available - Texts - English - Summary Description</t>
  </si>
  <si>
    <t>Custom Data - States - Available - Texts - English - Detail Description</t>
  </si>
  <si>
    <t>Custom Data - States - Available - Texts - English - Reward Info</t>
  </si>
  <si>
    <t>Custom Data - States - Available - Texts - Portuguese - Locale</t>
  </si>
  <si>
    <t>Custom Data - States - Available - Texts - Portuguese - Name</t>
  </si>
  <si>
    <t>Custom Data - States - Available - Texts - Portuguese - Summary Description</t>
  </si>
  <si>
    <t>Custom Data - States - Available - Texts - Portuguese - Detail Description</t>
  </si>
  <si>
    <t>Custom Data - States - Available - Texts - Portuguese - Reward Info</t>
  </si>
  <si>
    <t>Custom Data - States - Available - Texts - Portuguese - Rarity</t>
  </si>
  <si>
    <t>Custom Data - States - Tier 1 - Id</t>
  </si>
  <si>
    <t>Custom Data - States - Tier 1 - Type (internal)</t>
  </si>
  <si>
    <t>Custom Data - States - Tier 1 - Images - 0</t>
  </si>
  <si>
    <t>Custom Data - States - Tier 1 - Images - 1</t>
  </si>
  <si>
    <t>Custom Data - States - Tier 1 - Texts - English - Locale</t>
  </si>
  <si>
    <t>Custom Data - States - Tier 1  - Texts - English - Name</t>
  </si>
  <si>
    <t>Custom Data - States - Tier 1  - Texts - English - Type (displayed)</t>
  </si>
  <si>
    <t>Custom Data - States - Tier 1 - Texts - English - Summary Description</t>
  </si>
  <si>
    <t>Custom Data - States - Tier 1 - Texts - English - Detail Description</t>
  </si>
  <si>
    <t>Custom Data - States - Tier 1  - Texts - English - Reward Info</t>
  </si>
  <si>
    <t>Custom Data - States - Tier 1  - Texts - English - Rarity</t>
  </si>
  <si>
    <t>Custom Data - States - Tier 1 - Texts - Portuguese - Locale</t>
  </si>
  <si>
    <t>Custom Data - States - Tier 1  - Texts - Portuguese - Name</t>
  </si>
  <si>
    <t>Custom Data - States - Tier 1 - Texts - Portuguese - Summary Description</t>
  </si>
  <si>
    <t>Custom Data - States - Tier 1 - Texts - Portuguese - Detail Description</t>
  </si>
  <si>
    <t>Custom Data - States - Tier 1  - Texts - Portuguese - Reward Info</t>
  </si>
  <si>
    <t>Custom Data - States - Tier 1  - Texts - Portuguese - Rarity</t>
  </si>
  <si>
    <t>Reward Requirement Notes</t>
  </si>
  <si>
    <t>Item Reward Repeats?</t>
  </si>
  <si>
    <t>Points Also Awarded</t>
  </si>
  <si>
    <t>Points Award Repeats?</t>
  </si>
  <si>
    <t>Grant / Reward Type</t>
  </si>
  <si>
    <t xml:space="preserve">Missing Reward Requirements? </t>
  </si>
  <si>
    <t>of spread- sheet entry</t>
  </si>
  <si>
    <t>No longer needed but want a record of it</t>
  </si>
  <si>
    <t>"PF Item"?</t>
  </si>
  <si>
    <t>ID (based on if an action flag or achievement, where achievements/loot/weapons are assign, play, win, or have types) "Metadata key" ?</t>
  </si>
  <si>
    <t>Not guest-facing name (text)
Note: "action" is a flag for an event/action that occurs and is not guest facing.</t>
  </si>
  <si>
    <t>IPB or Attraction/Device</t>
  </si>
  <si>
    <t>What was the specific device ID within a location that awarded this? What meta data, if any, for the equiped weapon is included in the event? Points are reported from game and added to total.
deviceId, (Weapon Type Used), (Points Earned While Equiped)</t>
  </si>
  <si>
    <t>What meta data, if any, for the outcome is included in the event?
outcome</t>
  </si>
  <si>
    <t>Does the Achievement have tiers or is it one-and-done (single)?</t>
  </si>
  <si>
    <t>For Achievements and Loot, which have a set order, what order is this item in the list?</t>
  </si>
  <si>
    <r>
      <rPr>
        <i/>
        <sz val="11"/>
        <rFont val="Arial"/>
        <family val="2"/>
      </rPr>
      <t xml:space="preserve">only player_created supported for now.  other playfab events: </t>
    </r>
    <r>
      <rPr>
        <i/>
        <u/>
        <sz val="11"/>
        <color rgb="FF1155CC"/>
        <rFont val="Arial"/>
        <family val="2"/>
      </rPr>
      <t>https://docs.microsoft.com/en-us/gaming/playfab/api-references/events/</t>
    </r>
    <r>
      <rPr>
        <i/>
        <sz val="11"/>
        <rFont val="Arial"/>
        <family val="2"/>
      </rPr>
      <t xml:space="preserve"> </t>
    </r>
  </si>
  <si>
    <t>how many of this item to grant or consume when event happens</t>
  </si>
  <si>
    <t>how to update the amount: grant or consume</t>
  </si>
  <si>
    <t>how to update the item custom data in the player inventory.  currently only  set is supported</t>
  </si>
  <si>
    <t>state id for locked status in custom data</t>
  </si>
  <si>
    <t>locked/unearned</t>
  </si>
  <si>
    <t>howtoUnlockSummary</t>
  </si>
  <si>
    <t>howtoUnlockDetail Guest-facing description /  When this item is locked and the player needs to unlock it before they can even earn it
[Used for Missions, Weapons]</t>
  </si>
  <si>
    <t>state id for available/unlocked status in custom data</t>
  </si>
  <si>
    <t>available</t>
  </si>
  <si>
    <t>howToEarnSummary Guest-facing description /  When the player could earn this but does not have this item at all
[Used for everything]</t>
  </si>
  <si>
    <t>howToEarnDetail Guest-facing description / A summary version of the detail of how to earn
[Used for Missions...maybe weapons?]</t>
  </si>
  <si>
    <t>state id for grade/tier 1 status in custom data</t>
  </si>
  <si>
    <t>grade1/unlocked</t>
  </si>
  <si>
    <t>descriptionGradeTier1 Guest-facing description / When the player has earned tier 1 (or has fully earned the item is no tiers)
[Used for everything]</t>
  </si>
  <si>
    <t>Notes for what the guest needs to do/have in order to get this achievement / item. The specific rules for how this is implemented should be entered on the Rewards tab of this spreadsheet.</t>
  </si>
  <si>
    <t>How is the item given to player?</t>
  </si>
  <si>
    <t>isDeprecated</t>
  </si>
  <si>
    <t>ItemClass</t>
  </si>
  <si>
    <t>IsStackable</t>
  </si>
  <si>
    <t>ItemId</t>
  </si>
  <si>
    <t>DisplayName</t>
  </si>
  <si>
    <t>Description</t>
  </si>
  <si>
    <t>CustomData.categories.0</t>
  </si>
  <si>
    <t>CustomData.categories.1</t>
  </si>
  <si>
    <t>CustomData.mobileApp.order</t>
  </si>
  <si>
    <t>CustomData.events.0.id</t>
  </si>
  <si>
    <t>CustomData.events.0.amountUpdate.amount</t>
  </si>
  <si>
    <t>CustomData.events.0.amountUpdate.type</t>
  </si>
  <si>
    <t>CustomData.events.0.customDataUpdates.0.key</t>
  </si>
  <si>
    <t>CustomData.events.0.customDataUpdates.0.value</t>
  </si>
  <si>
    <t>CustomData.events.0.customDataUpdates.0.type</t>
  </si>
  <si>
    <t>CustomData.states.0.id</t>
  </si>
  <si>
    <t>CustomData.states.0.type</t>
  </si>
  <si>
    <t>CustomData.states.0.images.0</t>
  </si>
  <si>
    <t>CustomData.states.0.images.1</t>
  </si>
  <si>
    <t>CustomData.states.0.texts.0.locale</t>
  </si>
  <si>
    <t>CustomData.states.0.texts.0.name</t>
  </si>
  <si>
    <t>CustomData.states.0.texts.0.summary</t>
  </si>
  <si>
    <t>CustomData.states.0.texts.0.detail</t>
  </si>
  <si>
    <t>CustomData.states.0.texts.0.rewardInfo</t>
  </si>
  <si>
    <t>CustomData.states.0.texts.0.rarity</t>
  </si>
  <si>
    <t>CustomData.states.0.texts.1.locale</t>
  </si>
  <si>
    <t>CustomData.states.0.texts.1.name</t>
  </si>
  <si>
    <t>CustomData.states.0.texts.1.summary</t>
  </si>
  <si>
    <t>CustomData.states.0.texts.1.description</t>
  </si>
  <si>
    <t>CustomData.states.0.texts.1.rewardInfo</t>
  </si>
  <si>
    <t>CustomData.states.0.texts.1.rarity</t>
  </si>
  <si>
    <t>CustomData.states.1.id</t>
  </si>
  <si>
    <t>CustomData.states.1.type</t>
  </si>
  <si>
    <t>CustomData.states.1.images.0</t>
  </si>
  <si>
    <t>CustomData.states.1.images.1</t>
  </si>
  <si>
    <t>CustomData.states.1.texts.0.locale</t>
  </si>
  <si>
    <t>CustomData.states.1.texts.0.name</t>
  </si>
  <si>
    <t>CustomData.states.1.texts.0.summary</t>
  </si>
  <si>
    <t>CustomData.states.1.texts.0.detail</t>
  </si>
  <si>
    <t>CustomData.states.1.texts.0.rewardInfo</t>
  </si>
  <si>
    <t>CustomData.states.1.texts.1.locale</t>
  </si>
  <si>
    <t>CustomData.states.1.texts.1.name</t>
  </si>
  <si>
    <t>CustomData.states.1.texts.1.summary</t>
  </si>
  <si>
    <t>CustomData.states.1.texts.1.detail</t>
  </si>
  <si>
    <t>CustomData.states.1.texts.1.rewardInfo</t>
  </si>
  <si>
    <t>CustomData.states.1.texts.1.rarity</t>
  </si>
  <si>
    <t>CustomData.states.2.id</t>
  </si>
  <si>
    <t>CustomData.states.2.type</t>
  </si>
  <si>
    <t>CustomData.states.2.images.0</t>
  </si>
  <si>
    <t>CustomData.states.2.images.1</t>
  </si>
  <si>
    <t>CustomData.states.2.texts.0.locale</t>
  </si>
  <si>
    <t>CustomData.states.2.texts.0.name</t>
  </si>
  <si>
    <t>CustomData.states.2.texts.0.type</t>
  </si>
  <si>
    <t>CustomData.states.2.texts.0.summary</t>
  </si>
  <si>
    <t>CustomData.states.2.texts.0.detail</t>
  </si>
  <si>
    <t>CustomData.states.2.texts.0.rewardInfo</t>
  </si>
  <si>
    <t>CustomData.states.2.texts.0.rarity</t>
  </si>
  <si>
    <t>CustomData.states.2.texts.1.locale</t>
  </si>
  <si>
    <t>CustomData.states.2.texts.1.name</t>
  </si>
  <si>
    <t>CustomData.states.2.texts.1.summary</t>
  </si>
  <si>
    <t>CustomData.states.2.texts.1.detail</t>
  </si>
  <si>
    <t>CustomData.states.2.texts.1.rewardInfo</t>
  </si>
  <si>
    <t>CustomData.states.2.texts.1.rarity</t>
  </si>
  <si>
    <t>v2</t>
  </si>
  <si>
    <t>elemental</t>
  </si>
  <si>
    <t>elementalForce</t>
  </si>
  <si>
    <t>[INTERNAL] Force</t>
  </si>
  <si>
    <t>[INTERNAL] A forcefield that emits a shockwave on impact</t>
  </si>
  <si>
    <t>IPB</t>
  </si>
  <si>
    <t>TBD</t>
  </si>
  <si>
    <t>force</t>
  </si>
  <si>
    <t>player_created</t>
  </si>
  <si>
    <t>grant</t>
  </si>
  <si>
    <t>state</t>
  </si>
  <si>
    <t>set</t>
  </si>
  <si>
    <t>unlocked</t>
  </si>
  <si>
    <t>forcewithbacking</t>
  </si>
  <si>
    <t>en-US</t>
  </si>
  <si>
    <t>Force</t>
  </si>
  <si>
    <t>Destructive blast of energy</t>
  </si>
  <si>
    <t>A blast that emits a shockwave on impact.</t>
  </si>
  <si>
    <t>State 2: awarded on player creation</t>
  </si>
  <si>
    <t>None</t>
  </si>
  <si>
    <t>grantOnEventPlayerCreated</t>
  </si>
  <si>
    <t>elementalFire</t>
  </si>
  <si>
    <t>[INTERNAL] Fire</t>
  </si>
  <si>
    <t>[INTERNAL] A fiery projectile</t>
  </si>
  <si>
    <t>fire</t>
  </si>
  <si>
    <t>firewithbacking</t>
  </si>
  <si>
    <t>Fire Ball</t>
  </si>
  <si>
    <t>A ball of fire!</t>
  </si>
  <si>
    <t>A flaming projectile that can set its target on fire.</t>
  </si>
  <si>
    <t>elementalFreeze</t>
  </si>
  <si>
    <t>[INTERNAL] Freeze</t>
  </si>
  <si>
    <t>[INTERNAL] Frosty projectile that can freeze target solid</t>
  </si>
  <si>
    <t>freeze</t>
  </si>
  <si>
    <t>freezewithbacking</t>
  </si>
  <si>
    <t>Freeze Ray</t>
  </si>
  <si>
    <t>Ice out your targets.</t>
  </si>
  <si>
    <t>A frosty projectile that can freeze its target solid.</t>
  </si>
  <si>
    <t>elementalLightning</t>
  </si>
  <si>
    <t>[INTERNAL] Lightning</t>
  </si>
  <si>
    <t>[INTERNAL] Electrified projectile that can shock targets</t>
  </si>
  <si>
    <t>lightning</t>
  </si>
  <si>
    <t>lightningwithbacking</t>
  </si>
  <si>
    <t>Lightning Bolt</t>
  </si>
  <si>
    <t>Shocking blast of electricity</t>
  </si>
  <si>
    <t>Electrify targets to destroy or control them.</t>
  </si>
  <si>
    <t>REMOVED</t>
  </si>
  <si>
    <t>skin</t>
  </si>
  <si>
    <t>skinForce1</t>
  </si>
  <si>
    <t>Unicorn Horn Skin</t>
  </si>
  <si>
    <t>This is the Unicorn skin</t>
  </si>
  <si>
    <t>locked</t>
  </si>
  <si>
    <t>Unicorn</t>
  </si>
  <si>
    <t>Reach player level 2</t>
  </si>
  <si>
    <t>rewardIfAllRequirementsMet</t>
  </si>
  <si>
    <t>skinForce2</t>
  </si>
  <si>
    <t>Skin 2 placeholder name</t>
  </si>
  <si>
    <t>Skin 2 placeholder description</t>
  </si>
  <si>
    <t>Skin 2</t>
  </si>
  <si>
    <t>Reach player level 6</t>
  </si>
  <si>
    <t>skinFire1</t>
  </si>
  <si>
    <t>Skin 1 placeholder name</t>
  </si>
  <si>
    <t>Skin 1 placeholder description</t>
  </si>
  <si>
    <t>Skin 1</t>
  </si>
  <si>
    <t>Reach player level 3</t>
  </si>
  <si>
    <t>skinFire2</t>
  </si>
  <si>
    <t>Reach player level 7</t>
  </si>
  <si>
    <t>skinFreeze1</t>
  </si>
  <si>
    <t>Reach player level 4</t>
  </si>
  <si>
    <t>skinFreeze2</t>
  </si>
  <si>
    <t>Reach player level 8</t>
  </si>
  <si>
    <t>skinLightning1</t>
  </si>
  <si>
    <t>Lipstick Skin</t>
  </si>
  <si>
    <t>This is the Lipstick Skin</t>
  </si>
  <si>
    <t>Lipstick</t>
  </si>
  <si>
    <t>Reach player level 5</t>
  </si>
  <si>
    <t>skinLightning2</t>
  </si>
  <si>
    <t>Reach player level 9</t>
  </si>
  <si>
    <t>skinJanuary</t>
  </si>
  <si>
    <t>[INTERNAL] New Year's Ball Skin</t>
  </si>
  <si>
    <t>[INTERNAL] This skin is earned in January and applies to the Pinball launcher</t>
  </si>
  <si>
    <t>pinball</t>
  </si>
  <si>
    <t>331uiiconsseasonalnewyeariev1</t>
  </si>
  <si>
    <t>January Skin</t>
  </si>
  <si>
    <t>New Years Ball</t>
  </si>
  <si>
    <t>State 2: has any action with season=january.</t>
  </si>
  <si>
    <t>rewardIfAnyRequirementsMet</t>
  </si>
  <si>
    <t>skinFebruary</t>
  </si>
  <si>
    <t>[INTERNAL] Mardi Gras Beads Skin</t>
  </si>
  <si>
    <t>[INTERNAL] This skin is earned during February and applies to the Pinball launcher</t>
  </si>
  <si>
    <t>331uiiconsseasonalmardigras</t>
  </si>
  <si>
    <t>February Skin</t>
  </si>
  <si>
    <t>Mardi Gras Beads</t>
  </si>
  <si>
    <t>State 2: has any action with season=february</t>
  </si>
  <si>
    <t>skinMarch</t>
  </si>
  <si>
    <t>[INTERNAL] Shuriken Shamrocks Skin</t>
  </si>
  <si>
    <t>[INTERNAL] This skin is earned during March and applies to the Fart Cloud launcher</t>
  </si>
  <si>
    <t>fart</t>
  </si>
  <si>
    <t>331uiiconsseasonalshamrock</t>
  </si>
  <si>
    <t>March Skin</t>
  </si>
  <si>
    <t>Shamrock Stars</t>
  </si>
  <si>
    <t>State 2: has any action with season=march</t>
  </si>
  <si>
    <t>skinApril</t>
  </si>
  <si>
    <t>[INTERNAL] Easter Egg	Skin</t>
  </si>
  <si>
    <t>[INTERNAL] This skin is earned during April and applies to the Pinball launcher</t>
  </si>
  <si>
    <t>331uiiconsseasonaleaster</t>
  </si>
  <si>
    <t>April Skin</t>
  </si>
  <si>
    <t>Easter Eggs</t>
  </si>
  <si>
    <t>State 2: has any action with season=april</t>
  </si>
  <si>
    <t>skinMay</t>
  </si>
  <si>
    <t>[INTERNAL] Piñata Skin</t>
  </si>
  <si>
    <t>[INTERNAL] This skin is earned during May and applies to the Pinball launcher</t>
  </si>
  <si>
    <t>331uiiconsseasonalpinatav2</t>
  </si>
  <si>
    <t>May Skin</t>
  </si>
  <si>
    <t>Pollito Piñata</t>
  </si>
  <si>
    <t>State 2: has any action with season=may</t>
  </si>
  <si>
    <t>skinJune</t>
  </si>
  <si>
    <t>[INTERNAL] Hot Dog</t>
  </si>
  <si>
    <t>[INTERNAL] This skin is earned during June and applies to the Banana Bomb launcher</t>
  </si>
  <si>
    <t>general</t>
  </si>
  <si>
    <t>331uiiconsseasonalhotdog</t>
  </si>
  <si>
    <t>June Skin</t>
  </si>
  <si>
    <t>Red-Hot Sausage</t>
  </si>
  <si>
    <t>State 2: has any action with season=june</t>
  </si>
  <si>
    <t>skinJuly</t>
  </si>
  <si>
    <t>[INTERNAL] Firework</t>
  </si>
  <si>
    <t>[INTERNAL] This skin is earned during July and applies to the Fart Cloud launcher</t>
  </si>
  <si>
    <t>331uiiconsseasonalfireworksver1</t>
  </si>
  <si>
    <t>July Skin</t>
  </si>
  <si>
    <t>Fireworks</t>
  </si>
  <si>
    <t>State 2: has any action with season=july</t>
  </si>
  <si>
    <t>skinAugust</t>
  </si>
  <si>
    <t>[INTERNAL] Ice Cream</t>
  </si>
  <si>
    <t>[INTERNAL] This skin is earned during August and applies to the Fart Cloud launcher</t>
  </si>
  <si>
    <t>331uiiconsseasonalicecream</t>
  </si>
  <si>
    <t>August Skin</t>
  </si>
  <si>
    <t>Gelato Grenade</t>
  </si>
  <si>
    <t>State 2: has any action with season=august</t>
  </si>
  <si>
    <t>skinSeptember</t>
  </si>
  <si>
    <t>[INTERNAL] Bratt Lunchbox Skin</t>
  </si>
  <si>
    <t>[INTERNAL] This skin is earned during September and applies to the Fart Cloud launcher</t>
  </si>
  <si>
    <t>331uiiconsseasonalbratt</t>
  </si>
  <si>
    <t>September Skin</t>
  </si>
  <si>
    <t>Bratt's Lunchbox</t>
  </si>
  <si>
    <t>State 2: has any action with season=september</t>
  </si>
  <si>
    <t>skinOctober</t>
  </si>
  <si>
    <t>[INTERNAL] Jack O'Lantern Skin</t>
  </si>
  <si>
    <t>[INTERNAL] This skin is earned during October and applies to the Banana Bomb launcher</t>
  </si>
  <si>
    <t>331uiiconsseasonalhalloween</t>
  </si>
  <si>
    <t>October Skin</t>
  </si>
  <si>
    <t>Jack O'Launcher</t>
  </si>
  <si>
    <t>State 2: has any action with season=october</t>
  </si>
  <si>
    <t>skinNovember</t>
  </si>
  <si>
    <t>[INTERNAL] Flaming Turkey Skin</t>
  </si>
  <si>
    <t>[INTERNAL] This skin is earned during November and applies to the Banana Bomb launcher</t>
  </si>
  <si>
    <t>turkeylegseasonalskin</t>
  </si>
  <si>
    <t>November Skin</t>
  </si>
  <si>
    <t>Flaming Turkey</t>
  </si>
  <si>
    <t>State 2: has any action with season=november</t>
  </si>
  <si>
    <t>skinDecember</t>
  </si>
  <si>
    <t>[INTERNAL] Holiday Gift Skin</t>
  </si>
  <si>
    <t>[INTERNAL] This skin is earned during December and applies to the Banana Bomb launcher</t>
  </si>
  <si>
    <t>331uiiconsseasonalchristmas</t>
  </si>
  <si>
    <t>December Skin</t>
  </si>
  <si>
    <t>Secret Santa</t>
  </si>
  <si>
    <t>State 2: has any action with season=december</t>
  </si>
  <si>
    <t>launcher</t>
  </si>
  <si>
    <t>launcherGeneral</t>
  </si>
  <si>
    <t>[INTERNAL] Banana Bomb Launcher</t>
  </si>
  <si>
    <t>[INTERNAL] Lobs a banana bomb</t>
  </si>
  <si>
    <t>launcherbananabomb</t>
  </si>
  <si>
    <t>Banana Bomb</t>
  </si>
  <si>
    <t>An exploding banana</t>
  </si>
  <si>
    <t>Fires a banana that explodes!</t>
  </si>
  <si>
    <t>launcherBowling</t>
  </si>
  <si>
    <t>[INTERNAL] Bowling Boom launcher</t>
  </si>
  <si>
    <t>[INTERNAL] new launcher that replaces banana</t>
  </si>
  <si>
    <t>Bowling Boom</t>
  </si>
  <si>
    <t>An exploding bowling ball</t>
  </si>
  <si>
    <t>Fires a bowling ball that explodes!</t>
  </si>
  <si>
    <t>Common</t>
  </si>
  <si>
    <t>launcherFart</t>
  </si>
  <si>
    <t>[INTERNAL] Fart Cloud Launcher</t>
  </si>
  <si>
    <t>[INTERNAL] A foul-smelling cloud</t>
  </si>
  <si>
    <t>launcherfartcloudingamev4</t>
  </si>
  <si>
    <t>Fart Bomb</t>
  </si>
  <si>
    <t>Releases a toxic fart cloud</t>
  </si>
  <si>
    <t>Lobs a toxic fart bomb that destroys everything around it!</t>
  </si>
  <si>
    <t>launcherPinball</t>
  </si>
  <si>
    <t>[INTERNAL] Pinball Launcher</t>
  </si>
  <si>
    <t>[INTERNAL] Fires a surprisingly painful tiny metal ball</t>
  </si>
  <si>
    <t>launcherpinballingamev1</t>
  </si>
  <si>
    <t>Pulverizing Pinballer</t>
  </si>
  <si>
    <t>Ricocheting steel balls</t>
  </si>
  <si>
    <t>These ricocheting steel balls bounce around creating chaos!</t>
  </si>
  <si>
    <t>launcher4</t>
  </si>
  <si>
    <t>Piranha Launcher</t>
  </si>
  <si>
    <t>Fires a piranha fish</t>
  </si>
  <si>
    <t>These chomp-happy fish will devour whatever is in their path.</t>
  </si>
  <si>
    <t>Have missionVector with Tier=2</t>
  </si>
  <si>
    <t>launcher5</t>
  </si>
  <si>
    <t>Salsa Launcher</t>
  </si>
  <si>
    <t>Fires a splat of salsa</t>
  </si>
  <si>
    <t>This spicy projectile will ooze onto your enemies and stain their clothes!</t>
  </si>
  <si>
    <t>Has: missionElMacho with Tier=2</t>
  </si>
  <si>
    <t>launcher6</t>
  </si>
  <si>
    <t>Bubblegum Launcher</t>
  </si>
  <si>
    <t>Fires a splat of bubblegum</t>
  </si>
  <si>
    <t>This sticky projectile will trap your enemies and ruin their furniture!</t>
  </si>
  <si>
    <t>Has: missionBratt with Tier=2</t>
  </si>
  <si>
    <t>launcher7</t>
  </si>
  <si>
    <t>Jelly Launcher</t>
  </si>
  <si>
    <t>Fires a splat of purple jelly</t>
  </si>
  <si>
    <t>Fires a splat of Gru's homemade jelly</t>
  </si>
  <si>
    <t>Fires a splat of Gru's homemade jelly – so delicious it paralyzes enemies!</t>
  </si>
  <si>
    <t>Has: lootGrusJelly</t>
  </si>
  <si>
    <t>launcherMagma</t>
  </si>
  <si>
    <t>[INTERNAL] Magma Launcher</t>
  </si>
  <si>
    <t>[INTERNAL] Fires a blob of magma</t>
  </si>
  <si>
    <t>Magma Launcher</t>
  </si>
  <si>
    <t>An explosive splat of magma</t>
  </si>
  <si>
    <t>The magma will splatter everywhere, causing high fire damage to whatever it touches!</t>
  </si>
  <si>
    <t>Have mission2 with Tier=2</t>
  </si>
  <si>
    <t>v1</t>
  </si>
  <si>
    <t>launcherStronghold</t>
  </si>
  <si>
    <t>[INTERNAL] Cannonball Launcher</t>
  </si>
  <si>
    <t>[INTERNAL] Fires a massive steel ball.</t>
  </si>
  <si>
    <t>Cannonball Launcher</t>
  </si>
  <si>
    <t>A massive steel ball</t>
  </si>
  <si>
    <t>Rare</t>
  </si>
  <si>
    <t>Cannonballs do damage to multiple targets in a straight line.</t>
  </si>
  <si>
    <t>Have missionStronghold with Tier=1</t>
  </si>
  <si>
    <t>[INTERNAL] Iron Fists Launcher</t>
  </si>
  <si>
    <t>[INTERNAL] Fires iron fists, an explosive projectile</t>
  </si>
  <si>
    <t>launcherironfistingamev4</t>
  </si>
  <si>
    <t>Iron Fists</t>
  </si>
  <si>
    <t>Stronghold's exploding Iron Fists</t>
  </si>
  <si>
    <t>You must complete Stronghold's mission to unlock the Iron Fists Launcher!</t>
  </si>
  <si>
    <t>Iron Fists crash through multiple targets before exploding!</t>
  </si>
  <si>
    <t>State 2: have missionStronghold with Tier=2</t>
  </si>
  <si>
    <t>launcherNunchuck</t>
  </si>
  <si>
    <t>[INTERNAL] Nunchuck Launcher</t>
  </si>
  <si>
    <t>[INTERNAL] Fires fast-moving nunchucks</t>
  </si>
  <si>
    <t>Nunchuck Launcher</t>
  </si>
  <si>
    <t>A fast-moving guided projectile</t>
  </si>
  <si>
    <t>Nunchucks can hone in on their targets mid-air!</t>
  </si>
  <si>
    <t>Have missionNunchuck with Tier=1</t>
  </si>
  <si>
    <t>[INTERNAL] Fires speeding, spinning, dynamite nunchucks</t>
  </si>
  <si>
    <t>launcherexplosivenunchuckingamev2</t>
  </si>
  <si>
    <t>Bomb Chucks</t>
  </si>
  <si>
    <t>Exploding Nunchucks of TNT</t>
  </si>
  <si>
    <t>You must complete Nunchuck's mission to unlock the Bomb Chucks!</t>
  </si>
  <si>
    <t>Bomb Chucks will make targets go bang!</t>
  </si>
  <si>
    <t>State 2: have missionNunchuck with Tier=2</t>
  </si>
  <si>
    <t>launcherJeanClawed</t>
  </si>
  <si>
    <t>[INTERNAL] Sonar Launcher</t>
  </si>
  <si>
    <t>[INTERNAL] Fires a shock wave of sound</t>
  </si>
  <si>
    <t>Sonar Launcher</t>
  </si>
  <si>
    <t>A shock wave of sound</t>
  </si>
  <si>
    <t>A wave of sound will stun your targets and shake their socks off.</t>
  </si>
  <si>
    <t>Have missionJeanClawed with Tier=1</t>
  </si>
  <si>
    <t>[INTERNAL] Sonique Launcher</t>
  </si>
  <si>
    <t>[INTERNAL] Fires an explosive wave of sound</t>
  </si>
  <si>
    <t>launchershockwaveingamev5</t>
  </si>
  <si>
    <t>Sonique Blast</t>
  </si>
  <si>
    <t>An explosive wave of sound</t>
  </si>
  <si>
    <t>You must complete Jean Clawed's mission to unlock the Sonique Blast!</t>
  </si>
  <si>
    <t>Pulverize targets with a shockwave of sound!</t>
  </si>
  <si>
    <t>State 2: have missionJeanClawed with Tier=2</t>
  </si>
  <si>
    <t>launcherSvengeance</t>
  </si>
  <si>
    <t>[INTERNAL] Spiked Vengeance Launcher</t>
  </si>
  <si>
    <t>[INTERNAL] Fires a spiky sticky ball</t>
  </si>
  <si>
    <t>spikedballlauncher</t>
  </si>
  <si>
    <t>Spiked Vengeance</t>
  </si>
  <si>
    <t>Sticky spiked ball</t>
  </si>
  <si>
    <t>You must complete Svengeance's mission to unlock the Spiked Vengeance!</t>
  </si>
  <si>
    <t>A sticky spiked ball that explodes!</t>
  </si>
  <si>
    <t>State 2: have missionSvengeance with Tier=2</t>
  </si>
  <si>
    <t>launcherSvengeanceLegendary</t>
  </si>
  <si>
    <t>[INTERNAL] Great Ball of Fire Launcher</t>
  </si>
  <si>
    <t>[INTERNAL] Fires a spiked ball that trails flames (legendary spiked ball)</t>
  </si>
  <si>
    <t>Great Ball of Fire Launcher</t>
  </si>
  <si>
    <t>A spiked ball that trails flames</t>
  </si>
  <si>
    <t>Legendary</t>
  </si>
  <si>
    <t>This spiked ball is so fast that it literally creates trails of flame behind it! So rad.</t>
  </si>
  <si>
    <t>Have missionSvengeance with Tier=2</t>
  </si>
  <si>
    <t>launcherBelle</t>
  </si>
  <si>
    <t>[INTERNAL] Laser Party Ball Launcher</t>
  </si>
  <si>
    <t>[INTERNAL] Fires a disco ball</t>
  </si>
  <si>
    <t>launcherlaserdiscoball</t>
  </si>
  <si>
    <t>Laser Party Ball</t>
  </si>
  <si>
    <t>Spinning laser ball</t>
  </si>
  <si>
    <t>You must complete Belle Bottom's mission to unlock the Laser Party Ball!</t>
  </si>
  <si>
    <t>Cause disco destruction with this laser party ball!</t>
  </si>
  <si>
    <t>State 2: have missionBelle with Tier=2</t>
  </si>
  <si>
    <t>launcherBelleLegendary</t>
  </si>
  <si>
    <t>[INTERNAL] Plasma Disco Launcher</t>
  </si>
  <si>
    <t>[INTERNAL] Like Belle Bottom's plasma ball (legendary laser lightshow)</t>
  </si>
  <si>
    <t>Plasma Disco Launcher</t>
  </si>
  <si>
    <t>Groovy plasma projectiles</t>
  </si>
  <si>
    <t>Fires projectiles like Belle Bottom's plasma ball!</t>
  </si>
  <si>
    <t>Have missionBelle with Tier=2</t>
  </si>
  <si>
    <t>ultimate</t>
  </si>
  <si>
    <t>ultimateGeneral</t>
  </si>
  <si>
    <t>[INTERNAL] Omniblaster</t>
  </si>
  <si>
    <t>[INTERNAL] Rapid fire one of each elemental overcharge projectile.</t>
  </si>
  <si>
    <t>ultimateomniblasteringame</t>
  </si>
  <si>
    <t>Omniblaster</t>
  </si>
  <si>
    <t>A blast of each super-charged elemental!</t>
  </si>
  <si>
    <t>Cycles through a powerful blast of each elemental!</t>
  </si>
  <si>
    <t>ultimateForce</t>
  </si>
  <si>
    <t>[INTERNAL] El Macho Force</t>
  </si>
  <si>
    <t>[INTERNAL] El Macho's Unholy Guacamole</t>
  </si>
  <si>
    <t>ultimateelmachoforceunholyguacamole</t>
  </si>
  <si>
    <t>Unholy Guacamole</t>
  </si>
  <si>
    <t>El Macho's Unholy Guacamole</t>
  </si>
  <si>
    <t>You must complete El Macho's mission to unlock his ultimate blaster!</t>
  </si>
  <si>
    <t>Chunks of deadly guacamole explode and splatter everywhere!</t>
  </si>
  <si>
    <t>State 2: has missionElMacho with Tier=2</t>
  </si>
  <si>
    <t>ultimateFire</t>
  </si>
  <si>
    <t>[INTERNAL] Scarlet Fire</t>
  </si>
  <si>
    <t>[INTERNAL] Scarlet's Lava Lamp</t>
  </si>
  <si>
    <t>ultimatescarletfirenuclearlavablast</t>
  </si>
  <si>
    <t>Lethal Lava Lamp</t>
  </si>
  <si>
    <t>Scarlet's Lethal Lava Lamp</t>
  </si>
  <si>
    <t>You must complete Scarlet's mission to unlock her ultimate blaster!</t>
  </si>
  <si>
    <t>Lava Lamps rain blazing magma down on your targets!</t>
  </si>
  <si>
    <t>State 2: has missionScarlet with Tier=2</t>
  </si>
  <si>
    <t>ultimateFreeze</t>
  </si>
  <si>
    <t>[INTERNAL] Vector Ice</t>
  </si>
  <si>
    <t>[INTERNAL] Vector's Fishy Freeze</t>
  </si>
  <si>
    <t>ultimatevectoricefishyfreeze</t>
  </si>
  <si>
    <t>Piranha-sicle</t>
  </si>
  <si>
    <t>Vector's Piranha-sicle</t>
  </si>
  <si>
    <t>You must complete Vector's mission to unlock his ultimate blaster!</t>
  </si>
  <si>
    <t>A frozen Piranha-sicle latches onto targets before shattering!</t>
  </si>
  <si>
    <t>State 2: has missionVector with Tier=2</t>
  </si>
  <si>
    <t>ultimateLightning</t>
  </si>
  <si>
    <t>[INTERNAL] Bratt Lightning</t>
  </si>
  <si>
    <t>[INTERNAL] Bratt's Electric Keytar</t>
  </si>
  <si>
    <t>ultimatebrattboomboxnologo</t>
  </si>
  <si>
    <t>BOOM! (TM) Box</t>
  </si>
  <si>
    <t>Bratt's BOOM! (TM) Box</t>
  </si>
  <si>
    <t>You must complete Bratt's mission to unlock his ultimate blaster!</t>
  </si>
  <si>
    <t>A storm of exploding musical notes!</t>
  </si>
  <si>
    <t>State 2: has missionBratt with Tier=2</t>
  </si>
  <si>
    <t>ultimateBananaExplosion</t>
  </si>
  <si>
    <t>Banana Explosion</t>
  </si>
  <si>
    <t>Unearned</t>
  </si>
  <si>
    <t>ultimateShrinkBomb</t>
  </si>
  <si>
    <t>Shrink Bomb</t>
  </si>
  <si>
    <t>Fires a blast of shrink energy that miniaturizes Minions, drones, and destructible objects in the area.</t>
  </si>
  <si>
    <t>Fires a blast of shrink energy.</t>
  </si>
  <si>
    <t>ultimatePX41</t>
  </si>
  <si>
    <t>PX-41</t>
  </si>
  <si>
    <t>Fires an injection of PX-41 that transforms Minions and all into fuzzy purple killing machines.</t>
  </si>
  <si>
    <t>Fires a PX-41 injection that transforms Minions.</t>
  </si>
  <si>
    <t>perk</t>
  </si>
  <si>
    <t>perkLuckyCharm</t>
  </si>
  <si>
    <t>Lucky Charm</t>
  </si>
  <si>
    <t>Increase the amount and quality of loot spawned.</t>
  </si>
  <si>
    <t>perkScoreBonus</t>
  </si>
  <si>
    <t>Score Bonus</t>
  </si>
  <si>
    <t>Double your score on every blast.</t>
  </si>
  <si>
    <t>perkElementalFlame</t>
  </si>
  <si>
    <t>Elemental Flame</t>
  </si>
  <si>
    <t>Flame elemental damage aura applied to all blasts, regardless of type.</t>
  </si>
  <si>
    <t>perkUltimateCharge</t>
  </si>
  <si>
    <t>Ultimate Charge</t>
  </si>
  <si>
    <t>perkSeekingAmmo</t>
  </si>
  <si>
    <t>Seeking Ammo</t>
  </si>
  <si>
    <t>perkMultiLightning</t>
  </si>
  <si>
    <t>[INTERNAL] Autoblast Lightning</t>
  </si>
  <si>
    <t>[INTERNAL] Burst-blast multiple elemental projectiles per trigger pull (3)
Affects: Lightning</t>
  </si>
  <si>
    <t>lightningmultiburst</t>
  </si>
  <si>
    <t>Lightning Multiburst</t>
  </si>
  <si>
    <t>Activate a multiburst of Lightning!</t>
  </si>
  <si>
    <t>Get multiple consecutive blasts for the Lightning elemental</t>
  </si>
  <si>
    <t>State 2: playerLevel &gt;=4</t>
  </si>
  <si>
    <t>perkAutoblast</t>
  </si>
  <si>
    <t>Autoblast!</t>
  </si>
  <si>
    <t>Hold down trigger to blast elementals automatically.
Affects: All Elementals
1.5/s / 1.75/s / 2/s</t>
  </si>
  <si>
    <t xml:space="preserve">Hold down trigger to blast elementals automatically.
</t>
  </si>
  <si>
    <t>Hold down trigger to blast elementals automatically.
Affects: All Elementals</t>
  </si>
  <si>
    <t>Uncommon</t>
  </si>
  <si>
    <t>grade1</t>
  </si>
  <si>
    <t>Grade 1</t>
  </si>
  <si>
    <t>Can be earned through player level increase, loot (scan or blast), or through missions. To be selected as awards are balanced.</t>
  </si>
  <si>
    <t>perkMultiForce</t>
  </si>
  <si>
    <t>[INTERNAL] Autoblast Force</t>
  </si>
  <si>
    <t>[INTERNAL] Burst-blast multiple elemental projectiles per trigger pull (3)
Affects: Force</t>
  </si>
  <si>
    <t>forcemultiburst</t>
  </si>
  <si>
    <t>Force Multiburst</t>
  </si>
  <si>
    <t>Activate a multiburst of Force!</t>
  </si>
  <si>
    <t>Get multiple consecutive blasts for the Force elemental</t>
  </si>
  <si>
    <t>State 2: playerLevel &gt;=1</t>
  </si>
  <si>
    <t>perkMultiFreeze</t>
  </si>
  <si>
    <t>[INTERNAL] Autoblast Freeze</t>
  </si>
  <si>
    <t>[INTERNAL] Burst-blast multiple elemental projectiles per trigger pull (3)
Affects: Freeze</t>
  </si>
  <si>
    <t>freezemultiburst</t>
  </si>
  <si>
    <t>Freeze Ray Multiburst</t>
  </si>
  <si>
    <t>Activate a multiburst of Freeze!</t>
  </si>
  <si>
    <t>Get multiple consecutive blasts for the Freeze elemental</t>
  </si>
  <si>
    <t>State 2: playerLevel &gt;=3</t>
  </si>
  <si>
    <t>perkMultiFire</t>
  </si>
  <si>
    <t>[INTERNAL] Autoblast Fire</t>
  </si>
  <si>
    <t>[INTERNAL] Burst-blast multiple elemental projectiles per trigger pull (3)
Affects: Fire</t>
  </si>
  <si>
    <t>firemultiburst</t>
  </si>
  <si>
    <t>Fire Ball Multiburst</t>
  </si>
  <si>
    <t>Activate a multiburst of Fire!</t>
  </si>
  <si>
    <t>Get multiple consecutive blasts for the Fire elemental</t>
  </si>
  <si>
    <t>State 2: playerLevel &gt;=2</t>
  </si>
  <si>
    <t>perkDamageForce</t>
  </si>
  <si>
    <t>[INTERNAL] Damage Bonus Force</t>
  </si>
  <si>
    <t>[INTERNAL] Damage boost to shots (base damage, status damage) +10%</t>
  </si>
  <si>
    <t>forcesupercharge</t>
  </si>
  <si>
    <t>Force Supercharge</t>
  </si>
  <si>
    <t>Bigger Force blasts deal extra damage!</t>
  </si>
  <si>
    <t>Your Force elemental is bigger and badder!</t>
  </si>
  <si>
    <t>State 2: playerLevel &gt;=6</t>
  </si>
  <si>
    <t>perkDamageFire</t>
  </si>
  <si>
    <t>[INTERNAL] Damage Bonus Fire</t>
  </si>
  <si>
    <t>firesupercharge</t>
  </si>
  <si>
    <t>Fire Ball Supercharge</t>
  </si>
  <si>
    <t>Bigger Fire blasts deal extra damage!</t>
  </si>
  <si>
    <t>Your Fire elemental is bigger and badder!</t>
  </si>
  <si>
    <t>State 2: playerLevel &gt;=7</t>
  </si>
  <si>
    <t>perkDamageFreeze</t>
  </si>
  <si>
    <t>[INTERNAL] Damage Bonus Freeze</t>
  </si>
  <si>
    <t>freezesupercharge</t>
  </si>
  <si>
    <t>Freeze Ray Supercharge</t>
  </si>
  <si>
    <t>Bigger Freeze blasts deal extra damage!</t>
  </si>
  <si>
    <t>Your Freeze elemental is bigger and badder!</t>
  </si>
  <si>
    <t>State 2: playerLevel &gt;=8</t>
  </si>
  <si>
    <t>perkFasterBlasts</t>
  </si>
  <si>
    <t>Faster Blasts</t>
  </si>
  <si>
    <t>Faster elemental rate of fire (reduced refire delay).
Affects: All Elementals
-10% / -13% / -15%</t>
  </si>
  <si>
    <t>Faster elemental rate of fire (reduced refire delay).</t>
  </si>
  <si>
    <t>Faster elemental rate of fire (reduced refire delay).
Affects: All Elementals</t>
  </si>
  <si>
    <t>perkDamageLightning</t>
  </si>
  <si>
    <t>[INTERNAL] Damage Bonus Lightning</t>
  </si>
  <si>
    <t>lightningsupercharge</t>
  </si>
  <si>
    <t>Lightning Supercharge</t>
  </si>
  <si>
    <t>Bigger Lightning blasts deal extra damage!</t>
  </si>
  <si>
    <t>Your Lightning elemental is bigger and badder!</t>
  </si>
  <si>
    <t>State 2: playerLevel &gt;=9</t>
  </si>
  <si>
    <t>perkSpreadForce</t>
  </si>
  <si>
    <t>[INTERNAL] Spread Force</t>
  </si>
  <si>
    <t>[INTERNAL] Spread-blast multiple elemental projectiles per trigger pull (3)</t>
  </si>
  <si>
    <t>forcespreadblast</t>
  </si>
  <si>
    <t>Force Spread Blast</t>
  </si>
  <si>
    <t>Send out a wide spread-blast of Force!</t>
  </si>
  <si>
    <t>Your blaster sends out 3 spreading blasts of Force!</t>
  </si>
  <si>
    <t>State 2: playerLevel &gt;=11</t>
  </si>
  <si>
    <t>perkSpreadFire</t>
  </si>
  <si>
    <t>[INTERNAL] Spread Fire</t>
  </si>
  <si>
    <t>firespreadblast</t>
  </si>
  <si>
    <t>Fire Ball Spread Blast</t>
  </si>
  <si>
    <t>Send out a wide spread-blast of Fire!</t>
  </si>
  <si>
    <t>Your blaster sends out 3 spreading blasts of Fire!</t>
  </si>
  <si>
    <t>State 2: playerLevel &gt;=12</t>
  </si>
  <si>
    <t>perkSpreadFreeze</t>
  </si>
  <si>
    <t>[INTERNAL] Spread Freeze</t>
  </si>
  <si>
    <t>freezespreadblast</t>
  </si>
  <si>
    <t>Freeze Ray Spread Blast</t>
  </si>
  <si>
    <t>Send out a wide spread-blast of Freeze!</t>
  </si>
  <si>
    <t>Your blaster sends out 3 spreading blasts of Freeze!</t>
  </si>
  <si>
    <t>State 2: playerLevel &gt;=13</t>
  </si>
  <si>
    <t>perkSpreadLightning</t>
  </si>
  <si>
    <t>[INTERNAL] Spread Lightning</t>
  </si>
  <si>
    <t>lightningspreadblast</t>
  </si>
  <si>
    <t>Lightning Spread Blast</t>
  </si>
  <si>
    <t>Send out a wide spread-blast of Lightning!</t>
  </si>
  <si>
    <t>Your blaster sends out 3 spreading blasts of Lightning!</t>
  </si>
  <si>
    <t>State 2: playerLevel &gt;=14</t>
  </si>
  <si>
    <t>perkLauncherDamage</t>
  </si>
  <si>
    <t>[INTERNAL] Damage Bonus Launcher</t>
  </si>
  <si>
    <t>[INTERNAL] Damage boost to launcher blasts (base damage, status damage)
+10%
Affects: All Launchers</t>
  </si>
  <si>
    <t>morelauncherdamage</t>
  </si>
  <si>
    <t>Launcher Supercharge</t>
  </si>
  <si>
    <t>Bigger Launchers deal extra damage!</t>
  </si>
  <si>
    <t>Your Launchers are bigger and badder!</t>
  </si>
  <si>
    <t>State 2: playerLevel &gt;=16</t>
  </si>
  <si>
    <t>perkOverchargeBoost</t>
  </si>
  <si>
    <t>Overcharge Boost</t>
  </si>
  <si>
    <t>Elemental overcharges last longer.
Affects: All Elementals
0.1 / 0.13 / 0.15</t>
  </si>
  <si>
    <t>Elemental overcharges last longer.</t>
  </si>
  <si>
    <t>Elemental overcharges apply in less time holding down the trigger.
Affects: All Elementals</t>
  </si>
  <si>
    <r>
      <rPr>
        <sz val="10"/>
        <color theme="1"/>
        <rFont val="Arial"/>
        <family val="2"/>
      </rPr>
      <t xml:space="preserve">Elemental overcharges </t>
    </r>
    <r>
      <rPr>
        <sz val="10"/>
        <color theme="1"/>
        <rFont val="Arial"/>
        <family val="2"/>
      </rPr>
      <t>apply in 10% less time holding down the trigger</t>
    </r>
    <r>
      <rPr>
        <sz val="10"/>
        <color theme="1"/>
        <rFont val="Arial"/>
        <family val="2"/>
      </rPr>
      <t>.
Affects: All Elementals</t>
    </r>
  </si>
  <si>
    <t>perkLauncherAmmo</t>
  </si>
  <si>
    <t>[INTERNAL] Extra Launcher Ammo</t>
  </si>
  <si>
    <t>[INTERNAL] Get 4 extra shots when you load or reload a launcher
Affects: All Launchers</t>
  </si>
  <si>
    <t>morelauncherammo</t>
  </si>
  <si>
    <t>Increase Launcher Ammo</t>
  </si>
  <si>
    <t>Get four extra Launcher blasts!</t>
  </si>
  <si>
    <t>When you load or reload a Launcher, you get 4 extra blasts!</t>
  </si>
  <si>
    <t>State 2: playerLevel &gt;=17</t>
  </si>
  <si>
    <t>perkUltimateAmmo</t>
  </si>
  <si>
    <t>[INTERNAL] Extra Ultimate Ammo</t>
  </si>
  <si>
    <t>[INTERNAL] Get 3 extra shots when your Ultimate recharges
Affects: Equipped Ultimate</t>
  </si>
  <si>
    <t>moreultimateammo</t>
  </si>
  <si>
    <t>Increase Ultimate Ammo</t>
  </si>
  <si>
    <t>Get three extra Ultimate blasts!</t>
  </si>
  <si>
    <t>You get 3 extra blasts when you recharge your Ultimate!</t>
  </si>
  <si>
    <t>State 2: playerLevel &gt;=18</t>
  </si>
  <si>
    <t>perkUltimateCharger</t>
  </si>
  <si>
    <t>[INTERNAL] Ultimate Charger</t>
  </si>
  <si>
    <t>[INTERNAL] Faster ultimate charge rate (Lower score threshold to enable)
-10%
Affects: Equipped Ultimate</t>
  </si>
  <si>
    <t>ultimatechargeboost</t>
  </si>
  <si>
    <t>Ultimate Rapid Charge</t>
  </si>
  <si>
    <t>Recharge your Ultimate faster!</t>
  </si>
  <si>
    <t>Your Ultimate recharges 10% faster!</t>
  </si>
  <si>
    <t>State 2: playerLevel &gt;=19</t>
  </si>
  <si>
    <t>perkSuperHot</t>
  </si>
  <si>
    <t>[INTERNAL] Super Hot</t>
  </si>
  <si>
    <t>[INTERNAL] Burning does more damage per second.
Affects: Fire
0.2 / 0.3 / 0.35</t>
  </si>
  <si>
    <t>Super Hot</t>
  </si>
  <si>
    <t>Burning does more damage per second.</t>
  </si>
  <si>
    <t>Burning does more damage per second.
Affects: Fire</t>
  </si>
  <si>
    <t>Burning does 20% more damage per second.
Affects: Fire</t>
  </si>
  <si>
    <t>playerLevel &gt;=1</t>
  </si>
  <si>
    <t>perkSuperStun</t>
  </si>
  <si>
    <t>[INTERNAL] Super Stun</t>
  </si>
  <si>
    <t>[INTERNAL] Stun effect lasts longer.
Affects: Electricity
0.25 / 0.4 / 0.5</t>
  </si>
  <si>
    <t>Super Stun</t>
  </si>
  <si>
    <t>Stun effect lasts longer.</t>
  </si>
  <si>
    <t>Stun effect lasts longer.
Affects: Lightning</t>
  </si>
  <si>
    <t>Stun effect lasts 25% longer.
Affects: Lightning</t>
  </si>
  <si>
    <t>perkSupercooler</t>
  </si>
  <si>
    <t>[INTERNAL] Supercooler</t>
  </si>
  <si>
    <t>[INTERNAL] Frozen status effect applies more quickly.
Affects: Freeze
0.2 / 0.3 / 0.35</t>
  </si>
  <si>
    <t>Supercooler</t>
  </si>
  <si>
    <t>Frozen status effect applies more quickly.</t>
  </si>
  <si>
    <t>Frozen status effect applies more quickly.
Affects: Freeze</t>
  </si>
  <si>
    <t>Frozen status effect applies 20% more quickly.
Affects: Freeze</t>
  </si>
  <si>
    <t>[INTERNAL] Faster ultimate charge rate (Lower threshold).
Affects: Equipped Ultimate
-10% / -13% / -15%</t>
  </si>
  <si>
    <t>Ultimate Charger</t>
  </si>
  <si>
    <t>Faster ultimate charge rate.</t>
  </si>
  <si>
    <t>Faster ultimate charge rate (Lower threshold).
Affects: Equipped Ultimate</t>
  </si>
  <si>
    <t>Faster ultimate charge rate (10% Lower threshold).
Affects: Equipped Ultimate</t>
  </si>
  <si>
    <t>achievement</t>
  </si>
  <si>
    <t>achievementPlayBlasterBlast</t>
  </si>
  <si>
    <t>Bronze</t>
  </si>
  <si>
    <t>action</t>
  </si>
  <si>
    <t>actionSyncBlaster</t>
  </si>
  <si>
    <t>Player syncs blaster (action flag)</t>
  </si>
  <si>
    <t>Guest successfully syncs a blaster to their player profile (mobile app) for the first time.</t>
  </si>
  <si>
    <t>Mobile</t>
  </si>
  <si>
    <t>grantFromMobileApp</t>
  </si>
  <si>
    <t>achievementPlayBlasterEfficiency</t>
  </si>
  <si>
    <t>Efficient Evil</t>
  </si>
  <si>
    <t>(Might have Bronze/Silver/Gold)</t>
  </si>
  <si>
    <t>tiered</t>
  </si>
  <si>
    <t>Achievement name</t>
  </si>
  <si>
    <t>Description of how to earn this achievement.</t>
  </si>
  <si>
    <t>bronze</t>
  </si>
  <si>
    <t>Reaching a goal in efficiency</t>
  </si>
  <si>
    <t>Has: actionBlasterEfficiency</t>
  </si>
  <si>
    <t>achievementVCBadge</t>
  </si>
  <si>
    <t>[INTERNAL] Villain-Con Badge</t>
  </si>
  <si>
    <t>[INTERNAL] VC badge is awarded upon player creation</t>
  </si>
  <si>
    <t>IPB / Mobile</t>
  </si>
  <si>
    <t>single</t>
  </si>
  <si>
    <t>331uitrophiesbronze</t>
  </si>
  <si>
    <t>New Recruit</t>
  </si>
  <si>
    <t>Welcome to Villain-Con! We hope you enjoy your time at the convention.</t>
  </si>
  <si>
    <t>achievementPlaySyncBlaster</t>
  </si>
  <si>
    <t>[INTERNAL] In Sync</t>
  </si>
  <si>
    <t>[INTERNAL] Guest successfully syncs a blaster to their player profile (mobile app) for the first time.</t>
  </si>
  <si>
    <t>In Sync</t>
  </si>
  <si>
    <t>Sync your blaster by tapping with your phone!</t>
  </si>
  <si>
    <t>You synced your player profile to your blaster! You're ready to do evil.</t>
  </si>
  <si>
    <t>State 2: have actionSyncBlaster</t>
  </si>
  <si>
    <t>actionMissionVectorUnlock</t>
  </si>
  <si>
    <t>Unlock Mission Vector</t>
  </si>
  <si>
    <t>Guest unlocks Mission Vector</t>
  </si>
  <si>
    <t>actionMissionVectorAttempt</t>
  </si>
  <si>
    <t>Attempt Mission Vector</t>
  </si>
  <si>
    <t>Guest attempts Mission Vector</t>
  </si>
  <si>
    <t>Game</t>
  </si>
  <si>
    <t>How many times you have attempted (number of times awarded)</t>
  </si>
  <si>
    <t>win, lose</t>
  </si>
  <si>
    <t>grantFromInteractive</t>
  </si>
  <si>
    <t>mission</t>
  </si>
  <si>
    <t>missionVector</t>
  </si>
  <si>
    <t>[INTERNAL] V6 fan - Vector</t>
  </si>
  <si>
    <t>[INTERNAL] Guest collects X V6 Medallions</t>
  </si>
  <si>
    <t>IPB / game</t>
  </si>
  <si>
    <t>How many times you have succeeded</t>
  </si>
  <si>
    <t>points</t>
  </si>
  <si>
    <t>Available</t>
  </si>
  <si>
    <t>vector</t>
  </si>
  <si>
    <t>vectorAsset</t>
  </si>
  <si>
    <t>V6 Super Fan!</t>
  </si>
  <si>
    <t>Blast 12 V6 medallions!</t>
  </si>
  <si>
    <t>Blast 12 V6 medallions in a single round. Prove yourself to the Vicious 6.</t>
  </si>
  <si>
    <t>Completing this mission unlocks an Ultimate and a new mission!</t>
  </si>
  <si>
    <t>complete</t>
  </si>
  <si>
    <t>You blasted 12 V6 medallions!</t>
  </si>
  <si>
    <t>You blasted at least 12 V6 medallions this round! That'll get the Vicious 6's attention.</t>
  </si>
  <si>
    <t>You've unlocked Vector's Piranha-sicle Blaster and a new mission!</t>
  </si>
  <si>
    <t>State 1: awarded on player creation. 
State 2: have actionMissionVectorAttempt with count &gt;= 12</t>
  </si>
  <si>
    <t>achievementMissionVector</t>
  </si>
  <si>
    <t>[INTERNAL] Superfan</t>
  </si>
  <si>
    <t>[INTERNAL] Guest earns an achievement for Mission Vector</t>
  </si>
  <si>
    <t>331uitrophiessilver</t>
  </si>
  <si>
    <t>OH YEAH!!!!!!!!</t>
  </si>
  <si>
    <t>You must complete mission Vicious 6 Super Fan to get this achievement!</t>
  </si>
  <si>
    <t>You blasted at least 12 V6 medaillions in one round! You’re a true Vicious 6 Super Fan!</t>
  </si>
  <si>
    <t>State 2: have missionVector with Tier=2</t>
  </si>
  <si>
    <t>actionMission2Unlock</t>
  </si>
  <si>
    <t>Unlock Mission 2</t>
  </si>
  <si>
    <t>Guest unlocks Mission 2</t>
  </si>
  <si>
    <t>Have missionVector with Tier=2, OR have playerLevel=3</t>
  </si>
  <si>
    <t>actionMission2Attempt</t>
  </si>
  <si>
    <t>Attempt Mission 2</t>
  </si>
  <si>
    <t>Guest attempts Mission 2</t>
  </si>
  <si>
    <t>mission2</t>
  </si>
  <si>
    <t>[INTERNAL] Party Farty</t>
  </si>
  <si>
    <t>[INTERNAL] Hit Minions with Fart Cloud Launcher</t>
  </si>
  <si>
    <t>Party Farty</t>
  </si>
  <si>
    <t>You must be a V6 Fan to unlock this mission!</t>
  </si>
  <si>
    <t>Knock out 20 Minions with the Fart Cloud Launcher!</t>
  </si>
  <si>
    <t>Knock out 20 Minions with the Fart Cloud Launcher in a single playthrough!</t>
  </si>
  <si>
    <t>Completing this mission unlocks a new mission!</t>
  </si>
  <si>
    <t>Knock out 30 Minions with the Fart Cloud Launcher!</t>
  </si>
  <si>
    <t>You knocked out 20 Minions with the Fart Cloud Launcher!
Knock out 30 to keep the party going.</t>
  </si>
  <si>
    <t>You've unlocked the Magma Launcher and a new mission!</t>
  </si>
  <si>
    <t>achievementMission2</t>
  </si>
  <si>
    <t>[INTERNAL] Fart Fiend</t>
  </si>
  <si>
    <t>[INTERNAL] Guest earns an achievement (bronze/silver/gold) for Mission 2</t>
  </si>
  <si>
    <t>Fart Fiend</t>
  </si>
  <si>
    <t>You must complete mission Party Farty to unlock this achievement!</t>
  </si>
  <si>
    <t>You knocked out 20 Minions with the Fart Cloud Launcher!
Knock out 30 in one playthrough for Silver.</t>
  </si>
  <si>
    <t>Knock out Minions with Fart Cloud Launcher X times per tier (in one playthrough): 20/30/40</t>
  </si>
  <si>
    <t>actionMissionScarletUnlock</t>
  </si>
  <si>
    <t>Action Flag</t>
  </si>
  <si>
    <t>Guest unlocks Mission Scarlet</t>
  </si>
  <si>
    <t>State 2: have missionVector with Tier=2, OR have playerLevel&gt;=4</t>
  </si>
  <si>
    <t>actionMissionScarletAttempt</t>
  </si>
  <si>
    <t>Guest attempts Mission Scarlet</t>
  </si>
  <si>
    <t>missionScarlet</t>
  </si>
  <si>
    <t>[INTERNAL] Royal Revenge</t>
  </si>
  <si>
    <t>[INTERNAL]  Cause elemental damage to 20 Minions</t>
  </si>
  <si>
    <t>scarletoverkill</t>
  </si>
  <si>
    <t>scarlettAsset</t>
  </si>
  <si>
    <t>Secret Mission</t>
  </si>
  <si>
    <t>You must complete Vector's mission to unlock this mission!</t>
  </si>
  <si>
    <t>Minion Marksman</t>
  </si>
  <si>
    <t>Cause elemental damage to 20 Minions!</t>
  </si>
  <si>
    <t>Cause elemental damage to 20 Minions in a single round! The VNC Newscaster will thank you!</t>
  </si>
  <si>
    <t>You caused elemental damage to 20 Minions!</t>
  </si>
  <si>
    <t>You caused elemental damage to at least 20 Minions in a single round! They were basically asking for it!</t>
  </si>
  <si>
    <t>You've unlocked Scarlet's Lava Lamp and a new mission!</t>
  </si>
  <si>
    <t>State 1: have actionMissionScarletUnlock.
State 2: have actionMissionScarletAttempt with elemental destroys &gt;= 20 (single game) AND CLEAR playerData.activeQuest</t>
  </si>
  <si>
    <t>achievementMissionScarlet</t>
  </si>
  <si>
    <t>[INTERNAL] Minion Monster</t>
  </si>
  <si>
    <t>[INTERNAL] Guest earns an achievement for Mission Scarlet</t>
  </si>
  <si>
    <t>You must complete mission Minion Marksman to get this achievement!</t>
  </si>
  <si>
    <t>You caused elemental damage to at least 20 Minions! Take that grandma memers!</t>
  </si>
  <si>
    <t>[INTERNAL] Shoots Actual Lava!</t>
  </si>
  <si>
    <t>[INTERNAL] achievement (bronze/silver/gold) for Scarlet's mission</t>
  </si>
  <si>
    <t>Shoots Actual Lava!</t>
  </si>
  <si>
    <t>You'll get this when you complete a certain mission!</t>
  </si>
  <si>
    <t>You caused super environmental damage! Now cause MEGA damage using the Magma Launcher to reach silver.</t>
  </si>
  <si>
    <t>Cause X/Y/Z environmental damage (to be labeled by GameSim in MANNER TBD) with launcherMagma</t>
  </si>
  <si>
    <t>actionMissionElMachoUnlock</t>
  </si>
  <si>
    <t>Guest unlocks Mission El Macho</t>
  </si>
  <si>
    <t>State 2: has missionScarlet with Tier=2, OR playerLevel&gt;=7</t>
  </si>
  <si>
    <t>actionMissionElMachoAttempt</t>
  </si>
  <si>
    <t>Guest attempts Mission El Macho</t>
  </si>
  <si>
    <t>missionElMacho</t>
  </si>
  <si>
    <t>[INTERNAL] Contender</t>
  </si>
  <si>
    <t>[INTERNAL] Score X points</t>
  </si>
  <si>
    <t>elmacho</t>
  </si>
  <si>
    <t>elmachoAsset</t>
  </si>
  <si>
    <t>You must complete Scarlet's mission to unlock this mission!</t>
  </si>
  <si>
    <t>Guac ‘em Out</t>
  </si>
  <si>
    <t>Score 100,000 points in one playthrough</t>
  </si>
  <si>
    <t>Score 100,000 points in a single round! Take on big targets!  Do you have what it takes?</t>
  </si>
  <si>
    <t>You scored over 100,000 points!</t>
  </si>
  <si>
    <t>You scored over 100,000 points in one round! You've got what it takes to join the Vicious 6.</t>
  </si>
  <si>
    <t>You've unlocked El Macho's Unholy Guacamole and a new mission!</t>
  </si>
  <si>
    <t>State 1: have actionMissionElMachoUnlock.
State 2: have actionMissionElMachoAttempt with total score &gt;= 100,000 (single game) AND CLEAR playerData.activeQuest</t>
  </si>
  <si>
    <t>achievementMissionElMacho</t>
  </si>
  <si>
    <t>[INTERNAL] Muy Macho</t>
  </si>
  <si>
    <t>[INTERNAL] achievement for missionElMacho</t>
  </si>
  <si>
    <t>Muy Macho</t>
  </si>
  <si>
    <t>You must complete mission Guac 'em Out to get this achievement!</t>
  </si>
  <si>
    <t>Has anyone blasted through the challenge with such undeniable machoness before?</t>
  </si>
  <si>
    <t>actionMissionBrattUnlock</t>
  </si>
  <si>
    <t>Guest unlocks Mission Bratt</t>
  </si>
  <si>
    <t>State 2: has missionElMacho with Tier=2, OR playerLevel&gt;=10</t>
  </si>
  <si>
    <t>actionMissionBrattAttempt</t>
  </si>
  <si>
    <t>Guest attempts Mission Bratt</t>
  </si>
  <si>
    <t>missionBratt</t>
  </si>
  <si>
    <t>[INTERNAL] Swag Snatch</t>
  </si>
  <si>
    <t>[INTERNAL] Collect 20 collectibles</t>
  </si>
  <si>
    <t>balthazarbratt</t>
  </si>
  <si>
    <t>brattAsset</t>
  </si>
  <si>
    <t>You must complete El Macho's mission to unlock this mission!</t>
  </si>
  <si>
    <t>Swag Snatch</t>
  </si>
  <si>
    <t>Blast 20 collectibles!</t>
  </si>
  <si>
    <t xml:space="preserve">Get 20 collectibles in a single round! Grab &amp; go!  </t>
  </si>
  <si>
    <t>Completing this mission unlocks a new Ultimate!</t>
  </si>
  <si>
    <t>You blasted 20 collectibles!</t>
  </si>
  <si>
    <t>You blasted at least 20 collectibles! Go on and brag, you got that swag!</t>
  </si>
  <si>
    <t>You've unlocked Bratt's BOOM! (TM) Box!</t>
  </si>
  <si>
    <t>State 1: have actionMissionBrattUnlock.
State 2: have actionMissionBrattAttempt with hits count &gt;= 20 (single game) AND CLEAR playerData.activeQuest</t>
  </si>
  <si>
    <t>achievementMissionBratt</t>
  </si>
  <si>
    <t>[INTERNAL] Swag Champion</t>
  </si>
  <si>
    <t>[INTERNAL] achievement for missionBratt</t>
  </si>
  <si>
    <t>Swag Champion</t>
  </si>
  <si>
    <t>You must complete mission Swag Snatch to get this achievement!</t>
  </si>
  <si>
    <t xml:space="preserve">You blasted at least 20 collectibles in one round! Save some swag for the rest of the villains! </t>
  </si>
  <si>
    <t>State 2: have missionBratt with Tier=2</t>
  </si>
  <si>
    <t>actionLauncherBelle</t>
  </si>
  <si>
    <t>Game tells us if guest has blasted launcherBelle</t>
  </si>
  <si>
    <t>actionMissionBelleUnlock</t>
  </si>
  <si>
    <t>Unlock Belle's Mission</t>
  </si>
  <si>
    <t>Guest unlocks Belle's Mission</t>
  </si>
  <si>
    <t>State 2: actionLauncherBelle, OR have playerLevel&gt;=20</t>
  </si>
  <si>
    <t>actionMissionBelleAttempt</t>
  </si>
  <si>
    <t>Attempt Belle's Mission</t>
  </si>
  <si>
    <t>Guest attempts Belle's Mission</t>
  </si>
  <si>
    <t>missionBelle</t>
  </si>
  <si>
    <t>[INTERNAL] Boss Battle</t>
  </si>
  <si>
    <t>[INTERNAL] Land X damage on other bosses</t>
  </si>
  <si>
    <t>bellebottom</t>
  </si>
  <si>
    <t>belleAsset</t>
  </si>
  <si>
    <t>You must find Belle Bottom's launcher to unlock this mission!</t>
  </si>
  <si>
    <t>Boss Battle</t>
  </si>
  <si>
    <t>Blast other bosses at least 99 times!</t>
  </si>
  <si>
    <t>Land 99 hits on other villains during a single playthrough!</t>
  </si>
  <si>
    <t>Completing this mission unlocks a new launcher!</t>
  </si>
  <si>
    <t>You blasted other bosses at least 99 times!</t>
  </si>
  <si>
    <t>You landed at least 99 hits on other bosses! They'd be proud if they weren't in so much pain.</t>
  </si>
  <si>
    <t>You've unlocked Belle's Laser Party Ball Launcher!</t>
  </si>
  <si>
    <t>State 1: have actionMissionBelleUnlock.
State 2: have actionMissionBelleAttempt with hits &gt;=99 (single game) AND CLEAR playerData.activeQuest</t>
  </si>
  <si>
    <t>achievementMissionBelle</t>
  </si>
  <si>
    <t>[INTERNAL] Achievement for missionBelle</t>
  </si>
  <si>
    <t>331uitrophiesgold</t>
  </si>
  <si>
    <t>You must complete mission Boss Battle to get this achievement!</t>
  </si>
  <si>
    <t>You caused epic boss damage! They'll all be working for you soon.</t>
  </si>
  <si>
    <t>State 2: have missionBelle with tier=2</t>
  </si>
  <si>
    <t>actionLauncherStronghold</t>
  </si>
  <si>
    <t>Game tells us if guest has blasted launcherStronghold</t>
  </si>
  <si>
    <t>actionMissionStrongholdUnlock</t>
  </si>
  <si>
    <t>unlock Stronghold mission</t>
  </si>
  <si>
    <t>State 2: has actionLauncherStronghold, OR have playerLevel&gt;=12</t>
  </si>
  <si>
    <t>actionMissionStrongholdAttempt</t>
  </si>
  <si>
    <t>guest attempts missionStronghold</t>
  </si>
  <si>
    <t>missionStronghold</t>
  </si>
  <si>
    <t>[INTERNAL] Fists of Fury</t>
  </si>
  <si>
    <t>[INTERNAL] Land X hits on environment</t>
  </si>
  <si>
    <t>stronghold</t>
  </si>
  <si>
    <t>strongholdAsset</t>
  </si>
  <si>
    <t>You must find Stronghold's launcher to unlock this mission!</t>
  </si>
  <si>
    <t>Fists of Fury</t>
  </si>
  <si>
    <t>Damage the environment with at least 70 hits!</t>
  </si>
  <si>
    <t>Destroy decor, furniture, everything! Villain-Con is your rage room now!</t>
  </si>
  <si>
    <t>You landed at least 70 hits of Environmental Damage!</t>
  </si>
  <si>
    <t>You turned all of Villain-Con into your rage room! Those walls were lookin' real breakable...</t>
  </si>
  <si>
    <t>You've unlocked Stronghold's Iron Fists Launcher!</t>
  </si>
  <si>
    <t>State 1: have actionMissionStrongholdUnlock.
State 2: have actionMissionStrongholdAttempt with hits &gt;= 70 (single game) AND CLEAR playerData.activeQuest</t>
  </si>
  <si>
    <t>achievementMissionStronghold</t>
  </si>
  <si>
    <t>[INTERNAL] Certified Smasher</t>
  </si>
  <si>
    <t>[INTERNAL] Achievement for Stronghold's mission</t>
  </si>
  <si>
    <t>Certified Smasher</t>
  </si>
  <si>
    <t>You must complete mission Fists of Fury to get this achievement!</t>
  </si>
  <si>
    <t>You caused massive environmental damage! You make the oil companies look like amateurs!</t>
  </si>
  <si>
    <t>State 2: has missionStronghold with tier=2</t>
  </si>
  <si>
    <t>actionLauncherNunchuck</t>
  </si>
  <si>
    <t>Game tells us if guest has blasted launcherNunchuck</t>
  </si>
  <si>
    <t>actionMissionNunchuckUnlock</t>
  </si>
  <si>
    <t>unlock Nunchuck mission</t>
  </si>
  <si>
    <t>State 2: has actionLauncherNunchuck in game; OR have playerLevel&gt;=14</t>
  </si>
  <si>
    <t>actionMissionNunchuckAttempt</t>
  </si>
  <si>
    <t>guest attempts missionNunchuck</t>
  </si>
  <si>
    <t>missionNunchuck</t>
  </si>
  <si>
    <t>[INTERNAL] No Fly Drone</t>
  </si>
  <si>
    <t>[INTERNAL] Destroy X flying objects</t>
  </si>
  <si>
    <t>nunchuck</t>
  </si>
  <si>
    <t>nunchuckAsset</t>
  </si>
  <si>
    <t>You must find Nun Chuck's launcher to unlock this mission!</t>
  </si>
  <si>
    <t>No Fly Drone</t>
  </si>
  <si>
    <t>Destroy 20 flying targets!</t>
  </si>
  <si>
    <t>Destroy 20 flying targets: drones, music notes, jetpack Minions, bubbles, records!</t>
  </si>
  <si>
    <t>You destroyed 20 flying targets!</t>
  </si>
  <si>
    <t>You destroyed at least 20 flying targets! Now YOU rule the skies.</t>
  </si>
  <si>
    <t>You've unlocked Nunchuck's Boom Chucks!</t>
  </si>
  <si>
    <t>State 1: have actionMissionNunchuckUnlock.
State 2: have actionMissionNunchuckAttempt with destroys count &gt;= 20 (single game) AND CLEAR playerData.activeQuest</t>
  </si>
  <si>
    <t>achievementMissionNunchuck</t>
  </si>
  <si>
    <t>[INTERNAL] High Flier</t>
  </si>
  <si>
    <t>[INTERNAL] Achievement for Nunchuck's mission</t>
  </si>
  <si>
    <t>High Flier</t>
  </si>
  <si>
    <t>You must complete mission No Fly Drone to get this achievement!</t>
  </si>
  <si>
    <t>You destroyed over 20 flying targets! With your new Boom Chucks, you can take explosiveness to new heights!</t>
  </si>
  <si>
    <t>State 2: has missionNunchuck with tier=2</t>
  </si>
  <si>
    <t>actionLauncherSvengeance</t>
  </si>
  <si>
    <t>Game tells us if guest has blasted launcherSvengeance</t>
  </si>
  <si>
    <t>actionMissionSvengeanceUnlock</t>
  </si>
  <si>
    <t>unlock Svengeance mission</t>
  </si>
  <si>
    <t>State 2: has actionLauncherSvengeance in game; OR have playerLevel&gt;=18</t>
  </si>
  <si>
    <t>actionMissionSvengeanceAttempt</t>
  </si>
  <si>
    <t>guest attempts missionSvengeance</t>
  </si>
  <si>
    <t>missionSvengeance</t>
  </si>
  <si>
    <t>[INTERNAL] Svender Bender</t>
  </si>
  <si>
    <t>[INTERNAL] Destroy X rolling bots</t>
  </si>
  <si>
    <t>svengeance</t>
  </si>
  <si>
    <t>svengeanceAsset</t>
  </si>
  <si>
    <t>You must find Svengeance's launcher to unlock this mission!</t>
  </si>
  <si>
    <t>Svender Bender</t>
  </si>
  <si>
    <t>Destroy 10 rolling targets!</t>
  </si>
  <si>
    <t>Destroy 10 rolling targets: pedestals, roller Minions, rollerskating bots...if they're on wheels, get 'em!</t>
  </si>
  <si>
    <t>You destroyed 10 rolling targets!</t>
  </si>
  <si>
    <t>You've unlocked the Spiked Vengeance Launcher. You're the MVV (Most Valuable Villain)!</t>
  </si>
  <si>
    <t>You've unlocked Svengeance's Spiked Vengeance Launcher!</t>
  </si>
  <si>
    <t>State 1: have actionMissionSvengeanceUnlock.
State 2: have actionMissionSvengeanceAttempt with destroys count &gt;= 10. AND CLEAR playerData.activeQuest</t>
  </si>
  <si>
    <t>achievementMissionSvengeance</t>
  </si>
  <si>
    <t>[INTERNAL] Skate Star</t>
  </si>
  <si>
    <t>[INTERNAL] Achievement for Svengeance's mission</t>
  </si>
  <si>
    <t>Skate Star</t>
  </si>
  <si>
    <t>You must complete mission Svender Bender to get this achievement!</t>
  </si>
  <si>
    <t>You destroyed at least 10 rolling targets! That's an entire team!</t>
  </si>
  <si>
    <t>State 2: has missionSvengeance with tier=2</t>
  </si>
  <si>
    <t>actionLauncherJeanClawed</t>
  </si>
  <si>
    <t>Game tells us if guest has blasted launcherJeanClawed</t>
  </si>
  <si>
    <t>actionMissionJeanClawedUnlock</t>
  </si>
  <si>
    <t>unlock Jean Clawed mission</t>
  </si>
  <si>
    <t>State 2: has actionLauncherJeanClawed in game; OR have playerLevel&gt;=16</t>
  </si>
  <si>
    <t>actionMissionJeanClawedAttempt</t>
  </si>
  <si>
    <t>guest attempts missionJeanClawed</t>
  </si>
  <si>
    <t>missionJeanClawed</t>
  </si>
  <si>
    <t>[INTERNAL] Buried Treasure</t>
  </si>
  <si>
    <t>[INTERNAL] Collect X points' worth of V6 medallions (value, not quantity)</t>
  </si>
  <si>
    <t>jeanclawed</t>
  </si>
  <si>
    <t>You must find Jean Clawed's launcher to unlock this mission!</t>
  </si>
  <si>
    <t>Buried Treasure</t>
  </si>
  <si>
    <t>Collect 2500 points' worth of V6 medallions!</t>
  </si>
  <si>
    <t>Collect 2500 points' worth of V6 medallions! Go for the gold. (Silver will do too.)</t>
  </si>
  <si>
    <t>You collected 2500 points' worth of V6 medallions!</t>
  </si>
  <si>
    <t>You collected over 2500 points' worth of V6 medallions. That'll impress 'em for sure.</t>
  </si>
  <si>
    <t>You've unlocked Jean-Clawed's Sonique Blast Launcher!</t>
  </si>
  <si>
    <t>State 1: have actionMissionJeanClawedUnlock.
State 2: have actionMissionJeanClawedAttempt with score &gt;= 2,500 AND CLEAR playerData.activeQuest</t>
  </si>
  <si>
    <t>achievementPlayBlasterOvercharge</t>
  </si>
  <si>
    <t>Blaster Overcharge</t>
  </si>
  <si>
    <t>Needs refinement</t>
  </si>
  <si>
    <t>Overcharge your Blaster 20 times to reach Bronze</t>
  </si>
  <si>
    <t>You overcharged your blaster 20 times! Now try overcharging it 50 times to reach Silver.</t>
  </si>
  <si>
    <t>Has: actionBlasterOvercharge</t>
  </si>
  <si>
    <t>achievementMissionJeanClawed</t>
  </si>
  <si>
    <t>[INTERNAL] Claw Cracker</t>
  </si>
  <si>
    <t>[INTERNAL] Achievement for Jean Clawed's mission</t>
  </si>
  <si>
    <t>Claw Cracker</t>
  </si>
  <si>
    <t>You must complete mission Buried Treasure to get this achievement!</t>
  </si>
  <si>
    <t>You collected over 2500 points' worth of V6 medallions. Everyone around you is jealous!</t>
  </si>
  <si>
    <t>State 2: has missionJeanClawed with tier=2</t>
  </si>
  <si>
    <t>achievementPlayRankDaily</t>
  </si>
  <si>
    <t>[INTERNAL] Seized the Day</t>
  </si>
  <si>
    <t>[INTERNAL] Achieve a Top 50 Score on the daily leaderboard.</t>
  </si>
  <si>
    <t>Seized the Day</t>
  </si>
  <si>
    <t>Reach the Top 50 of the Daily Leaderboard!</t>
  </si>
  <si>
    <t>You reached the Top 50 on the Daily Leaderboard. Let the bragging commence.</t>
  </si>
  <si>
    <r>
      <rPr>
        <sz val="10"/>
        <color theme="1"/>
        <rFont val="Arial"/>
        <family val="2"/>
      </rPr>
      <t xml:space="preserve">State 2: Is on Daily Leaderboard in top 50 players </t>
    </r>
    <r>
      <rPr>
        <sz val="10"/>
        <color rgb="FFFF0000"/>
        <rFont val="Arial"/>
        <family val="2"/>
      </rPr>
      <t>at any point during the day (confirm this works; SNW has issue that it only checks at night)</t>
    </r>
  </si>
  <si>
    <t>prizeForLeaderboardRank</t>
  </si>
  <si>
    <t>actionAccurate</t>
  </si>
  <si>
    <t>Lands hits on enemies, loot or other targets</t>
  </si>
  <si>
    <t>Number of times</t>
  </si>
  <si>
    <t>achievementPlayAccurate</t>
  </si>
  <si>
    <t>[INTERNAL] Eagle Eyes</t>
  </si>
  <si>
    <t>[INTERNAL] Land X hits on enemies or loot without missing.</t>
  </si>
  <si>
    <t>Eagle Eyes</t>
  </si>
  <si>
    <t>Land 5 hits on enemies or loot without missing!</t>
  </si>
  <si>
    <t>You landed 5 hits on enemies or loot without missing!</t>
  </si>
  <si>
    <r>
      <rPr>
        <sz val="11"/>
        <color theme="1"/>
        <rFont val="Arial"/>
        <family val="2"/>
      </rPr>
      <t xml:space="preserve">State 2: has actionAccurate with custom data </t>
    </r>
    <r>
      <rPr>
        <b/>
        <sz val="11"/>
        <color theme="1"/>
        <rFont val="Arial"/>
        <family val="2"/>
      </rPr>
      <t>&gt;</t>
    </r>
    <r>
      <rPr>
        <sz val="11"/>
        <color theme="1"/>
        <rFont val="Arial"/>
        <family val="2"/>
      </rPr>
      <t xml:space="preserve">= 5 </t>
    </r>
    <r>
      <rPr>
        <strike/>
        <sz val="11"/>
        <color theme="1"/>
        <rFont val="Arial"/>
        <family val="2"/>
      </rPr>
      <t>times</t>
    </r>
    <r>
      <rPr>
        <sz val="11"/>
        <color theme="1"/>
        <rFont val="Arial"/>
        <family val="2"/>
      </rPr>
      <t xml:space="preserve"> hits. SINGLE-PLAYTHROUGH</t>
    </r>
  </si>
  <si>
    <t>actionMinionsHit</t>
  </si>
  <si>
    <t>Number of Minions hit (including if =0);
List of Scenes where earned</t>
  </si>
  <si>
    <t>achievementPlayNoMinionHits</t>
  </si>
  <si>
    <t>[INTERNAL] Big Boss!</t>
  </si>
  <si>
    <t>[INTERNAL] Complete Villain-Con without blasting any Minions!</t>
  </si>
  <si>
    <t>Big Boss!</t>
  </si>
  <si>
    <t>Complete the challenge without blasting any Minions. It's harder than you think – they're everywhere!</t>
  </si>
  <si>
    <t>You completed the challenge without blasting any Minions. They might consider you for their next boss.</t>
  </si>
  <si>
    <t>State 2: has actionMinionsHit with custom data = 0 hits. SINGLE-PLAYTHROUGH</t>
  </si>
  <si>
    <t>actionLauncherUse</t>
  </si>
  <si>
    <t>Action flag for Each time the guest fires their standard launcher</t>
  </si>
  <si>
    <t>achievementPlayLauncherUse</t>
  </si>
  <si>
    <t>[INTERNAL] Launch-a-Lot</t>
  </si>
  <si>
    <t>[INTERNAL] Land 50 hits with your standard launcher</t>
  </si>
  <si>
    <t>Launch-a-Lot</t>
  </si>
  <si>
    <t>Land 50 hits with your equipped Launcher! Banana Boom, Fart Bomb, Pinballer...we love it all.</t>
  </si>
  <si>
    <t>You landed 50 hits with your Launcher!</t>
  </si>
  <si>
    <t>State 2: has actionLauncherUse &gt;= 50. CUMULATIVE</t>
  </si>
  <si>
    <t>actionUltimateUse</t>
  </si>
  <si>
    <t>Action flag for Each time the guest hits something with their ultimate blaster</t>
  </si>
  <si>
    <t>achievementPlayUltimateUse</t>
  </si>
  <si>
    <t>[INTERNAL] Real Ultimate Power</t>
  </si>
  <si>
    <t>[INTERNAL] Land 25 hits with your ultimate</t>
  </si>
  <si>
    <t>Real Ultimate Power</t>
  </si>
  <si>
    <t>Land 25 hits with your Ultimate Blaster!</t>
  </si>
  <si>
    <t>You landed 25 hits with your Ultimate Blaster!</t>
  </si>
  <si>
    <r>
      <rPr>
        <sz val="11"/>
        <color theme="1"/>
        <rFont val="Arial"/>
        <family val="2"/>
      </rPr>
      <t xml:space="preserve">State 2: has actionUltimateUse &gt;= </t>
    </r>
    <r>
      <rPr>
        <strike/>
        <sz val="11"/>
        <color theme="1"/>
        <rFont val="Arial"/>
        <family val="2"/>
      </rPr>
      <t>25</t>
    </r>
    <r>
      <rPr>
        <sz val="11"/>
        <color theme="1"/>
        <rFont val="Arial"/>
        <family val="2"/>
      </rPr>
      <t xml:space="preserve"> times. CUMULATIVE</t>
    </r>
  </si>
  <si>
    <t>actionObjectsFreeze</t>
  </si>
  <si>
    <t>action flag for each time an object is frozen w/ freeze elemental</t>
  </si>
  <si>
    <t>achievementPlayObjectsFreeze</t>
  </si>
  <si>
    <t>[INTERNAL] Cold-Hearted</t>
  </si>
  <si>
    <t>[INTERNAL] Freeze objects using Freeze Elemental</t>
  </si>
  <si>
    <t>Cold-Hearted</t>
  </si>
  <si>
    <t>Freeze 25 targets with your Freeze Elemental!</t>
  </si>
  <si>
    <t>You froze 25 targets with your Freeze Elemental!</t>
  </si>
  <si>
    <r>
      <rPr>
        <sz val="11"/>
        <color theme="1"/>
        <rFont val="Arial"/>
        <family val="2"/>
      </rPr>
      <t xml:space="preserve">State 2: has actionObjectsFreeze  </t>
    </r>
    <r>
      <rPr>
        <strike/>
        <sz val="11"/>
        <color theme="1"/>
        <rFont val="Arial"/>
        <family val="2"/>
      </rPr>
      <t xml:space="preserve">&gt;= </t>
    </r>
    <r>
      <rPr>
        <sz val="11"/>
        <color theme="1"/>
        <rFont val="Arial"/>
        <family val="2"/>
      </rPr>
      <t>25 times. CUMULATIVE</t>
    </r>
  </si>
  <si>
    <t>actionObjectsBurn</t>
  </si>
  <si>
    <t>action flag for each time guest sets object aflame w/ fire elemental</t>
  </si>
  <si>
    <t>achievementPlayObjectsBurn</t>
  </si>
  <si>
    <t>[INTERNAL] Fired Up</t>
  </si>
  <si>
    <t>[INTERNAL] set objects aflame using Fire Elemental</t>
  </si>
  <si>
    <t>Fired Up</t>
  </si>
  <si>
    <t>Set 25 targets on fire with your Fire Elemental!</t>
  </si>
  <si>
    <t>You set 25 targets on fire with your Fire Elemental!</t>
  </si>
  <si>
    <t>State 2: has actionObjectsBurn &gt;= 25 times. CUMULATIVE</t>
  </si>
  <si>
    <t>actionObjectsElectrify</t>
  </si>
  <si>
    <t>action flag for each time guest electrifies object w/ lightning elemental</t>
  </si>
  <si>
    <t>achievementPlayObjectsElectrify</t>
  </si>
  <si>
    <t>[INTERNAL] Shock &amp; Roll</t>
  </si>
  <si>
    <t>[INTERNAL] Electrify objects using Lightning Elemental</t>
  </si>
  <si>
    <t>Shock &amp; Roll</t>
  </si>
  <si>
    <t>Electrify 25 targets with your Lightning Elemental!</t>
  </si>
  <si>
    <t>You electrified 25 targets with your Lightning Elemental!</t>
  </si>
  <si>
    <t>State 2: has actionObjectsElectrify &gt;= 25 times. CUMULATIVE</t>
  </si>
  <si>
    <t>actionObjectsCrush</t>
  </si>
  <si>
    <t>action flag for each time guest destroys object w/ force elemental</t>
  </si>
  <si>
    <t>achievementPlayObjectsCrush</t>
  </si>
  <si>
    <t>[INTERNAL] Tour de Force</t>
  </si>
  <si>
    <t>[INTERNAL] Crush objects using Force Elemental</t>
  </si>
  <si>
    <t>Tour de Force</t>
  </si>
  <si>
    <t>Crush 25 targets with your Force Elemental!</t>
  </si>
  <si>
    <t>You crushed 25 targets with your Force Elemental!</t>
  </si>
  <si>
    <t>State 2: has actionObjectsCrush &gt;= 25 times. CUMULATIVE</t>
  </si>
  <si>
    <t>actionBombsExplode</t>
  </si>
  <si>
    <t>action flag for exploding a bomb in-game</t>
  </si>
  <si>
    <t>achievementPlayBombsExplode</t>
  </si>
  <si>
    <t>[INTERNAL] You da Bomb!</t>
  </si>
  <si>
    <t>[INTERNAL] Explode bombs</t>
  </si>
  <si>
    <t>You da Bomb!</t>
  </si>
  <si>
    <t>Explode 25 bombs!</t>
  </si>
  <si>
    <t>You exploded 25 bombs!</t>
  </si>
  <si>
    <r>
      <rPr>
        <sz val="11"/>
        <color theme="1"/>
        <rFont val="Arial"/>
        <family val="2"/>
      </rPr>
      <t xml:space="preserve">State 2: has actionBombsExplode with "destroys" </t>
    </r>
    <r>
      <rPr>
        <b/>
        <sz val="11"/>
        <color theme="1"/>
        <rFont val="Arial"/>
        <family val="2"/>
      </rPr>
      <t>&gt;</t>
    </r>
    <r>
      <rPr>
        <sz val="11"/>
        <color theme="1"/>
        <rFont val="Arial"/>
        <family val="2"/>
      </rPr>
      <t>= 25. CUMULATIVE</t>
    </r>
  </si>
  <si>
    <t>actionMissionDMeUnlock</t>
  </si>
  <si>
    <t>Have all missionVector, missionElMacho, missionBratt with Tier=2</t>
  </si>
  <si>
    <t>actionMissionDMeAttempt</t>
  </si>
  <si>
    <t>missionDMe</t>
  </si>
  <si>
    <t>Banana Blast</t>
  </si>
  <si>
    <t>Blast X loot boxes of bananas</t>
  </si>
  <si>
    <t>You must have Daddy's Approval, Secret Salsa, and a sweet 80's mixtape to unlock this mission!</t>
  </si>
  <si>
    <t>- Goal 1
- Goal 2</t>
  </si>
  <si>
    <t>Longer description of the goals and that they need to be done in a single visit,</t>
  </si>
  <si>
    <t xml:space="preserve">To get this mission unlocked:
Completing the mission unlocks: </t>
  </si>
  <si>
    <t>You did it! Want to replay this mission? Longer description of the goals and that they need to be done in a single visit,</t>
  </si>
  <si>
    <t>You've unlocked the mission Crown Heist!</t>
  </si>
  <si>
    <t>actionMissionAVLUnlock</t>
  </si>
  <si>
    <t>i.e. Guests only get this mission if they've completed EVERY OTHER MISSION</t>
  </si>
  <si>
    <t>Have all of missionVicious6 and missionScarlet with Tier=2</t>
  </si>
  <si>
    <t>actionMissionAVLAttempt</t>
  </si>
  <si>
    <t>missionAVL</t>
  </si>
  <si>
    <t>Mission? What mission?</t>
  </si>
  <si>
    <t>Cause X damage to villains – don't get distracted by their nonsense!</t>
  </si>
  <si>
    <t>Have you done every other mission? Because...yeah. This one is only for the best of the best.</t>
  </si>
  <si>
    <t>Mission 3</t>
  </si>
  <si>
    <t>Replaying this mission does not give new rewards directly (there may be an achievement for completing multiple times).</t>
  </si>
  <si>
    <t>action5in10</t>
  </si>
  <si>
    <t>achievementPlay5in10</t>
  </si>
  <si>
    <t>[INTERNAL] Speed Demon</t>
  </si>
  <si>
    <t>[INTERNAL] Destroy 5 objects in 10 seconds</t>
  </si>
  <si>
    <t>Speed Demon</t>
  </si>
  <si>
    <t>Destroy 5 objects in 10 seconds</t>
  </si>
  <si>
    <t>You destroyed 5 objects in 10 seconds!</t>
  </si>
  <si>
    <t>State 2: has action5in10</t>
  </si>
  <si>
    <t>actionPlayerNerfed</t>
  </si>
  <si>
    <t>Player is nerfed (action flag)</t>
  </si>
  <si>
    <t>Guest gets Nerfed during gameplay, e.g. trying to use Fire in Jean-Clawed underwater scene.</t>
  </si>
  <si>
    <t>achievementPlayerNerfed</t>
  </si>
  <si>
    <t>[INTERNAL] Get Nerfed!</t>
  </si>
  <si>
    <t>[INTERNAL] Guest gets Nerfed during gameplay.</t>
  </si>
  <si>
    <t>Bubbles!</t>
  </si>
  <si>
    <t>Shoot bubbles during battle.</t>
  </si>
  <si>
    <t>You shot bubbles!</t>
  </si>
  <si>
    <t>State 2: has actionPlayerNerfed.</t>
  </si>
  <si>
    <t>actionCharacterPickup</t>
  </si>
  <si>
    <t>action flag for blasting a pickup that a character is holding in-game</t>
  </si>
  <si>
    <t>achievementPlayCharacterPickup</t>
  </si>
  <si>
    <t>[INTERNAL] Yoink!!</t>
  </si>
  <si>
    <t>[INTERNAL] Blast pickups that a character is holding</t>
  </si>
  <si>
    <t>Pick-Me-Up</t>
  </si>
  <si>
    <t>Blast 25 pickups from a bot or Minion!</t>
  </si>
  <si>
    <t>You got 25 pickups from bots and Minions! Guess they're good for something.</t>
  </si>
  <si>
    <t xml:space="preserve"> </t>
  </si>
  <si>
    <t>State 2: has actionCharacterPickup &gt;= 25 times. CUMULATIVE</t>
  </si>
  <si>
    <t>achievementPlayEarlyBird</t>
  </si>
  <si>
    <t>[INTERNAL] Early Riser</t>
  </si>
  <si>
    <t>[INTERNAL] Blast through Villain-Con before 11am. You're a go-getter!</t>
  </si>
  <si>
    <t>Early Riser</t>
  </si>
  <si>
    <t>Blast through the challenge before 11AM. The early villain steals the worm!</t>
  </si>
  <si>
    <t>You blasted through the challenge before 11am. Procrastination is not a necessary evil.</t>
  </si>
  <si>
    <r>
      <rPr>
        <sz val="11"/>
        <color theme="1"/>
        <rFont val="Arial"/>
        <family val="2"/>
      </rPr>
      <t>State 2: has actionSyncBlaster</t>
    </r>
    <r>
      <rPr>
        <b/>
        <sz val="11"/>
        <color theme="1"/>
        <rFont val="Arial"/>
        <family val="2"/>
      </rPr>
      <t xml:space="preserve"> before 11am</t>
    </r>
  </si>
  <si>
    <t>achievementPlayLateNight</t>
  </si>
  <si>
    <t>[INTERNAL] Evil Never Sleeps</t>
  </si>
  <si>
    <t>[INTERNAL] Attend Villain-Con after 7pm. Blast into the night!</t>
  </si>
  <si>
    <t>Evil Never Sleeps</t>
  </si>
  <si>
    <t>Take the challenge after 7pm. Blast into the night!</t>
  </si>
  <si>
    <t>You took the challenge after 7PM. Night time is the right time for wrong.</t>
  </si>
  <si>
    <r>
      <rPr>
        <sz val="11"/>
        <color theme="1"/>
        <rFont val="Arial"/>
        <family val="2"/>
      </rPr>
      <t xml:space="preserve">State 2: has actionSyncBlaster </t>
    </r>
    <r>
      <rPr>
        <b/>
        <sz val="11"/>
        <color theme="1"/>
        <rFont val="Arial"/>
        <family val="2"/>
      </rPr>
      <t>after 7pm</t>
    </r>
  </si>
  <si>
    <t>achievementPlaySameDay</t>
  </si>
  <si>
    <t>[INTERNAL] Vicious VIP</t>
  </si>
  <si>
    <t>[INTERNAL] play 3x in one day</t>
  </si>
  <si>
    <t>Vicious VIP</t>
  </si>
  <si>
    <t>Take the challenge 3 times in one day!</t>
  </si>
  <si>
    <t xml:space="preserve">You took the challenge 3 times in one day! Third time's the charm for harm. </t>
  </si>
  <si>
    <t>State 2: has actionSyncBlaster 3 times in the same day</t>
  </si>
  <si>
    <t>achievementPlayTimes</t>
  </si>
  <si>
    <t>[INTERNAL] Repeat Offender</t>
  </si>
  <si>
    <t>[INTERNAL] Attend Villain-Con multiple times</t>
  </si>
  <si>
    <t>Repeat Offender</t>
  </si>
  <si>
    <t>Take the challenge 10 times!</t>
  </si>
  <si>
    <t>You took the challenge 10 times. This is becoming an obsession.</t>
  </si>
  <si>
    <r>
      <rPr>
        <sz val="11"/>
        <color theme="1"/>
        <rFont val="Arial"/>
        <family val="2"/>
      </rPr>
      <t xml:space="preserve">State 2: has actionSyncBlaster </t>
    </r>
    <r>
      <rPr>
        <strike/>
        <sz val="11"/>
        <color theme="1"/>
        <rFont val="Arial"/>
        <family val="2"/>
      </rPr>
      <t>&gt;=</t>
    </r>
    <r>
      <rPr>
        <sz val="11"/>
        <color theme="1"/>
        <rFont val="Arial"/>
        <family val="2"/>
      </rPr>
      <t>10 times CUMULATIVE</t>
    </r>
  </si>
  <si>
    <t>actionAmmoSwap</t>
  </si>
  <si>
    <t>Ammo Swap</t>
  </si>
  <si>
    <t>action flag for swapping elemental or launcher by blasting pickup in-game</t>
  </si>
  <si>
    <t>achievementPlayAmmoSwap</t>
  </si>
  <si>
    <t>[INTERNAL] Ele-mental!</t>
  </si>
  <si>
    <t>[INTERNAL] Swap your elemental or launcher type while playing by blasting a new elemental or launcher item</t>
  </si>
  <si>
    <t>Ele-mental!</t>
  </si>
  <si>
    <t>Swap your Elemental or Launcher type while playing by blasting a new elemental or launcher...25 times!</t>
  </si>
  <si>
    <t>You swapped your elemental or launcher 25 times while blasting through the challenge! A versatile villain is unstoppable.</t>
  </si>
  <si>
    <r>
      <rPr>
        <sz val="11"/>
        <color theme="1"/>
        <rFont val="Arial"/>
        <family val="2"/>
      </rPr>
      <t xml:space="preserve">State 2: has actionAmmoSwap </t>
    </r>
    <r>
      <rPr>
        <strike/>
        <sz val="11"/>
        <color theme="1"/>
        <rFont val="Arial"/>
        <family val="2"/>
      </rPr>
      <t xml:space="preserve">&gt;= </t>
    </r>
    <r>
      <rPr>
        <sz val="11"/>
        <color theme="1"/>
        <rFont val="Arial"/>
        <family val="2"/>
      </rPr>
      <t>25 times. CUMULATIVE</t>
    </r>
  </si>
  <si>
    <t>actionParkVisit</t>
  </si>
  <si>
    <t>Guest visits park</t>
  </si>
  <si>
    <t>Guest is detected in the park</t>
  </si>
  <si>
    <t>Season(s) that is assigned to the date the guest is detected by any 331 device in the park</t>
  </si>
  <si>
    <r>
      <rPr>
        <sz val="11"/>
        <color theme="1"/>
        <rFont val="Arial"/>
        <family val="2"/>
      </rPr>
      <t xml:space="preserve">State 2: has </t>
    </r>
    <r>
      <rPr>
        <b/>
        <sz val="11"/>
        <color theme="1"/>
        <rFont val="Arial"/>
        <family val="2"/>
      </rPr>
      <t>any catalog item</t>
    </r>
    <r>
      <rPr>
        <sz val="11"/>
        <color theme="1"/>
        <rFont val="Arial"/>
        <family val="2"/>
      </rPr>
      <t xml:space="preserve"> granted that day</t>
    </r>
  </si>
  <si>
    <t>grantFromBeacon</t>
  </si>
  <si>
    <t>actionStrongholdTankHaywire</t>
  </si>
  <si>
    <t>achievementPlayStrongholdTankHaywire</t>
  </si>
  <si>
    <t>[INTERNAL] stronghold tank</t>
  </si>
  <si>
    <t>[INTERNAL] Make Stronghold's Tank go nuts in Sc 02</t>
  </si>
  <si>
    <t>Bull-Dizzy</t>
  </si>
  <si>
    <t>Damage Stronghold's Bulldozer till it goes haywire!</t>
  </si>
  <si>
    <t>You made Stronghold's bulldozer go haywire! You can smash with the best of them.</t>
  </si>
  <si>
    <t xml:space="preserve">State 2: has actionStrongholdTankHaywire. </t>
  </si>
  <si>
    <t>actionNunchuckMusicNotes</t>
  </si>
  <si>
    <t>action flag for changing music in sc 03</t>
  </si>
  <si>
    <t>achievementPlayNunchuckMusicNotes</t>
  </si>
  <si>
    <t>[INTERNAL] Holy Shot</t>
  </si>
  <si>
    <t>[INTERNAL] Change the music in Nun-Chuck's Scene 25 times</t>
  </si>
  <si>
    <t>Holy Shot</t>
  </si>
  <si>
    <t>Change Nun-Chuck's music 25 times!</t>
  </si>
  <si>
    <t>You changed Nun-Chuck's music 25 times!</t>
  </si>
  <si>
    <r>
      <rPr>
        <sz val="11"/>
        <color theme="1"/>
        <rFont val="Arial"/>
        <family val="2"/>
      </rPr>
      <t xml:space="preserve">State 2: has actionNunchuckMusicNotes </t>
    </r>
    <r>
      <rPr>
        <strike/>
        <sz val="11"/>
        <color theme="1"/>
        <rFont val="Arial"/>
        <family val="2"/>
      </rPr>
      <t xml:space="preserve">&gt;= </t>
    </r>
    <r>
      <rPr>
        <sz val="11"/>
        <color theme="1"/>
        <rFont val="Arial"/>
        <family val="2"/>
      </rPr>
      <t>25 times. CUMULATIVE</t>
    </r>
  </si>
  <si>
    <t>actionJeanClawedBathtub</t>
  </si>
  <si>
    <t>achievementPlayJeanClawedBathtub</t>
  </si>
  <si>
    <t>INTERNAL] Bathtub plug</t>
  </si>
  <si>
    <t>[INTERNAL] Undo the bathtub plug or whatever complex rube goldberg esque thing frees the shark</t>
  </si>
  <si>
    <t>Unplugged</t>
  </si>
  <si>
    <t>Free Jean Clawed's shark!</t>
  </si>
  <si>
    <t>You freed Jean Clawed's shark! Wowza!</t>
  </si>
  <si>
    <t>State 2: has actionJeanClawedBathtub.</t>
  </si>
  <si>
    <t>actionSvengeanceSkaterbots</t>
  </si>
  <si>
    <t>action flag for destroying a skaterbot in sc05</t>
  </si>
  <si>
    <t>achievementPlaySvengeanceSkaterbots</t>
  </si>
  <si>
    <t>[INTERNAL] Skaterbots</t>
  </si>
  <si>
    <t>[INTERNAL] Destroy the skaterbots in Sc 05: 25</t>
  </si>
  <si>
    <t>Derby Destructor</t>
  </si>
  <si>
    <t>Destroy 25 of Svengeance's Roller Derby Bots!</t>
  </si>
  <si>
    <t>You destroyed 25 of Svengeance's Roller Derby bots!</t>
  </si>
  <si>
    <t>State 2: has actionSvengeanceSkaterbots &gt;= 25 times. CUMULATIVE</t>
  </si>
  <si>
    <t>actionBelleRecordBreak</t>
  </si>
  <si>
    <t>action flag for destroying flying records</t>
  </si>
  <si>
    <t>achievementPlayBelleRecordBreak</t>
  </si>
  <si>
    <t>[INTERNAL] Record Breaker</t>
  </si>
  <si>
    <t>[INTERNAL] Destroy flying record in Sc 06: 25</t>
  </si>
  <si>
    <t>Record Breaker</t>
  </si>
  <si>
    <t>Break 25 records at Belle Bottom's Disco!</t>
  </si>
  <si>
    <t xml:space="preserve">You destroyed 25 records! Won't someone think of the DJs! </t>
  </si>
  <si>
    <r>
      <rPr>
        <sz val="11"/>
        <color theme="1"/>
        <rFont val="Arial"/>
        <family val="2"/>
      </rPr>
      <t xml:space="preserve">State 2: has actionBelleRecordBreak </t>
    </r>
    <r>
      <rPr>
        <strike/>
        <sz val="11"/>
        <color theme="1"/>
        <rFont val="Arial"/>
        <family val="2"/>
      </rPr>
      <t>&gt;=</t>
    </r>
    <r>
      <rPr>
        <sz val="11"/>
        <color theme="1"/>
        <rFont val="Arial"/>
        <family val="2"/>
      </rPr>
      <t xml:space="preserve"> 25 times. CUMULATIVE</t>
    </r>
  </si>
  <si>
    <t>achievementPlayBrattPack</t>
  </si>
  <si>
    <t>[INTERNAL] Bratt Drones</t>
  </si>
  <si>
    <t>[INTERNAL] Blast Bratt drones in Sc 07: 10/25/50</t>
  </si>
  <si>
    <t>Bratt Pack</t>
  </si>
  <si>
    <t>Blast 10 of Bratt's drones!</t>
  </si>
  <si>
    <t>You blasted 10 Evil Bratt drones! Now blast 25 for silver!</t>
  </si>
  <si>
    <t>actionBrattPack (state 2) X times (per tier)</t>
  </si>
  <si>
    <t>achievementPlayScarletTeddyDrones</t>
  </si>
  <si>
    <t>Stop Teddy Drones</t>
  </si>
  <si>
    <t>Blast Scarlet's Teddy Drones in Sc 07</t>
  </si>
  <si>
    <t>Bears Be Good</t>
  </si>
  <si>
    <t>Blast X of Scarlet's Evil Teddys!</t>
  </si>
  <si>
    <t>You blasted X of Scarlet Overkill's Teddy drones! Now blast Y for Silver!</t>
  </si>
  <si>
    <t>actionScarletTeddyDrones (state 2) X times (per tier)</t>
  </si>
  <si>
    <t>actionElMachoPurpleMonsters</t>
  </si>
  <si>
    <t>action flag for destroying purple fuzz Minion in sc07</t>
  </si>
  <si>
    <t>achievementPlayElMachoPurpleMonsters</t>
  </si>
  <si>
    <t>[INTERNAL] Stop Purple Minions</t>
  </si>
  <si>
    <t>[INTERNAL] Destroy Purple Minions (Drones) in Sc 07: 10</t>
  </si>
  <si>
    <t>Stop the Fuzz</t>
  </si>
  <si>
    <t>Destroy 10 of El Macho's Purple Minions!</t>
  </si>
  <si>
    <t>You destroyed 10 of El Macho's purple fuzz monster Minions!</t>
  </si>
  <si>
    <r>
      <rPr>
        <sz val="11"/>
        <color theme="1"/>
        <rFont val="Arial"/>
        <family val="2"/>
      </rPr>
      <t xml:space="preserve">State 2: has actionElMachoPurpleMonsters </t>
    </r>
    <r>
      <rPr>
        <strike/>
        <sz val="11"/>
        <color theme="1"/>
        <rFont val="Arial"/>
        <family val="2"/>
      </rPr>
      <t>with custom data =</t>
    </r>
    <r>
      <rPr>
        <sz val="11"/>
        <color theme="1"/>
        <rFont val="Arial"/>
        <family val="2"/>
      </rPr>
      <t xml:space="preserve"> 10 times. CUMULATIVE</t>
    </r>
  </si>
  <si>
    <t>actionVectorPiranha</t>
  </si>
  <si>
    <t>action flag for destroying piranha drone in sc07</t>
  </si>
  <si>
    <t>achievementPlayVectorPiranha</t>
  </si>
  <si>
    <t>[INTERNAL] Blast Piranha drones</t>
  </si>
  <si>
    <t>[INTERNAL] Destroy X Piranha drones in Sc 07: 10</t>
  </si>
  <si>
    <t>Fish in a Barrel</t>
  </si>
  <si>
    <t>Destroy 10 of Vector's Piranha drones!</t>
  </si>
  <si>
    <t>You destroyed 10 of Vector's Piranha drones! He should've stayed on the moon!</t>
  </si>
  <si>
    <t>State 2: has actionVectorPiranha &gt;= 10 times. CUMULATIVE</t>
  </si>
  <si>
    <t>achievementCollectBanana</t>
  </si>
  <si>
    <t>Collect multiple bananas</t>
  </si>
  <si>
    <t>Achievement for collecting multiple bananas</t>
  </si>
  <si>
    <t>Go Bananas!</t>
  </si>
  <si>
    <t>Collect 25 bananas!</t>
  </si>
  <si>
    <t>Congrats on collecting 25 bananas. Now collect 100 to reach Silver!</t>
  </si>
  <si>
    <t>Has lootBanana (state 2) X times (per tier)</t>
  </si>
  <si>
    <t>actionObject1Destroy</t>
  </si>
  <si>
    <t>Destroy Objects</t>
  </si>
  <si>
    <t>Game sends when guest destroys that object</t>
  </si>
  <si>
    <t>Change to tell total number at end</t>
  </si>
  <si>
    <t>actionBrattPack</t>
  </si>
  <si>
    <t>achievementMissionVicious6</t>
  </si>
  <si>
    <t>Vicious Enough?</t>
  </si>
  <si>
    <t>actionScarletTeddyDrones</t>
  </si>
  <si>
    <t>achievementCollectBoogieRobot</t>
  </si>
  <si>
    <t>[INTERNAL] collect Boogie Robots</t>
  </si>
  <si>
    <t>[INTERNAL] achievement for collecting 10 boogie robots</t>
  </si>
  <si>
    <t>Boogie Down</t>
  </si>
  <si>
    <t>Blast 10 of Dr. Nefario's Boogie Robots!</t>
  </si>
  <si>
    <t>You collected 10 Boogie Robots! Not the most useful robots, but certainly the boogiest.</t>
  </si>
  <si>
    <t>State 2: has lootBoogieRobot with custom data = 10 times</t>
  </si>
  <si>
    <t>actionObject2Destroy</t>
  </si>
  <si>
    <t>Count of number of awards (game rewards "amount" equal to amount from player)</t>
  </si>
  <si>
    <t>achievementCollectCookieRobot</t>
  </si>
  <si>
    <t>[INTERNAL] X Cookie Robots</t>
  </si>
  <si>
    <t>[INTERNAL] Achievement for collecting 10 cookie robots</t>
  </si>
  <si>
    <t>Cookie Monster</t>
  </si>
  <si>
    <t>Blast 10 of Dr. Nefario's Cookie Robots!</t>
  </si>
  <si>
    <t>You collected 10 Cookie Robots! They're some of the yummiest robots out there.</t>
  </si>
  <si>
    <t>State 2: has lootCookieRobot with custom data = 10 times</t>
  </si>
  <si>
    <t>actionObject3Destroy</t>
  </si>
  <si>
    <r>
      <rPr>
        <sz val="10"/>
        <color theme="1"/>
        <rFont val="Arial"/>
        <family val="2"/>
      </rPr>
      <t xml:space="preserve">State 2: has actionBombsExplode with custom data "destroys" </t>
    </r>
    <r>
      <rPr>
        <b/>
        <sz val="10"/>
        <color theme="1"/>
        <rFont val="Arial"/>
        <family val="2"/>
      </rPr>
      <t>&gt;</t>
    </r>
    <r>
      <rPr>
        <sz val="10"/>
        <color theme="1"/>
        <rFont val="Arial"/>
        <family val="2"/>
      </rPr>
      <t>=  5. SINGLE-PLAYTHROUGH</t>
    </r>
  </si>
  <si>
    <t>achievementCollectGuacSombrero</t>
  </si>
  <si>
    <t>X Guacamole Sombreros</t>
  </si>
  <si>
    <t>Achievement for collecting multiple guacamole sombreros</t>
  </si>
  <si>
    <t>Guac 'n Roll</t>
  </si>
  <si>
    <t>Collect 5 Guacamole Sombreros, courtesy of Salsa y Salsa restaurant!</t>
  </si>
  <si>
    <t>Congrats on collecting 5 Guacamole Sombreros. Now collect 25 to reach Silver!</t>
  </si>
  <si>
    <t>Has lootGuacSombrero (state 2) X times (per tier)</t>
  </si>
  <si>
    <t>achievementCollectHydrant</t>
  </si>
  <si>
    <t>X Yellow Fire Hydrants</t>
  </si>
  <si>
    <t>Achievement for collecting multiple fire hydrants</t>
  </si>
  <si>
    <t>Watch Out for Dogs</t>
  </si>
  <si>
    <t>Collect 5 yellow Fire Hydrants</t>
  </si>
  <si>
    <t>Congrats on collecting 5 yellow Fire Hydrants. Now collect 25 to reach Silver!</t>
  </si>
  <si>
    <t>Has lootHydrant(state 2) X times (per tier)</t>
  </si>
  <si>
    <t>actionBlasterOvercharge</t>
  </si>
  <si>
    <t>achievementPlayOutdoorExplorer</t>
  </si>
  <si>
    <t>[INTERNAL] Outdoor Explorer</t>
  </si>
  <si>
    <t>[INTERNAL] Outdoor Explorer: Find all permanent loot outside Villain-Con!</t>
  </si>
  <si>
    <t>Outdoor Explorer</t>
  </si>
  <si>
    <t>Find all the permanent loot outside Villain-Con!</t>
  </si>
  <si>
    <t>Has all lootPark</t>
  </si>
  <si>
    <t>actionBoostPickup</t>
  </si>
  <si>
    <t>actionBlasterBlast</t>
  </si>
  <si>
    <t>achievementMissionDMe</t>
  </si>
  <si>
    <t>Pretty Despicable</t>
  </si>
  <si>
    <t>Congratulations! You did WHATEVER THIS MISSION IS. Now try leveling up!</t>
  </si>
  <si>
    <t>Have missionDMe with Tier=2</t>
  </si>
  <si>
    <t>achievementMissionAVL</t>
  </si>
  <si>
    <t>AVL Badge</t>
  </si>
  <si>
    <t>Secret Badge</t>
  </si>
  <si>
    <t>You'll find out what this is...maybe.</t>
  </si>
  <si>
    <t>AVL badge</t>
  </si>
  <si>
    <t>You are now a member of the AVL! But don't tell anyone! Now try leveling up!</t>
  </si>
  <si>
    <t>Have missionAVL with Tier=2</t>
  </si>
  <si>
    <t>achievementPlayObject1Destroy</t>
  </si>
  <si>
    <t>Destory Objects</t>
  </si>
  <si>
    <t>Destroy X number of (TBD) objects using any blaster type</t>
  </si>
  <si>
    <t>Destroy 20 objects</t>
  </si>
  <si>
    <t>Destroy 20 objects using any blaster type to get the Bronze trophy</t>
  </si>
  <si>
    <t>Destroy 100 Objects</t>
  </si>
  <si>
    <t>Great job destroying 20 objects! Destroy 100 objects using any blaster type to get the Silver trophy.</t>
  </si>
  <si>
    <t>Has: actionObject1Destroy</t>
  </si>
  <si>
    <t>achievementPlayObject2Destroy</t>
  </si>
  <si>
    <t>Has: actionObject2Destroy</t>
  </si>
  <si>
    <t>achievementPlayObject3Destroy</t>
  </si>
  <si>
    <t>Has: actionObject3Destroy</t>
  </si>
  <si>
    <t>achievementPlayBoostPickup</t>
  </si>
  <si>
    <t>Blaster Booster</t>
  </si>
  <si>
    <t>Pick up X blaster boosts</t>
  </si>
  <si>
    <t>Pick up 20 blaster boosts to reach Bronze</t>
  </si>
  <si>
    <t>You picked up 20 blaster boosts! Now pick up 50 to reach Silver.</t>
  </si>
  <si>
    <t>Has: actionBoostPickup</t>
  </si>
  <si>
    <t>actionMinionsSaveDrone</t>
  </si>
  <si>
    <t>actionMinionsSave2</t>
  </si>
  <si>
    <t>actionCollaborateScene01</t>
  </si>
  <si>
    <t>achievementPlayMinionsSaveDrone</t>
  </si>
  <si>
    <t>Save Minions from the Drone</t>
  </si>
  <si>
    <t>Saving a Minion from a drone</t>
  </si>
  <si>
    <t>Has: actionMinionsSaveDrone</t>
  </si>
  <si>
    <t>actionCollaborateScene02</t>
  </si>
  <si>
    <t>achievementPlayMinionsSave2</t>
  </si>
  <si>
    <t>Save Minions 2</t>
  </si>
  <si>
    <t>Saving a Minion from (something else)</t>
  </si>
  <si>
    <t>Has: actionMinionsSave2</t>
  </si>
  <si>
    <t>actionCollaborateScene03</t>
  </si>
  <si>
    <t>achievementPlayCollaborateScene01</t>
  </si>
  <si>
    <t>Collaborate in Scene 1</t>
  </si>
  <si>
    <t>Collaborate with other players to destroy (something) in (Scene 01)</t>
  </si>
  <si>
    <t>Has: actionCollaborateScene01</t>
  </si>
  <si>
    <t>actionCollaborateScene04</t>
  </si>
  <si>
    <t>achievementPlayCollaborateScene02</t>
  </si>
  <si>
    <t>Collaborate in Scene 2</t>
  </si>
  <si>
    <t>Collaborate with other players to destroy (something) in (Scene 02)</t>
  </si>
  <si>
    <t>Has: actionCollaborateScene02</t>
  </si>
  <si>
    <t>actionCollaborateScene05</t>
  </si>
  <si>
    <t>achievementPlayCollaborateScene03</t>
  </si>
  <si>
    <t>Collaborate in Scene 3</t>
  </si>
  <si>
    <t>Collaborate with other players to destroy (something) in (Scene 03)</t>
  </si>
  <si>
    <t>Has: actionCollaborateScene03</t>
  </si>
  <si>
    <t>actionCollaborateScene06</t>
  </si>
  <si>
    <t>achievementPlayCollaborateScene04</t>
  </si>
  <si>
    <t>Collaborate in Scene 4</t>
  </si>
  <si>
    <t>Collaborate with other players to destroy (something) in (Scene 04)</t>
  </si>
  <si>
    <t>Has: actionCollaborateScene04</t>
  </si>
  <si>
    <t>actionCollaborateScene07</t>
  </si>
  <si>
    <t>achievementPlayCollaborateScene05</t>
  </si>
  <si>
    <t>Collaborate in Scene 5</t>
  </si>
  <si>
    <t>Collaborate with other players to destroy (something) in (Scene 05)</t>
  </si>
  <si>
    <t>Has: actionCollaborateScene05</t>
  </si>
  <si>
    <t>actionCollaborateScene08</t>
  </si>
  <si>
    <t>achievementPlayCollaborateScene06</t>
  </si>
  <si>
    <t>Collaborate in Scene 6</t>
  </si>
  <si>
    <t>Collaborate with other players to destroy (something) in (Scene 06)</t>
  </si>
  <si>
    <t>Has: actionCollaborateScene06</t>
  </si>
  <si>
    <t>actionPuzzle1</t>
  </si>
  <si>
    <t>achievementPlayCollaborateScene07</t>
  </si>
  <si>
    <t>Collaborate in Scene 7</t>
  </si>
  <si>
    <t>Collaborate with other players to destroy (something) in (Scene 07)</t>
  </si>
  <si>
    <t>Has: actionCollaborateScene07</t>
  </si>
  <si>
    <t>actionPuzzle2</t>
  </si>
  <si>
    <t>achievementPlayCollaborateScene08</t>
  </si>
  <si>
    <t>Collaborate in Scene 8</t>
  </si>
  <si>
    <t>Collaborate with other players to destroy (something) in (Scene 08)</t>
  </si>
  <si>
    <t>Has: actionCollaborateScene08</t>
  </si>
  <si>
    <t>actionPuzzle3</t>
  </si>
  <si>
    <t>achievementPlayPuzzle1</t>
  </si>
  <si>
    <t>Complete puzzle 1</t>
  </si>
  <si>
    <t>Participating in a puzzle</t>
  </si>
  <si>
    <t>Has: actionPuzzle1</t>
  </si>
  <si>
    <t>actionPuzzle4</t>
  </si>
  <si>
    <t>achievementPlayPuzzle2</t>
  </si>
  <si>
    <t>Complete puzzle 2</t>
  </si>
  <si>
    <t>Has: actionPuzzle2</t>
  </si>
  <si>
    <t>actionPuzzle5</t>
  </si>
  <si>
    <t>achievementPlayPuzzle3</t>
  </si>
  <si>
    <t>Complete puzzle 3</t>
  </si>
  <si>
    <t>Has: actionPuzzle3</t>
  </si>
  <si>
    <t>achievementPlayPuzzle4</t>
  </si>
  <si>
    <t>Complete puzzle 4</t>
  </si>
  <si>
    <t>Has: actionPuzzle4</t>
  </si>
  <si>
    <t>actionBlasterAccuracy</t>
  </si>
  <si>
    <t>achievementPlayPuzzle5</t>
  </si>
  <si>
    <t>Complete puzzle 5</t>
  </si>
  <si>
    <t>Has: actionPuzzle5</t>
  </si>
  <si>
    <t>actionBlasterEfficiency</t>
  </si>
  <si>
    <t>achievementPlayPuzzlesAll</t>
  </si>
  <si>
    <t>Puzzle Master</t>
  </si>
  <si>
    <t>Participate in every puzzle</t>
  </si>
  <si>
    <t>Has:
achievementPlayPuzzle1
achievementPlayPuzzle2
achievementPlayPuzzle3
achievementPlayPuzzle4
achievementPlayPuzzle5</t>
  </si>
  <si>
    <t>actionLootLocation01</t>
  </si>
  <si>
    <t>Villain-Con exterior queue</t>
  </si>
  <si>
    <t>loot</t>
  </si>
  <si>
    <t>lootTap1</t>
  </si>
  <si>
    <t>[INTERNAL] Villain Network Channel Mug</t>
  </si>
  <si>
    <t>[INTERNAL] Tap Loot @ Villain-Con exterior queue</t>
  </si>
  <si>
    <t>outside</t>
  </si>
  <si>
    <t>vncmug</t>
  </si>
  <si>
    <t>Villain Network Channel Mug</t>
  </si>
  <si>
    <t>Find the tap point in the Villain-Con queue!</t>
  </si>
  <si>
    <t>2,000 points</t>
  </si>
  <si>
    <t>You found a Villain Network Channel Mug in the Villain-Con queue!</t>
  </si>
  <si>
    <t>State 2: has actionLootLocation01</t>
  </si>
  <si>
    <t>never</t>
  </si>
  <si>
    <t>actionLootLocation02</t>
  </si>
  <si>
    <t>Villain-Con interior queue</t>
  </si>
  <si>
    <t>lootTap2</t>
  </si>
  <si>
    <t>[INTERNAL] Binky Nelson's Pacifier</t>
  </si>
  <si>
    <t>[INTERNAL] Tap Loot @ Villain-Con interior queue</t>
  </si>
  <si>
    <t>binkyspacifier</t>
  </si>
  <si>
    <t>Binky Nelson's Pacifier</t>
  </si>
  <si>
    <t>You found Binky's Pacifier! You may want to wash it.</t>
  </si>
  <si>
    <t>State 2: has actionLootLocation02</t>
  </si>
  <si>
    <t>actionLootLocation03</t>
  </si>
  <si>
    <t>Villain-Con Retail</t>
  </si>
  <si>
    <t>lootTap3</t>
  </si>
  <si>
    <t>[INTERNAL] Gru's Vicious 6 Underwear</t>
  </si>
  <si>
    <t>[INTERNAL] Tap Loot @ Villain-Con Retail</t>
  </si>
  <si>
    <t>vicious6underwear</t>
  </si>
  <si>
    <t>Gru's Vicious 6 Underwear</t>
  </si>
  <si>
    <t>Find the tap point at Villain-Con Retail!</t>
  </si>
  <si>
    <t>You found Gru's Vicious 6 Underwear at Villain-Con retail!</t>
  </si>
  <si>
    <t>State 2: has actionLootLocation03</t>
  </si>
  <si>
    <t>actionLootLocation04</t>
  </si>
  <si>
    <t>Minion Mayhem exterior queue dividers</t>
  </si>
  <si>
    <t>lootTap4</t>
  </si>
  <si>
    <t>[INTERNAL] Gru's Moon Heist Plans</t>
  </si>
  <si>
    <t>[INTERNAL] Tap Loot @ Minion Mayhem exterior queue dividers</t>
  </si>
  <si>
    <t>moonheistplans</t>
  </si>
  <si>
    <t>Gru's Moon Heist Plans</t>
  </si>
  <si>
    <t>Find the tap point in the Minion Mayhem queue!</t>
  </si>
  <si>
    <t>You found Gru's Plans to Steal the Moon in the Minion Mayhem queue!</t>
  </si>
  <si>
    <t>State 2: has actionLootLocation04</t>
  </si>
  <si>
    <t>actionLootLocation05</t>
  </si>
  <si>
    <t>Minion Mayhem retail</t>
  </si>
  <si>
    <t>lootTap5</t>
  </si>
  <si>
    <t>[INTERNAL] Space Killer Ship</t>
  </si>
  <si>
    <t>[INTERNAL] Tap Loot @ Minion Mayhem retail</t>
  </si>
  <si>
    <t>spacekillership</t>
  </si>
  <si>
    <t>Space Killer Ship</t>
  </si>
  <si>
    <t>Find the tap point at Minion Mayhem Retail!</t>
  </si>
  <si>
    <t>You found the Space Killer Ship at Minion Mayhem Retail!</t>
  </si>
  <si>
    <t>State 2: has actionLootLocation05</t>
  </si>
  <si>
    <t>actionLootLocation06</t>
  </si>
  <si>
    <t>Minion Cafe front entrance</t>
  </si>
  <si>
    <t>lootTap6</t>
  </si>
  <si>
    <t>[INTERNAL] Pop-A-Nana</t>
  </si>
  <si>
    <t>[INTERNAL] Tap Loot @ Minion Cafe front entrance</t>
  </si>
  <si>
    <t>bananapopcorn</t>
  </si>
  <si>
    <t>Pop-A-Nana</t>
  </si>
  <si>
    <t>Find the tap point at the entrance to the Minion Cafe!</t>
  </si>
  <si>
    <t>You found the Banana-Flavored Popcorn in front of the Minion Cafe!</t>
  </si>
  <si>
    <t>State 2: has actionLootLocation06</t>
  </si>
  <si>
    <t>actionLootLocation07</t>
  </si>
  <si>
    <t>Minion Cafe interior by Bake My Day facade</t>
  </si>
  <si>
    <t>lootTap7</t>
  </si>
  <si>
    <t>[INTERNAL] Minion Cupcake</t>
  </si>
  <si>
    <t>[INTERNAL] Tap Loot @ Minion Cafe interior</t>
  </si>
  <si>
    <t>minioncupcake</t>
  </si>
  <si>
    <t>Minion Cupcake</t>
  </si>
  <si>
    <t>Find the cupcake tap point inside the Minion Cafe!</t>
  </si>
  <si>
    <t>You found the Minion Cupcake inside the Minion Cafe! Bake My Day, indeed.</t>
  </si>
  <si>
    <t>State 2: has actionLootLocation07</t>
  </si>
  <si>
    <t>actionLootLocation08</t>
  </si>
  <si>
    <t>Minion cafe interior</t>
  </si>
  <si>
    <t>lootTap8</t>
  </si>
  <si>
    <t>[INTERNAL] Big Ben Snowglobe</t>
  </si>
  <si>
    <t>[INTERNAL] Tap Loot @ Minion cafe interior</t>
  </si>
  <si>
    <t>Big Ben Snowglobe</t>
  </si>
  <si>
    <t>Find the tap point inside the Minion Cafe!</t>
  </si>
  <si>
    <t>You found the Big Ben Snowglobe inside the Minion Cafe!</t>
  </si>
  <si>
    <t>State 2: has actionLootLocation08</t>
  </si>
  <si>
    <t>actionLootLocation09</t>
  </si>
  <si>
    <t>Illumination Land Marquee</t>
  </si>
  <si>
    <t>lootTap9</t>
  </si>
  <si>
    <t>[INTERNAL] Papagena</t>
  </si>
  <si>
    <t>[INTERNAL] Tap Loot @ Illumination Land Marquee</t>
  </si>
  <si>
    <t>papaguena</t>
  </si>
  <si>
    <t>Papagena</t>
  </si>
  <si>
    <t>Find the tap point at the Illumination Land Marquee!</t>
  </si>
  <si>
    <t>You found Papagena by the Illumination Land Marquee!</t>
  </si>
  <si>
    <t>State 2: has actionLootLocation09</t>
  </si>
  <si>
    <t>actionLootLocation10</t>
  </si>
  <si>
    <t>Snack Cart by stage and Rip Ride</t>
  </si>
  <si>
    <t>lootTap10</t>
  </si>
  <si>
    <t>[INTERNAL] Stuart's Ukelele</t>
  </si>
  <si>
    <t>[INTERNAL] Tap Loot @ Snack Cart by stage and Rip Ride</t>
  </si>
  <si>
    <t>stuartsukelele</t>
  </si>
  <si>
    <t>Stuart's Ukelele</t>
  </si>
  <si>
    <t>Find the tap point by a certain Hollywood rockit!</t>
  </si>
  <si>
    <t>You found Stuart's Ukulele. Get ready to rock!</t>
  </si>
  <si>
    <t>State 2: has actionLootLocation10</t>
  </si>
  <si>
    <t>actionLootLocation11</t>
  </si>
  <si>
    <t>Illumination Character M&amp;G Lanyard</t>
  </si>
  <si>
    <t>lootTap11</t>
  </si>
  <si>
    <t>[INTERNAL] Junior Kung-Fu Badge</t>
  </si>
  <si>
    <t>[INTERNAL] Tap Loot @ Illumination Character M&amp;G Lanyard</t>
  </si>
  <si>
    <t>Junior Kung-Fu Badge</t>
  </si>
  <si>
    <t>You might need to come across a certain character TBD</t>
  </si>
  <si>
    <t>Junior Kung Fu Badge</t>
  </si>
  <si>
    <t>You found the Junior Kung Fu Badge from CHARACTER TBD</t>
  </si>
  <si>
    <t>State 2: has actionLootLocation11</t>
  </si>
  <si>
    <t>actionLootLocation12</t>
  </si>
  <si>
    <t>Minion Mayhem Character M&amp;G Lanyard</t>
  </si>
  <si>
    <t>lootTap12</t>
  </si>
  <si>
    <t>[INTERNAL] Gru's Wig</t>
  </si>
  <si>
    <t>[INTERNAL] Tap Loot @ Minion Mayhem Character M&amp;G Lanyard</t>
  </si>
  <si>
    <t>gruswig</t>
  </si>
  <si>
    <t>Gru's Wig</t>
  </si>
  <si>
    <t>I heard (character TBD) knows where to find this.</t>
  </si>
  <si>
    <t>You found Gru's Wig from Eagle San! Very stylish, not at all fake.</t>
  </si>
  <si>
    <t>State 2: has actionLootLocation12</t>
  </si>
  <si>
    <t>actionLootLocation30</t>
  </si>
  <si>
    <t>This location is "roaming" (is on an item held by Team Members or otherwise moves around the park)</t>
  </si>
  <si>
    <t>achievementPlayBlasterAccuracy</t>
  </si>
  <si>
    <t>Accurate Antagonist</t>
  </si>
  <si>
    <t>Reaching a goal in accuracy</t>
  </si>
  <si>
    <t>Has: actionBlasterAccuracy</t>
  </si>
  <si>
    <t>lootUnicornReplacement</t>
  </si>
  <si>
    <t>Agnes’s unicorn (Replacement)</t>
  </si>
  <si>
    <t>Number collected</t>
  </si>
  <si>
    <t>inside</t>
  </si>
  <si>
    <t>Find Agnes a new, fluffy unicorn</t>
  </si>
  <si>
    <t>TBD reward</t>
  </si>
  <si>
    <t>Epic</t>
  </si>
  <si>
    <t>A shiny new unicorn for Agnes</t>
  </si>
  <si>
    <t>You found a fluffy new unicorn for Agnes!</t>
  </si>
  <si>
    <t>What was earned</t>
  </si>
  <si>
    <t>lootV6common</t>
  </si>
  <si>
    <t>[INTERNAL] V6 Coin</t>
  </si>
  <si>
    <t>[INTERNAL] V6 coin - common</t>
  </si>
  <si>
    <t>331v6coinbronze</t>
  </si>
  <si>
    <t>V6 Coin, Common</t>
  </si>
  <si>
    <t>Blast a V6 coin!</t>
  </si>
  <si>
    <t>100 points</t>
  </si>
  <si>
    <t>A collectible for fans of the Vicious 6!</t>
  </si>
  <si>
    <t>always</t>
  </si>
  <si>
    <t>actionLootLocation19</t>
  </si>
  <si>
    <t>lootCookieRobot</t>
  </si>
  <si>
    <t>[INTERNAL] Cookie Robot</t>
  </si>
  <si>
    <t>cookierobot</t>
  </si>
  <si>
    <t>Cookie Robot</t>
  </si>
  <si>
    <t>The cookie robots like to hover above the competition!</t>
  </si>
  <si>
    <t>You found a cookie robot! Not as tasty as chocolate chip, but much more useful!</t>
  </si>
  <si>
    <t>lootBoogieRobot</t>
  </si>
  <si>
    <t>[INTERNAL] Boogie Robot</t>
  </si>
  <si>
    <t>boogierobots</t>
  </si>
  <si>
    <t>Boogie Robot</t>
  </si>
  <si>
    <t>These sneaky robots like to hide out at the disco!</t>
  </si>
  <si>
    <t>You found a boogie robot! These guys can do all kinds of dances (not just the robot!)</t>
  </si>
  <si>
    <t>achievementPlayOneMinionPerScene</t>
  </si>
  <si>
    <t>Blasting Boss</t>
  </si>
  <si>
    <t>Blast at least X/Y/Z Minions per scene</t>
  </si>
  <si>
    <t>Blast at least one Minion per scene!</t>
  </si>
  <si>
    <t>You blasted at least one Minion per scene. Now blast 10 for Silver!</t>
  </si>
  <si>
    <t>actionMinionsHit X times per scene (per tier)</t>
  </si>
  <si>
    <t>lootV6uncommon</t>
  </si>
  <si>
    <t>[INTERNAL] V6 coin, uncommon</t>
  </si>
  <si>
    <t>331v6coinsilver</t>
  </si>
  <si>
    <t>V6 Coin, Rare</t>
  </si>
  <si>
    <t>Find a rare V6 coin!</t>
  </si>
  <si>
    <t>1,000 points</t>
  </si>
  <si>
    <t>A special collectible for fans of the Vicious 6!</t>
  </si>
  <si>
    <t>lootV6rare</t>
  </si>
  <si>
    <t>[INTERNAL] V6 coin, rare</t>
  </si>
  <si>
    <t>331v6coingold</t>
  </si>
  <si>
    <t>V6 Coin, Epic</t>
  </si>
  <si>
    <t>Find an epic V6 coin – for the true fans.</t>
  </si>
  <si>
    <t>3,000 points</t>
  </si>
  <si>
    <t>A rare collectible for true V6 fans!</t>
  </si>
  <si>
    <t>lootGuacSombrero</t>
  </si>
  <si>
    <t>[INTERNAL] Guac Sombrero</t>
  </si>
  <si>
    <t>[INTERNAL] Guacamole sombrero loot</t>
  </si>
  <si>
    <t>chipsombrero</t>
  </si>
  <si>
    <t>Guacamole Sombrero</t>
  </si>
  <si>
    <t>Nothing goes better with fiery rock music than novelty food items.</t>
  </si>
  <si>
    <t xml:space="preserve">Is it Cinco de Mayo? Cause you just found a guacamole-filled chip sombrero! </t>
  </si>
  <si>
    <t>lootLipstickTaser</t>
  </si>
  <si>
    <t>[INTERNAL] Lipstick Taser</t>
  </si>
  <si>
    <t>lipsticktaser</t>
  </si>
  <si>
    <t>Lipstick Taser</t>
  </si>
  <si>
    <t>A lightning round of synth music might reveal a lipstick taser.</t>
  </si>
  <si>
    <t>You found the...Lipstick Taserrrrrr!</t>
  </si>
  <si>
    <t>lootHypnoHat</t>
  </si>
  <si>
    <t>[INTERNAL] Hypno helmet</t>
  </si>
  <si>
    <t>hypnohat</t>
  </si>
  <si>
    <t>Hypno Hat</t>
  </si>
  <si>
    <t>This hat could hypnotize someone to do anything, even destroy a giant skeleton!</t>
  </si>
  <si>
    <t xml:space="preserve">The Hypno Hat can make your enemies do anything…. Even dance! </t>
  </si>
  <si>
    <t>lootGrusJelly</t>
  </si>
  <si>
    <t>[INTERNAL] Gru's Jelly</t>
  </si>
  <si>
    <t>[INTERNAL] formerly used in missionElMacho</t>
  </si>
  <si>
    <t>mrgrusjelly</t>
  </si>
  <si>
    <t>Mr. Gru’s Jelly</t>
  </si>
  <si>
    <t>The jars are waterproof - can't let anything spoil the taste!</t>
  </si>
  <si>
    <t>A jar of Gru's homemade jelly – like a berry punch to your tongue!</t>
  </si>
  <si>
    <t>actionMissionOverstock6Unlock</t>
  </si>
  <si>
    <t>unlock missionOverstock</t>
  </si>
  <si>
    <t>Has missionElMacho with Tier=2, OR playerLevel=8</t>
  </si>
  <si>
    <t>actionMissionOverstockAttempt</t>
  </si>
  <si>
    <t>missionOverstock</t>
  </si>
  <si>
    <t>[INTERNAL] Ornery Overstock</t>
  </si>
  <si>
    <t>[INTERNAL] collection mission for Balthazar Bratt figures</t>
  </si>
  <si>
    <t>Ornery Overstock</t>
  </si>
  <si>
    <t>You have to be Muy Macho to unlock this mission!</t>
  </si>
  <si>
    <t>Collect 10 Evil Bratt Action Figures!</t>
  </si>
  <si>
    <t>Collect 10 Evil Bratt Action Figures in a single visit!</t>
  </si>
  <si>
    <t>Collect 20 Evil Bratt Action Figures!</t>
  </si>
  <si>
    <t>Mint Edition</t>
  </si>
  <si>
    <t>You've unlocked the Pinball Launcher!</t>
  </si>
  <si>
    <t>achievementMissionOverstock</t>
  </si>
  <si>
    <t>[INTERNAL] Mint Edition</t>
  </si>
  <si>
    <t>[INTERNAL] achievement for missionOverstock</t>
  </si>
  <si>
    <t>You collected 10 mint condition Evil Bratt Action Figures. Now collect 20 in a single playthrough to reach Silver.</t>
  </si>
  <si>
    <t>Collect X/Y/Z lootBrattToy per tier: 10/20/30</t>
  </si>
  <si>
    <t>lootBrattToy</t>
  </si>
  <si>
    <t>[INTERNAL] Bratt Action Figure</t>
  </si>
  <si>
    <t>[INTERNAL] formerly  used in missionOverstock</t>
  </si>
  <si>
    <t>evilbrattfigure</t>
  </si>
  <si>
    <t>Bratt Bot</t>
  </si>
  <si>
    <t>Bratt is not a fan of jumbotrons. Why are they so big and float-y?</t>
  </si>
  <si>
    <t>You found a Mint Condition Bratt Bot, untouched, unloved…ready for revenge.</t>
  </si>
  <si>
    <t>unlock missionVector</t>
  </si>
  <si>
    <t>Have mission2 with Tier=2, OR playerLevel=25</t>
  </si>
  <si>
    <t>[INTERNAL] Coconutty</t>
  </si>
  <si>
    <t>[INTERNAL] collection mission for Coconutties</t>
  </si>
  <si>
    <t>Coconutty</t>
  </si>
  <si>
    <t>You must complete Mission 2 to unlock this mission!</t>
  </si>
  <si>
    <t>Bankshot</t>
  </si>
  <si>
    <t>Collect 10 boxes of Coconutties!</t>
  </si>
  <si>
    <t>Collect 10 boxes of Coconutties in a single visit!</t>
  </si>
  <si>
    <t>Collect 20 boxes of Coconutties!</t>
  </si>
  <si>
    <t>You collected 10 boxes of Coconutties. Now collect 20 in a single playthrough!</t>
  </si>
  <si>
    <t>You've unlocked the Icy Revenge Launcher!</t>
  </si>
  <si>
    <t>[INTERNAL] Nutty for Coconutties</t>
  </si>
  <si>
    <t>[INTERNAL] achievement for missionVector</t>
  </si>
  <si>
    <t>Nutty for Coconutties</t>
  </si>
  <si>
    <t>You collected 10 boxes of Coconutties. Now collect 20 in a single playthrough to reach Silver.</t>
  </si>
  <si>
    <t>Collect X/Y/Z lootCoconutties per tier: 10/20/30</t>
  </si>
  <si>
    <t>lootCoconutties</t>
  </si>
  <si>
    <t>[INTERNAL] Coconutties</t>
  </si>
  <si>
    <t>[INTERNAL] formerly used in missionVector</t>
  </si>
  <si>
    <t>coconutties</t>
  </si>
  <si>
    <t>Coconutties</t>
  </si>
  <si>
    <t>Look, sometimes Jumbotron operators get hungry, alright?</t>
  </si>
  <si>
    <t>Coconutties are hands-down the best cookies and ANYONE WHO SAYS OTHERWISE IS WRONG</t>
  </si>
  <si>
    <t>achievementCollectIceCream</t>
  </si>
  <si>
    <t>X Ice Cream Sundaes</t>
  </si>
  <si>
    <t>Achievement for collecting multiple Ice Cream Sundaes</t>
  </si>
  <si>
    <t>Ice Cream Forever!</t>
  </si>
  <si>
    <t>Collect 25 Ice Cream Sundaes!</t>
  </si>
  <si>
    <t>Congrats on collecting 25 Ice Cream Sundaes! Now collect 100 to reach Silver!</t>
  </si>
  <si>
    <t>Has lootIceCream (state 2) X times (per tier)</t>
  </si>
  <si>
    <t>achievementCollectGrusJelly</t>
  </si>
  <si>
    <t>X Gru’s Homemade Jelly – World's Best Jelly!</t>
  </si>
  <si>
    <t>Achievement for collecting jars of Gru's jelly</t>
  </si>
  <si>
    <t>Loyal Customer</t>
  </si>
  <si>
    <t>Collect 25 jars of Gru's jelly!</t>
  </si>
  <si>
    <t>Congrats on collecting 25 jars of Gru's jelly! Now collect 100 to reach Silver!</t>
  </si>
  <si>
    <t>Has lootGrusJelly (state 2) X times (per tier)</t>
  </si>
  <si>
    <t>lootLavaLampGun</t>
  </si>
  <si>
    <t>Lava lamp blaster</t>
  </si>
  <si>
    <t>Blast Scarlet's Lava Lamp Blaster</t>
  </si>
  <si>
    <t>Lava Lamp Blaster</t>
  </si>
  <si>
    <t>Steal Scarlet's Lava Lamp Blaster</t>
  </si>
  <si>
    <t>Scarlet's Lava Lamp Blaster</t>
  </si>
  <si>
    <t>You stole Scarlet Overkill's Lava Lamp Blaster! Nice.</t>
  </si>
  <si>
    <t>Blast Lucy's missing Lipstick Taser</t>
  </si>
  <si>
    <t>Find Lucy's missing Lipstick Taser</t>
  </si>
  <si>
    <t>You found Lucy's Lipstick Taser!</t>
  </si>
  <si>
    <t>lootDinoEgg</t>
  </si>
  <si>
    <t>\</t>
  </si>
  <si>
    <t>Blast the hidden Dinosaur Egg in Scene 08</t>
  </si>
  <si>
    <t>Prehistoric Dinosaur Egg</t>
  </si>
  <si>
    <t>Find the hidden Dinosaur Egg</t>
  </si>
  <si>
    <t>You found a Prehistoric Dinosaur Egg! Watch out! Don't...drop it.</t>
  </si>
  <si>
    <t>lootOnion</t>
  </si>
  <si>
    <t>Shrek's Onion</t>
  </si>
  <si>
    <t>Find the hidden Onion (it has layers) in Scene 08</t>
  </si>
  <si>
    <t>Find the hidden Onion (it has layers)</t>
  </si>
  <si>
    <t>Shrek's onion</t>
  </si>
  <si>
    <t>You found Shrek's onion! Wait a minute...who's Shrek?</t>
  </si>
  <si>
    <t>lootUkulele</t>
  </si>
  <si>
    <t>Stuart’s Ukulele</t>
  </si>
  <si>
    <t>Find Stuart's lost Ukulele</t>
  </si>
  <si>
    <t>Stuart's Ukulele</t>
  </si>
  <si>
    <t>You found Stuart's ukelele! Let's jam!</t>
  </si>
  <si>
    <t>lootMoon</t>
  </si>
  <si>
    <t>Tiny Moon</t>
  </si>
  <si>
    <t>Steal the Moon</t>
  </si>
  <si>
    <t>You found the stolen tiny moon! Return it before it expands!</t>
  </si>
  <si>
    <t>lootHydrant</t>
  </si>
  <si>
    <t>Yellow Fire Hydrant</t>
  </si>
  <si>
    <t>Find a yellow Fire Hydrant</t>
  </si>
  <si>
    <t>Yellow fire hydrant</t>
  </si>
  <si>
    <t>You found a yellow fire hydrant! Some pets might be secretly excited about it.</t>
  </si>
  <si>
    <t>lootBubbleGum</t>
  </si>
  <si>
    <t>[INTERNAL] Bratt’s TroubleGum</t>
  </si>
  <si>
    <t>brattstroublegum</t>
  </si>
  <si>
    <t>Bratt’s TroubleGum</t>
  </si>
  <si>
    <t xml:space="preserve">Bratt's Trouble Gum is hidden in plain sight…. with a bunch of other sweet treats! </t>
  </si>
  <si>
    <t>You found Bratt's TroubleGum! Way to not blow it!</t>
  </si>
  <si>
    <t>lootElMachoMask</t>
  </si>
  <si>
    <t>[INTERNAL] El Macho's Mask</t>
  </si>
  <si>
    <t>[INTERNAL] El Macho's Luchador Mask</t>
  </si>
  <si>
    <t>elmachosmask</t>
  </si>
  <si>
    <t>El Macho's Luchador Mask</t>
  </si>
  <si>
    <t>The mask is universally feared.</t>
  </si>
  <si>
    <t>You found El Macho's mask! Mucho mystery solved!</t>
  </si>
  <si>
    <t>lootPinkSpacesuit</t>
  </si>
  <si>
    <t>[INTERNAL] Pink Spacesuit</t>
  </si>
  <si>
    <t>[INTERNAL] Gru's Pink Spacesuit</t>
  </si>
  <si>
    <t>gruspinkspacesuit</t>
  </si>
  <si>
    <t>Gru's Pink Spacesuit</t>
  </si>
  <si>
    <t xml:space="preserve">Gru's pink spacesuit isn't on a shooting star, maybe try another spinning light.  </t>
  </si>
  <si>
    <t>You found Gru's Pink Spacesuit! Functional AND fashionable.</t>
  </si>
  <si>
    <t>lootStickyFingers</t>
  </si>
  <si>
    <t>[INTERNAL] Sticky Fingers</t>
  </si>
  <si>
    <t>stickyfingers</t>
  </si>
  <si>
    <t>Sticky Fingers</t>
  </si>
  <si>
    <t>This hasn't been used in ages. Maybe it's in storage.</t>
  </si>
  <si>
    <t>An early invention of Dr. Nefario that was used to steal the Zodiac Stone!</t>
  </si>
  <si>
    <t>lootLunchbox</t>
  </si>
  <si>
    <t>[INTERNAL] Scarlet Lunch Box</t>
  </si>
  <si>
    <t>scarletlunchbox</t>
  </si>
  <si>
    <t>Scarlet Overkill Lunchbox</t>
  </si>
  <si>
    <t>This one's artfully hidden.</t>
  </si>
  <si>
    <t>Stuart will be so excited to get his Scarlet Overkill Lunchbox back! Let’s not tell Gru.</t>
  </si>
  <si>
    <t>lootBigBenSnowglobe</t>
  </si>
  <si>
    <t>bigbensnowglobe</t>
  </si>
  <si>
    <t>You found Stuart's Big Ben Snowglobe. Get ready for HOURS of excitement!</t>
  </si>
  <si>
    <t>lootBoxOfShame</t>
  </si>
  <si>
    <t>[INTERNAL] Box of Shame</t>
  </si>
  <si>
    <t>[INTERNAL] Miss Hattie's Box of Shame</t>
  </si>
  <si>
    <t>boxofshame</t>
  </si>
  <si>
    <t>Miss Hattie's Box of Shame</t>
  </si>
  <si>
    <t>Miss Hattie hates art as well as children.</t>
  </si>
  <si>
    <t>Ah, the Box of Shame. So many...fond memories.</t>
  </si>
  <si>
    <t>lootSleepyKittens</t>
  </si>
  <si>
    <t>[INTERNAL] Sleepy Kittens Book</t>
  </si>
  <si>
    <t>sleepykittensbook</t>
  </si>
  <si>
    <t>Sleepy Kittens Book</t>
  </si>
  <si>
    <t>Why is this book in storage? It's timeless!</t>
  </si>
  <si>
    <t>You found the Sleepy Kittens book! Who wrote this garbage?</t>
  </si>
  <si>
    <t>lootVCHat</t>
  </si>
  <si>
    <t>[INTERNAL] VC Hat</t>
  </si>
  <si>
    <t>[INTERNAL] Villain-Con Hat</t>
  </si>
  <si>
    <t>villainconhat</t>
  </si>
  <si>
    <t>Villain-Con Hat</t>
  </si>
  <si>
    <t>Wearing this hat is a sign that you've got sweet taste.</t>
  </si>
  <si>
    <t>Can't go to Villain-Con without getting their officially licensed hat!</t>
  </si>
  <si>
    <t>lootVCShirt</t>
  </si>
  <si>
    <t>[INTERNAL] VC Shirt</t>
  </si>
  <si>
    <t>[INTERNAL] Villain-Con Shirt</t>
  </si>
  <si>
    <t>villainconshirt</t>
  </si>
  <si>
    <t>Villain-Con Shirt</t>
  </si>
  <si>
    <t>Someone accidentally put these in storage...but they should be out for the convention!</t>
  </si>
  <si>
    <t>Nice Villain Con shirt! Ya gotta look good while doing bad.</t>
  </si>
  <si>
    <t>lootGrusScarf</t>
  </si>
  <si>
    <t>[INTERNAL] Gru's Scarf</t>
  </si>
  <si>
    <t>grusscarf</t>
  </si>
  <si>
    <t>Gru's Scarf</t>
  </si>
  <si>
    <t>Gru's scarf is in storage, depending on the season.</t>
  </si>
  <si>
    <t>This classy, iconic scarf goes with everything...that Gru wears.</t>
  </si>
  <si>
    <t>lootManicEnergy</t>
  </si>
  <si>
    <t>[INTERNAL] Manic Energy</t>
  </si>
  <si>
    <t>[INTERNAL] Manic Energy Drink</t>
  </si>
  <si>
    <t>manicenergydrink</t>
  </si>
  <si>
    <t>Manic Energy Drink</t>
  </si>
  <si>
    <t>Best served cold...and a little wet.</t>
  </si>
  <si>
    <t>MANIC ENERGY MANIC ENERGY NEVER WEARS OFF SO MUCH ENERGY</t>
  </si>
  <si>
    <t>lootStretchArm</t>
  </si>
  <si>
    <t>[INTERNAL] Stretch Arm</t>
  </si>
  <si>
    <t>stretchsuit</t>
  </si>
  <si>
    <t>Stretch Arm</t>
  </si>
  <si>
    <t>This arm’s got reach – as does its hiding spot.</t>
  </si>
  <si>
    <t>The stretch arms may pack small, but they pack a real punch!</t>
  </si>
  <si>
    <t>lootV6Figures</t>
  </si>
  <si>
    <t>[INTERNAL] Vicious 6 Action Figures</t>
  </si>
  <si>
    <t>[INTERNAL] Set of Vicious 6 Action Figures</t>
  </si>
  <si>
    <t>vicious6figures</t>
  </si>
  <si>
    <t>Vicious 6 Action Figures</t>
  </si>
  <si>
    <t>These infamous villains deserve to rise on a pedestal!</t>
  </si>
  <si>
    <t>You found a full set of V6 Action Figures! Don't take them out of the box!</t>
  </si>
  <si>
    <t>lootGoldenGuardianRobot</t>
  </si>
  <si>
    <t>[INTERNAL] Golden Guardian Robot</t>
  </si>
  <si>
    <t>[INTERNAL] Golden Guardian Statue</t>
  </si>
  <si>
    <t>guardianrobot</t>
  </si>
  <si>
    <t>Golden Guardian Statue</t>
  </si>
  <si>
    <t>Chandeliers are fine, but you know what's *really* shiny? The Golden Guardian Robot!!</t>
  </si>
  <si>
    <t>You found the Golden Guardian Robot! It will defend its charge...TO THE DEATH</t>
  </si>
  <si>
    <t>lootBeeDoh</t>
  </si>
  <si>
    <t>[INTERNAL] Megaphone</t>
  </si>
  <si>
    <t>[INTERNAL] Bee-Doh Megaphone</t>
  </si>
  <si>
    <t>beedohmegaphone</t>
  </si>
  <si>
    <t>Bee-Doh Megaphone</t>
  </si>
  <si>
    <t>A megaphone is useful when you're flying above the competition!</t>
  </si>
  <si>
    <t>BEE DOH BEE DOH BEE DOH</t>
  </si>
  <si>
    <t>lootClive</t>
  </si>
  <si>
    <t>[INTERNAL] Clive</t>
  </si>
  <si>
    <t>clive</t>
  </si>
  <si>
    <t>Clive</t>
  </si>
  <si>
    <t>Sync the tracks to a hip hop beat, and you’ll unlock Clive, which is pretty sweet.</t>
  </si>
  <si>
    <t>You found Clive, Bratt's loyal robot! Nice steal.</t>
  </si>
  <si>
    <t>[INTERNAL] Agnes's Unicorn (Replacement)</t>
  </si>
  <si>
    <t>[INTERNAL] Agnes's Unicorn (Toilet Brush Replacement)</t>
  </si>
  <si>
    <t>replacementunicorn</t>
  </si>
  <si>
    <t>Replacement Unicorn</t>
  </si>
  <si>
    <t>This unicorn toilet brush may be shy, but it's coming out of its shell.</t>
  </si>
  <si>
    <t>You found Agnes's Toilet Brush Unicorn. So much more magical than a normal toilet brush.</t>
  </si>
  <si>
    <t>lootPetRock</t>
  </si>
  <si>
    <t>[INTERNAL] Otto’s Pet rock</t>
  </si>
  <si>
    <t>ottosrock</t>
  </si>
  <si>
    <t>Otto’s Pet rock</t>
  </si>
  <si>
    <t>This rock likes to fly around!</t>
  </si>
  <si>
    <t>Otto will be thrilled to get his Pet Rock back!</t>
  </si>
  <si>
    <t>lootTeddyBear</t>
  </si>
  <si>
    <t>[INTERNAL] Tim the teddy bear</t>
  </si>
  <si>
    <t>timtheteddy</t>
  </si>
  <si>
    <t>Bob's Teddy Bear Tim</t>
  </si>
  <si>
    <t>Oh no! Is Tim stuck in a waterpipe? He needs to dry off!</t>
  </si>
  <si>
    <t>You found Bob's Teddy Bear! Now he'll finally be able to sleep.</t>
  </si>
  <si>
    <t>lootTinyMoon</t>
  </si>
  <si>
    <t>[INTERNAL] Tiny Moon</t>
  </si>
  <si>
    <t>tinymoon</t>
  </si>
  <si>
    <t>Shrunken Moon</t>
  </si>
  <si>
    <t>This moon is hiding in a larger globe.</t>
  </si>
  <si>
    <t>You got the Shrunken Moon! Now watch as it has a tendecy to expand waithout warning.</t>
  </si>
  <si>
    <t>lootGrusV6Drawing</t>
  </si>
  <si>
    <t>[INTERNAL] Gru's V6 Drawing</t>
  </si>
  <si>
    <t>[INTERNAL] Gru's Childhood Vicious 6 Drawing</t>
  </si>
  <si>
    <t>vicious6drawing</t>
  </si>
  <si>
    <t>Gru's Vicious 6 Drawing</t>
  </si>
  <si>
    <t>Force Nunchuck to play only classical music and find some famous fan art.</t>
  </si>
  <si>
    <t>You found the Vicious 6 drawing that Gru made as a kid! How adorably evil!</t>
  </si>
  <si>
    <t>lootBrattMixtape</t>
  </si>
  <si>
    <t>[INTERNAL] Bratt Mixtape IN-GAME</t>
  </si>
  <si>
    <t>[INTERNAL] Bratt Mixtape IN-GAME LOOT</t>
  </si>
  <si>
    <t>brattsheistmusic</t>
  </si>
  <si>
    <t>Bratt's Heist Mixtape</t>
  </si>
  <si>
    <t>You'll have to cut all the disco music to score Bratt's sweet mixtape!</t>
  </si>
  <si>
    <t>Bratt Heist Mixtape NOW THAT'S WHAT I CALL VILLAIN MUSIC!</t>
  </si>
  <si>
    <t>lootGirlsDrawing</t>
  </si>
  <si>
    <t>[INTERNAL] Girls' Drawing of Gru</t>
  </si>
  <si>
    <t>[INTERNAL] Girls' Drawing of Gru on the Toilet</t>
  </si>
  <si>
    <t>drawingofgru</t>
  </si>
  <si>
    <t>Drawing of Gru on the Toilet</t>
  </si>
  <si>
    <t>This drawing of a man on his throne might be found among the ruins of a castle.</t>
  </si>
  <si>
    <t>This belongs in a museum! It's the girls' drawing of Gru on the toilet!</t>
  </si>
  <si>
    <t>lootTricycle</t>
  </si>
  <si>
    <t>[INTERNAL] Otto's tricycle</t>
  </si>
  <si>
    <t>[INTERNAL] (aka Big Wheel)</t>
  </si>
  <si>
    <t>ottostricycle</t>
  </si>
  <si>
    <t>Otto's Big Wheel</t>
  </si>
  <si>
    <t>This Big Wheel is boxed up.</t>
  </si>
  <si>
    <t>This Big Wheel got Otto halfway across the country! Go Otto go!</t>
  </si>
  <si>
    <t>lootDrusScarf</t>
  </si>
  <si>
    <t>[INTERNAL] Dru's Scarf</t>
  </si>
  <si>
    <t>drusscarf</t>
  </si>
  <si>
    <t>Dru's Scarf</t>
  </si>
  <si>
    <t>If you're lucky, you'll find Dru's scarf in storage.</t>
  </si>
  <si>
    <t>You found Dru's scarf! Such flair goes with such hair.</t>
  </si>
  <si>
    <t>lootQueensCrown</t>
  </si>
  <si>
    <t>[INTERNAL] Queen's Crown</t>
  </si>
  <si>
    <t>queenscrown</t>
  </si>
  <si>
    <t>Queen's Crown</t>
  </si>
  <si>
    <t>This may be the ultimate treasure.</t>
  </si>
  <si>
    <t>You got the Queen's Crown! Don't let Scarlet see!</t>
  </si>
  <si>
    <t>lootZodiacStone</t>
  </si>
  <si>
    <t>[INTERNAL] Zodiac Stone</t>
  </si>
  <si>
    <t>zodiacstone</t>
  </si>
  <si>
    <t>Zodiac Stone</t>
  </si>
  <si>
    <t>The zodiac is all about signs. And one big sign especially…</t>
  </si>
  <si>
    <t>You found the Zodiac Stone! Let's keep that a secret from the V6...and the AVL.</t>
  </si>
  <si>
    <t>lootUnicornOriginal</t>
  </si>
  <si>
    <t>[INTERNAL] Agnes’s unicorn (Original)</t>
  </si>
  <si>
    <t>[INTERNAL] Agnes's unicorn (original)</t>
  </si>
  <si>
    <t>fluffyunicorn</t>
  </si>
  <si>
    <t>Fluffy!</t>
  </si>
  <si>
    <t xml:space="preserve">There's nothing “under the sun” Gru wouldn't destroy to get back Agnes's prized possession. </t>
  </si>
  <si>
    <t>You found Fluffy, Agnes's unicorn! And you didn't even have to play a carnival game to win it.</t>
  </si>
  <si>
    <t>lootDiamond</t>
  </si>
  <si>
    <t>[INTERNAL] Dumont Diamond</t>
  </si>
  <si>
    <t>dumontdiamond</t>
  </si>
  <si>
    <t>Dumont Diamond</t>
  </si>
  <si>
    <t>To search the skies for The Dumond Diamond, you might need a blimp.</t>
  </si>
  <si>
    <t xml:space="preserve">You found the Dumont Diamond! How could Clyde let this happen! Clyde?! CLYDE!!! </t>
  </si>
  <si>
    <t>lootKungFuBadge</t>
  </si>
  <si>
    <t>[INTERNAL] Kung Fu Badge</t>
  </si>
  <si>
    <t>[INTERNAL] Jr. Kung-Fu Badge</t>
  </si>
  <si>
    <t>jrkungfubadge</t>
  </si>
  <si>
    <t>Jr. Kung-Fu Badge</t>
  </si>
  <si>
    <t>They might be a little wet, but they're still a mark of progress!</t>
  </si>
  <si>
    <t>A Junior Kung-Fu Badge means you're ready for Junior Battles.</t>
  </si>
  <si>
    <t>actionLootLocation13</t>
  </si>
  <si>
    <t>actionLootLocation14</t>
  </si>
  <si>
    <t>actionLootLocation15</t>
  </si>
  <si>
    <t>actionLootLocation16</t>
  </si>
  <si>
    <t>actionLootLocation17</t>
  </si>
  <si>
    <t>actionLootLocation18</t>
  </si>
  <si>
    <t>actionLootLocation20</t>
  </si>
  <si>
    <t>Seasonal Loot Location</t>
  </si>
  <si>
    <t>Visit this spot for seasonal loot items</t>
  </si>
  <si>
    <t>lootJanuary</t>
  </si>
  <si>
    <t>Special month loot</t>
  </si>
  <si>
    <t>This is a loot item that was found during a specific month.</t>
  </si>
  <si>
    <t>January loot</t>
  </si>
  <si>
    <t>Description of how to find this loot.</t>
  </si>
  <si>
    <t>Description of the loot that was found and where.</t>
  </si>
  <si>
    <t>actionLootLocation20 and season=january</t>
  </si>
  <si>
    <t>lootFebruary</t>
  </si>
  <si>
    <t>February loot</t>
  </si>
  <si>
    <t>actionLootLocation20 and season=february</t>
  </si>
  <si>
    <t>lootMarch</t>
  </si>
  <si>
    <t>March loot</t>
  </si>
  <si>
    <t>actionLootLocation20 and season=march</t>
  </si>
  <si>
    <t>lootApril</t>
  </si>
  <si>
    <t>April loot</t>
  </si>
  <si>
    <t>actionLootLocation20 and season=april</t>
  </si>
  <si>
    <t>lootMay</t>
  </si>
  <si>
    <t>May loot</t>
  </si>
  <si>
    <t>actionLootLocation20 and season=may</t>
  </si>
  <si>
    <t>lootJune</t>
  </si>
  <si>
    <t>June loot</t>
  </si>
  <si>
    <t>actionLootLocation20 and season=june</t>
  </si>
  <si>
    <t>lootJuly</t>
  </si>
  <si>
    <t>July loot</t>
  </si>
  <si>
    <t>actionLootLocation20 and season=july</t>
  </si>
  <si>
    <t>lootAugust</t>
  </si>
  <si>
    <t>August loot</t>
  </si>
  <si>
    <t>actionLootLocation20 and season=august</t>
  </si>
  <si>
    <t>lootSeptember</t>
  </si>
  <si>
    <t>September loot</t>
  </si>
  <si>
    <t>actionLootLocation20 and season=september</t>
  </si>
  <si>
    <t>lootOctober</t>
  </si>
  <si>
    <t>October loot</t>
  </si>
  <si>
    <t>actionLootLocation20 and season=october</t>
  </si>
  <si>
    <t>lootNovember</t>
  </si>
  <si>
    <t>November loot</t>
  </si>
  <si>
    <t>actionLootLocation20 and season=november</t>
  </si>
  <si>
    <t>lootDecember</t>
  </si>
  <si>
    <t>December loot</t>
  </si>
  <si>
    <t>actionLootLocation20 and season=december</t>
  </si>
  <si>
    <t>actionLootLocation21</t>
  </si>
  <si>
    <t>lootGame</t>
  </si>
  <si>
    <t>lootSomething21</t>
  </si>
  <si>
    <t>Loot 21</t>
  </si>
  <si>
    <t>This is a loot item.</t>
  </si>
  <si>
    <t>Loot Name</t>
  </si>
  <si>
    <t>actionLootLocation22</t>
  </si>
  <si>
    <t>actionLootLocation23</t>
  </si>
  <si>
    <t>actionLootLocation24</t>
  </si>
  <si>
    <t>actionLootLocation25</t>
  </si>
  <si>
    <t>actionLootLocation26</t>
  </si>
  <si>
    <t>actionLootLocation27</t>
  </si>
  <si>
    <t>actionLootLocation28</t>
  </si>
  <si>
    <t>actionLootLocation29</t>
  </si>
  <si>
    <t>lootExcalibur</t>
  </si>
  <si>
    <t>[INTERNAL] Excalibur</t>
  </si>
  <si>
    <t>[INTERNAL] Sword of Excalibur</t>
  </si>
  <si>
    <t>excalibursword</t>
  </si>
  <si>
    <t>Sword of Excalibur</t>
  </si>
  <si>
    <t>A swinging arm may wield this famous sword.</t>
  </si>
  <si>
    <t xml:space="preserve">You found the Sword of Excalibur! You are now the stuff of legend! </t>
  </si>
  <si>
    <t>actionPlayAttractionEnter</t>
  </si>
  <si>
    <t>Player enters attraction</t>
  </si>
  <si>
    <t>Granted when guest is detected entering the attraction play area</t>
  </si>
  <si>
    <t>actionPlaySC01Enter</t>
  </si>
  <si>
    <t>Scene 1 enter</t>
  </si>
  <si>
    <t>Granted when guest is detected entering Scene 01</t>
  </si>
  <si>
    <t>actionPlaySC01Exit</t>
  </si>
  <si>
    <t>Scene 1 exit</t>
  </si>
  <si>
    <t>Granted when guest is detected exiting Scene 01</t>
  </si>
  <si>
    <t>actionPlaySC02Enter</t>
  </si>
  <si>
    <t>Scene 2 enter</t>
  </si>
  <si>
    <t>Granted when guest is detected entering Scene 02</t>
  </si>
  <si>
    <t>actionPlaySC02Exit</t>
  </si>
  <si>
    <t>Scene 2 exit</t>
  </si>
  <si>
    <t>Granted when guest is detected exiting Scene 02</t>
  </si>
  <si>
    <t>actionPlaySC03Enter</t>
  </si>
  <si>
    <t>Scene 3 enter</t>
  </si>
  <si>
    <t>Granted when guest is detected entering Scene 03</t>
  </si>
  <si>
    <t>actionPlaySC03Exit</t>
  </si>
  <si>
    <t>Scene 3 exit</t>
  </si>
  <si>
    <t>Granted when guest is detected exiting Scene 03</t>
  </si>
  <si>
    <t>actionPlaySC04Enter</t>
  </si>
  <si>
    <t>Scene 4 enter</t>
  </si>
  <si>
    <t>Granted when guest is detected entering Scene 04</t>
  </si>
  <si>
    <t>actionPlaySC04Exit</t>
  </si>
  <si>
    <t>Scene 4 exit</t>
  </si>
  <si>
    <t>Granted when guest is detected exiting Scene 04</t>
  </si>
  <si>
    <t>actionPlaySC05Enter</t>
  </si>
  <si>
    <t>Scene 5 enter</t>
  </si>
  <si>
    <t>Granted when guest is detected entering Scene 05</t>
  </si>
  <si>
    <t>actionPlaySC05Exit</t>
  </si>
  <si>
    <t>Scene 5 exit</t>
  </si>
  <si>
    <t>Granted when guest is detected exiting Scene 05</t>
  </si>
  <si>
    <t>actionPlaySC06Enter</t>
  </si>
  <si>
    <t>Scene 6 enter</t>
  </si>
  <si>
    <t>Granted when guest is detected entering Scene 06</t>
  </si>
  <si>
    <t>actionPlaySC06Exit</t>
  </si>
  <si>
    <t>Scene 6 exit</t>
  </si>
  <si>
    <t>Granted when guest is detected exiting Scene 06</t>
  </si>
  <si>
    <t>actionPlaySC07Enter</t>
  </si>
  <si>
    <t>Scene 7 enter</t>
  </si>
  <si>
    <t>Granted when guest is detected entering Scene 07</t>
  </si>
  <si>
    <t>actionPlaySC07Exit</t>
  </si>
  <si>
    <t>Scene 7 exit</t>
  </si>
  <si>
    <t>Granted when guest is detected exiting Scene 07</t>
  </si>
  <si>
    <t>actionPlaySC08Enter</t>
  </si>
  <si>
    <t>Scene 8 enter</t>
  </si>
  <si>
    <t>Granted when guest is detected entering Scene 08</t>
  </si>
  <si>
    <t>actionPlaySC08Exit</t>
  </si>
  <si>
    <t>Scene 8 exit</t>
  </si>
  <si>
    <t>Granted when guest is detected exiting Scene 08</t>
  </si>
  <si>
    <t>actionPlayAttractionExit</t>
  </si>
  <si>
    <t>Player exists attraction</t>
  </si>
  <si>
    <t>Granted when guest is detected exiting the attraction play area</t>
  </si>
  <si>
    <t>actionBlastPainting01</t>
  </si>
  <si>
    <t>Guest blasts monitor 1</t>
  </si>
  <si>
    <t>Number of times blasted</t>
  </si>
  <si>
    <t>actionBlastPainting02</t>
  </si>
  <si>
    <t>Guest blasts monitor 2</t>
  </si>
  <si>
    <t>actionBlastPainting03</t>
  </si>
  <si>
    <t>Guest blasts monitor 3</t>
  </si>
  <si>
    <t>actionBlastPainting04</t>
  </si>
  <si>
    <t>Guest blasts artwork 1 in-media</t>
  </si>
  <si>
    <t>actionBlastPainting05</t>
  </si>
  <si>
    <t>Guest blasts artwork 2 in-media</t>
  </si>
  <si>
    <t>actionBlastPainting06</t>
  </si>
  <si>
    <t>Guest blasts artwork 3 in-media</t>
  </si>
  <si>
    <t>actionBlastPainting07</t>
  </si>
  <si>
    <t>Guest blasts artwork 4 in-media</t>
  </si>
  <si>
    <t>actionBlastPainting08</t>
  </si>
  <si>
    <t>Guest blasts artwork 5 in-media</t>
  </si>
  <si>
    <t>actionBlastPainting09</t>
  </si>
  <si>
    <t>Guest blasts artwork 6 in-media</t>
  </si>
  <si>
    <t>actionBlastPainting10</t>
  </si>
  <si>
    <t>Guest blasts artwork 7 in-media</t>
  </si>
  <si>
    <t>actionBlastPainting11</t>
  </si>
  <si>
    <t>Guest blasts artwork 8 in-media</t>
  </si>
  <si>
    <t>actionBlastPainting12</t>
  </si>
  <si>
    <t>Guest blasts artwork 9 in-media</t>
  </si>
  <si>
    <t>actionBlastPainting13</t>
  </si>
  <si>
    <t>Guest blasts artwork 10 in-media</t>
  </si>
  <si>
    <t>actionBlastPainting14</t>
  </si>
  <si>
    <t>Guest blasts artwork 11 in-media</t>
  </si>
  <si>
    <t>actionBlastPainting15</t>
  </si>
  <si>
    <t>Guest blasts artwork 12 in-media</t>
  </si>
  <si>
    <t>actionBlastPainting16</t>
  </si>
  <si>
    <t>Guest blasts artwork 13 in-media</t>
  </si>
  <si>
    <t>actionBlastPainting17</t>
  </si>
  <si>
    <t>Guest blasts artwork 14 in-media</t>
  </si>
  <si>
    <t>actionBlastPainting18</t>
  </si>
  <si>
    <t>Guest blasts artwork 15 in-media</t>
  </si>
  <si>
    <t>actionBlastPainting19</t>
  </si>
  <si>
    <t>Guest blasts artwork 16 in-media</t>
  </si>
  <si>
    <t>actionBlastPainting20</t>
  </si>
  <si>
    <t>Guest blasts artwork 17 in-media</t>
  </si>
  <si>
    <t>actionBlastPainting21</t>
  </si>
  <si>
    <t>Guest blasts artwork 18 in-media</t>
  </si>
  <si>
    <t>achievementPlayBlastPaintings</t>
  </si>
  <si>
    <t>[INTERNAL] Art Critic</t>
  </si>
  <si>
    <t>[INTERNAL] Destroy paintings in Stronghold's room X times per tier</t>
  </si>
  <si>
    <t>Art Critic</t>
  </si>
  <si>
    <t>Destroy 5 paintings in Stronghold's Rage Room for Bronze!</t>
  </si>
  <si>
    <t>You destroyed 5 paintings in Stronghold's Rage Room! Now destroy 10 for Silver.</t>
  </si>
  <si>
    <t>Has: actionBlastPaintingNN X times per tier (5/10/18)</t>
  </si>
  <si>
    <t>achievementPlayBestStudent</t>
  </si>
  <si>
    <t>[INTERNAL] Hall of Infamy</t>
  </si>
  <si>
    <t>[INTERNAL] Complete all Vicious 6 missions – you're an A+ student!</t>
  </si>
  <si>
    <t>Hall of Infamy</t>
  </si>
  <si>
    <t>Complete all Vicious Six missions and prove your dedication!</t>
  </si>
  <si>
    <t>You completed all the Vicious Six Missions! Your dedication to the V6 is inspiring.</t>
  </si>
  <si>
    <t>State 2: has missionStronghold with Tier=2, missionNunchuck with Tier=2, missionJeanClawed with Tier=2, missionSvengeance with Tier=2, missionBelle with Tier=2</t>
  </si>
  <si>
    <t>achievementVisitJanuary</t>
  </si>
  <si>
    <t>[INTERNAL] Visit in January!</t>
  </si>
  <si>
    <t>Visit in January!</t>
  </si>
  <si>
    <t>Visit Villain-Con in January to unlock!</t>
  </si>
  <si>
    <t>Awarded when guest has actionParkVisit with season=january. This is not repeatable.</t>
  </si>
  <si>
    <t>achievementVisitFebruary</t>
  </si>
  <si>
    <t>[INTERNAL] Visit in February!</t>
  </si>
  <si>
    <t>Visit in February!</t>
  </si>
  <si>
    <t>Visit Villain-Con in February to unlock!</t>
  </si>
  <si>
    <t>Awarded when guest has actionParkVisit with season=february. This is not repeatable.</t>
  </si>
  <si>
    <t>achievementVisitMarch</t>
  </si>
  <si>
    <t>[INTERNAL] Visit in March!</t>
  </si>
  <si>
    <t>Visit in March!</t>
  </si>
  <si>
    <t>Visit Villain-Con in March to unlock!</t>
  </si>
  <si>
    <t>Awarded when guest has actionParkVisit with season=march. This is not repeatable.</t>
  </si>
  <si>
    <t>achievementVisitApril</t>
  </si>
  <si>
    <t>[INTERNAL] Visit in April!</t>
  </si>
  <si>
    <t>Visit in April!</t>
  </si>
  <si>
    <t>Visit Villain-Con in April to unlock!</t>
  </si>
  <si>
    <t>Awarded when guest has actionParkVisit with season=april. This is not repeatable.</t>
  </si>
  <si>
    <t>achievementVisitMay</t>
  </si>
  <si>
    <t>[INTERNAL] Visit in May!</t>
  </si>
  <si>
    <t>Visit in May!</t>
  </si>
  <si>
    <t>Visit Villain-Con in May to unlock!</t>
  </si>
  <si>
    <t>Awarded when guest has actionParkVisit with season=may. This is not repeatable.</t>
  </si>
  <si>
    <t>achievementVisitJune</t>
  </si>
  <si>
    <t>[INTERNAL] Visit in June!</t>
  </si>
  <si>
    <t>Visit in June!</t>
  </si>
  <si>
    <t>Visit Villain-Con in June to unlock!</t>
  </si>
  <si>
    <t>Awarded when guest has actionParkVisit with season=june. This is not repeatable.</t>
  </si>
  <si>
    <t>achievementVisitJuly</t>
  </si>
  <si>
    <t>[INTERNAL] Visit in July!</t>
  </si>
  <si>
    <t>Visit in July!</t>
  </si>
  <si>
    <t>Visit Villain-Con in July to unlock!</t>
  </si>
  <si>
    <t>Awarded when guest has actionParkVisit with season=july. This is not repeatable.</t>
  </si>
  <si>
    <t>achievementVisitAugust</t>
  </si>
  <si>
    <t>[INTERNAL] Visit in August!</t>
  </si>
  <si>
    <t>Visit in August!</t>
  </si>
  <si>
    <t>Visit Villain-Con in August to unlock!</t>
  </si>
  <si>
    <t>Awarded when guest has actionParkVisit with season=august. This is not repeatable.</t>
  </si>
  <si>
    <t>achievementVisitSeptember</t>
  </si>
  <si>
    <t>[INTERNAL] Visit in September!</t>
  </si>
  <si>
    <t>Visit in September!</t>
  </si>
  <si>
    <t>Visit Villain-Con in September to unlock!</t>
  </si>
  <si>
    <t>Awarded when guest has actionParkVisit with season=september. This is not repeatable.</t>
  </si>
  <si>
    <t>achievementVisitOctober</t>
  </si>
  <si>
    <t>[INTERNAL] Visit in October!</t>
  </si>
  <si>
    <t>Visit in October!</t>
  </si>
  <si>
    <t>Visit Villain-Con in October to unlock!</t>
  </si>
  <si>
    <t>Awarded when guest has actionParkVisit with season=october. This is not repeatable.</t>
  </si>
  <si>
    <t>achievementVisitNovember</t>
  </si>
  <si>
    <t>[INTERNAL] Visit in November!</t>
  </si>
  <si>
    <t>Visit in November!</t>
  </si>
  <si>
    <t>Visit Villain-Con in November to unlock!</t>
  </si>
  <si>
    <t>Awarded when guest has actionParkVisit with season=november. This is not repeatable.</t>
  </si>
  <si>
    <t>achievementVisitDecember</t>
  </si>
  <si>
    <t>[INTERNAL] Visit in December!</t>
  </si>
  <si>
    <t>Visit in December!</t>
  </si>
  <si>
    <t>Visit Villain-Con in December to unlock!</t>
  </si>
  <si>
    <t>Awarded when guest has actionParkVisit with season=december. This is not repeatable.</t>
  </si>
  <si>
    <t>achievementCollectSwagAll</t>
  </si>
  <si>
    <t>[INTERNAL] SWAG Champion</t>
  </si>
  <si>
    <t>[INTERNAL] Achievement for collecting all of the loot in AND out of Villain-con</t>
  </si>
  <si>
    <t>SWAG Champion</t>
  </si>
  <si>
    <t>Find all the loot in and around Villain-Con!</t>
  </si>
  <si>
    <t>Has all loot</t>
  </si>
  <si>
    <t>achievementMissionAll</t>
  </si>
  <si>
    <t>[INTERNAL] Complete all missions</t>
  </si>
  <si>
    <t>[INTERNAL] Guest completes every mission</t>
  </si>
  <si>
    <t>100% Evil</t>
  </si>
  <si>
    <t>Can you do all the missions?</t>
  </si>
  <si>
    <t>You completed every mission in the challenge! Your legend will live on forever.</t>
  </si>
  <si>
    <t>State 2: has all mission class at Tier=2</t>
  </si>
  <si>
    <t>Resort Code</t>
  </si>
  <si>
    <t>Park Code</t>
  </si>
  <si>
    <t>Land Code</t>
  </si>
  <si>
    <t>Location Code</t>
  </si>
  <si>
    <t>USH</t>
  </si>
  <si>
    <t>01</t>
  </si>
  <si>
    <t>USH CityWalk</t>
  </si>
  <si>
    <t>02</t>
  </si>
  <si>
    <t>UOR</t>
  </si>
  <si>
    <t>USF</t>
  </si>
  <si>
    <t>Entry</t>
  </si>
  <si>
    <t>001</t>
  </si>
  <si>
    <t>(Use 00-99)</t>
  </si>
  <si>
    <t>DA</t>
  </si>
  <si>
    <t>722</t>
  </si>
  <si>
    <t>IOA</t>
  </si>
  <si>
    <t>Port of Entry</t>
  </si>
  <si>
    <t>HG</t>
  </si>
  <si>
    <t>003</t>
  </si>
  <si>
    <t>UOR CityWalk</t>
  </si>
  <si>
    <t>03</t>
  </si>
  <si>
    <t>VB</t>
  </si>
  <si>
    <t>04</t>
  </si>
  <si>
    <t>05</t>
  </si>
  <si>
    <t>USJ</t>
  </si>
  <si>
    <t>USJ CityWalk</t>
  </si>
  <si>
    <t>USS</t>
  </si>
  <si>
    <t>UBR</t>
  </si>
  <si>
    <t>USB</t>
  </si>
  <si>
    <t>UBR CityWalk</t>
  </si>
  <si>
    <t>331 Loot example:</t>
  </si>
  <si>
    <t>P331 Statistics / Leaderboards</t>
  </si>
  <si>
    <r>
      <rPr>
        <sz val="12"/>
        <color theme="1"/>
        <rFont val="Arial"/>
        <family val="2"/>
      </rPr>
      <t xml:space="preserve">PlayFab API: </t>
    </r>
    <r>
      <rPr>
        <sz val="12"/>
        <color rgb="FF4285F4"/>
        <rFont val="Arial"/>
        <family val="2"/>
      </rPr>
      <t>https://docs.microsoft.com/en-us/rest/api/playfab/admin/player-data-management/create-player-statistic-definition?view=playfab-rest</t>
    </r>
  </si>
  <si>
    <t>PlayFab resets leaderboards based on UTC timezone.  Because of timezone differences with where games are physically located, only hourly leaderboards can use the automatic hourly reset. All-time leaderboards NEVER reset. Other leaderboards are manuall reset.</t>
  </si>
  <si>
    <t>Category</t>
  </si>
  <si>
    <t>Is Primary</t>
  </si>
  <si>
    <t>Is Displayed</t>
  </si>
  <si>
    <t>Time Range</t>
  </si>
  <si>
    <t>Statistic Name</t>
  </si>
  <si>
    <t>Aggregation Method</t>
  </si>
  <si>
    <t>Custom Tags</t>
  </si>
  <si>
    <t>Version Change Interval</t>
  </si>
  <si>
    <t>true/false, defaults to false</t>
  </si>
  <si>
    <t>whether this statistic republishes to other stats in the same category</t>
  </si>
  <si>
    <t>whether this leaderboard is displayed in a UI</t>
  </si>
  <si>
    <t>unique name of the statistic</t>
  </si>
  <si>
    <t>the aggregation method to use in updating the statistic (defaults to last)</t>
  </si>
  <si>
    <t>The optional custom tags associated with the request (e.g. build number, external trace identifiers, etc.).</t>
  </si>
  <si>
    <t>interval at which the values of the statistic for all players are reset (resets begin at the next interval boundary)</t>
  </si>
  <si>
    <t>StatisticName</t>
  </si>
  <si>
    <t>AggregationMethod</t>
  </si>
  <si>
    <t>CustomTags</t>
  </si>
  <si>
    <t>VersionChangeInterval</t>
  </si>
  <si>
    <t>allTime</t>
  </si>
  <si>
    <t>total_points</t>
  </si>
  <si>
    <t>Sum</t>
  </si>
  <si>
    <t>Never</t>
  </si>
  <si>
    <t>day</t>
  </si>
  <si>
    <t>total_points_day</t>
  </si>
  <si>
    <t>hour</t>
  </si>
  <si>
    <t>total_points_hour</t>
  </si>
  <si>
    <t>Hour</t>
  </si>
  <si>
    <t>month</t>
  </si>
  <si>
    <t>total_points_month</t>
  </si>
  <si>
    <t>season</t>
  </si>
  <si>
    <t>total_points_season</t>
  </si>
  <si>
    <t>week</t>
  </si>
  <si>
    <t>total_points_week</t>
  </si>
  <si>
    <t>year</t>
  </si>
  <si>
    <t>total_points_year</t>
  </si>
  <si>
    <t>best_points</t>
  </si>
  <si>
    <t>Max</t>
  </si>
  <si>
    <t>best_points_day</t>
  </si>
  <si>
    <t>best_points_hour</t>
  </si>
  <si>
    <t>best_points_month</t>
  </si>
  <si>
    <t>best_points_season</t>
  </si>
  <si>
    <t>best_points_week</t>
  </si>
  <si>
    <t>best_points_year</t>
  </si>
  <si>
    <t>last_points</t>
  </si>
  <si>
    <t>Last</t>
  </si>
  <si>
    <t>last_points_day</t>
  </si>
  <si>
    <t>last_points_hour</t>
  </si>
  <si>
    <t>last_points_month</t>
  </si>
  <si>
    <t>last_points_season</t>
  </si>
  <si>
    <t>last_points_week</t>
  </si>
  <si>
    <t>last_points_year</t>
  </si>
  <si>
    <t>blocks</t>
  </si>
  <si>
    <t>total_blocksPerm</t>
  </si>
  <si>
    <t>total_blocksPerm_day</t>
  </si>
  <si>
    <t>total_blocksPerm_hour</t>
  </si>
  <si>
    <t>total_blocksPerm_month</t>
  </si>
  <si>
    <t>total_blocksPerm_season</t>
  </si>
  <si>
    <t>total_blocksPerm_week</t>
  </si>
  <si>
    <t>total_blocksPerm_year</t>
  </si>
  <si>
    <t>total_blocksTemp</t>
  </si>
  <si>
    <t>total_blocksTemp_day</t>
  </si>
  <si>
    <t>total_blocksTemp_hour</t>
  </si>
  <si>
    <t>total_blocksTemp_month</t>
  </si>
  <si>
    <t>total_blocksTemp_season</t>
  </si>
  <si>
    <t>total_blocksTemp_week</t>
  </si>
  <si>
    <t>total_blocksTemp_year</t>
  </si>
  <si>
    <t>teams</t>
  </si>
  <si>
    <t>average_teamScore</t>
  </si>
  <si>
    <t>average_teamScore_day</t>
  </si>
  <si>
    <t>average_teamScore_hour</t>
  </si>
  <si>
    <t>average_teamScore_month</t>
  </si>
  <si>
    <t>average_teamScore_season</t>
  </si>
  <si>
    <t>average_teamScore_week</t>
  </si>
  <si>
    <t>average_teamScore_year</t>
  </si>
  <si>
    <t>total_teamScore</t>
  </si>
  <si>
    <t>total_teamScore_day</t>
  </si>
  <si>
    <t>total_teamScore_hour</t>
  </si>
  <si>
    <t>total_teamScore_month</t>
  </si>
  <si>
    <t>total_teamScore_season</t>
  </si>
  <si>
    <t>total_teamScore_week</t>
  </si>
  <si>
    <t>total_teamScore_year</t>
  </si>
  <si>
    <t>total_teamPlayers</t>
  </si>
  <si>
    <t>total_teamPlayers_day</t>
  </si>
  <si>
    <t>total_teamPlayers_hour</t>
  </si>
  <si>
    <t>total_teamPlayers_month</t>
  </si>
  <si>
    <t>total_teamPlayers_season</t>
  </si>
  <si>
    <t>total_teamPlayers_week</t>
  </si>
  <si>
    <t>total_teamPlayers_year</t>
  </si>
  <si>
    <t>total_teamTransactions</t>
  </si>
  <si>
    <t>total_teamTransaction_day</t>
  </si>
  <si>
    <t>total_teamTransaction_hour</t>
  </si>
  <si>
    <t>total_teamTransaction_month</t>
  </si>
  <si>
    <t>total_teamTransaction_season</t>
  </si>
  <si>
    <t>total_teamTransaction_week</t>
  </si>
  <si>
    <t>total_teamTransaction_year</t>
  </si>
  <si>
    <t>skills</t>
  </si>
  <si>
    <t>total_elementalFire</t>
  </si>
  <si>
    <t>total_elementalFire_day</t>
  </si>
  <si>
    <t>total_elementalFire_hour</t>
  </si>
  <si>
    <t>total_elementalFire_month</t>
  </si>
  <si>
    <t>total_elementalFire_season</t>
  </si>
  <si>
    <t>total_elementalFire_week</t>
  </si>
  <si>
    <t>total_elementalFire_year</t>
  </si>
  <si>
    <t>total_elementalForce</t>
  </si>
  <si>
    <t>total_elementalForce_day</t>
  </si>
  <si>
    <t>total_elementalForce_hour</t>
  </si>
  <si>
    <t>total_elementalForce_month</t>
  </si>
  <si>
    <t>total_elementalForce_season</t>
  </si>
  <si>
    <t>total_elementalForce_week</t>
  </si>
  <si>
    <t>total_elementalForce_year</t>
  </si>
  <si>
    <t>total_elementalFreeze</t>
  </si>
  <si>
    <t>total_elementalFreeze_day</t>
  </si>
  <si>
    <t>total_elementalFreeze_hour</t>
  </si>
  <si>
    <t>total_elementalFreeze_month</t>
  </si>
  <si>
    <t>total_elementalFreeze_season</t>
  </si>
  <si>
    <t>total_elementalFreeze_week</t>
  </si>
  <si>
    <t>total_elementalFreeze_year</t>
  </si>
  <si>
    <t>total_elementalLightning</t>
  </si>
  <si>
    <t>total_elementalLightning_day</t>
  </si>
  <si>
    <t>total_elementalLightning_hour</t>
  </si>
  <si>
    <t>total_elementalLightning_month</t>
  </si>
  <si>
    <t>total_elementalLightning_season</t>
  </si>
  <si>
    <t>total_elementalLightning_week</t>
  </si>
  <si>
    <t>total_elementalLightning_year</t>
  </si>
  <si>
    <t>P331 Title Data: colors.gameMasterTool</t>
  </si>
  <si>
    <t>PlayFab API: https://docs.microsoft.com/en-us/rest/api/playfab/server/title-wide-data-management/set-title-data?view=playfab-rest</t>
  </si>
  <si>
    <t>UPLOADED: 2022/01/25</t>
  </si>
  <si>
    <t>Is Deprecated?</t>
  </si>
  <si>
    <t>Id</t>
  </si>
  <si>
    <t>Type</t>
  </si>
  <si>
    <t>Hex Code</t>
  </si>
  <si>
    <t>Texts</t>
  </si>
  <si>
    <t>Portuguese</t>
  </si>
  <si>
    <t>Locale</t>
  </si>
  <si>
    <t>id</t>
  </si>
  <si>
    <t>type</t>
  </si>
  <si>
    <t>hex</t>
  </si>
  <si>
    <t>texts.0.locale</t>
  </si>
  <si>
    <t>texts.0.name</t>
  </si>
  <si>
    <t>texts.1.locale</t>
  </si>
  <si>
    <t>texts.1.name</t>
  </si>
  <si>
    <t>updated 2022/01/25</t>
  </si>
  <si>
    <t>background.1</t>
  </si>
  <si>
    <t>background</t>
  </si>
  <si>
    <t>615E9B</t>
  </si>
  <si>
    <t>background.2</t>
  </si>
  <si>
    <t>E87722</t>
  </si>
  <si>
    <t>background.button.1</t>
  </si>
  <si>
    <t>FFCE00</t>
  </si>
  <si>
    <t>background.button.2</t>
  </si>
  <si>
    <t>C0C0C0</t>
  </si>
  <si>
    <t>backround.disabled</t>
  </si>
  <si>
    <t>777777</t>
  </si>
  <si>
    <t>background.popup.1</t>
  </si>
  <si>
    <t>E03C31</t>
  </si>
  <si>
    <t>text.1</t>
  </si>
  <si>
    <t>text</t>
  </si>
  <si>
    <t>000000</t>
  </si>
  <si>
    <t>text.2</t>
  </si>
  <si>
    <t>333333</t>
  </si>
  <si>
    <t>text.disabled</t>
  </si>
  <si>
    <t>ffffff</t>
  </si>
  <si>
    <t>Prefixes</t>
  </si>
  <si>
    <t>locale</t>
  </si>
  <si>
    <t>prefixes.0</t>
  </si>
  <si>
    <t>prefixes.1</t>
  </si>
  <si>
    <t>prefixes.2</t>
  </si>
  <si>
    <t>PLAYER</t>
  </si>
  <si>
    <t>NEW PLAYER</t>
  </si>
  <si>
    <t>I AM NEW</t>
  </si>
  <si>
    <t>pt-BR</t>
  </si>
  <si>
    <t>JOGADOR/A</t>
  </si>
  <si>
    <t>ja-JP</t>
  </si>
  <si>
    <t>プレーヤー</t>
  </si>
  <si>
    <t>P331 Title Data: fonts.gameMasterTool</t>
  </si>
  <si>
    <t>true/false, default false</t>
  </si>
  <si>
    <t>normal|italic|oblique</t>
  </si>
  <si>
    <t>100 – Thin
200 – Extra Light (Ultra Light)
300 – Light
400 – Normal
500 – Medium
600 – Semi Bold (Demi Bold)
700 – Bold
800 – Extra Bold (Ultra Bold)
900 – Black (Heavy)</t>
  </si>
  <si>
    <t>assuming this can also be used as font-family in CSS</t>
  </si>
  <si>
    <t>Size</t>
  </si>
  <si>
    <t>Style</t>
  </si>
  <si>
    <t>Weight</t>
  </si>
  <si>
    <t>Path / URL</t>
  </si>
  <si>
    <t>size</t>
  </si>
  <si>
    <t>style</t>
  </si>
  <si>
    <t>weight</t>
  </si>
  <si>
    <t>url</t>
  </si>
  <si>
    <t>body.1</t>
  </si>
  <si>
    <t>body</t>
  </si>
  <si>
    <t>1em</t>
  </si>
  <si>
    <t>normal</t>
  </si>
  <si>
    <t>Avenir Next Condensed</t>
  </si>
  <si>
    <t>header.1</t>
  </si>
  <si>
    <t>header</t>
  </si>
  <si>
    <t>2em</t>
  </si>
  <si>
    <t>header.2</t>
  </si>
  <si>
    <t>1.5em</t>
  </si>
  <si>
    <t>italic</t>
  </si>
  <si>
    <t>cms://assetKey or file://localAssetName (no protocol means local)</t>
  </si>
  <si>
    <t>00</t>
  </si>
  <si>
    <t>BG 1</t>
  </si>
  <si>
    <t>BG 2</t>
  </si>
  <si>
    <t>BG 3</t>
  </si>
  <si>
    <t>BG 4</t>
  </si>
  <si>
    <t>BG 5</t>
  </si>
  <si>
    <t>BG 6</t>
  </si>
  <si>
    <t>06</t>
  </si>
  <si>
    <t>BG 7</t>
  </si>
  <si>
    <t>07</t>
  </si>
  <si>
    <t>BG 8</t>
  </si>
  <si>
    <t>08</t>
  </si>
  <si>
    <t>BG 9</t>
  </si>
  <si>
    <t>09</t>
  </si>
  <si>
    <t>BG 10</t>
  </si>
  <si>
    <t>10</t>
  </si>
  <si>
    <t>BG 11</t>
  </si>
  <si>
    <t>11</t>
  </si>
  <si>
    <t>BG 12</t>
  </si>
  <si>
    <t>AA</t>
  </si>
  <si>
    <t>foreground</t>
  </si>
  <si>
    <t>FG 1</t>
  </si>
  <si>
    <t>AB</t>
  </si>
  <si>
    <t>FG 2</t>
  </si>
  <si>
    <t>AC</t>
  </si>
  <si>
    <t>FG 3</t>
  </si>
  <si>
    <t>AD</t>
  </si>
  <si>
    <t>FG 4</t>
  </si>
  <si>
    <t>AE</t>
  </si>
  <si>
    <t>FG 5</t>
  </si>
  <si>
    <t>AF</t>
  </si>
  <si>
    <t>FG 6</t>
  </si>
  <si>
    <t>AG</t>
  </si>
  <si>
    <t>FG 7</t>
  </si>
  <si>
    <t>AH</t>
  </si>
  <si>
    <t>FG 8</t>
  </si>
  <si>
    <t>AI</t>
  </si>
  <si>
    <t>FG 9</t>
  </si>
  <si>
    <t>AJ</t>
  </si>
  <si>
    <t>FG 10</t>
  </si>
  <si>
    <t>AK</t>
  </si>
  <si>
    <t>FG 11</t>
  </si>
  <si>
    <t>AL</t>
  </si>
  <si>
    <t>FG 12</t>
  </si>
  <si>
    <t>P331 Title Data: images.gameMasterTool</t>
  </si>
  <si>
    <t>logo.1</t>
  </si>
  <si>
    <t>logo</t>
  </si>
  <si>
    <t>icon.1</t>
  </si>
  <si>
    <t>icon</t>
  </si>
  <si>
    <t>icon.2</t>
  </si>
  <si>
    <t>icon.3</t>
  </si>
  <si>
    <t>button.1</t>
  </si>
  <si>
    <t>P331 TitleData: Item Types</t>
  </si>
  <si>
    <t>used by GAT</t>
  </si>
  <si>
    <t>Items</t>
  </si>
  <si>
    <t>Classes.0</t>
  </si>
  <si>
    <t>Classes.1</t>
  </si>
  <si>
    <t>Classes.2</t>
  </si>
  <si>
    <t>Classes.3</t>
  </si>
  <si>
    <t>Classes.4</t>
  </si>
  <si>
    <t>classes.0</t>
  </si>
  <si>
    <t>classes.1</t>
  </si>
  <si>
    <t>classes.2</t>
  </si>
  <si>
    <t>classes.3</t>
  </si>
  <si>
    <t>classes.4</t>
  </si>
  <si>
    <t>artifactConfiguration</t>
  </si>
  <si>
    <t>collectible</t>
  </si>
  <si>
    <t>quest</t>
  </si>
  <si>
    <t>Uploaded to Playfab 2023/01/06</t>
  </si>
  <si>
    <t>uses @other to indicate filtered array result needs the otherCallback (jsonpath-plus)</t>
  </si>
  <si>
    <t>NOTES</t>
  </si>
  <si>
    <t>Stat Read</t>
  </si>
  <si>
    <t>Statistic Granted</t>
  </si>
  <si>
    <t>Item Granted</t>
  </si>
  <si>
    <t>Item Updated</t>
  </si>
  <si>
    <t>Item Custom Data Set</t>
  </si>
  <si>
    <t>Item Custom Data Add</t>
  </si>
  <si>
    <t>Secondary Reward Trigger</t>
  </si>
  <si>
    <t>Conditions Group - Type</t>
  </si>
  <si>
    <t>Conditions Group - Conditions - 0 - Operand1</t>
  </si>
  <si>
    <t>Conditions Group - Conditions - 0 - Operand2</t>
  </si>
  <si>
    <t>Conditions Group - Conditions - 0 - Operator</t>
  </si>
  <si>
    <t>Conditions Group - Conditions - 1 - Operand1</t>
  </si>
  <si>
    <t>Conditions Group - Conditions - 1 - Operand2</t>
  </si>
  <si>
    <t>Conditions Group - Conditions - 1 - Operator</t>
  </si>
  <si>
    <t>Conditions Group - Conditions Group - Type</t>
  </si>
  <si>
    <t>Conditions Group - Conditions Group - Conditions - 0 - Operand1</t>
  </si>
  <si>
    <t>Conditions Group - Conditions Group - Conditions - 0 - Operand2</t>
  </si>
  <si>
    <t>Conditions Group - Conditions Group - Conditions - 0 - Operator</t>
  </si>
  <si>
    <t>Conditions Group - Conditions Group - Conditions - 1 - Operand1</t>
  </si>
  <si>
    <t>Conditions Group - Conditions Group - Conditions - 1 - Operand2</t>
  </si>
  <si>
    <t>Conditions Group - Conditions Group - Conditions - 1 - Operator</t>
  </si>
  <si>
    <t>Endpoints - 0 - Name</t>
  </si>
  <si>
    <t>Endpoints - 0 - Body</t>
  </si>
  <si>
    <t xml:space="preserve">Endpoints - 1 - Parameters - 0 - Type </t>
  </si>
  <si>
    <t>Endpoints - 1 - Parameters - 0 - Name</t>
  </si>
  <si>
    <t>Endpoints - 1 - Parameters - 0 - Value</t>
  </si>
  <si>
    <t xml:space="preserve">Endpoints - 1 - Parameters - 1 - Type </t>
  </si>
  <si>
    <t>Endpoints - 1 - Parameters - 1 - Name</t>
  </si>
  <si>
    <t>Endpoints - 1 - Parameters - 1 - Value</t>
  </si>
  <si>
    <t>conditionsGroup.type</t>
  </si>
  <si>
    <t>conditionsGroup.conditions.0.operand1</t>
  </si>
  <si>
    <t>conditionsGroup.conditions.0.operand2</t>
  </si>
  <si>
    <t>conditionsGroup.conditions.0.operator</t>
  </si>
  <si>
    <t>conditionsGroup.conditions.1.operand1</t>
  </si>
  <si>
    <t>conditionsGroup.conditions.1.operand2</t>
  </si>
  <si>
    <t>conditionsGroup.conditions.1.operator</t>
  </si>
  <si>
    <t>conditionsGroup.conditionsGroup.type</t>
  </si>
  <si>
    <t>conditionsGroup.conditionsGroup.conditions.0.operand1</t>
  </si>
  <si>
    <t>conditionsGroup.conditionsGroup.conditions.0.operand2</t>
  </si>
  <si>
    <t>conditionsGroup.conditionsGroup.conditions.0.operator</t>
  </si>
  <si>
    <t>conditionsGroup.conditionsGroup.conditions.1.operand1</t>
  </si>
  <si>
    <t>conditionsGroup.conditionsGroup.conditions.1.operand2</t>
  </si>
  <si>
    <t>conditionsGroup.conditionsGroup.conditions.1.operator</t>
  </si>
  <si>
    <t>endpoints.0.name</t>
  </si>
  <si>
    <t>endpoints.0.body</t>
  </si>
  <si>
    <t>endpoints.1.parameters.0.type</t>
  </si>
  <si>
    <t>endpoints.1.parameters.0.name</t>
  </si>
  <si>
    <t>endpoints.1.parameters.0.value</t>
  </si>
  <si>
    <t>endpoints.1.parameters.1.type</t>
  </si>
  <si>
    <t>endpoints.1.parameters.1.name</t>
  </si>
  <si>
    <t>endpoints.1.parameters.1.value</t>
  </si>
  <si>
    <t>grant total points from total score</t>
  </si>
  <si>
    <t>score</t>
  </si>
  <si>
    <t>N/A</t>
  </si>
  <si>
    <t>{
    "resort": "$.resort",
    "park": "$.park",
    "land": "$.land",
    "publisher": "$.publisher",
    "timestamp": "$.timestamp",
    "playerId": "$.playerId",
    "statistics": [{"id": "total_points","amount": "$.rideSummary.totalScore"}]
}</t>
  </si>
  <si>
    <t>If active mission is missionElMacho, grant actionMissionElMachoAttempt</t>
  </si>
  <si>
    <t>scene score</t>
  </si>
  <si>
    <t>session: sessionId, scene:0, score: 0</t>
  </si>
  <si>
    <t>singleGameSumScore</t>
  </si>
  <si>
    <t>and</t>
  </si>
  <si>
    <t>$.rideTimeSettings</t>
  </si>
  <si>
    <t>/^[A-Z0-9]{36}3$/ig</t>
  </si>
  <si>
    <t>~</t>
  </si>
  <si>
    <t>{
        "resort": "$.resort",
        "park": "$.park",
        "land": "$.land",
        "publisher": "$.publisher",
        "timestamp": "$.timestamp",
        "playerId": "$.playerId",
        "items": [
                {
                        "id": "actionMissionElMachoAttempt",
                        "count": 1,
                        "customData": [
                                {
                                        "key": "session",
                                        "value": "$.rideSummary.sessionId"
                                },
                                {
                                        "key": "scene",
                                        "value": 0
                                },
                                {
                                        "key": "score",
                                        "value": 0
                                }
                        ]
                }
        ]
}</t>
  </si>
  <si>
    <t>If active mission is missionElMacho AND scene score exists, update score in actionMissionElMachoAttempt in SCENE 1</t>
  </si>
  <si>
    <t>session: sessionId, scene:1</t>
  </si>
  <si>
    <t>score: scene 1 score</t>
  </si>
  <si>
    <t>$.rideSummary.scenes[0].score</t>
  </si>
  <si>
    <t>exists</t>
  </si>
  <si>
    <t>{
        "resort": "$.resort",
        "park": "$.park",
        "land": "$.land",
        "publisher": "$.publisher",
        "timestamp": "$.timestamp",
        "playerId": "$.playerId",
        "items": [
                {
                        "id": "actionMissionElMachoAttempt",
                        "count": 0,
                        "customData": [
                                {
                                        "key": "session",
                                        "value": "$.rideSummary.sessionId"
                                },
                                {
                                        "key": "scene",
                                        "value": "$.rideSummary.scenes[0].number@other()"
                                }, 
                                {
                                        "key": "score",
                                        "value": "$.rideSummary.scenes[0].score@other()",
                                        "updateType": "add"
                                }
                        ]
                }
        ]
}</t>
  </si>
  <si>
    <t>If active mission is missionElMacho AND scene score exists, update score in actionMissionElMachoAttempt in SCENE 2</t>
  </si>
  <si>
    <t>session: sessionId, scene:2</t>
  </si>
  <si>
    <t>score: scene 2 score</t>
  </si>
  <si>
    <t>$.rideSummary.scenes[1].score</t>
  </si>
  <si>
    <t>{
        "resort": "$.resort",
        "park": "$.park",
        "land": "$.land",
        "publisher": "$.publisher",
        "timestamp": "$.timestamp",
        "playerId": "$.playerId",
        "items": [
                {
                        "id": "actionMissionElMachoAttempt",
                        "count": 0,
                        "customData": [
                                {
                                        "key": "session",
                                        "value": "$.rideSummary.sessionId"
                                },
                                {
                                        "key": "scene",
                                        "value": "$.rideSummary.scenes[1].number@other()"
                                },
                                {
                                        "key": "score",
                                        "value": "$.rideSummary.scenes[1].score@other()",
                                        "updateType": "add"
                                }
                        ]
                }
        ]
}</t>
  </si>
  <si>
    <t>If active mission is missionElMacho AND scene score exists, update score in actionMissionElMachoAttempt in SCENE 3</t>
  </si>
  <si>
    <t>session: sessionId, scene:3</t>
  </si>
  <si>
    <t>score: scene 3 score</t>
  </si>
  <si>
    <t>$.rideSummary.scenes[2].score</t>
  </si>
  <si>
    <t>{
        "resort": "$.resort",
        "park": "$.park",
        "land": "$.land",
        "publisher": "$.publisher",
        "timestamp": "$.timestamp",
        "playerId": "$.playerId",
        "items": [
                {
                        "id": "actionMissionElMachoAttempt",
                        "count": 0,
                        "customData": [
                                {
                                        "key": "session",
                                        "value": "$.rideSummary.sessionId"
                                },
                                {
                                        "key": "scene",
                                        "value": "$.rideSummary.scenes[2].number@other()"
                                },
                                {
                                        "key": "score",
                                        "value": "$.rideSummary.scenes[2].score@other()",
                                        "updateType": "add"
                                }
                        ]
                }
        ]
}</t>
  </si>
  <si>
    <t>If active mission is missionElMacho AND scene score exists, update score in actionMissionElMachoAttempt in SCENE 4</t>
  </si>
  <si>
    <t>session: sessionId, scene:4</t>
  </si>
  <si>
    <t>score: scene 4 score</t>
  </si>
  <si>
    <t>$.rideSummary.scenes[3].score</t>
  </si>
  <si>
    <t>{
        "resort": "$.resort",
        "park": "$.park",
        "land": "$.land",
        "publisher": "$.publisher",
        "timestamp": "$.timestamp",
        "playerId": "$.playerId",
        "items": [
                {
                        "id": "actionMissionElMachoAttempt",
                        "count": 0,
                        "customData": [
                                {
                                        "key": "session",
                                        "value": "$.rideSummary.sessionId"
                                },
                                {
                                        "key": "scene",
                                        "value": "$.rideSummary.scenes[3].number@other()"
                                },
                                {
                                        "key": "score",
                                        "value": "$.rideSummary.scenes[3].score@other()",
                                        "updateType": "add"
                                }
                        ]
                }
        ]
}</t>
  </si>
  <si>
    <t>If active mission is missionElMacho AND scene score exists, update score in actionMissionElMachoAttempt in SCENE 5</t>
  </si>
  <si>
    <t>session: sessionId, scene:5</t>
  </si>
  <si>
    <t>score: scene 5 score</t>
  </si>
  <si>
    <t>$.rideSummary.scenes[4].score</t>
  </si>
  <si>
    <t>{
        "resort": "$.resort",
        "park": "$.park",
        "land": "$.land",
        "publisher": "$.publisher",
        "timestamp": "$.timestamp",
        "playerId": "$.playerId",
        "items": [
                {
                        "id": "actionMissionElMachoAttempt",
                        "count": 0,
                        "customData": [
                                {
                                        "key": "session",
                                        "value": "$.rideSummary.sessionId"
                                },
                                {
                                        "key": "scene",
                                        "value": "$.rideSummary.scenes[4].number@other()"
                                },
                                {
                                        "key": "score",
                                        "value": "$.rideSummary.scenes[4].score@other()",
                                        "updateType": "add"
                                }
                        ]
                }
        ]
}</t>
  </si>
  <si>
    <t>If active mission is missionElMacho AND scene score exists, update score in actionMissionElMachoAttempt in SCENE 6</t>
  </si>
  <si>
    <t>session: sessionId, scene:6</t>
  </si>
  <si>
    <t>score: scene 6 score</t>
  </si>
  <si>
    <t>$.rideSummary.scenes[5].score</t>
  </si>
  <si>
    <t>{
        "resort": "$.resort",
        "park": "$.park",
        "land": "$.land",
        "publisher": "$.publisher",
        "timestamp": "$.timestamp",
        "playerId": "$.playerId",
        "items": [
                {
                        "id": "actionMissionElMachoAttempt",
                        "count": 0,
                        "customData": [
                                {
                                        "key": "session",
                                        "value": "$.rideSummary.sessionId"
                                },
                                {
                                        "key": "scene",
                                        "value": "$.rideSummary.scenes[5].number@other()"
                                },
                                {
                                        "key": "score",
                                        "value": "$.rideSummary.scenes[5].score@other()",
                                        "updateType": "add"
                                }
                        ]
                }
        ]
}</t>
  </si>
  <si>
    <t>If active mission is missionElMacho AND scene score exists, update score in actionMissionElMachoAttempt in SCENE 7</t>
  </si>
  <si>
    <t>session: sessionId, scene:7</t>
  </si>
  <si>
    <t>score: scene 7 score</t>
  </si>
  <si>
    <t>$.rideSummary.scenes[6].score</t>
  </si>
  <si>
    <t>{
        "resort": "$.resort",
        "park": "$.park",
        "land": "$.land",
        "publisher": "$.publisher",
        "timestamp": "$.timestamp",
        "playerId": "$.playerId",
        "items": [
                {
                        "id": "actionMissionElMachoAttempt",
                        "count": 0,
                        "customData": [
                                {
                                        "key": "session",
                                        "value": "$.rideSummary.sessionId"
                                },
                                {
                                        "key": "scene",
                                        "value": "$.rideSummary.scenes[6].number@other()"
                                },
                                {
                                        "key": "score",
                                        "value": "$.rideSummary.scenes[6].score@other()",
                                        "updateType": "add"
                                }
                        ]
                }
        ]
}</t>
  </si>
  <si>
    <t>If active mission is missionStronghold, grant actionMissionStrongholdAttempt</t>
  </si>
  <si>
    <t>singleGameSumStat</t>
  </si>
  <si>
    <t>/^[A-Z0-9]{36}6$/ig</t>
  </si>
  <si>
    <t>{
        "resort": "$.resort",
        "park": "$.park",
        "land": "$.land",
        "publisher": "$.publisher",
        "timestamp": "$.timestamp",
        "playerId": "$.playerId",
        "items": [
                {
                        "id": "actionMissionStrongholdAttempt",
                        "count": 1,
                        "customData": [
                                {
                                        "key": "session",
                                        "value": "$.rideSummary.sessionId"
                                },
                                {
                                        "key": "scene",
                                        "value": 0
                                },
                                {
                                        "key": "hits",
                                        "value": 0
                                }
                        ]
                }
        ]
}</t>
  </si>
  <si>
    <t>If active mission is missionStronghold AND Environmental.* hits exists, update score in actionMissionStrongholdAttempt in SCENE 1</t>
  </si>
  <si>
    <t>hits</t>
  </si>
  <si>
    <t>$.rideSummary.scenes[0].events[?(@.id === 'Environmental.*')].stats[?(@.id === 'hits')].value</t>
  </si>
  <si>
    <t>{
        "resort": "$.resort",
        "park": "$.park",
        "land": "$.land",
        "publisher": "$.publisher",
        "timestamp": "$.timestamp",
        "playerId": "$.playerId",
        "items": [
                {
                        "id": "actionMissionStrongholdAttempt",
                        "count": 0,
                        "customData": [
                                {
                                        "key": "session",
                                        "value": "$.rideSummary.sessionId"
                                },
                                {
                                        "key": "scene",
                                        "value": "$.rideSummary.scenes[0].number@other()"
                                },  
                                {
                                        "key": "hits",
                                        "value": "$.rideSummary.scenes[0].events[?(@.id === 'Environmental.*')].stats[?(@.id === 'hits')].value@other()",
                                        "updateType": "add"
                                }
                        ]
                }
        ]
}</t>
  </si>
  <si>
    <t>If active mission is missionStronghold AND Environmental.* hits exists, update score in actionMissionStrongholdAttempt in SCENE 2</t>
  </si>
  <si>
    <t>$.rideSummary.scenes[1].events[?(@.id === 'Environmental.*')].stats[?(@.id === 'hits')].value</t>
  </si>
  <si>
    <t>{
        "resort": "$.resort",
        "park": "$.park",
        "land": "$.land",
        "publisher": "$.publisher",
        "timestamp": "$.timestamp",
        "playerId": "$.playerId",
        "items": [
                {
                        "id": "actionMissionStrongholdAttempt",
                        "count": 0,
                        "customData": [
                                {
                                        "key": "session",
                                        "value": "$.rideSummary.sessionId"
                                },
                                {
                                        "key": "scene",
                                        "value": "$.rideSummary.scenes[1].number@other()"
                                },  
                                {
                                        "key": "hits",
                                        "value": "$.rideSummary.scenes[1].events[?(@.id === 'Environmental.*')].stats[?(@.id === 'hits')].value@other()",
                                        "updateType": "add"
                                }
                        ]
                }
        ]
}</t>
  </si>
  <si>
    <t>If active mission is missionStronghold AND Environmental.* hits exists, update score in actionMissionStrongholdAttempt in SCENE 3</t>
  </si>
  <si>
    <t>$.rideSummary.scenes[2].events[?(@.id === 'Environmental.*')].stats[?(@.id === 'hits')].value</t>
  </si>
  <si>
    <t>{
        "resort": "$.resort",
        "park": "$.park",
        "land": "$.land",
        "publisher": "$.publisher",
        "timestamp": "$.timestamp",
        "playerId": "$.playerId",
        "items": [
                {
                        "id": "actionMissionStrongholdAttempt",
                        "count": 0,
                        "customData": [
                                {
                                        "key": "session",
                                        "value": "$.rideSummary.sessionId"
                                },
                                {
                                        "key": "scene",
                                        "value": "$.rideSummary.scenes[2].number@other()"
                                },  
                                {
                                        "key": "hits",
                                        "value": "$.rideSummary.scenes[2].events[?(@.id === 'Environmental.*')].stats[?(@.id === 'hits')].value@other()",
                                        "updateType": "add"
                                }
                        ]
                }
        ]
}</t>
  </si>
  <si>
    <t>If active mission is missionStronghold AND Environmental.* hits exists, update score in actionMissionStrongholdAttempt in SCENE 4</t>
  </si>
  <si>
    <t>$.rideSummary.scenes[3].events[?(@.id === 'Environmental.*')].stats[?(@.id === 'hits')].value</t>
  </si>
  <si>
    <t>{
        "resort": "$.resort",
        "park": "$.park",
        "land": "$.land",
        "publisher": "$.publisher",
        "timestamp": "$.timestamp",
        "playerId": "$.playerId",
        "items": [
                {
                        "id": "actionMissionStrongholdAttempt",
                        "count": 0,
                        "customData": [
                                {
                                        "key": "session",
                                        "value": "$.rideSummary.sessionId"
                                },
                                {
                                        "key": "scene",
                                        "value": "$.rideSummary.scenes[3].number@other()"
                                },  
                                {
                                        "key": "hits",
                                        "value": "$.rideSummary.scenes[3].events[?(@.id === 'Environmental.*')].stats[?(@.id === 'hits')].value@other()",
                                        "updateType": "add"
                                }
                        ]
                }
        ]
}</t>
  </si>
  <si>
    <t>If active mission is missionStronghold AND Environmental.* hits exists, update score in actionMissionStrongholdAttempt in SCENE 5</t>
  </si>
  <si>
    <t>$.rideSummary.scenes[4].events[?(@.id === 'Environmental.*')].stats[?(@.id === 'hits')].value</t>
  </si>
  <si>
    <t>{
        "resort": "$.resort",
        "park": "$.park",
        "land": "$.land",
        "publisher": "$.publisher",
        "timestamp": "$.timestamp",
        "playerId": "$.playerId",
        "items": [
                {
                        "id": "actionMissionStrongholdAttempt",
                        "count": 0,
                        "customData": [
                                {
                                        "key": "session",
                                        "value": "$.rideSummary.sessionId"
                                },
                                {
                                        "key": "scene",
                                        "value": "$.rideSummary.scenes[4].number@other()"
                                },  
                                {
                                        "key": "hits",
                                        "value": "$.rideSummary.scenes[4].events[?(@.id === 'Environmental.*')].stats[?(@.id === 'hits')].value@other()",
                                        "updateType": "add"
                                },
                        ]
                }
        ]
}</t>
  </si>
  <si>
    <t>If active mission is missionStronghold AND Environmental.* hits exists, update score in actionMissionStrongholdAttempt in SCENE 6</t>
  </si>
  <si>
    <t>{
        "resort": "$.resort",
        "park": "$.park",
        "land": "$.land",
        "publisher": "$.publisher",
        "timestamp": "$.timestamp",
        "playerId": "$.playerId",
        "items": [
                {
                        "id": "actionMissionStrongholdAttempt",
                        "count": 0,
                        "customData": [
                                {
                                        "key": "session",
                                        "value": "$.rideSummary.sessionId"
                                },
                                {
                                        "key": "scene",
                                        "value": "$.rideSummary.scenes[5].number@other()"
                                },  
                                {
                                        "key": "hits",
                                        "value": "$.rideSummary.scenes[5].events[?(@.id === 'Environmental.*')].stats[?(@.id === 'hits')].value@other()",
                                        "updateType": "add"
                                }
                        ]
                }
        ]
}</t>
  </si>
  <si>
    <t>If active mission is missionStronghold AND Environmental.* hits exists, update score in actionMissionStrongholdAttempt in SCENE 7</t>
  </si>
  <si>
    <t>$.rideSummary.scenes[6].events[?(@.id === 'Environmental.*')].stats[?(@.id === 'hits')].value</t>
  </si>
  <si>
    <t>{
        "resort": "$.resort",
        "park": "$.park",
        "land": "$.land",
        "publisher": "$.publisher",
        "timestamp": "$.timestamp",
        "playerId": "$.playerId",
        "items": [
                {
                        "id": "actionMissionStrongholdAttempt",
                        "count": 0,
                        "customData": [
                                {
                                        "key": "session",
                                        "value": "$.rideSummary.sessionId"
                                },
                                {
                                        "key": "scene",
                                        "value": "$.rideSummary.scenes[6].number@other()"
                                },  
                                {
                                        "key": "hits",
                                        "value": "$.rideSummary.scenes[6].events[?(@.id === 'Environmental.*')].stats[?(@.id === 'hits')].value@other()",
                                        "updateType": "add"
                                }
                        ]
                }
        ]
}</t>
  </si>
  <si>
    <t>If active mission is missionBelle, grant actionMissionBelleAttempt</t>
  </si>
  <si>
    <t>/^[A-Z0-9]{36}5$/ig</t>
  </si>
  <si>
    <t>{
        "resort": "$.resort",
        "park": "$.park",
        "land": "$.land",
        "publisher": "$.publisher",
        "timestamp": "$.timestamp",
        "playerId": "$.playerId",
        "items": [
                {
                        "id": "actionMissionBelleAttempt",
                        "count": 1,
                        "customData": [
                                {
                                        "key": "session",
                                        "value": "$.rideSummary.sessionId"
                                },
                                {
                                        "key": "scene",
                                        "value": 0
                                },
                                {
                                        "key": "hits",
                                        "value": 0
                                }
                        ]
                }
        ]
}</t>
  </si>
  <si>
    <t>If active mission is missionBelle AND Boss.* hits exists, update score in actionMissionBelleAttempt in SCENE 1</t>
  </si>
  <si>
    <t>$.rideSummary.scenes[0].events[?(@.id === 'Boss.*')].stats[?(@.id === 'hits')].value</t>
  </si>
  <si>
    <t>{
        "resort": "$.resort",
        "park": "$.park",
        "land": "$.land",
        "publisher": "$.publisher",
        "timestamp": "$.timestamp",
        "playerId": "$.playerId",
        "items": [
                {
                        "id": "actionMissionBelleAttempt",
                        "count": 0,
                        "customData": [
                                {
                                        "key": "session",
                                        "value": "$.rideSummary.sessionId"
                                },
                                {
                                        "key": "scene",
                                        "value": "$.rideSummary.scenes[0].number@other()"
                                },  
                                {
                                        "key": "hits",
                                        "value": "$.rideSummary.scenes[0].events[?(@.id === 'Boss.*')].stats[?(@.id === 'hits')].value@other()",
                                        "updateType": "add"
                                }
                        ]
                }
        ]
}</t>
  </si>
  <si>
    <t>If active mission is missionBelle AND Boss.* hits exists, update score in actionMissionBelleAttempt in SCENE 2</t>
  </si>
  <si>
    <t>$.rideSummary.scenes[1].events[?(@.id === 'Boss.*')].stats[?(@.id === 'hits')].value</t>
  </si>
  <si>
    <t>{
        "resort": "$.resort",
        "park": "$.park",
        "land": "$.land",
        "publisher": "$.publisher",
        "timestamp": "$.timestamp",
        "playerId": "$.playerId",
        "items": [
                {
                        "id": "actionMissionBelleAttempt",
                        "count": 0,
                        "customData": [
                                {
                                        "key": "session",
                                        "value": "$.rideSummary.sessionId"
                                },
                                {
                                        "key": "scene",
                                        "value": "$.rideSummary.scenes[1].number@other()"
                                },  
                                {
                                        "key": "hits",
                                        "value": "$.rideSummary.scenes[1].events[?(@.id === 'Boss.*')].stats[?(@.id === 'hits')].value@other()",
                                        "updateType": "add"
                                }
                        ]
                }
        ]
}</t>
  </si>
  <si>
    <t>If active mission is missionBelle AND Boss.* hits exists, update score in actionMissionBelleAttempt in SCENE 3</t>
  </si>
  <si>
    <t>$.rideSummary.scenes[2].events[?(@.id === 'Boss.*')].stats[?(@.id === 'hits')].value</t>
  </si>
  <si>
    <t>{
        "resort": "$.resort",
        "park": "$.park",
        "land": "$.land",
        "publisher": "$.publisher",
        "timestamp": "$.timestamp",
        "playerId": "$.playerId",
        "items": [
                {
                        "id": "actionMissionBelleAttempt",
                        "count": 0,
                        "customData": [
                                {
                                        "key": "session",
                                        "value": "$.rideSummary.sessionId"
                                },
                                {
                                        "key": "scene",
                                        "value": "$.rideSummary.scenes[2].number@other()"
                                },  
                                {
                                        "key": "hits",
                                        "value": "$.rideSummary.scenes[2].events[?(@.id === 'Boss.*')].stats[?(@.id === 'hits')].value@other()",
                                        "updateType": "add"
                                }
                        ]
                }
        ]
}</t>
  </si>
  <si>
    <t>If active mission is missionBelle AND Boss.* hits exists, update score in actionMissionBelleAttempt in SCENE 4</t>
  </si>
  <si>
    <t>$.rideSummary.scenes[3].events[?(@.id === 'Boss.*')].stats[?(@.id === 'hits')].value</t>
  </si>
  <si>
    <t>{
        "resort": "$.resort",
        "park": "$.park",
        "land": "$.land",
        "publisher": "$.publisher",
        "timestamp": "$.timestamp",
        "playerId": "$.playerId",
        "items": [
                {
                        "id": "actionMissionBelleAttempt",
                        "count": 0,
                        "customData": [
                                {
                                        "key": "session",
                                        "value": "$.rideSummary.sessionId"
                                },
                                {
                                        "key": "scene",
                                        "value": "$.rideSummary.scenes[3].number@other()"
                                },  
                                {
                                        "key": "hits",
                                        "value": "$.rideSummary.scenes[3].events[?(@.id === 'Boss.*')].stats[?(@.id === 'hits')].value@other()",
                                        "updateType": "add"
                                }
                        ]
                }
        ]
}</t>
  </si>
  <si>
    <t>If active mission is missionBelle AND Boss.* hits exists, update score in actionMissionBelleAttempt in SCENE 5</t>
  </si>
  <si>
    <t>$.rideSummary.scenes[4].events[?(@.id === 'Boss.*')].stats[?(@.id === 'hits')].value</t>
  </si>
  <si>
    <t>{
        "resort": "$.resort",
        "park": "$.park",
        "land": "$.land",
        "publisher": "$.publisher",
        "timestamp": "$.timestamp",
        "playerId": "$.playerId",
        "items": [
                {
                        "id": "actionMissionBelleAttempt",
                        "count": 0,
                        "customData": [
                                {
                                        "key": "session",
                                        "value": "$.rideSummary.sessionId"
                                },
                                {
                                        "key": "scene",
                                        "value": "$.rideSummary.scenes[4].number@other()"
                                },  
                                {
                                        "key": "hits",
                                        "value": "$.rideSummary.scenes[4].events[?(@.id === 'Boss.*')].stats[?(@.id === 'hits')].value@other()",
                                        "updateType": "add"
                                }
                        ]
                }
        ]
}</t>
  </si>
  <si>
    <t>If active mission is missionBelle AND Boss.* hits exists, update score in actionMissionBelleAttempt in SCENE 6</t>
  </si>
  <si>
    <t>$.rideSummary.scenes[5].events[?(@.id === 'Boss.*')].stats[?(@.id === 'hits')].value</t>
  </si>
  <si>
    <t>{
        "resort": "$.resort",
        "park": "$.park",
        "land": "$.land",
        "publisher": "$.publisher",
        "timestamp": "$.timestamp",
        "playerId": "$.playerId",
        "items": [
                {
                        "id": "actionMissionBelleAttempt",
                        "count": 0,
                        "customData": [
                                {
                                        "key": "session",
                                        "value": "$.rideSummary.sessionId"
                                },
                                {
                                        "key": "scene",
                                        "value": "$.rideSummary.scenes[5].number@other()"
                                },  
                                {
                                        "key": "hits",
                                        "value": "$.rideSummary.scenes[5].events[?(@.id === 'Boss.*')].stats[?(@.id === 'hits')].value@other()",
                                        "updateType": "add"
                                }
                        ]
                }
        ]
}</t>
  </si>
  <si>
    <t>If active mission is missionBelle AND Boss.* hits exists, update score in actionMissionBelleAttempt in SCENE 7</t>
  </si>
  <si>
    <t>$.rideSummary.scenes[6].events[?(@.id === 'Boss.*')].stats[?(@.id === 'hits')].value</t>
  </si>
  <si>
    <t>{
        "resort": "$.resort",
        "park": "$.park",
        "land": "$.land",
        "publisher": "$.publisher",
        "timestamp": "$.timestamp",
        "playerId": "$.playerId",
        "items": [
                {
                        "id": "actionMissionBelleAttempt",
                        "count": 0,
                        "customData": [
                                {
                                        "key": "session",
                                        "value": "$.rideSummary.sessionId"
                                },
                                {
                                        "key": "scene",
                                        "value": "$.rideSummary.scenes[6].number@other()"
                                },  
                                {
                                        "key": "hits",
                                        "value": "$.rideSummary.scenes[6].events[?(@.id === 'Boss.*')].stats[?(@.id === 'hits')].value@other()",
                                        "updateType": "add"
                                }
                        ]
                }
        ]
}</t>
  </si>
  <si>
    <t>If active mission is missionJeanClawed, grant actionMissionJeanClawedAttempt</t>
  </si>
  <si>
    <t>/^[A-Z0-9]{36}9$/ig</t>
  </si>
  <si>
    <t>{
        "resort": "$.resort",
        "park": "$.park",
        "land": "$.land",
        "publisher": "$.publisher",
        "timestamp": "$.timestamp",
        "playerId": "$.playerId",
        "items": [
                {
                        "id": "actionMissionJeanClawedAttempt",
                        "count": 1,
                        "customData": [
                                {
                                        "key": "session",
                                        "value": "$.rideSummary.sessionId"
                                },
                                {
                                        "key": "scene",
                                        "value": 0
                                },
                                {
                                        "key": "score",
                                        "value": 0
                                }
                        ]
                }
        ]
}</t>
  </si>
  <si>
    <t>If active mission is missionJeanClawed AND Pickup.pickupLoot.lootMedallionCommon|Pickup.pickupLoot.lootMedallionUncommon|Pickup.pickupLoot.lootMedallionRare score exists, update score in actionMissionJeanClawedAttempt in SCENE 1</t>
  </si>
  <si>
    <t>score: event score</t>
  </si>
  <si>
    <t>$.rideSummary.scenes[0].events[?(@.id === 'Pickup.pickupLoot.lootMedallionCommon' || @.id === 'Pickup.pickupLoot.lootMedallionUncommon') || @.id === 'Pickup.pickupLoot.lootMedallionRare')].score</t>
  </si>
  <si>
    <t>{
        "resort": "$.resort",
        "park": "$.park",
        "land": "$.land",
        "publisher": "$.publisher",
        "timestamp": "$.timestamp",
        "playerId": "$.playerId",
        "items": [
                {
                        "id": "actionMissionJeanClawedAttempt",
                        "count": 0,
                        "customData": [
                                {
                                        "key": "session",
                                        "value": "$.rideSummary.sessionId"
                                },
                                {
                                        "key": "scene",
                                        "value": "$.rideSummary.scenes[0].number@other()"
                                },  
                                {
                                        "key": "score",
                                        "value": "$.rideSummary.scenes[0].events[?(@.id === 'Pickup.pickupLoot.lootMedallionCommon')].score@other()",
                                        "updateType": "add"
                                },
                                {
                                        "key": "score",
                                        "value": "$.rideSummary.scenes[0].events[?(@.id === 'Pickup.pickupLoot.lootMedallionUncommon')].score@other()",
                                        "updateType": "add"
                                },
                                {
                                        "key": "score",
                                        "value": "$.rideSummary.scenes[0].events[?(@.id === 'Pickup.pickupLoot.lootMedallionRare')].score@other()",
                                        "updateType": "add"
                                }
                        ]
                }
        ]
}</t>
  </si>
  <si>
    <t>If active mission is missionJeanClawed AND Pickup.pickupLoot.lootMedallionCommon|Pickup.pickupLoot.lootMedallionUncommon|Pickup.pickupLoot.lootMedallionRare score exists, update score in actionMissionJeanClawedAttempt in SCENE 2</t>
  </si>
  <si>
    <t>$.rideSummary.scenes[1].events[?(@.id === 'Pickup.pickupLoot.lootMedallionCommon' || @.id === 'Pickup.pickupLoot.lootMedallionUncommon') || @.id === 'Pickup.pickupLoot.lootMedallionRare')].score</t>
  </si>
  <si>
    <t>{
        "resort": "$.resort",
        "park": "$.park",
        "land": "$.land",
        "publisher": "$.publisher",
        "timestamp": "$.timestamp",
        "playerId": "$.playerId",
        "items": [
                {
                        "id": "actionMissionJeanClawedAttempt",
                        "count": 0,
                        "customData": [
                                {
                                        "key": "session",
                                        "value": "$.rideSummary.sessionId"
                                },
                                {
                                        "key": "scene",
                                        "value": "$.rideSummary.scenes[1].number@other()"
                                },  
                                {
                                        "key": "score",
                                        "value": "$.rideSummary.scenes[1].events[?(@.id === 'Pickup.pickupLoot.lootMedallionCommon')].score@other()",
                                        "updateType": "add"
                                },
                                {
                                        "key": "score",
                                        "value": "$.rideSummary.scenes[1].events[?(@.id === 'Pickup.pickupLoot.lootMedallionUncommon')].score@other()",
                                        "updateType": "add"
                                },
                                {
                                        "key": "score",
                                        "value": "$.rideSummary.scenes[1].events[?(@.id === 'Pickup.pickupLoot.lootMedallionRare')].score@other()",
                                        "updateType": "add"
                                }
                        ]
                }
        ]
}</t>
  </si>
  <si>
    <t>If active mission is missionJeanClawed AND Pickup.pickupLoot.lootMedallionCommon|Pickup.pickupLoot.lootMedallionUncommon|Pickup.pickupLoot.lootMedallionRare score exists, update score in actionMissionJeanClawedAttempt in SCENE 3</t>
  </si>
  <si>
    <t>$.rideSummary.scenes[2].events[?(@.id === 'Pickup.pickupLoot.lootMedallionCommon' || @.id === 'Pickup.pickupLoot.lootMedallionUncommon') || @.id === 'Pickup.pickupLoot.lootMedallionRare')].score</t>
  </si>
  <si>
    <t>{
        "resort": "$.resort",
        "park": "$.park",
        "land": "$.land",
        "publisher": "$.publisher",
        "timestamp": "$.timestamp",
        "playerId": "$.playerId",
        "items": [
                {
                        "id": "actionMissionJeanClawedAttempt",
                        "count": 0,
                        "customData": [
                                {
                                        "key": "session",
                                        "value": "$.rideSummary.sessionId"
                                },
                                {
                                        "key": "scene",
                                        "value": "$.rideSummary.scenes[2].number@other()"
                                },  
                                {
                                        "key": "score",
                                        "value": "$.rideSummary.scenes[2].events[?(@.id === 'Pickup.pickupLoot.lootMedallionCommon')].score@other()",
                                        "updateType": "add"
                                },
                                {
                                        "key": "score",
                                        "value": "$.rideSummary.scenes[2].events[?(@.id === 'Pickup.pickupLoot.lootMedallionUncommon')].score@other()",
                                        "updateType": "add"
                                },
                                {
                                        "key": "score",
                                        "value": "$.rideSummary.scenes[2].events[?(@.id === 'Pickup.pickupLoot.lootMedallionRare')].score@other()",
                                        "updateType": "add"
                                }
                        ]
                }
        ]
}</t>
  </si>
  <si>
    <t>If active mission is missionJeanClawed AND Pickup.pickupLoot.lootMedallionCommon|Pickup.pickupLoot.lootMedallionUncommon|Pickup.pickupLoot.lootMedallionRare score exists, update score in actionMissionJeanClawedAttempt in SCENE 4</t>
  </si>
  <si>
    <t>$.rideSummary.scenes[3].events[?(@.id === 'Pickup.pickupLoot.lootMedallionCommon' || @.id === 'Pickup.pickupLoot.lootMedallionUncommon') || @.id === 'Pickup.pickupLoot.lootMedallionRare')].score</t>
  </si>
  <si>
    <t>{
        "resort": "$.resort",
        "park": "$.park",
        "land": "$.land",
        "publisher": "$.publisher",
        "timestamp": "$.timestamp",
        "playerId": "$.playerId",
        "items": [
                {
                        "id": "actionMissionJeanClawedAttempt",
                        "count": 0,
                        "customData": [
                                {
                                        "key": "session",
                                        "value": "$.rideSummary.sessionId"
                                },
                                {
                                        "key": "scene",
                                        "value": "$.rideSummary.scenes[3].number@other()"
                                },  
                                {
                                        "key": "score",
                                        "value": "$.rideSummary.scenes[3].events[?(@.id === 'Pickup.pickupLoot.lootMedallionCommon')].score@other()",
                                        "updateType": "add"
                                },
                                {
                                        "key": "score",
                                        "value": "$.rideSummary.scenes[3].events[?(@.id === 'Pickup.pickupLoot.lootMedallionUncommon')].score@other()",
                                        "updateType": "add"
                                },
                                {
                                        "key": "score",
                                        "value": "$.rideSummary.scenes[3].events[?(@.id === 'Pickup.pickupLoot.lootMedallionRare')].score@other()",
                                        "updateType": "add"
                                }
                        ]
                }
        ]
}</t>
  </si>
  <si>
    <t>If active mission is missionJeanClawed AND Pickup.pickupLoot.lootMedallionCommon|Pickup.pickupLoot.lootMedallionUncommon|Pickup.pickupLoot.lootMedallionRare score exists, update score in actionMissionJeanClawedAttempt in SCENE 5</t>
  </si>
  <si>
    <t>score: event5 score</t>
  </si>
  <si>
    <t>$.rideSummary.scenes[4].events[?(@.id === 'Pickup.pickupLoot.lootMedallionCommon' || @.id === 'Pickup.pickupLoot.lootMedallionUncommon') || @.id === 'Pickup.pickupLoot.lootMedallionRare')].score</t>
  </si>
  <si>
    <t>{
        "resort": "$.resort",
        "park": "$.park",
        "land": "$.land",
        "publisher": "$.publisher",
        "timestamp": "$.timestamp",
        "playerId": "$.playerId",
        "items": [
                {
                        "id": "actionMissionJeanClawedAttempt",
                        "count": 0,
                        "customData": [
                                {
                                        "key": "session",
                                        "value": "$.rideSummary.sessionId"
                                },
                                {
                                        "key": "scene",
                                        "value": "$.rideSummary.scenes[4].number@other()"
                                },  
                                {
                                        "key": "score",
                                        "value": "$.rideSummary.scenes[4].events[?(@.id === 'Pickup.pickupLoot.lootMedallionCommon')].score@other()",
                                        "updateType": "add"
                                },
                                {
                                        "key": "score",
                                        "value": "$.rideSummary.scenes[4].events[?(@.id === 'Pickup.pickupLoot.lootMedallionUncommon')].score@other()",
                                        "updateType": "add"
                                },
                                {
                                        "key": "score",
                                        "value": "$.rideSummary.scenes[4].events[?(@.id === 'Pickup.pickupLoot.lootMedallionRare')].score@other()",
                                        "updateType": "add"
                                }
                        ]
                }
        ]
}</t>
  </si>
  <si>
    <t>If active mission is missionJeanClawed AND Pickup.pickupLoot.lootMedallionCommon|Pickup.pickupLoot.lootMedallionUncommon|Pickup.pickupLoot.lootMedallionRare score exists, update score in actionMissionJeanClawedAttempt in SCENE 6</t>
  </si>
  <si>
    <t>$.rideSummary.scenes[5].events[?(@.id === 'Pickup.pickupLoot.lootMedallionCommon' || @.id === 'Pickup.pickupLoot.lootMedallionUncommon') || @.id === 'Pickup.pickupLoot.lootMedallionRare')].score</t>
  </si>
  <si>
    <t>{
        "resort": "$.resort",
        "park": "$.park",
        "land": "$.land",
        "publisher": "$.publisher",
        "timestamp": "$.timestamp",
        "playerId": "$.playerId",
        "items": [
                {
                        "id": "actionMissionJeanClawedAttempt",
                        "count": 0,
                        "customData": [
                                {
                                        "key": "session",
                                        "value": "$.rideSummary.sessionId"
                                },
                                {
                                        "key": "scene",
                                        "value": "$.rideSummary.scenes[5].number@other()"
                                },  
                                {
                                        "key": "score",
                                        "value": "$.rideSummary.scenes[5].events[?(@.id === 'Pickup.pickupLoot.lootMedallionCommon')].score@other()",
                                        "updateType": "add"
                                },
                                {
                                        "key": "score",
                                        "value": "$.rideSummary.scenes[5].events[?(@.id === 'Pickup.pickupLoot.lootMedallionUncommon')].score@other()",
                                        "updateType": "add"
                                },
                                {
                                        "key": "score",
                                        "value": "$.rideSummary.scenes[5].events[?(@.id === 'Pickup.pickupLoot.lootMedallionRare')].score@other()",
                                        "updateType": "add"
                                }
                        ]
                }
        ]
}</t>
  </si>
  <si>
    <t>If active mission is missionJeanClawed AND Pickup.pickupLoot.lootMedallionCommon|Pickup.pickupLoot.lootMedallionUncommon|Pickup.pickupLoot.lootMedallionRare score exists, update score in actionMissionJeanClawedAttempt in SCENE 7</t>
  </si>
  <si>
    <t>$.rideSummary.scenes[6].events[?(@.id === 'Pickup.pickupLoot.lootMedallionCommon' || @.id === 'Pickup.pickupLoot.lootMedallionUncommon') || @.id === 'Pickup.pickupLoot.lootMedallionRare')].score</t>
  </si>
  <si>
    <t>{
        "resort": "$.resort",
        "park": "$.park",
        "land": "$.land",
        "publisher": "$.publisher",
        "timestamp": "$.timestamp",
        "playerId": "$.playerId",
        "items": [
                {
                        "id": "actionMissionJeanClawedAttempt",
                        "count": 0,
                        "customData": [
                                {
                                        "key": "session",
                                        "value": "$.rideSummary.sessionId"
                                },
                                {
                                        "key": "scene",
                                        "value": "$.rideSummary.scenes[6].number@other()"
                                },  
                                {
                                        "key": "score",
                                        "value": "$.rideSummary.scenes[6].events[?(@.id === 'Pickup.pickupLoot.lootMedallionCommon')].score@other()",
                                        "updateType": "add"
                                },
                                {
                                        "key": "score",
                                        "value": "$.rideSummary.scenes[6].events[?(@.id === 'Pickup.pickupLoot.lootMedallionUncommon')].score@other()",
                                        "updateType": "add"
                                },
                                {
                                        "key": "score",
                                        "value": "$.rideSummary.scenes[6].events[?(@.id === 'Pickup.pickupLoot.lootMedallionRare')].score@other()",
                                        "updateType": "add"
                                }
                        ]
                }
        ]
}</t>
  </si>
  <si>
    <t>grant actionMinionsHit, initialize "hits" stat to 0</t>
  </si>
  <si>
    <t>session: sessionId, scene: 0, hits: 0</t>
  </si>
  <si>
    <t>{
        "resort": "$.resort",
        "park": "$.park",
        "land": "$.land",
        "publisher": "$.publisher",
        "timestamp": "$.timestamp",
        "playerId": "$.playerId",
        "items": [
                {
                        "id": "actionMinionsHit",
                        "count": 1,
                        "customData": [
                                {
                                        "key": "session",
                                        "value": "$.rideSummary.sessionId"
                                },
                                {
                                        "key": "scene",
                                        "value": 0
                                },
                                {
                                        "key": "hits",
                                        "value": 0
                                }
                        ]
                }
        ]
}</t>
  </si>
  <si>
    <t>if any minion is hit, update actionMinionsHit in SCENE 1</t>
  </si>
  <si>
    <t>hits: minion hit count</t>
  </si>
  <si>
    <t>$.rideSummary.scenes[0].events[?(@.id === 'Mob.mobMinion.*')].stats[?(@.id === 'hits')].value</t>
  </si>
  <si>
    <t>{
        "resort": "$.resort",
        "park": "$.park",
        "land": "$.land",
        "publisher": "$.publisher",
        "timestamp": "$.timestamp",
        "playerId": "$.playerId",
        "items": [
                {
                        "id": "actionMinionsHit",
                        "count": 0,
                        "customData": [
                                {
                                        "key": "session",
                                        "value": "$.rideSummary.sessionId"
                                },
                                {
                                        "key": "scene",
                                        "value": "$.rideSummary.scenes[0].number@other()"
                                },
                                {
                                        "key": "hits",
                                        "value": "$.rideSummary.scenes[0].events[?(@.id === 'Mob.mobMinion.*')].stats[?(@.id === 'hits')].value@other()",
                                        "updateType": "add"
                                }
                        ]
                }
        ]
}</t>
  </si>
  <si>
    <t>if any minion is hit, update actionMinionsHit in SCENE 2</t>
  </si>
  <si>
    <t>$.rideSummary.scenes[1].events[?(@.id === 'Mob.mobMinion.*')].stats[?(@.id === 'hits')].value</t>
  </si>
  <si>
    <t>{
        "resort": "$.resort",
        "park": "$.park",
        "land": "$.land",
        "publisher": "$.publisher",
        "timestamp": "$.timestamp",
        "playerId": "$.playerId",
        "items": [
                {
                        "id": "actionMinionsHit",
                        "count": 0,
                        "customData": [
                                {
                                        "key": "session",
                                        "value": "$.rideSummary.sessionId"
                                },
                                {
                                        "key": "scene",
                                        "value": "$.rideSummary.scenes[1].number@other()"
                                },
                                {
                                        "key": "hits",
                                        "value": "$.rideSummary.scenes[1].events[?(@.id === 'Mob.mobMinion.*')].stats[?(@.id === 'hits')].value@other()",
                                        "updateType": "add"
                                }
                        ]
                }
        ]
}</t>
  </si>
  <si>
    <t>if any minion is hit, update actionMinionsHit in SCENE 3</t>
  </si>
  <si>
    <t>$.rideSummary.scenes[2].events[?(@.id === 'Mob.mobMinion.*')].stats[?(@.id === 'hits')].value</t>
  </si>
  <si>
    <t>{
        "resort": "$.resort",
        "park": "$.park",
        "land": "$.land",
        "publisher": "$.publisher",
        "timestamp": "$.timestamp",
        "playerId": "$.playerId",
        "items": [
                {
                        "id": "actionMinionsHit",
                        "count": 0,
                        "customData": [
                                {
                                        "key": "session",
                                        "value": "$.rideSummary.sessionId"
                                },
                                {
                                        "key": "scene",
                                        "value": "$.rideSummary.scenes[2].number@other()"
                                },
                                {
                                        "key": "hits",
                                        "value": "$.rideSummary.scenes[2].events[?(@.id === 'Mob.mobMinion.*')].stats[?(@.id === 'hits')].value@other()",
                                        "updateType": "add"
                                }
                        ]
                }
        ]
}</t>
  </si>
  <si>
    <t>if any minion is hit, update actionMinionsHit in SCENE 4</t>
  </si>
  <si>
    <t>$.rideSummary.scenes[3].events[?(@.id === 'Mob.mobMinion.*')].stats[?(@.id === 'hits')].value</t>
  </si>
  <si>
    <t>{
        "resort": "$.resort",
        "park": "$.park",
        "land": "$.land",
        "publisher": "$.publisher",
        "timestamp": "$.timestamp",
        "playerId": "$.playerId",
        "items": [
                {
                        "id": "actionMinionsHit",
                        "count": 0,
                        "customData": [
                                {
                                        "key": "session",
                                        "value": "$.rideSummary.sessionId"
                                },
                                {
                                        "key": "scene",
                                        "value": "$.rideSummary.scenes[3].number@other()"
                                },
                                {
                                        "key": "hits",
                                        "value": "$.rideSummary.scenes[3].events[?(@.id === 'Mob.mobMinion.*')].stats[?(@.id === 'hits')].value@other()",
                                        "updateType": "add"
                                }
                        ]
                }
        ]
}</t>
  </si>
  <si>
    <t>if any minion is hit, update actionMinionsHit in SCENE 5</t>
  </si>
  <si>
    <t>$.rideSummary.scenes[4].events[?(@.id === 'Mob.mobMinion.*')].stats[?(@.id === 'hits')].value</t>
  </si>
  <si>
    <t>{
        "resort": "$.resort",
        "park": "$.park",
        "land": "$.land",
        "publisher": "$.publisher",
        "timestamp": "$.timestamp",
        "playerId": "$.playerId",
        "items": [
                {
                        "id": "actionMinionsHit",
                        "count": 0,
                        "customData": [
                                {
                                        "key": "session",
                                        "value": "$.rideSummary.sessionId"
                                },
                                {
                                        "key": "scene",
                                        "value": "$.rideSummary.scenes[4].number@other()"
                                },
                                {
                                        "key": "hits",
                                        "value": "$.rideSummary.scenes[4].events[?(@.id === 'Mob.mobMinion.*')].stats[?(@.id === 'hits')].value@other()",
                                        "updateType": "add"
                                }
                        ]
                }
        ]
}</t>
  </si>
  <si>
    <t>if any minion is hit, update actionMinionsHit in SCENE 6</t>
  </si>
  <si>
    <t>$.rideSummary.scenes[5].events[?(@.id === 'Mob.mobMinion.*')].stats[?(@.id === 'hits')].value</t>
  </si>
  <si>
    <t>{
        "resort": "$.resort",
        "park": "$.park",
        "land": "$.land",
        "publisher": "$.publisher",
        "timestamp": "$.timestamp",
        "playerId": "$.playerId",
        "items": [
                {
                        "id": "actionMinionsHit",
                        "count": 0,
                        "customData": [
                                {
                                        "key": "session",
                                        "value": "$.rideSummary.sessionId"
                                },
                                {
                                        "key": "scene",
                                        "value": "$.rideSummary.scenes[5].number@other()"
                                },
                                {
                                        "key": "hits",
                                        "value": "$.rideSummary.scenes[5].events[?(@.id === 'Mob.mobMinion.*')].stats[?(@.id === 'hits')].value@other()",
                                        "updateType": "add"
                                }
                        ]
                }
        ]
}</t>
  </si>
  <si>
    <t>if any minion is hit, update actionMinionsHit in SCENE 7</t>
  </si>
  <si>
    <t>$.rideSummary.scenes[6].events[?(@.id === 'Mob.mobMinion.*')].stats[?(@.id === 'hits')].value</t>
  </si>
  <si>
    <t>{
        "resort": "$.resort",
        "park": "$.park",
        "land": "$.land",
        "publisher": "$.publisher",
        "timestamp": "$.timestamp",
        "playerId": "$.playerId",
        "items": [
                {
                        "id": "actionMinionsHit",
                        "count": 0,
                        "customData": [
                                {
                                        "key": "session",
                                        "value": "$.rideSummary.sessionId"
                                },
                                {
                                        "key": "scene",
                                        "value": "$.rideSummary.scenes[6].number@other()"
                                },
                                {
                                        "key": "hits",
                                        "value": "$.rideSummary.scenes[6].events[?(@.id === 'Mob.mobMinion.*')].stats[?(@.id === 'hits')].value@other()",
                                        "updateType": "add"
                                }
                        ]
                }
        ]
}</t>
  </si>
  <si>
    <t>if active mission is missionScarlet, grant actionMissionScarletAttempt, initialize "destroys" to 0</t>
  </si>
  <si>
    <t>if active mission is missionSvengeance, grant actionMissionSvengeanceAttempt, initialize "destroys" to 0</t>
  </si>
  <si>
    <t>session: sessionId, scene: 0, destroys: 0</t>
  </si>
  <si>
    <t>/^[A-Z0-9]{36}2$/ig</t>
  </si>
  <si>
    <t>{
        "resort": "$.resort",
        "park": "$.park",
        "land": "$.land",
        "publisher": "$.publisher",
        "timestamp": "$.timestamp",
        "playerId": "$.playerId",
        "items": [
                {
                        "id": "actionMissionScarletAttempt",
                        "count": 1,
                        "customData": [
                                {
                                        "key": "session",
                                        "value": "$.rideSummary.sessionId"
                                },
                                {
                                        "key": "scene",
                                        "value": 0
                                },
                                {
                                        "key": "destroys",
                                        "value": 0
                                }
                        ]
                }
        ]
}</t>
  </si>
  <si>
    <t>if active mission is missionScarlet AND any minion has a burns/freezes/shocks/knockdowns, update actionMissionScarletAttempt in SCENE 1</t>
  </si>
  <si>
    <t>elemental destroys</t>
  </si>
  <si>
    <t>destroys: minion burns+freezes+shocks+knockdowns count</t>
  </si>
  <si>
    <t>$.rideSummary.scenes[0].events[?(@.id === 'Mob.mobMinion.*')].stats[?(@.id === 'burns' || @.id === 'freezes' || @.id === 'shocks' || @.id === 'knockdowns')].value</t>
  </si>
  <si>
    <t>{
        "resort": "$.resort",
        "park": "$.park",
        "land": "$.land",
        "publisher": "$.publisher",
        "timestamp": "$.timestamp",
        "playerId": "$.playerId",
        "items": [
                {
                        "id": "actionMissionScarletAttempt",
                        "count": 0,
                        "customData": [
                                {
                                        "key": "session",
                                        "value": "$.rideSummary.sessionId"
                                },
                                {
                                        "key": "scene",
                                        "value": "$.rideSummary.scenes[0].number@other()"
                                },
                                {
                                        "key": "destroys",
                                        "value": "$.rideSummary.scenes[0].events[?(@.id === 'Mob.mobMinion.*')].stats[?(@.id === 'burns')].value@other()",
                                        "updateType": "add"
                                },
                                {
                                        "key": "destroys",
                                        "value": "$.rideSummary.scenes[0].events[?(@.id === 'Mob.mobMinion.*')].stats[?(@.id === 'freezes')].value@other()",
                                        "updateType": "add"
                                },
                                {
                                        "key": "destroys",
                                        "value": "$.rideSummary.scenes[0].events[?(@.id === 'Mob.mobMinion.*')].stats[?(@.id === 'shocks')].value@other()",
                                        "updateType": "add"
                                },
                                {
                                        "key": "destroys",
                                        "value": "$.rideSummary.scenes[0].events[?(@.id === 'Mob.mobMinion.*')].stats[?(@.id === 'knockdowns')].value@other()",
                                        "updateType": "add"
                                }
                        ]
                }
        ]
}</t>
  </si>
  <si>
    <t>if active mission is missionScarlet AND any minion has a burns/freezes/shocks/knockdowns, update actionMissionScarletAttempt in SCENE 2</t>
  </si>
  <si>
    <t>$.rideSummary.scenes[1].events[?(@.id === 'Mob.mobMinion.*')].stats[?(@.id === 'burns' || @.id === 'freezes' || @.id === 'shocks' || @.id === 'knockdowns')].value</t>
  </si>
  <si>
    <t>{
        "resort": "$.resort",
        "park": "$.park",
        "land": "$.land",
        "publisher": "$.publisher",
        "timestamp": "$.timestamp",
        "playerId": "$.playerId",
        "items": [
                {
                        "id": "actionMissionScarletAttempt",
                        "count": 0,
                        "customData": [
                                {
                                        "key": "session",
                                        "value": "$.rideSummary.sessionId"
                                },
                                {
                                        "key": "scene",
                                        "value": "$.rideSummary.scenes[1].number@other()"
                                },
                                {
                                        "key": "destroys",
                                        "value": "$.rideSummary.scenes[1].events[?(@.id === 'Mob.mobMinion.*')].stats[?(@.id === 'burns')].value@other()",
                                        "updateType": "add"
                                },
                                {
                                        "key": "destroys",
                                        "value": "$.rideSummary.scenes[1].events[?(@.id === 'Mob.mobMinion.*')].stats[?(@.id === 'freezes')].value@other()",
                                        "updateType": "add"
                                },
                                {
                                        "key": "destroys",
                                        "value": "$.rideSummary.scenes[1].events[?(@.id === 'Mob.mobMinion.*')].stats[?(@.id === 'shocks')].value@other()",
                                        "updateType": "add"
                                },
                                {
                                        "key": "destroys",
                                        "value": "$.rideSummary.scenes[1].events[?(@.id === 'Mob.mobMinion.*')].stats[?(@.id === 'knockdowns')].value@other()",
                                        "updateType": "add"
                                }
                        ]
                }
        ]
}</t>
  </si>
  <si>
    <t>if active mission is missionScarlet AND any minion has a burns/freezes/shocks/knockdowns, update actionMissionScarletAttempt in SCENE 3</t>
  </si>
  <si>
    <t>$.rideSummary.scenes[2].events[?(@.id === 'Mob.mobMinion.*')].stats[?(@.id === 'burns' || @.id === 'freezes' || @.id === 'shocks' || @.id === 'knockdowns')].value</t>
  </si>
  <si>
    <t>{
        "resort": "$.resort",
        "park": "$.park",
        "land": "$.land",
        "publisher": "$.publisher",
        "timestamp": "$.timestamp",
        "playerId": "$.playerId",
        "items": [
                {
                        "id": "actionMissionScarletAttempt",
                        "count": 0,
                        "customData": [
                                {
                                        "key": "session",
                                        "value": "$.rideSummary.sessionId"
                                },
                                {
                                        "key": "scene",
                                        "value": "$.rideSummary.scenes[2].number@other()"
                                },
                                {
                                        "key": "destroys",
                                        "value": "$.rideSummary.scenes[2].events[?(@.id === 'Mob.mobMinion.*')].stats[?(@.id === 'burns')].value@other()",
                                        "updateType": "add"
                                },
                                {
                                        "key": "destroys",
                                        "value": "$.rideSummary.scenes[2].events[?(@.id === 'Mob.mobMinion.*')].stats[?(@.id === 'freezes')].value@other()",
                                        "updateType": "add"
                                },
                                {
                                        "key": "destroys",
                                        "value": "$.rideSummary.scenes[2].events[?(@.id === 'Mob.mobMinion.*')].stats[?(@.id === 'shocks')].value@other()",
                                        "updateType": "add"
                                },
                                {
                                        "key": "destroys",
                                        "value": "$.rideSummary.scenes[2].events[?(@.id === 'Mob.mobMinion.*')].stats[?(@.id === 'knockdowns')].value@other()",
                                        "updateType": "add"
                                }
                        ]
                }
        ]
}</t>
  </si>
  <si>
    <t>if active mission is missionScarlet AND any minion has a burns/freezes/shocks/knockdowns, update actionMissionScarletAttempt in SCENE 4</t>
  </si>
  <si>
    <t>$.rideSummary.scenes[3].events[?(@.id === 'Mob.mobMinion.*')].stats[?(@.id === 'burns' || @.id === 'freezes' || @.id === 'shocks' || @.id === 'knockdowns')].value</t>
  </si>
  <si>
    <t>{
        "resort": "$.resort",
        "park": "$.park",
        "land": "$.land",
        "publisher": "$.publisher",
        "timestamp": "$.timestamp",
        "playerId": "$.playerId",
        "items": [
                {
                        "id": "actionMissionScarletAttempt",
                        "count": 0,
                        "customData": [
                                {
                                        "key": "session",
                                        "value": "$.rideSummary.sessionId"
                                },
                                {
                                        "key": "scene",
                                        "value": "$.rideSummary.scenes[3].number@other()"
                                },
                                {
                                        "key": "destroys",
                                        "value": "$.rideSummary.scenes[3].events[?(@.id === 'Mob.mobMinion.*')].stats[?(@.id === 'burns')].value@other()",
                                        "updateType": "add"
                                },
                                {
                                        "key": "destroys",
                                        "value": "$.rideSummary.scenes[3].events[?(@.id === 'Mob.mobMinion.*')].stats[?(@.id === 'freezes')].value@other()",
                                        "updateType": "add"
                                },
                                {
                                        "key": "destroys",
                                        "value": "$.rideSummary.scenes[3].events[?(@.id === 'Mob.mobMinion.*')].stats[?(@.id === 'shocks')].value@other()",
                                        "updateType": "add"
                                },
                                {
                                        "key": "destroys",
                                        "value": "$.rideSummary.scenes[3].events[?(@.id === 'Mob.mobMinion.*')].stats[?(@.id === 'knockdowns')].value@other()",
                                        "updateType": "add"
                                }
                        ]
                }
        ]
}</t>
  </si>
  <si>
    <t>if active mission is missionScarlet AND any minion has a burns/freezes/shocks/knockdowns, update actionMissionScarletAttempt in SCENE 5</t>
  </si>
  <si>
    <t>$.rideSummary.scenes[4].events[?(@.id === 'Mob.mobMinion.*')].stats[?(@.id === 'burns' || @.id === 'freezes' || @.id === 'shocks' || @.id === 'knockdowns')].value</t>
  </si>
  <si>
    <t>{
        "resort": "$.resort",
        "park": "$.park",
        "land": "$.land",
        "publisher": "$.publisher",
        "timestamp": "$.timestamp",
        "playerId": "$.playerId",
        "items": [
                {
                        "id": "actionMissionScarletAttempt",
                        "count": 0,
                        "customData": [
                                {
                                        "key": "session",
                                        "value": "$.rideSummary.sessionId"
                                },
                                {
                                        "key": "scene",
                                        "value": "$.rideSummary.scenes[4].number@other()"
                                },
                                {
                                        "key": "destroys",
                                        "value": "$.rideSummary.scenes[4].events[?(@.id === 'Mob.mobMinion.*')].stats[?(@.id === 'burns')].value@other()",
                                        "updateType": "add"
                                },
                                {
                                        "key": "destroys",
                                        "value": "$.rideSummary.scenes[4].events[?(@.id === 'Mob.mobMinion.*')].stats[?(@.id === 'freezes')].value@other()",
                                        "updateType": "add"
                                },
                                {
                                        "key": "destroys",
                                        "value": "$.rideSummary.scenes[4].events[?(@.id === 'Mob.mobMinion.*')].stats[?(@.id === 'shocks')].value@other()",
                                        "updateType": "add"
                                },
                                {
                                        "key": "destroys",
                                        "value": "$.rideSummary.scenes[4].events[?(@.id === 'Mob.mobMinion.*')].stats[?(@.id === 'knockdowns')].value@other()",
                                        "updateType": "add"
                                }
                        ]
                }
        ]
}</t>
  </si>
  <si>
    <t>if active mission is missionScarlet AND any minion has a burns/freezes/shocks/knockdowns, update actionMissionScarletAttempt in SCENE 6</t>
  </si>
  <si>
    <t>$.rideSummary.scenes[5].events[?(@.id === 'Mob.mobMinion.*')].stats[?(@.id === 'burns' || @.id === 'freezes' || @.id === 'shocks' || @.id === 'knockdowns')].value</t>
  </si>
  <si>
    <t>{
        "resort": "$.resort",
        "park": "$.park",
        "land": "$.land",
        "publisher": "$.publisher",
        "timestamp": "$.timestamp",
        "playerId": "$.playerId",
        "items": [
                {
                        "id": "actionMissionScarletAttempt",
                        "count": 0,
                        "customData": [
                                {
                                        "key": "session",
                                        "value": "$.rideSummary.sessionId"
                                },
                                {
                                        "key": "scene",
                                        "value": "$.rideSummary.scenes[5].number@other()"
                                },
                                {
                                        "key": "destroys",
                                        "value": "$.rideSummary.scenes[5].events[?(@.id === 'Mob.mobMinion.*')].stats[?(@.id === 'burns')].value@other()",
                                        "updateType": "add"
                                },
                                {
                                        "key": "destroys",
                                        "value": "$.rideSummary.scenes[5].events[?(@.id === 'Mob.mobMinion.*')].stats[?(@.id === 'freezes')].value@other()",
                                        "updateType": "add"
                                },
                                {
                                        "key": "destroys",
                                        "value": "$.rideSummary.scenes[5].events[?(@.id === 'Mob.mobMinion.*')].stats[?(@.id === 'shocks')].value@other()",
                                        "updateType": "add"
                                },
                                {
                                        "key": "destroys",
                                        "value": "$.rideSummary.scenes[5].events[?(@.id === 'Mob.mobMinion.*')].stats[?(@.id === 'knockdowns')].value@other()",
                                        "updateType": "add"
                                }
                        ]
                }
        ]
}</t>
  </si>
  <si>
    <t>if active mission is missionScarlet AND any minion has a burns/freezes/shocks/knockdowns, update actionMissionScarletAttempt in SCENE 7</t>
  </si>
  <si>
    <t>{
        "resort": "$.resort",
        "park": "$.park",
        "land": "$.land",
        "publisher": "$.publisher",
        "timestamp": "$.timestamp",
        "playerId": "$.playerId",
        "items": [
                {
                        "id": "actionMissionScarletAttempt",
                        "count": 0,
                        "customData": [
                                {
                                        "key": "session",
                                        "value": "$.rideSummary.sessionId"
                                },
                                {
                                        "key": "scene",
                                        "value": "$.rideSummary.scenes[6].number@other()"
                                },
                                {
                                        "key": "destroys",
                                        "value": "$.rideSummary.scenes[6].events[?(@.id === 'Mob.mobMinion.*')].stats[?(@.id === 'burns')].value@other()",
                                        "updateType": "add"
                                },
                                {
                                        "key": "destroys",
                                        "value": "$.rideSummary.scenes[6].events[?(@.id === 'Mob.mobMinion.*')].stats[?(@.id === 'freezes')].value@other()",
                                        "updateType": "add"
                                },
                                {
                                        "key": "destroys",
                                        "value": "$.rideSummary.scenes[6].events[?(@.id === 'Mob.mobMinion.*')].stats[?(@.id === 'shocks')].value@other()",
                                        "updateType": "add"
                                },
                                {
                                        "key": "destroys",
                                        "value": "$.rideSummary.scenes[6].events[?(@.id === 'Mob.mobMinion.*')].stats[?(@.id === 'knockdowns')].value@other()",
                                        "updateType": "add"
                                }
                        ]
                }
        ]
}</t>
  </si>
  <si>
    <t>if active mission is missionNunchuck, grant actionMissionNunchuckAttempt, initialize "destroys" to 0</t>
  </si>
  <si>
    <t>destroys</t>
  </si>
  <si>
    <t>/^[A-Z0-9]{36}7$/ig</t>
  </si>
  <si>
    <t>{
        "resort": "$.resort",
        "park": "$.park",
        "land": "$.land",
        "publisher": "$.publisher",
        "timestamp": "$.timestamp",
        "playerId": "$.playerId",
        "items": [
                {
                        "id": "actionMissionNunchuckAttempt",
                        "count": 1,
                        "customData": [
                                {
                                        "key": "session",
                                        "value": "$.rideSummary.sessionId"
                                },
                                {
                                        "key": "scene",
                                        "value": 0
                                },
                                {
                                        "key": "destroys",
                                        "value": 0
                                }
                        ]
                }
        ]
}</t>
  </si>
  <si>
    <t>if active mission is missionNunchuck AND MinionJetpack|Mob.mobFlyingDrone.*|Environmental.envDestructible.sc03NoteMissle|Environmental.envDestructible.sc03Cloud|Environmental.envDestructible.sc05Blimp|Environmental.envDestructible.sc06RecordVinyl|Environmental.envDestructible.sc06RecordGold|Environmental.envDestructible.sc06RecordPlatinum|Environmental.envDestructible.sc06RecordDiamond|Environmental.envDestructible.sc06BubbleLarge|Environmental.envDestructible.sc06BubbleMedium|Environmental.envDestructible.sc06BubbleSmall has a destroys, update actionMissionNunchuckAttempt in SCENE 1</t>
  </si>
  <si>
    <t>destroys: destroys count</t>
  </si>
  <si>
    <t>$.rideSummary.scenes[0].events[?(@.id === 'Mob.mobMinion.MinionJetpack' || @.id === 'Mob.mobFlyingDrone.*' || @.id === 'Environmental.envDestructible.sc03NoteMissle' || @.id === 'Environmental.envDestructible.sc03Cloud' || @.id === 'Environmental.envDestructible.sc05Blimp' || @.id === 'Environmental.envDestructible.sc06RecordVinyl' || @.id === 'Environmental.envDestructible.sc06RecordGold' || @.id === 'Environmental.envDestructible.sc06RecordPlatinum' || @.id === 'Environmental.envDestructible.sc06RecordDiamond' || @.id === 'Environmental.envDestructible.sc06BubbleLarge' || @.id === 'Environmental.envDestructible.sc06BubbleMedium' || @.id === 'Environmental.envDestructible.sc06BubbleSmall')].stats[?(@.id === 'destroys')].value</t>
  </si>
  <si>
    <t>{
        "resort": "$.resort",
        "park": "$.park",
        "land": "$.land",
        "publisher": "$.publisher",
        "timestamp": "$.timestamp",
        "playerId": "$.playerId",
        "items": [
                {
                        "id": "actionMissionNunchuckAttempt",
                        "count": 0,
                        "customData": [
                                {
                                        "key": "session",
                                        "value": "$.rideSummary.sessionId"
                                },
                                {
                                        "key": "scene",
                                        "value": "$.rideSummary.scenes[0].number@other()"
                                },
                                {
                                        "key": "destroys",
                                        "value": "$.rideSummary.scenes[0].events[?(@.id === 'Mob.mobMinion.MinionJetpack')].stats[?(@.id === 'destroys')].value@other()",
                                        "updateType": "add"
                                },
                                {
                                        "key": "destroys",
                                        "value": "$.rideSummary.scenes[0].events[?(@.id === 'Mob.mobFlyingDrone.*')].stats[?(@.id === 'destroys')].value@other()",
                                        "updateType": "add"
                                },
                                {
                                        "key": "destroys",
                                        "value": "$.rideSummary.scenes[0].events[?(@.id === 'Environmental.envDestructible.sc03NoteMissle')].stats[?(@.id === 'destroys')].value@other()",
                                        "updateType": "add"
                                },
                                {
                                        "key": "destroys",
                                        "value": "$.rideSummary.scenes[0].events[?(@.id === 'Environmental.envDestructible.sc03Cloud')].stats[?(@.id === 'destroys')].value@other()",
                                        "updateType": "add"
                                },
                                {
                                        "key": "destroys",
                                        "value": "$.rideSummary.scenes[0].events[?(@.id === 'Environmental.envDestructible.sc05Blimp')].stats[?(@.id === 'destroys')].value@other()",
                                        "updateType": "add"
                                },
                                {
                                        "key": "destroys",
                                        "value": "$.rideSummary.scenes[0].events[?(@.id === 'Environmental.envDestructible.sc06RecordVinyl')].stats[?(@.id === 'destroys')].value@other()",
                                        "updateType": "add"
                                },
                                {
                                        "key": "destroys",
                                        "value": "$.rideSummary.scenes[0].events[?(@.id === 'Environmental.envDestructible.sc06RecordGold')].stats[?(@.id === 'destroys')].value@other()",
                                        "updateType": "add"
                                },
                                {
                                        "key": "destroys",
                                        "value": "$.rideSummary.scenes[0].events[?(@.id === 'Environmental.envDestructible.sc06RecordPlatinum')].stats[?(@.id === 'destroys')].value@other()",
                                        "updateType": "add"
                                },
                                {
                                        "key": "destroys",
                                        "value": "$.rideSummary.scenes[0].events[?(@.id === 'Environmental.envDestructible.sc06RecordDiamond')].stats[?(@.id === 'destroys')].value@other()",
                                        "updateType": "add"
                                },
                                {
                                        "key": "destroys",
                                        "value": "$.rideSummary.scenes[0].events[?(@.id === 'Environmental.envDestructible.sc06BubbleLarge')].stats[?(@.id === 'destroys')].value@other()",
                                        "updateType": "add"
                                },
                                {
                                        "key": "destroys",
                                        "value": "$.rideSummary.scenes[0].events[?(@.id === 'Environmental.envDestructible.sc06BubbleMedium')].stats[?(@.id === 'destroys')].value@other()",
                                        "updateType": "add"
                                },
                                {
                                        "key": "destroys",
                                        "value": "$.rideSummary.scenes[0].events[?(@.id === 'Environmental.envDestructible.sc06BubbleSmall')].stats[?(@.id === 'destroys')].value@other()",
                                        "updateType": "add"
                                }
                        ]
                }
        ]
}</t>
  </si>
  <si>
    <t>if active mission is missionNunchuck AND MinionJetpack|Mob.mobFlyingDrone.*|Environmental.envDestructible.sc03NoteMissle|Environmental.envDestructible.sc03Cloud|Environmental.envDestructible.sc05Blimp|Environmental.envDestructible.sc06RecordVinyl|Environmental.envDestructible.sc06RecordGold|Environmental.envDestructible.sc06RecordPlatinum|Environmental.envDestructible.sc06RecordDiamond|Environmental.envDestructible.sc06BubbleLarge|Environmental.envDestructible.sc06BubbleMedium|Environmental.envDestructible.sc06BubbleSmall has a destroys, update actionMissionNunchuckAttempt in SCENE 2</t>
  </si>
  <si>
    <t>$.rideSummary.scenes[1].events[?(@.id === 'Mob.mobMinion.MinionJetpack' || @.id === 'Mob.mobFlyingDrone.*' || @.id === 'Environmental.envDestructible.sc03NoteMissle' || @.id === 'Environmental.envDestructible.sc03Cloud' || @.id === 'Environmental.envDestructible.sc05Blimp' || @.id === 'Environmental.envDestructible.sc06RecordVinyl' || @.id === 'Environmental.envDestructible.sc06RecordGold' || @.id === 'Environmental.envDestructible.sc06RecordPlatinum' || @.id === 'Environmental.envDestructible.sc06RecordDiamond' || @.id === 'Environmental.envDestructible.sc06BubbleLarge' || @.id === 'Environmental.envDestructible.sc06BubbleMedium' || @.id === 'Environmental.envDestructible.sc06BubbleSmall')].stats[?(@.id === 'destroys')].value</t>
  </si>
  <si>
    <t>{
        "resort": "$.resort",
        "park": "$.park",
        "land": "$.land",
        "publisher": "$.publisher",
        "timestamp": "$.timestamp",
        "playerId": "$.playerId",
        "items": [
                {
                        "id": "actionMissionNunchuckAttempt",
                        "count": 0,
                        "customData": [
                                {
                                        "key": "session",
                                        "value": "$.rideSummary.sessionId"
                                },
                                {
                                        "key": "scene",
                                        "value": "$.rideSummary.scenes[1].number@other()"
                                },
                                {
                                        "key": "destroys",
                                        "value": "$.rideSummary.scenes[1].events[?(@.id === 'Mob.mobMinion.MinionJetpack')].stats[?(@.id === 'destroys')].value@other()",
                                        "updateType": "add"
                                },
                                {
                                        "key": "destroys",
                                        "value": "$.rideSummary.scenes[1].events[?(@.id === 'Mob.mobFlyingDrone.*')].stats[?(@.id === 'destroys')].value@other()",
                                        "updateType": "add"
                                },
                                {
                                        "key": "destroys",
                                        "value": "$.rideSummary.scenes[1].events[?(@.id === 'Environmental.envDestructible.sc03NoteMissle')].stats[?(@.id === 'destroys')].value@other()",
                                        "updateType": "add"
                                },
                                {
                                        "key": "destroys",
                                        "value": "$.rideSummary.scenes[1].events[?(@.id === 'Environmental.envDestructible.sc03Cloud')].stats[?(@.id === 'destroys')].value@other()",
                                        "updateType": "add"
                                },
                                {
                                        "key": "destroys",
                                        "value": "$.rideSummary.scenes[1].events[?(@.id === 'Environmental.envDestructible.sc05Blimp')].stats[?(@.id === 'destroys')].value@other()",
                                        "updateType": "add"
                                },
                                {
                                        "key": "destroys",
                                        "value": "$.rideSummary.scenes[1].events[?(@.id === 'Environmental.envDestructible.sc06RecordVinyl')].stats[?(@.id === 'destroys')].value@other()",
                                        "updateType": "add"
                                },
                                {
                                        "key": "destroys",
                                        "value": "$.rideSummary.scenes[1].events[?(@.id === 'Environmental.envDestructible.sc06RecordGold')].stats[?(@.id === 'destroys')].value@other()",
                                        "updateType": "add"
                                },
                                {
                                        "key": "destroys",
                                        "value": "$.rideSummary.scenes[1].events[?(@.id === 'Environmental.envDestructible.sc06RecordPlatinum')].stats[?(@.id === 'destroys')].value@other()",
                                        "updateType": "add"
                                },
                                {
                                        "key": "destroys",
                                        "value": "$.rideSummary.scenes[1].events[?(@.id === 'Environmental.envDestructible.sc06RecordDiamond')].stats[?(@.id === 'destroys')].value@other()",
                                        "updateType": "add"
                                },
                                {
                                        "key": "destroys",
                                        "value": "$.rideSummary.scenes[1].events[?(@.id === 'Environmental.envDestructible.sc06BubbleLarge')].stats[?(@.id === 'destroys')].value@other()",
                                        "updateType": "add"
                                },
                                {
                                        "key": "destroys",
                                        "value": "$.rideSummary.scenes[1].events[?(@.id === 'Environmental.envDestructible.sc06BubbleMedium')].stats[?(@.id === 'destroys')].value@other()",
                                        "updateType": "add"
                                },
                                {
                                        "key": "destroys",
                                        "value": "$.rideSummary.scenes[1].events[?(@.id === 'Environmental.envDestructible.sc06BubbleSmall')].stats[?(@.id === 'destroys')].value@other()",
                                        "updateType": "add"
                                }
                        ]
                }
        ]
}</t>
  </si>
  <si>
    <t>if active mission is missionNunchuck AND MinionJetpack|Mob.mobFlyingDrone.*|Environmental.envDestructible.sc03NoteMissle|Environmental.envDestructible.sc03Cloud|Environmental.envDestructible.sc05Blimp|Environmental.envDestructible.sc06RecordVinyl|Environmental.envDestructible.sc06RecordGold|Environmental.envDestructible.sc06RecordPlatinum|Environmental.envDestructible.sc06RecordDiamond|Environmental.envDestructible.sc06BubbleLarge|Environmental.envDestructible.sc06BubbleMedium|Environmental.envDestructible.sc06BubbleSmall has a destroys, update actionMissionNunchuckAttempt in SCENE 3</t>
  </si>
  <si>
    <t>$.rideSummary.scenes[2].events[?(@.id === 'Mob.mobMinion.MinionJetpack' || @.id === 'Mob.mobFlyingDrone.*' || @.id === 'Environmental.envDestructible.sc03NoteMissle' || @.id === 'Environmental.envDestructible.sc03Cloud' || @.id === 'Environmental.envDestructible.sc05Blimp' || @.id === 'Environmental.envDestructible.sc06RecordVinyl' || @.id === 'Environmental.envDestructible.sc06RecordGold' || @.id === 'Environmental.envDestructible.sc06RecordPlatinum' || @.id === 'Environmental.envDestructible.sc06RecordDiamond' || @.id === 'Environmental.envDestructible.sc06BubbleLarge' || @.id === 'Environmental.envDestructible.sc06BubbleMedium' || @.id === 'Environmental.envDestructible.sc06BubbleSmall')].stats[?(@.id === 'destroys')].value</t>
  </si>
  <si>
    <t>{
        "resort": "$.resort",
        "park": "$.park",
        "land": "$.land",
        "publisher": "$.publisher",
        "timestamp": "$.timestamp",
        "playerId": "$.playerId",
        "items": [
                {
                        "id": "actionMissionNunchuckAttempt",
                        "count": 0,
                        "customData": [
                                {
                                        "key": "session",
                                        "value": "$.rideSummary.sessionId"
                                },
                                {
                                        "key": "scene",
                                        "value": "$.rideSummary.scenes[2].number@other()"
                                },
                                {
                                        "key": "destroys",
                                        "value": "$.rideSummary.scenes[2].events[?(@.id === 'Mob.mobMinion.MinionJetpack')].stats[?(@.id === 'destroys')].value@other()",
                                        "updateType": "add"
                                },
                                {
                                        "key": "destroys",
                                        "value": "$.rideSummary.scenes[2].events[?(@.id === 'Mob.mobFlyingDrone.*')].stats[?(@.id === 'destroys')].value@other()",
                                        "updateType": "add"
                                },
                                {
                                        "key": "destroys",
                                        "value": "$.rideSummary.scenes[2].events[?(@.id === 'Environmental.envDestructible.sc03NoteMissle')].stats[?(@.id === 'destroys')].value@other()",
                                        "updateType": "add"
                                },
                                {
                                        "key": "destroys",
                                        "value": "$.rideSummary.scenes[2].events[?(@.id === 'Environmental.envDestructible.sc03Cloud')].stats[?(@.id === 'destroys')].value@other()",
                                        "updateType": "add"
                                },
                                {
                                        "key": "destroys",
                                        "value": "$.rideSummary.scenes[2].events[?(@.id === 'Environmental.envDestructible.sc05Blimp')].stats[?(@.id === 'destroys')].value@other()",
                                        "updateType": "add"
                                },
                                {
                                        "key": "destroys",
                                        "value": "$.rideSummary.scenes[2].events[?(@.id === 'Environmental.envDestructible.sc06RecordVinyl')].stats[?(@.id === 'destroys')].value@other()",
                                        "updateType": "add"
                                },
                                {
                                        "key": "destroys",
                                        "value": "$.rideSummary.scenes[2].events[?(@.id === 'Environmental.envDestructible.sc06RecordGold')].stats[?(@.id === 'destroys')].value@other()",
                                        "updateType": "add"
                                },
                                {
                                        "key": "destroys",
                                        "value": "$.rideSummary.scenes[2].events[?(@.id === 'Environmental.envDestructible.sc06RecordPlatinum')].stats[?(@.id === 'destroys')].value@other()",
                                        "updateType": "add"
                                },
                                {
                                        "key": "destroys",
                                        "value": "$.rideSummary.scenes[2].events[?(@.id === 'Environmental.envDestructible.sc06RecordDiamond')].stats[?(@.id === 'destroys')].value@other()",
                                        "updateType": "add"
                                },
                                {
                                        "key": "destroys",
                                        "value": "$.rideSummary.scenes[2].events[?(@.id === 'Environmental.envDestructible.sc06BubbleLarge')].stats[?(@.id === 'destroys')].value@other()",
                                        "updateType": "add"
                                },
                                {
                                        "key": "destroys",
                                        "value": "$.rideSummary.scenes[2].events[?(@.id === 'Environmental.envDestructible.sc06BubbleMedium')].stats[?(@.id === 'destroys')].value@other()",
                                        "updateType": "add"
                                },
                                {
                                        "key": "destroys",
                                        "value": "$.rideSummary.scenes[2].events[?(@.id === 'Environmental.envDestructible.sc06BubbleSmall')].stats[?(@.id === 'destroys')].value@other()",
                                        "updateType": "add"
                                }
                        ]
                }
        ]
}</t>
  </si>
  <si>
    <t>if active mission is missionNunchuck AND MinionJetpack|Mob.mobFlyingDrone.*|Environmental.envDestructible.sc03NoteMissle|Environmental.envDestructible.sc03Cloud|Environmental.envDestructible.sc05Blimp|Environmental.envDestructible.sc06RecordVinyl|Environmental.envDestructible.sc06RecordGold|Environmental.envDestructible.sc06RecordPlatinum|Environmental.envDestructible.sc06RecordDiamond|Environmental.envDestructible.sc06BubbleLarge|Environmental.envDestructible.sc06BubbleMedium|Environmental.envDestructible.sc06BubbleSmall has a destroys, update actionMissionNunchuckAttempt in SCENE 4</t>
  </si>
  <si>
    <t>$.rideSummary.scenes[3].events[?(@.id === 'Mob.mobMinion.MinionJetpack' || @.id === 'Mob.mobFlyingDrone.*' || @.id === 'Environmental.envDestructible.sc03NoteMissle' || @.id === 'Environmental.envDestructible.sc03Cloud' || @.id === 'Environmental.envDestructible.sc05Blimp' || @.id === 'Environmental.envDestructible.sc06RecordVinyl' || @.id === 'Environmental.envDestructible.sc06RecordGold' || @.id === 'Environmental.envDestructible.sc06RecordPlatinum' || @.id === 'Environmental.envDestructible.sc06RecordDiamond' || @.id === 'Environmental.envDestructible.sc06BubbleLarge' || @.id === 'Environmental.envDestructible.sc06BubbleMedium' || @.id === 'Environmental.envDestructible.sc06BubbleSmall')].stats[?(@.id === 'destroys')].value</t>
  </si>
  <si>
    <t>{
        "resort": "$.resort",
        "park": "$.park",
        "land": "$.land",
        "publisher": "$.publisher",
        "timestamp": "$.timestamp",
        "playerId": "$.playerId",
        "items": [
                {
                        "id": "actionMissionNunchuckAttempt",
                        "count": 0,
                        "customData": [
                                {
                                        "key": "session",
                                        "value": "$.rideSummary.sessionId"
                                },
                                {
                                        "key": "scene",
                                        "value": "$.rideSummary.scenes[3].number@other()"
                                },
                                {
                                        "key": "destroys",
                                        "value": "$.rideSummary.scenes[3].events[?(@.id === 'Mob.mobMinion.MinionJetpack')].stats[?(@.id === 'destroys')].value@other()",
                                        "updateType": "add"
                                },
                                {
                                        "key": "destroys",
                                        "value": "$.rideSummary.scenes[3].events[?(@.id === 'Mob.mobFlyingDrone.*')].stats[?(@.id === 'destroys')].value@other()",
                                        "updateType": "add"
                                },
                                {
                                        "key": "destroys",
                                        "value": "$.rideSummary.scenes[3].events[?(@.id === 'Environmental.envDestructible.sc03NoteMissle')].stats[?(@.id === 'destroys')].value@other()",
                                        "updateType": "add"
                                },
                                {
                                        "key": "destroys",
                                        "value": "$.rideSummary.scenes[3].events[?(@.id === 'Environmental.envDestructible.sc03Cloud')].stats[?(@.id === 'destroys')].value@other()",
                                        "updateType": "add"
                                },
                                {
                                        "key": "destroys",
                                        "value": "$.rideSummary.scenes[3].events[?(@.id === 'Environmental.envDestructible.sc05Blimp')].stats[?(@.id === 'destroys')].value@other()",
                                        "updateType": "add"
                                },
                                {
                                        "key": "destroys",
                                        "value": "$.rideSummary.scenes[3].events[?(@.id === 'Environmental.envDestructible.sc06RecordVinyl')].stats[?(@.id === 'destroys')].value@other()",
                                        "updateType": "add"
                                },
                                {
                                        "key": "destroys",
                                        "value": "$.rideSummary.scenes[3].events[?(@.id === 'Environmental.envDestructible.sc06RecordGold')].stats[?(@.id === 'destroys')].value@other()",
                                        "updateType": "add"
                                },
                                {
                                        "key": "destroys",
                                        "value": "$.rideSummary.scenes[3].events[?(@.id === 'Environmental.envDestructible.sc06RecordPlatinum')].stats[?(@.id === 'destroys')].value@other()",
                                        "updateType": "add"
                                },
                                {
                                        "key": "destroys",
                                        "value": "$.rideSummary.scenes[3].events[?(@.id === 'Environmental.envDestructible.sc06RecordDiamond')].stats[?(@.id === 'destroys')].value@other()",
                                        "updateType": "add"
                                },
                                {
                                        "key": "destroys",
                                        "value": "$.rideSummary.scenes[3].events[?(@.id === 'Environmental.envDestructible.sc06BubbleLarge')].stats[?(@.id === 'destroys')].value@other()",
                                        "updateType": "add"
                                },
                                {
                                        "key": "destroys",
                                        "value": "$.rideSummary.scenes[3].events[?(@.id === 'Environmental.envDestructible.sc06BubbleMedium')].stats[?(@.id === 'destroys')].value@other()",
                                        "updateType": "add"
                                },
                                {
                                        "key": "destroys",
                                        "value": "$.rideSummary.scenes[3].events[?(@.id === 'Environmental.envDestructible.sc06BubbleSmall')].stats[?(@.id === 'destroys')].value@other()",
                                        "updateType": "add"
                                }
                        ]
                }
        ]
}</t>
  </si>
  <si>
    <t>if active mission is missionNunchuck AND MinionJetpack|Mob.mobFlyingDrone.*|Environmental.envDestructible.sc03NoteMissle|Environmental.envDestructible.sc03Cloud|Environmental.envDestructible.sc05Blimp|Environmental.envDestructible.sc06RecordVinyl|Environmental.envDestructible.sc06RecordGold|Environmental.envDestructible.sc06RecordPlatinum|Environmental.envDestructible.sc06RecordDiamond|Environmental.envDestructible.sc06BubbleLarge|Environmental.envDestructible.sc06BubbleMedium|Environmental.envDestructible.sc06BubbleSmall has a destroys, update actionMissionNunchuckAttempt in SCENE 5</t>
  </si>
  <si>
    <t>$.rideSummary.scenes[4].events[?(@.id === 'Mob.mobMinion.MinionJetpack' || @.id === 'Mob.mobFlyingDrone.*' || @.id === 'Environmental.envDestructible.sc03NoteMissle' || @.id === 'Environmental.envDestructible.sc03Cloud' || @.id === 'Environmental.envDestructible.sc05Blimp' || @.id === 'Environmental.envDestructible.sc06RecordVinyl' || @.id === 'Environmental.envDestructible.sc06RecordGold' || @.id === 'Environmental.envDestructible.sc06RecordPlatinum' || @.id === 'Environmental.envDestructible.sc06RecordDiamond' || @.id === 'Environmental.envDestructible.sc06BubbleLarge' || @.id === 'Environmental.envDestructible.sc06BubbleMedium' || @.id === 'Environmental.envDestructible.sc06BubbleSmall')].stats[?(@.id === 'destroys')].value</t>
  </si>
  <si>
    <t>{
        "resort": "$.resort",
        "park": "$.park",
        "land": "$.land",
        "publisher": "$.publisher",
        "timestamp": "$.timestamp",
        "playerId": "$.playerId",
        "items": [
                {
                        "id": "actionMissionNunchuckAttempt",
                        "count": 0,
                        "customData": [
                                {
                                        "key": "session",
                                        "value": "$.rideSummary.sessionId"
                                },
                                {
                                        "key": "scene",
                                        "value": "$.rideSummary.scenes[4].number@other()"
                                },
                                {
                                        "key": "destroys",
                                        "value": "$.rideSummary.scenes[4].events[?(@.id === 'Mob.mobMinion.MinionJetpack')].stats[?(@.id === 'destroys')].value@other()",
                                        "updateType": "add"
                                },
                                {
                                        "key": "destroys",
                                        "value": "$.rideSummary.scenes[4].events[?(@.id === 'Mob.mobFlyingDrone.*')].stats[?(@.id === 'destroys')].value@other()",
                                        "updateType": "add"
                                },
                                {
                                        "key": "destroys",
                                        "value": "$.rideSummary.scenes[4].events[?(@.id === 'Environmental.envDestructible.sc03NoteMissle')].stats[?(@.id === 'destroys')].value@other()",
                                        "updateType": "add"
                                },
                                {
                                        "key": "destroys",
                                        "value": "$.rideSummary.scenes[4].events[?(@.id === 'Environmental.envDestructible.sc03Cloud')].stats[?(@.id === 'destroys')].value@other()",
                                        "updateType": "add"
                                },
                                {
                                        "key": "destroys",
                                        "value": "$.rideSummary.scenes[4].events[?(@.id === 'Environmental.envDestructible.sc05Blimp')].stats[?(@.id === 'destroys')].value@other()",
                                        "updateType": "add"
                                },
                                {
                                        "key": "destroys",
                                        "value": "$.rideSummary.scenes[4].events[?(@.id === 'Environmental.envDestructible.sc06RecordVinyl')].stats[?(@.id === 'destroys')].value@other()",
                                        "updateType": "add"
                                },
                                {
                                        "key": "destroys",
                                        "value": "$.rideSummary.scenes[4].events[?(@.id === 'Environmental.envDestructible.sc06RecordGold')].stats[?(@.id === 'destroys')].value@other()",
                                        "updateType": "add"
                                },
                                {
                                        "key": "destroys",
                                        "value": "$.rideSummary.scenes[4].events[?(@.id === 'Environmental.envDestructible.sc06RecordPlatinum')].stats[?(@.id === 'destroys')].value@other()",
                                        "updateType": "add"
                                },
                                {
                                        "key": "destroys",
                                        "value": "$.rideSummary.scenes[4].events[?(@.id === 'Environmental.envDestructible.sc06RecordDiamond')].stats[?(@.id === 'destroys')].value@other()",
                                        "updateType": "add"
                                },
                                {
                                        "key": "destroys",
                                        "value": "$.rideSummary.scenes[4].events[?(@.id === 'Environmental.envDestructible.sc06BubbleLarge')].stats[?(@.id === 'destroys')].value@other()",
                                        "updateType": "add"
                                },
                                {
                                        "key": "destroys",
                                        "value": "$.rideSummary.scenes[4].events[?(@.id === 'Environmental.envDestructible.sc06BubbleMedium')].stats[?(@.id === 'destroys')].value@other()",
                                        "updateType": "add"
                                },
                                {
                                        "key": "destroys",
                                        "value": "$.rideSummary.scenes[4].events[?(@.id === 'Environmental.envDestructible.sc06BubbleSmall')].stats[?(@.id === 'destroys')].value@other()",
                                        "updateType": "add"
                                }
                        ]
                }
        ]
}</t>
  </si>
  <si>
    <t>if active mission is missionNunchuck AND MinionJetpack|Mob.mobFlyingDrone.*|Environmental.envDestructible.sc03NoteMissle|Environmental.envDestructible.sc03Cloud|Environmental.envDestructible.sc05Blimp|Environmental.envDestructible.sc06RecordVinyl|Environmental.envDestructible.sc06RecordGold|Environmental.envDestructible.sc06RecordPlatinum|Environmental.envDestructible.sc06RecordDiamond|Environmental.envDestructible.sc06BubbleLarge|Environmental.envDestructible.sc06BubbleMedium|Environmental.envDestructible.sc06BubbleSmall has a destroys, update actionMissionNunchuckAttempt in SCENE 6</t>
  </si>
  <si>
    <t>$.rideSummary.scenes[5].events[?(@.id === 'Mob.mobMinion.MinionJetpack' || @.id === 'Mob.mobFlyingDrone.*' || @.id === 'Environmental.envDestructible.sc03NoteMissle' || @.id === 'Environmental.envDestructible.sc03Cloud' || @.id === 'Environmental.envDestructible.sc05Blimp' || @.id === 'Environmental.envDestructible.sc06RecordVinyl' || @.id === 'Environmental.envDestructible.sc06RecordGold' || @.id === 'Environmental.envDestructible.sc06RecordPlatinum' || @.id === 'Environmental.envDestructible.sc06RecordDiamond' || @.id === 'Environmental.envDestructible.sc06BubbleLarge' || @.id === 'Environmental.envDestructible.sc06BubbleMedium' || @.id === 'Environmental.envDestructible.sc06BubbleSmall')].stats[?(@.id === 'destroys')].value</t>
  </si>
  <si>
    <t>{
        "resort": "$.resort",
        "park": "$.park",
        "land": "$.land",
        "publisher": "$.publisher",
        "timestamp": "$.timestamp",
        "playerId": "$.playerId",
        "items": [
                {
                        "id": "actionMissionNunchuckAttempt",
                        "count": 0,
                        "customData": [
                                {
                                        "key": "session",
                                        "value": "$.rideSummary.sessionId"
                                },
                                {
                                        "key": "scene",
                                        "value": "$.rideSummary.scenes[5].number@other()"
                                },
                                {
                                        "key": "destroys",
                                        "value": "$.rideSummary.scenes[5].events[?(@.id === 'Mob.mobMinion.MinionJetpack')].stats[?(@.id === 'destroys')].value@other()",
                                        "updateType": "add"
                                },
                                {
                                        "key": "destroys",
                                        "value": "$.rideSummary.scenes[5].events[?(@.id === 'Mob.mobFlyingDrone.*')].stats[?(@.id === 'destroys')].value@other()",
                                        "updateType": "add"
                                },
                                {
                                        "key": "destroys",
                                        "value": "$.rideSummary.scenes[5].events[?(@.id === 'Environmental.envDestructible.sc03NoteMissle')].stats[?(@.id === 'destroys')].value@other()",
                                        "updateType": "add"
                                },
                                {
                                        "key": "destroys",
                                        "value": "$.rideSummary.scenes[5].events[?(@.id === 'Environmental.envDestructible.sc03Cloud')].stats[?(@.id === 'destroys')].value@other()",
                                        "updateType": "add"
                                },
                                {
                                        "key": "destroys",
                                        "value": "$.rideSummary.scenes[5].events[?(@.id === 'Environmental.envDestructible.sc05Blimp')].stats[?(@.id === 'destroys')].value@other()",
                                        "updateType": "add"
                                },
                                {
                                        "key": "destroys",
                                        "value": "$.rideSummary.scenes[5].events[?(@.id === 'Environmental.envDestructible.sc06RecordVinyl')].stats[?(@.id === 'destroys')].value@other()",
                                        "updateType": "add"
                                },
                                {
                                        "key": "destroys",
                                        "value": "$.rideSummary.scenes[5].events[?(@.id === 'Environmental.envDestructible.sc06RecordGold')].stats[?(@.id === 'destroys')].value@other()",
                                        "updateType": "add"
                                },
                                {
                                        "key": "destroys",
                                        "value": "$.rideSummary.scenes[5].events[?(@.id === 'Environmental.envDestructible.sc06RecordPlatinum')].stats[?(@.id === 'destroys')].value@other()",
                                        "updateType": "add"
                                },
                                {
                                        "key": "destroys",
                                        "value": "$.rideSummary.scenes[5].events[?(@.id === 'Environmental.envDestructible.sc06RecordDiamond')].stats[?(@.id === 'destroys')].value@other()",
                                        "updateType": "add"
                                },
                                {
                                        "key": "destroys",
                                        "value": "$.rideSummary.scenes[5].events[?(@.id === 'Environmental.envDestructible.sc06BubbleLarge')].stats[?(@.id === 'destroys')].value@other()",
                                        "updateType": "add"
                                },
                                {
                                        "key": "destroys",
                                        "value": "$.rideSummary.scenes[5].events[?(@.id === 'Environmental.envDestructible.sc06BubbleMedium')].stats[?(@.id === 'destroys')].value@other()",
                                        "updateType": "add"
                                },
                                {
                                        "key": "destroys",
                                        "value": "$.rideSummary.scenes[5].events[?(@.id === 'Environmental.envDestructible.sc06BubbleSmall')].stats[?(@.id === 'destroys')].value@other()",
                                        "updateType": "add"
                                }
                        ]
                }
        ]
}</t>
  </si>
  <si>
    <t>if active mission is missionNunchuck AND MinionJetpack|Mob.mobFlyingDrone.*|Environmental.envDestructible.sc03NoteMissle|Environmental.envDestructible.sc03Cloud|Environmental.envDestructible.sc05Blimp|Environmental.envDestructible.sc06RecordVinyl|Environmental.envDestructible.sc06RecordGold|Environmental.envDestructible.sc06RecordPlatinum|Environmental.envDestructible.sc06RecordDiamond|Environmental.envDestructible.sc06BubbleLarge|Environmental.envDestructible.sc06BubbleMedium|Environmental.envDestructible.sc06BubbleSmall has a destroys, update actionMissionNunchuckAttempt in SCENE 7</t>
  </si>
  <si>
    <t>$.rideSummary.scenes[6].events[?(@.id === 'Mob.mobMinion.MinionJetpack' || @.id === 'Mob.mobFlyingDrone.*' || @.id === 'Environmental.envDestructible.sc03NoteMissle' || @.id === 'Environmental.envDestructible.sc03Cloud' || @.id === 'Environmental.envDestructible.sc05Blimp' || @.id === 'Environmental.envDestructible.sc06RecordVinyl' || @.id === 'Environmental.envDestructible.sc06RecordGold' || @.id === 'Environmental.envDestructible.sc06RecordPlatinum' || @.id === 'Environmental.envDestructible.sc06RecordDiamond' || @.id === 'Environmental.envDestructible.sc06BubbleLarge' || @.id === 'Environmental.envDestructible.sc06BubbleMedium' || @.id === 'Environmental.envDestructible.sc06BubbleSmall')].stats[?(@.id === 'destroys')].value</t>
  </si>
  <si>
    <t>{
        "resort": "$.resort",
        "park": "$.park",
        "land": "$.land",
        "publisher": "$.publisher",
        "timestamp": "$.timestamp",
        "playerId": "$.playerId",
        "items": [
                {
                        "id": "actionMissionNunchuckAttempt",
                        "count": 0,
                        "customData": [
                                {
                                        "key": "session",
                                        "value": "$.rideSummary.sessionId"
                                },
                                {
                                        "key": "scene",
                                        "value": "$.rideSummary.scenes[6].number@other()"
                                },
                                {
                                        "key": "destroys",
                                        "value": "$.rideSummary.scenes[6].events[?(@.id === 'Mob.mobMinion.MinionJetpack')].stats[?(@.id === 'destroys')].value@other()",
                                        "updateType": "add"
                                },
                                {
                                        "key": "destroys",
                                        "value": "$.rideSummary.scenes[6].events[?(@.id === 'Mob.mobFlyingDrone.*')].stats[?(@.id === 'destroys')].value@other()",
                                        "updateType": "add"
                                },
                                {
                                        "key": "destroys",
                                        "value": "$.rideSummary.scenes[6].events[?(@.id === 'Environmental.envDestructible.sc03NoteMissle')].stats[?(@.id === 'destroys')].value@other()",
                                        "updateType": "add"
                                },
                                {
                                        "key": "destroys",
                                        "value": "$.rideSummary.scenes[6].events[?(@.id === 'Environmental.envDestructible.sc03Cloud')].stats[?(@.id === 'destroys')].value@other()",
                                        "updateType": "add"
                                },
                                {
                                        "key": "destroys",
                                        "value": "$.rideSummary.scenes[6].events[?(@.id === 'Environmental.envDestructible.sc05Blimp')].stats[?(@.id === 'destroys')].value@other()",
                                        "updateType": "add"
                                },
                                {
                                        "key": "destroys",
                                        "value": "$.rideSummary.scenes[6].events[?(@.id === 'Environmental.envDestructible.sc06RecordVinyl')].stats[?(@.id === 'destroys')].value@other()",
                                        "updateType": "add"
                                },
                                {
                                        "key": "destroys",
                                        "value": "$.rideSummary.scenes[6].events[?(@.id === 'Environmental.envDestructible.sc06RecordGold')].stats[?(@.id === 'destroys')].value@other()",
                                        "updateType": "add"
                                },
                                {
                                        "key": "destroys",
                                        "value": "$.rideSummary.scenes[6].events[?(@.id === 'Environmental.envDestructible.sc06RecordPlatinum')].stats[?(@.id === 'destroys')].value@other()",
                                        "updateType": "add"
                                },
                                {
                                        "key": "destroys",
                                        "value": "$.rideSummary.scenes[6].events[?(@.id === 'Environmental.envDestructible.sc06RecordDiamond')].stats[?(@.id === 'destroys')].value@other()",
                                        "updateType": "add"
                                },
                                {
                                        "key": "destroys",
                                        "value": "$.rideSummary.scenes[6].events[?(@.id === 'Environmental.envDestructible.sc06BubbleLarge')].stats[?(@.id === 'destroys')].value@other()",
                                        "updateType": "add"
                                },
                                {
                                        "key": "destroys",
                                        "value": "$.rideSummary.scenes[6].events[?(@.id === 'Environmental.envDestructible.sc06BubbleMedium')].stats[?(@.id === 'destroys')].value@other()",
                                        "updateType": "add"
                                },
                                {
                                        "key": "destroys",
                                        "value": "$.rideSummary.scenes[6].events[?(@.id === 'Environmental.envDestructible.sc06BubbleSmall')].stats[?(@.id === 'destroys')].value@other()",
                                        "updateType": "add"
                                }
                        ]
                }
        ]
}</t>
  </si>
  <si>
    <t>/^[A-Z0-9]{36}8$/ig</t>
  </si>
  <si>
    <t>{
        "resort": "$.resort",
        "park": "$.park",
        "land": "$.land",
        "publisher": "$.publisher",
        "timestamp": "$.timestamp",
        "playerId": "$.playerId",
        "items": [
                {
                        "id": "actionMissionSvengeanceAttempt",
                        "count": 1,
                        "customData": [
                                {
                                        "key": "session",
                                        "value": "$.rideSummary.sessionId"
                                },
                                {
                                        "key": "scene",
                                        "value": 0
                                },
                                {
                                        "key": "destroys",
                                        "value": 0
                                }
                        ]
                }
        ]
}</t>
  </si>
  <si>
    <t>if active mission is missionSvengeance Mob.mobMinion.MinionRoller|Mob.mobRollingBot.BotPedestal|Mob.mobRollingBot.BotRoller has a destroys, update actionMissionSvengeanceAttempt in SCENE 1</t>
  </si>
  <si>
    <t>$.rideSummary.scenes[0].events[?(@.id === 'Mob.mobMinion.MinionRoller' || @.id == 'Mob.mobRollingBot.BotPedestal' || @.id == 'Mob.mobRollingBot.BotRoller')].stats[?(@.id === 'destroys')].value</t>
  </si>
  <si>
    <t>{
        "resort": "$.resort",
        "park": "$.park",
        "land": "$.land",
        "publisher": "$.publisher",
        "timestamp": "$.timestamp",
        "playerId": "$.playerId",
        "items": [
                {
                        "id": "actionMissionSvengeanceAttempt",
                        "count": 0,
                        "customData": [
                                {
                                        "key": "session",
                                        "value": "$.rideSummary.sessionId"
                                },
                                {
                                        "key": "scene",
                                        "value": "$.rideSummary.scenes[0].number@other()"
                                },
                                {
                                        "key": "destroys",
                                        "value": "$.rideSummary.scenes[0].events[?(@.id === 'Mob.mobMinion.MinionRoller')].stats[?(@.id === 'destroys')].value@other()",
                                        "updateType": "add"
                                },
                                {
                                        "key": "destroys",
                                        "value": "$.rideSummary.scenes[0].events[?(@.id === 'Mob.mobRollingBot.BotPedestal')].stats[?(@.id === 'destroys')].value@other()",
                                        "updateType": "add"
                                },
                                {
                                        "key": "destroys",
                                        "value": "$.rideSummary.scenes[0].events[?(@.id === 'Mob.mobRollingBot.BotRoller')].stats[?(@.id === 'destroys')].value@other()",
                                        "updateType": "add"
                                }
                        ]
                }
        ]
}</t>
  </si>
  <si>
    <t>if active mission is missionSvengeance Mob.mobMinion.MinionRoller|Mob.mobRollingBot.BotPedestal|Mob.mobRollingBot.BotRoller has a destroys, update actionMissionSvengeanceAttempt in SCENE 2</t>
  </si>
  <si>
    <t>{
        "resort": "$.resort",
        "park": "$.park",
        "land": "$.land",
        "publisher": "$.publisher",
        "timestamp": "$.timestamp",
        "playerId": "$.playerId",
        "items": [
                {
                        "id": "actionMissionScarletAttempt",
                        "count": 0,
                        "customData": [
                                {
                                        "key": "session",
                                        "value": "$.rideSummary.sessionId"
                                },
                                {
                                        "key": "scene",
                                        "value": "$.rideSummary.scenes[0].number"
                                },
                                {
                                        "key": "destroys",
                                        "value": "$.rideSummary.scenes[0].events[?(@.id === 'Mob.mobMinion.*')].stats[?(@.id === 'burns')].value",
                                        "updateType": "add"
                                },
                                {
                                        "key": "destroys",
                                        "value": "$.rideSummary.scenes[0].events[?(@.id === 'Mob.mobMinion.*')].stats[?(@.id === 'freezes')].value",
                                        "updateType": "add"
                                },
                                {
                                        "key": "destroys",
                                        "value": "$.rideSummary.scenes[0].events[?(@.id === 'Mob.mobMinion.*')].stats[?(@.id === 'shocks')].value",
                                        "updateType": "add"
                                },
                                {
                                        "key": "destroys",
                                        "value": "$.rideSummary.scenes[0].events[?(@.id === 'Mob.mobMinion.*')].stats[?(@.id === 'knockdowns')].value",
                                        "updateType": "add"
                                }
                        ]
                }
        ]
}</t>
  </si>
  <si>
    <t>$.rideSummary.scenes[1].events[?(@.id === 'Mob.mobMinion.MinionRoller' || @.id == 'Mob.mobRollingBot.BotPedestal' || @.id == 'Mob.mobRollingBot.BotRoller')].stats[?(@.id === 'destroys')].value</t>
  </si>
  <si>
    <t>{
        "resort": "$.resort",
        "park": "$.park",
        "land": "$.land",
        "publisher": "$.publisher",
        "timestamp": "$.timestamp",
        "playerId": "$.playerId",
        "items": [
                {
                        "id": "actionMissionSvengeanceAttempt",
                        "count": 0,
                        "customData": [
                                {
                                        "key": "session",
                                        "value": "$.rideSummary.sessionId"
                                },
                                {
                                        "key": "scene",
                                        "value": "$.rideSummary.scenes[1].number@other()"
                                },
                                {
                                        "key": "destroys",
                                        "value": "$.rideSummary.scenes[1].events[?(@.id === 'Mob.mobMinion.MinionRoller')].stats[?(@.id === 'destroys')].value@other()",
                                        "updateType": "add"
                                },
                                {
                                        "key": "destroys",
                                        "value": "$.rideSummary.scenes[1].events[?(@.id === 'Mob.mobRollingBot.BotPedestal')].stats[?(@.id === 'destroys')].value@other()",
                                        "updateType": "add"
                                },
                                {
                                        "key": "destroys",
                                        "value": "$.rideSummary.scenes[1].events[?(@.id === 'Mob.mobRollingBot.BotRoller')].stats[?(@.id === 'destroys')].value@other()",
                                        "updateType": "add"
                                }
                        ]
                }
        ]
}</t>
  </si>
  <si>
    <t>if active mission is missionSvengeance Mob.mobMinion.MinionRoller|Mob.mobRollingBot.BotPedestal|Mob.mobRollingBot.BotRoller has a destroys, update actionMissionSvengeanceAttempt in SCENE 3</t>
  </si>
  <si>
    <t>$.rideSummary.scenes[2].events[?(@.id === 'Mob.mobMinion.MinionRoller' || @.id == 'Mob.mobRollingBot.BotPedestal' || @.id == 'Mob.mobRollingBot.BotRoller')].stats[?(@.id === 'destroys')].value</t>
  </si>
  <si>
    <t>{
        "resort": "$.resort",
        "park": "$.park",
        "land": "$.land",
        "publisher": "$.publisher",
        "timestamp": "$.timestamp",
        "playerId": "$.playerId",
        "items": [
                {
                        "id": "actionMissionSvengeanceAttempt",
                        "count": 0,
                        "customData": [
                                {
                                        "key": "session",
                                        "value": "$.rideSummary.sessionId"
                                },
                                {
                                        "key": "scene",
                                        "value": "$.rideSummary.scenes[2].number@other()"
                                },
                                {
                                        "key": "destroys",
                                        "value": "$.rideSummary.scenes[2].events[?(@.id === 'Mob.mobMinion.MinionRoller')].stats[?(@.id === 'destroys')].value@other()",
                                        "updateType": "add"
                                },
                                {
                                        "key": "destroys",
                                        "value": "$.rideSummary.scenes[2].events[?(@.id === 'Mob.mobRollingBot.BotPedestal')].stats[?(@.id === 'destroys')].value@other()",
                                        "updateType": "add"
                                },
                                {
                                        "key": "destroys",
                                        "value": "$.rideSummary.scenes[2].events[?(@.id === 'Mob.mobRollingBot.BotRoller')].stats[?(@.id === 'destroys')].value@other()",
                                        "updateType": "add"
                                }
                        ]
                }
        ]
}</t>
  </si>
  <si>
    <t>if active mission is missionSvengeance Mob.mobMinion.MinionRoller|Mob.mobRollingBot.BotPedestal|Mob.mobRollingBot.BotRoller has a destroys, update actionMissionSvengeanceAttempt in SCENE 4</t>
  </si>
  <si>
    <t>$.rideSummary.scenes[3].events[?(@.id === 'Mob.mobMinion.MinionRoller' || @.id == 'Mob.mobRollingBot.BotPedestal' || @.id == 'Mob.mobRollingBot.BotRoller')].stats[?(@.id === 'destroys')].value</t>
  </si>
  <si>
    <t>{
        "resort": "$.resort",
        "park": "$.park",
        "land": "$.land",
        "publisher": "$.publisher",
        "timestamp": "$.timestamp",
        "playerId": "$.playerId",
        "items": [
                {
                        "id": "actionMissionSvengeanceAttempt",
                        "count": 0,
                        "customData": [
                                {
                                        "key": "session",
                                        "value": "$.rideSummary.sessionId"
                                },
                                {
                                        "key": "scene",
                                        "value": "$.rideSummary.scenes[3].number@other()"
                                },
                                {
                                        "key": "destroys",
                                        "value": "$.rideSummary.scenes[3].events[?(@.id === 'Mob.mobMinion.MinionRoller')].stats[?(@.id === 'destroys')].value@other()",
                                        "updateType": "add"
                                },
                                {
                                        "key": "destroys",
                                        "value": "$.rideSummary.scenes[3].events[?(@.id === 'Mob.mobRollingBot.BotPedestal')].stats[?(@.id === 'destroys')].value@other()",
                                        "updateType": "add"
                                },
                                {
                                        "key": "destroys",
                                        "value": "$.rideSummary.scenes[3].events[?(@.id === 'Mob.mobRollingBot.BotRoller')].stats[?(@.id === 'destroys')].value@other()",
                                        "updateType": "add"
                                }
                        ]
                }
        ]
}</t>
  </si>
  <si>
    <t>if active mission is missionSvengeance Mob.mobMinion.MinionRoller|Mob.mobRollingBot.BotPedestal|Mob.mobRollingBot.BotRoller has a destroys, update actionMissionSvengeanceAttempt in SCENE 5</t>
  </si>
  <si>
    <t>$.rideSummary.scenes[4].events[?(@.id === 'Mob.mobMinion.MinionRoller' || @.id == 'Mob.mobRollingBot.BotPedestal' || @.id == 'Mob.mobRollingBot.BotRoller')].stats[?(@.id === 'destroys')].value</t>
  </si>
  <si>
    <t>{
        "resort": "$.resort",
        "park": "$.park",
        "land": "$.land",
        "publisher": "$.publisher",
        "timestamp": "$.timestamp",
        "playerId": "$.playerId",
        "items": [
                {
                        "id": "actionMissionSvengeanceAttempt",
                        "count": 0,
                        "customData": [
                                {
                                        "key": "session",
                                        "value": "$.rideSummary.sessionId"
                                },
                                {
                                        "key": "scene",
                                        "value": "$.rideSummary.scenes[4].number@other()"
                                },
                                {
                                        "key": "destroys",
                                        "value": "$.rideSummary.scenes[4].events[?(@.id === 'Mob.mobMinion.MinionRoller')].stats[?(@.id === 'destroys')].value@other()",
                                        "updateType": "add"
                                },
                                {
                                        "key": "destroys",
                                        "value": "$.rideSummary.scenes[4].events[?(@.id === 'Mob.mobRollingBot.BotPedestal')].stats[?(@.id === 'destroys')].value@other()",
                                        "updateType": "add"
                                },
                                {
                                        "key": "destroys",
                                        "value": "$.rideSummary.scenes[4].events[?(@.id === 'Mob.mobRollingBot.BotRoller')].stats[?(@.id === 'destroys')].value@other()",
                                        "updateType": "add"
                                }
                        ]
                }
        ]
}</t>
  </si>
  <si>
    <t>if active mission is missionSvengeance Mob.mobMinion.MinionRoller|Mob.mobRollingBot.BotPedestal|Mob.mobRollingBot.BotRoller has a destroys, update actionMissionSvengeanceAttempt in SCENE 6</t>
  </si>
  <si>
    <t>$.rideSummary.scenes[5].events[?(@.id === 'Mob.mobMinion.MinionRoller' || @.id == 'Mob.mobRollingBot.BotPedestal' || @.id == 'Mob.mobRollingBot.BotRoller')].stats[?(@.id === 'destroys')].value</t>
  </si>
  <si>
    <t>{
        "resort": "$.resort",
        "park": "$.park",
        "land": "$.land",
        "publisher": "$.publisher",
        "timestamp": "$.timestamp",
        "playerId": "$.playerId",
        "items": [
                {
                        "id": "actionMissionSvengeanceAttempt",
                        "count": 0,
                        "customData": [
                                {
                                        "key": "session",
                                        "value": "$.rideSummary.sessionId"
                                },
                                {
                                        "key": "scene",
                                        "value": "$.rideSummary.scenes[5].number@other()"
                                },
                                {
                                        "key": "destroys",
                                        "value": "$.rideSummary.scenes[5].events[?(@.id === 'Mob.mobMinion.MinionRoller')].stats[?(@.id === 'destroys')].value@other()",
                                        "updateType": "add"
                                },
                                {
                                        "key": "destroys",
                                        "value": "$.rideSummary.scenes[5].events[?(@.id === 'Mob.mobRollingBot.BotPedestal')].stats[?(@.id === 'destroys')].value@other()",
                                        "updateType": "add"
                                },
                                {
                                        "key": "destroys",
                                        "value": "$.rideSummary.scenes[5].events[?(@.id === 'Mob.mobRollingBot.BotRoller')].stats[?(@.id === 'destroys')].value@other()",
                                        "updateType": "add"
                                }
                        ]
                }
        ]
}</t>
  </si>
  <si>
    <t>if active mission is missionSvengeance Mob.mobMinion.MinionRoller|Mob.mobRollingBot.BotPedestal|Mob.mobRollingBot.BotRoller has a destroys, update actionMissionSvengeanceAttempt in SCENE 7</t>
  </si>
  <si>
    <t>$.rideSummary.scenes[6].events[?(@.id === 'Mob.mobMinion.MinionRoller' || @.id == 'Mob.mobRollingBot.BotPedestal' || @.id == 'Mob.mobRollingBot.BotRoller')].stats[?(@.id === 'destroys')].value</t>
  </si>
  <si>
    <t>{
        "resort": "$.resort",
        "park": "$.park",
        "land": "$.land",
        "publisher": "$.publisher",
        "timestamp": "$.timestamp",
        "playerId": "$.playerId",
        "items": [
                {
                        "id": "actionMissionSvengeanceAttempt",
                        "count": 0,
                        "customData": [
                                {
                                        "key": "session",
                                        "value": "$.rideSummary.sessionId"
                                },
                                {
                                        "key": "scene",
                                        "value": "$.rideSummary.scenes[6].number@other()"
                                },
                                {
                                        "key": "destroys",
                                        "value": "$.rideSummary.scenes[6].events[?(@.id === 'Mob.mobMinion.MinionRoller')].stats[?(@.id === 'destroys')].value@other()",
                                        "updateType": "add"
                                },
                                {
                                        "key": "destroys",
                                        "value": "$.rideSummary.scenes[6].events[?(@.id === 'Mob.mobRollingBot.BotPedestal')].stats[?(@.id === 'destroys')].value@other()",
                                        "updateType": "add"
                                },
                                {
                                        "key": "destroys",
                                        "value": "$.rideSummary.scenes[6].events[?(@.id === 'Mob.mobRollingBot.BotRoller')].stats[?(@.id === 'destroys')].value@other()",
                                        "updateType": "add"
                                }
                        ]
                }
        ]
}</t>
  </si>
  <si>
    <t>if active mission is missionVector, grant actionMissionVectorAttempt, initialize "hits" to 0</t>
  </si>
  <si>
    <t>/^[A-Z0-9]{36}1$/ig</t>
  </si>
  <si>
    <t>{
        "resort": "$.resort",
        "park": "$.park",
        "land": "$.land",
        "publisher": "$.publisher",
        "timestamp": "$.timestamp",
        "playerId": "$.playerId",
        "items": [
                {
                        "id": "actionMissionVectorAttempt",
                        "count": 1,
                        "customData": [
                                {
                                        "key": "session",
                                        "value": "$.rideSummary.sessionId"
                                },
                                {
                                        "key": "scene",
                                        "value": 0
                                },
                                {
                                        "key": "hits",
                                        "value": 0
                                }
                        ]
                }
        ]
}</t>
  </si>
  <si>
    <t>if active mission is missionVector AND Pickup.pickupLoot.lootMedallionCommon|Pickup.pickupLoot.lootMedallionUncommon|Pickup.pickupLoot.lootMedallionRare hits exists, update actionMissionVectorAttempt in SCENE 1</t>
  </si>
  <si>
    <t>hits: hits count</t>
  </si>
  <si>
    <t>$.rideSummary.scenes[0].events[?(@.id === 'Pickup.pickupLoot.lootMedallionCommon' || @.id == 'Pickup.pickupLoot.lootMedallionUncommon' || @.id == 'Pickup.pickupLoot.lootMedallionRare')].stats[?(@.id === 'hits')].value</t>
  </si>
  <si>
    <t>{
        "resort": "$.resort",
        "park": "$.park",
        "land": "$.land",
        "publisher": "$.publisher",
        "timestamp": "$.timestamp",
        "playerId": "$.playerId",
        "items": [
                {
                        "id": "actionMissionVectorAttempt",
                        "count": 0,
                        "customData": [
                                {
                                        "key": "session",
                                        "value": "$.rideSummary.sessionId"
                                },
                                {
                                        "key": "scene",
                                        "value": "$.rideSummary.scenes[0].number@other()"
                                },
                                {
                                        "key": "hits",
                                        "value": "$.rideSummary.scenes[0].events[?(@.id === 'Pickup.pickupLoot.lootMedallionCommon')].stats[?(@.id === 'hits')].value@other()",
                                        "updateType": "add"
                                },
                                {
                                        "key": "hits",
                                        "value": "$.rideSummary.scenes[0].events[?(@.id === 'Pickup.pickupLoot.lootMedallionUncommon')].stats[?(@.id === 'hits')].value@other()",
                                        "updateType": "add"
                                },
                                {
                                        "key": "hits",
                                        "value": "$.rideSummary.scenes[0].events[?(@.id === 'Pickup.pickupLoot.lootMedallionRare')].stats[?(@.id === 'hits')].value@other()",
                                        "updateType": "add"
                                }
                        ]
                }
        ]
}</t>
  </si>
  <si>
    <t>if active mission is missionVector AND Pickup.pickupLoot.lootMedallionCommon|Pickup.pickupLoot.lootMedallionUncommon|Pickup.pickupLoot.lootMedallionRare hits exists, update actionMissionVectorAttempt in SCENE 2</t>
  </si>
  <si>
    <t>$.rideSummary.scenes[1].events[?(@.id === 'Pickup.pickupLoot.lootMedallionCommon' || @.id == 'Pickup.pickupLoot.lootMedallionUncommon' || @.id == 'Pickup.pickupLoot.lootMedallionRare')].stats[?(@.id === 'hits')].value</t>
  </si>
  <si>
    <t>{
        "resort": "$.resort",
        "park": "$.park",
        "land": "$.land",
        "publisher": "$.publisher",
        "timestamp": "$.timestamp",
        "playerId": "$.playerId",
        "items": [
                {
                        "id": "actionMissionVectorAttempt",
                        "count": 0,
                        "customData": [
                                {
                                        "key": "session",
                                        "value": "$.rideSummary.sessionId"
                                },
                                {
                                        "key": "scene",
                                        "value": "$.rideSummary.scenes[1].number@other()"
                                },
                                {
                                        "key": "hits",
                                        "value": "$.rideSummary.scenes[1].events[?(@.id === 'Pickup.pickupLoot.lootMedallionCommon')].stats[?(@.id === 'hits')].value@other()",
                                        "updateType": "add"
                                },
                                {
                                        "key": "hits",
                                        "value": "$.rideSummary.scenes[1].events[?(@.id === 'Pickup.pickupLoot.lootMedallionUncommon')].stats[?(@.id === 'hits')].value@other()",
                                        "updateType": "add"
                                },
                                {
                                        "key": "hits",
                                        "value": "$.rideSummary.scenes[1].events[?(@.id === 'Pickup.pickupLoot.lootMedallionRare')].stats[?(@.id === 'hits')].value@other()",
                                        "updateType": "add"
                                }
                        ]
                }
        ]
}</t>
  </si>
  <si>
    <t>if active mission is missionVector AND Pickup.pickupLoot.lootMedallionCommon|Pickup.pickupLoot.lootMedallionUncommon|Pickup.pickupLoot.lootMedallionRare hits exists, update actionMissionVectorAttempt in SCENE 3</t>
  </si>
  <si>
    <t>$.rideSummary.scenes[2].events[?(@.id === 'Pickup.pickupLoot.lootMedallionCommon' || @.id == 'Pickup.pickupLoot.lootMedallionUncommon' || @.id == 'Pickup.pickupLoot.lootMedallionRare')].stats[?(@.id === 'hits')].value</t>
  </si>
  <si>
    <t>{
        "resort": "$.resort",
        "park": "$.park",
        "land": "$.land",
        "publisher": "$.publisher",
        "timestamp": "$.timestamp",
        "playerId": "$.playerId",
        "items": [
                {
                        "id": "actionMissionVectorAttempt",
                        "count": 0,
                        "customData": [
                                {
                                        "key": "session",
                                        "value": "$.rideSummary.sessionId"
                                },
                                {
                                        "key": "scene",
                                        "value": "$.rideSummary.scenes[2].number@other()"
                                },
                                {
                                        "key": "hits",
                                        "value": "$.rideSummary.scenes[2].events[?(@.id === 'Pickup.pickupLoot.lootMedallionCommon')].stats[?(@.id === 'hits')].value@other()",
                                        "updateType": "add"
                                },
                                {
                                        "key": "hits",
                                        "value": "$.rideSummary.scenes[2].events[?(@.id === 'Pickup.pickupLoot.lootMedallionUncommon')].stats[?(@.id === 'hits')].value@other()",
                                        "updateType": "add"
                                },
                                {
                                        "key": "hits",
                                        "value": "$.rideSummary.scenes[2].events[?(@.id === 'Pickup.pickupLoot.lootMedallionRare')].stats[?(@.id === 'hits')].value@other()",
                                        "updateType": "add"
                                }
                        ]
                }
        ]
}</t>
  </si>
  <si>
    <t>if active mission is missionVector AND Pickup.pickupLoot.lootMedallionCommon|Pickup.pickupLoot.lootMedallionUncommon|Pickup.pickupLoot.lootMedallionRare hits exists, update actionMissionVectorAttempt in SCENE 4</t>
  </si>
  <si>
    <t>$.rideSummary.scenes[3].events[?(@.id === 'Pickup.pickupLoot.lootMedallionCommon' || @.id == 'Pickup.pickupLoot.lootMedallionUncommon' || @.id == 'Pickup.pickupLoot.lootMedallionRare')].stats[?(@.id === 'hits')].value</t>
  </si>
  <si>
    <t>{
        "resort": "$.resort",
        "park": "$.park",
        "land": "$.land",
        "publisher": "$.publisher",
        "timestamp": "$.timestamp",
        "playerId": "$.playerId",
        "items": [
                {
                        "id": "actionMissionVectorAttempt",
                        "count": 0,
                        "customData": [
                                {
                                        "key": "session",
                                        "value": "$.rideSummary.sessionId"
                                },
                                {
                                        "key": "scene",
                                        "value": "$.rideSummary.scenes[3].number@other()"
                                },
                                {
                                        "key": "hits",
                                        "value": "$.rideSummary.scenes[3].events[?(@.id === 'Pickup.pickupLoot.lootMedallionCommon')].stats[?(@.id === 'hits')].value@other()",
                                        "updateType": "add"
                                },
                                {
                                        "key": "hits",
                                        "value": "$.rideSummary.scenes[3].events[?(@.id === 'Pickup.pickupLoot.lootMedallionUncommon')].stats[?(@.id === 'hits')].value@other()",
                                        "updateType": "add"
                                },
                                {
                                        "key": "hits",
                                        "value": "$.rideSummary.scenes[3].events[?(@.id === 'Pickup.pickupLoot.lootMedallionRare')].stats[?(@.id === 'hits')].value@other()",
                                        "updateType": "add"
                                }
                        ]
                }
        ]
}</t>
  </si>
  <si>
    <t>if active mission is missionVector AND Pickup.pickupLoot.lootMedallionCommon|Pickup.pickupLoot.lootMedallionUncommon|Pickup.pickupLoot.lootMedallionRare hits exists, update actionMissionVectorAttempt in SCENE 5</t>
  </si>
  <si>
    <t>$.rideSummary.scenes[4].events[?(@.id === 'Pickup.pickupLoot.lootMedallionCommon' || @.id == 'Pickup.pickupLoot.lootMedallionUncommon' || @.id == 'Pickup.pickupLoot.lootMedallionRare')].stats[?(@.id === 'hits')].value</t>
  </si>
  <si>
    <t>{
        "resort": "$.resort",
        "park": "$.park",
        "land": "$.land",
        "publisher": "$.publisher",
        "timestamp": "$.timestamp",
        "playerId": "$.playerId",
        "items": [
                {
                        "id": "actionMissionVectorAttempt",
                        "count": 0,
                        "customData": [
                                {
                                        "key": "session",
                                        "value": "$.rideSummary.sessionId"
                                },
                                {
                                        "key": "scene",
                                        "value": "$.rideSummary.scenes[4].number@other()"
                                },
                                {
                                        "key": "hits",
                                        "value": "$.rideSummary.scenes[4].events[?(@.id === 'Pickup.pickupLoot.lootMedallionCommon')].stats[?(@.id === 'hits')].value@other()",
                                        "updateType": "add"
                                },
                                {
                                        "key": "hits",
                                        "value": "$.rideSummary.scenes[4].events[?(@.id === 'Pickup.pickupLoot.lootMedallionUncommon')].stats[?(@.id === 'hits')].value@other()",
                                        "updateType": "add"
                                },
                                {
                                        "key": "hits",
                                        "value": "$.rideSummary.scenes[4].events[?(@.id === 'Pickup.pickupLoot.lootMedallionRare')].stats[?(@.id === 'hits')].value@other()",
                                        "updateType": "add"
                                }
                        ]
                }
        ]
}</t>
  </si>
  <si>
    <t>if active mission is missionVector AND Pickup.pickupLoot.lootMedallionCommon|Pickup.pickupLoot.lootMedallionUncommon|Pickup.pickupLoot.lootMedallionRare hits exists, update actionMissionVectorAttempt in SCENE 6</t>
  </si>
  <si>
    <t>$.rideSummary.scenes[5].events[?(@.id === 'Pickup.pickupLoot.lootMedallionCommon' || @.id == 'Pickup.pickupLoot.lootMedallionUncommon' || @.id == 'Pickup.pickupLoot.lootMedallionRare')].stats[?(@.id === 'hits')].value</t>
  </si>
  <si>
    <t>{
        "resort": "$.resort",
        "park": "$.park",
        "land": "$.land",
        "publisher": "$.publisher",
        "timestamp": "$.timestamp",
        "playerId": "$.playerId",
        "items": [
                {
                        "id": "actionMissionVectorAttempt",
                        "count": 0,
                        "customData": [
                                {
                                        "key": "session",
                                        "value": "$.rideSummary.sessionId"
                                },
                                {
                                        "key": "scene",
                                        "value": "$.rideSummary.scenes[5].number@other()"
                                },
                                {
                                        "key": "hits",
                                        "value": "$.rideSummary.scenes[5].events[?(@.id === 'Pickup.pickupLoot.lootMedallionCommon')].stats[?(@.id === 'hits')].value@other()",
                                        "updateType": "add"
                                },
                                {
                                        "key": "hits",
                                        "value": "$.rideSummary.scenes[5].events[?(@.id === 'Pickup.pickupLoot.lootMedallionUncommon')].stats[?(@.id === 'hits')].value@other()",
                                        "updateType": "add"
                                },
                                {
                                        "key": "hits",
                                        "value": "$.rideSummary.scenes[5].events[?(@.id === 'Pickup.pickupLoot.lootMedallionRare')].stats[?(@.id === 'hits')].value@other()",
                                        "updateType": "add"
                                }
                        ]
                }
        ]
}</t>
  </si>
  <si>
    <t>if active mission is missionVector AND Pickup.pickupLoot.lootMedallionCommon|Pickup.pickupLoot.lootMedallionUncommon|Pickup.pickupLoot.lootMedallionRare hits exists, update actionMissionVectorAttempt in SCENE 7</t>
  </si>
  <si>
    <t>$.rideSummary.scenes[6].events[?(@.id === 'Pickup.pickupLoot.lootMedallionCommon' || @.id == 'Pickup.pickupLoot.lootMedallionUncommon' || @.id == 'Pickup.pickupLoot.lootMedallionRare')].stats[?(@.id === 'hits')].value</t>
  </si>
  <si>
    <t>{
        "resort": "$.resort",
        "park": "$.park",
        "land": "$.land",
        "publisher": "$.publisher",
        "timestamp": "$.timestamp",
        "playerId": "$.playerId",
        "items": [
                {
                        "id": "actionMissionVectorAttempt",
                        "count": 0,
                        "customData": [
                                {
                                        "key": "session",
                                        "value": "$.rideSummary.sessionId"
                                },
                                {
                                        "key": "scene",
                                        "value": "$.rideSummary.scenes[6].number@other()"
                                },
                                {
                                        "key": "hits",
                                        "value": "$.rideSummary.scenes[6].events[?(@.id === 'Pickup.pickupLoot.lootMedallionCommon')].stats[?(@.id === 'hits')].value@other()",
                                        "updateType": "add"
                                },
                                {
                                        "key": "hits",
                                        "value": "$.rideSummary.scenes[6].events[?(@.id === 'Pickup.pickupLoot.lootMedallionUncommon')].stats[?(@.id === 'hits')].value@other()",
                                        "updateType": "add"
                                },
                                {
                                        "key": "hits",
                                        "value": "$.rideSummary.scenes[6].events[?(@.id === 'Pickup.pickupLoot.lootMedallionRare')].stats[?(@.id === 'hits')].value@other()",
                                        "updateType": "add"
                                }
                        ]
                }
        ]
}</t>
  </si>
  <si>
    <t>if active mission is missionBratt, grant actionMissionBrattAttempt, initialize "hits" to 0</t>
  </si>
  <si>
    <t>/^[A-Z0-9]{36}4$/ig</t>
  </si>
  <si>
    <t>{
        "resort": "$.resort",
        "park": "$.park",
        "land": "$.land",
        "publisher": "$.publisher",
        "timestamp": "$.timestamp",
        "playerId": "$.playerId",
        "items": [
                {
                        "id": "actionMissionBrattAttempt",
                        "count": 1,
                        "customData": [
                                {
                                        "key": "session",
                                        "value": "$.rideSummary.sessionId"
                                },
                                {
                                        "key": "scene",
                                        "value": 0
                                },
                                {
                                        "key": "hits",
                                        "value": 0
                                }
                        ]
                }
        ]
}</t>
  </si>
  <si>
    <t>if active mission is missionBratt AND Pickup.pickupLoot.lootAgnesUnicornOriginal|Pickup.pickupLoot.lootAgnesUnicornToiletBrush|Pickup.pickupLoot.lootBeeDohMegaphone|Pickup.pickupLoot.lootBoogieRobot|Pickup.pickupLoot.lootBigBenSnowglobe|Pickup.pickupLoot.lootBrattActionFig|Pickup.pickupLoot.lootBrattBubblegum|Pickup.pickupLoot.lootLunchbox|Pickup.pickupLoot.lootBrattMixtape|Pickup.pickupLoot.lootClive|Pickup.pickupLoot.lootCoconutties|Pickup.pickupLoot.lootCookieRobot|Pickup.pickupLoot.lootDrawingGruToilet|Pickup.pickupLoot.lootDrawingGruV6|Pickup.pickupLoot.lootDrusScarf|Pickup.pickupLoot.lootDumontDiamond|Pickup.pickupLoot.lootElMachoMask|Pickup.pickupLoot.lootGoldenGuardian|Pickup.pickupLoot.lootGruPinkSpacesuit|Pickup.pickupLoot.lootGrusJelly|Pickup.pickupLoot.lootGrusScarf|Pickup.pickupLoot.lootGuacamoleSombrero|Pickup.pickupLoot.lootHattieBoxShame|Pickup.pickupLoot.lootHypnoHat|Pickup.pickupLoot.lootJuniorKungFuBadge|Pickup.pickupLoot.lootLipstickTaser|Pickup.pickupLoot.lootManicEnergyDrink|Pickup.pickupLoot.lootOttoPetRock|Pickup.pickupLoot.lootOttoTricycle|Pickup.pickupLoot.lootQueensCrown|Pickup.pickupLoot.lootSleepyKittensBook|Pickup.pickupLoot.lootStickyFingers|Pickup.pickupLoot.lootStretchSuit|Pickup.pickupLoot.lootSwordExcalibur|Pickup.pickupLoot.lootTimTeddyBear|Pickup.pickupLoot.lootTinyMoon|Pickup.pickupLoot.lootV6ActionFigures|Pickup.pickupLoot.lootVillainConHat|Pickup.pickupLoot.lootVillainConShirt|Pickup.pickupLoot.lootZodiacStones has a hits count, update actionMissionBrattAttempt in SCENE 1</t>
  </si>
  <si>
    <t>session: sessionId, scene: 0, hits: 1</t>
  </si>
  <si>
    <t>hits: loot hit count</t>
  </si>
  <si>
    <t>$.rideSummary.scenes[0].events[?(@.id === 'Pickup.pickupLoot.lootAgnesUnicornOriginal' || @.id === 'Pickup.pickupLoot.lootAgnesUnicornToiletBrush' || @.id === 'Pickup.pickupLoot.lootBeeDohMegaphone' || @.id === 'Pickup.pickupLoot.lootBoogieRobot' || @.id === 'Pickup.pickupLoot.lootBigBenSnowglobe' || @.id === 'Pickup.pickupLoot.lootBrattActionFig' || @.id === 'Pickup.pickupLoot.lootBrattBubblegum' || @.id === 'Pickup.pickupLoot.lootLunchbox' || @.id === 'Pickup.pickupLoot.lootBrattMixtape' || @.id === 'Pickup.pickupLoot.lootClive' || @.id === 'Pickup.pickupLoot.lootCoconutties' || @.id === 'Pickup.pickupLoot.lootCookieRobot') || @.id === 'Pickup.pickupLoot.lootDrawingGruToilet') || @.id === 'Pickup.pickupLoot.lootDrawingGruV6') || @.id === 'Pickup.pickupLoot.lootDrusScarf') || @.id === 'Pickup.pickupLoot.lootDumontDiamond') || @.id === 'Pickup.pickupLoot.lootElMachoMask') || @.id === 'Pickup.pickupLoot.lootGoldenGuardian') || @.id === 'Pickup.pickupLoot.lootGruPinkSpacesuit') || @.id === 'Pickup.pickupLoot.lootGrusJelly') || @.id === 'Pickup.pickupLoot.lootGrusScarf') || @.id === 'Pickup.pickupLoot.lootGuacamoleSombrero') || @.id === 'Pickup.pickupLoot.lootHattieBoxShame') || @.id === 'Pickup.pickupLoot.lootHypnoHat') || @.id === 'Pickup.pickupLoot.lootJuniorKungFuBadge') || @.id === 'Pickup.pickupLoot.lootLipstickTaser') || @.id === 'Pickup.pickupLoot.lootManicEnergyDrink') || @.id === 'Pickup.pickupLoot.lootOttoPetRock') || @.id === 'Pickup.pickupLoot.lootOttoTricycle') || @.id === 'Pickup.pickupLoot.lootQueensCrown') || @.id === 'Pickup.pickupLoot.lootSleepyKittensBook') || @.id === 'Pickup.pickupLoot.lootStickyFingers') || @.id === 'Pickup.pickupLoot.lootStretchSuit') || @.id === 'Pickup.pickupLoot.lootSwordExcalibur') || @.id === 'Pickup.pickupLoot.lootTimTeddyBear') || @.id === 'Pickup.pickupLoot.lootTinyMoon') || @.id === 'Pickup.pickupLoot.lootV6ActionFigures') || @.id === 'Pickup.pickupLoot.lootVillainConHat') || @.id === 'Pickup.pickupLoot.lootVillainConShirt') || @.id === 'Pickup.pickupLoot.lootZodiacStones')].stats[?(@.id === 'hits')].value</t>
  </si>
  <si>
    <t>{
        "resort": "$.resort",
        "park": "$.park",
        "land": "$.land",
        "publisher": "$.publisher",
        "timestamp": "$.timestamp",
        "playerId": "$.playerId",
        "items": [
                {
                        "id": "actionMissionBrattAttempt",
                        "count": 0,
                        "customData": [
                                {
                                        "key": "session",
                                        "value": "$.rideSummary.sessionId"
                                },
                                {
                                        "key": "scene",
                                        "value": "$.rideSummary.scenes[0].number@other()"
                                },
                                {
                                        "key": "hits",
                                        "value": "$.rideSummary.scenes[0].events[?(@.id === 'Pickup.pickupLoot.lootAgnesUnicornOriginal')].stats[?(@.id === 'hits')].value@other()",
                                        "updateType": "add"
                                },
                                {
                                        "key": "hits",
                                        "value": "$.rideSummary.scenes[0].events[?(@.id === 'Pickup.pickupLoot.lootAgnesUnicornToiletBrush')].stats[?(@.id === 'hits')].value@other()",
                                        "updateType": "add"
                                },
                                {
                                        "key": "hits",
                                        "value": "$.rideSummary.scenes[0].events[?(@.id === 'Pickup.pickupLoot.lootBeeDohMegaphone')].stats[?(@.id === 'hits')].value@other()",
                                        "updateType": "add"
                                },
                                {
                                        "key": "hits",
                                        "value": "$.rideSummary.scenes[0].events[?(@.id === 'Pickup.pickupLoot.lootBoogieRobot')].stats[?(@.id === 'hits')].value@other()",
                                        "updateType": "add"
                                },
                                {
                                        "key": "hits",
                                        "value": "$.rideSummary.scenes[0].events[?(@.id === 'Pickup.pickupLoot.lootBigBenSnowglobe')].stats[?(@.id === 'hits')].value@other()",
                                        "updateType": "add"
                                },
                                {
                                        "key": "hits",
                                        "value": "$.rideSummary.scenes[0].events[?(@.id === 'Pickup.pickupLoot.lootBrattActionFig')].stats[?(@.id === 'hits')].value@other()",
                                        "updateType": "add"
                                },
                                {
                                        "key": "hits",
                                        "value": "$.rideSummary.scenes[0].events[?(@.id === 'Pickup.pickupLoot.lootBrattBubblegum')].stats[?(@.id === 'hits')].value@other()",
                                        "updateType": "add"
                                },
                                {
                                        "key": "hits",
                                        "value": "$.rideSummary.scenes[0].events[?(@.id === 'Pickup.pickupLoot.lootLunchbox')].stats[?(@.id === 'hits')].value@other()",
                                        "updateType": "add"
                                },
                                {
                                        "key": "hits",
                                        "value": "$.rideSummary.scenes[0].events[?(@.id === 'Pickup.pickupLoot.lootBrattMixtape')].stats[?(@.id === 'hits')].value@other()",
                                        "updateType": "add"
                                },
                                {
                                        "key": "hits",
                                        "value": "$.rideSummary.scenes[0].events[?(@.id === 'Pickup.pickupLoot.lootClive')].stats[?(@.id === 'hits')].value@other()",
                                        "updateType": "add"
                                },
                                {
                                        "key": "hits",
                                        "value": "$.rideSummary.scenes[0].events[?(@.id === 'Pickup.pickupLoot.lootCoconutties')].stats[?(@.id === 'hits')].value@other()",
                                        "updateType": "add"
                                },
                                {
                                        "key": "hits",
                                        "value": "$.rideSummary.scenes[0].events[?(@.id === 'Pickup.pickupLoot.lootCookieRobot')].stats[?(@.id === 'hits')].value@other()",
                                        "updateType": "add"
                                },
                                {
                                        "key": "hits",
                                        "value": "$.rideSummary.scenes[0].events[?(@.id === 'Pickup.pickupLoot.lootDrawingGruToilet')].stats[?(@.id === 'hits')].value@other()",
                                        "updateType": "add"
                                },
                                {
                                        "key": "hits",
                                        "value": "$.rideSummary.scenes[0].events[?(@.id === 'Pickup.pickupLoot.lootDrawingGruV6')].stats[?(@.id === 'hits')].value@other()",
                                        "updateType": "add"
                                },
                                {
                                        "key": "hits",
                                        "value": "$.rideSummary.scenes[0].events[?(@.id === 'Pickup.pickupLoot.lootDrusScarf')].stats[?(@.id === 'hits')].value@other()",
                                        "updateType": "add"
                                },
                                {
                                        "key": "hits",
                                        "value": "$.rideSummary.scenes[0].events[?(@.id === 'Pickup.pickupLoot.lootDumontDiamond')].stats[?(@.id === 'hits')].value@other()",
                                        "updateType": "add"
                                },
                                {
                                        "key": "hits",
                                        "value": "$.rideSummary.scenes[0].events[?(@.id === 'Pickup.pickupLoot.lootElMachoMask')].stats[?(@.id === 'hits')].value@other()",
                                        "updateType": "add"
                                },
                                {
                                        "key": "hits",
                                        "value": "$.rideSummary.scenes[0].events[?(@.id === 'Pickup.pickupLoot.lootGoldenGuardian')].stats[?(@.id === 'hits')].value@other()",
                                        "updateType": "add"
                                },
                                {
                                        "key": "hits",
                                        "value": "$.rideSummary.scenes[0].events[?(@.id === 'Pickup.pickupLoot.lootGruPinkSpacesuit')].stats[?(@.id === 'hits')].value@other()",
                                        "updateType": "add"
                                },
                                {
                                        "key": "hits",
                                        "value": "$.rideSummary.scenes[0].events[?(@.id === 'Pickup.pickupLoot.lootGrusJelly')].stats[?(@.id === 'hits')].value@other()",
                                        "updateType": "add"
                                },
                                {
                                        "key": "hits",
                                        "value": "$.rideSummary.scenes[0].events[?(@.id === 'Pickup.pickupLoot.lootGrusScarf')].stats[?(@.id === 'hits')].value@other()",
                                        "updateType": "add"
                                },
                                {
                                        "key": "hits",
                                        "value": "$.rideSummary.scenes[0].events[?(@.id === 'Pickup.pickupLoot.lootGuacamoleSombrero')].stats[?(@.id === 'hits')].value@other()",
                                        "updateType": "add"
                                },
                                {
                                        "key": "hits",
                                        "value": "$.rideSummary.scenes[0].events[?(@.id === 'Pickup.pickupLoot.lootHattieBoxShame')].stats[?(@.id === 'hits')].value@other()",
                                        "updateType": "add"
                                },
                                {
                                        "key": "hits",
                                        "value": "$.rideSummary.scenes[0].events[?(@.id === 'Pickup.pickupLoot.lootHypnoHat')].stats[?(@.id === 'hits')].value@other()",
                                        "updateType": "add"
                                },
                                {
                                        "key": "hits",
                                        "value": "$.rideSummary.scenes[0].events[?(@.id === 'Pickup.pickupLoot.lootJuniorKungFuBadge')].stats[?(@.id === 'hits')].value@other()",
                                        "updateType": "add"
                                },
                                {
                                        "key": "hits",
                                        "value": "$.rideSummary.scenes[0].events[?(@.id === 'Pickup.pickupLoot.lootLipstickTaser')].stats[?(@.id === 'hits')].value@other()",
                                        "updateType": "add"
                                },
                                {
                                        "key": "hits",
                                        "value": "$.rideSummary.scenes[0].events[?(@.id === 'Pickup.pickupLoot.lootManicEnergyDrink')].stats[?(@.id === 'hits')].value@other()",
                                        "updateType": "add"
                                },
                                {
                                        "key": "hits",
                                        "value": "$.rideSummary.scenes[0].events[?(@.id === 'Pickup.pickupLoot.lootOttoPetRock')].stats[?(@.id === 'hits')].value@other()",
                                        "updateType": "add"
                                },
                                {
                                        "key": "hits",
                                        "value": "$.rideSummary.scenes[0].events[?(@.id === 'Pickup.pickupLoot.lootOttoTricycle')].stats[?(@.id === 'hits')].value@other()",
                                        "updateType": "add"
                                },
                                {
                                        "key": "hits",
                                        "value": "$.rideSummary.scenes[0].events[?(@.id === 'Pickup.pickupLoot.lootQueensCrown')].stats[?(@.id === 'hits')].value@other()",
                                        "updateType": "add"
                                },
                                {
                                        "key": "hits",
                                        "value": "$.rideSummary.scenes[0].events[?(@.id === 'Pickup.pickupLoot.lootSleepyKittensBook')].stats[?(@.id === 'hits')].value@other()",
                                        "updateType": "add"
                                },
                                {
                                        "key": "hits",
                                        "value": "$.rideSummary.scenes[0].events[?(@.id === 'Pickup.pickupLoot.lootStickyFingers')].stats[?(@.id === 'hits')].value@other()",
                                        "updateType": "add"
                                },
                                {
                                        "key": "hits",
                                        "value": "$.rideSummary.scenes[0].events[?(@.id === 'Pickup.pickupLoot.lootStretchSuit')].stats[?(@.id === 'hits')].value@other()",
                                        "updateType": "add"
                                },
                                {
                                        "key": "hits",
                                        "value": "$.rideSummary.scenes[0].events[?(@.id === 'Pickup.pickupLoot.lootSwordExcalibur')].stats[?(@.id === 'hits')].value@other()",
                                        "updateType": "add"
                                },
                                {
                                        "key": "hits",
                                        "value": "$.rideSummary.scenes[0].events[?(@.id === 'Pickup.pickupLoot.lootTimTeddyBear')].stats[?(@.id === 'hits')].value@other()",
                                        "updateType": "add"
                                },
                                {
                                        "key": "hits",
                                        "value": "$.rideSummary.scenes[0].events[?(@.id === 'Pickup.pickupLoot.lootTinyMoon')].stats[?(@.id === 'hits')].value@other()",
                                        "updateType": "add"
                                },
                                {
                                        "key": "hits",
                                        "value": "$.rideSummary.scenes[0].events[?(@.id === 'Pickup.pickupLoot.lootV6ActionFigures')].stats[?(@.id === 'hits')].value@other()",
                                        "updateType": "add"
                                },
                                {
                                        "key": "hits",
                                        "value": "$.rideSummary.scenes[0].events[?(@.id === 'Pickup.pickupLoot.lootVillainConHat')].stats[?(@.id === 'hits')].value@other()",
                                        "updateType": "add"
                                },
                                {
                                        "key": "hits",
                                        "value": "$.rideSummary.scenes[0].events[?(@.id === 'Pickup.pickupLoot.lootVillainConShirt')].stats[?(@.id === 'hits')].value@other()",
                                        "updateType": "add"
                                },
                                {
                                        "key": "hits",
                                        "value": "$.rideSummary.scenes[0].events[?(@.id === 'Pickup.pickupLoot.lootZodiacStones')].stats[?(@.id === 'hits')].value@other()",
                                        "updateType": "add"
                                }
                        ]
                }
        ]
}</t>
  </si>
  <si>
    <t>if active mission is missionBratt AND Pickup.pickupLoot.lootAgnesUnicornOriginal|Pickup.pickupLoot.lootAgnesUnicornToiletBrush|Pickup.pickupLoot.lootBeeDohMegaphone|Pickup.pickupLoot.lootBoogieRobot|Pickup.pickupLoot.lootBigBenSnowglobe|Pickup.pickupLoot.lootBrattActionFig|Pickup.pickupLoot.lootBrattBubblegum|Pickup.pickupLoot.lootLunchbox|Pickup.pickupLoot.lootBrattMixtape|Pickup.pickupLoot.lootClive|Pickup.pickupLoot.lootCoconutties|Pickup.pickupLoot.lootCookieRobot|Pickup.pickupLoot.lootDrawingGruToilet|Pickup.pickupLoot.lootDrawingGruV6|Pickup.pickupLoot.lootDrusScarf|Pickup.pickupLoot.lootDumontDiamond|Pickup.pickupLoot.lootElMachoMask|Pickup.pickupLoot.lootGoldenGuardian|Pickup.pickupLoot.lootGruPinkSpacesuit|Pickup.pickupLoot.lootGrusJelly|Pickup.pickupLoot.lootGrusScarf|Pickup.pickupLoot.lootGuacamoleSombrero|Pickup.pickupLoot.lootHattieBoxShame|Pickup.pickupLoot.lootHypnoHat|Pickup.pickupLoot.lootJuniorKungFuBadge|Pickup.pickupLoot.lootLipstickTaser|Pickup.pickupLoot.lootManicEnergyDrink|Pickup.pickupLoot.lootOttoPetRock|Pickup.pickupLoot.lootOttoTricycle|Pickup.pickupLoot.lootQueensCrown|Pickup.pickupLoot.lootSleepyKittensBook|Pickup.pickupLoot.lootStickyFingers|Pickup.pickupLoot.lootStretchSuit|Pickup.pickupLoot.lootSwordExcalibur|Pickup.pickupLoot.lootTimTeddyBear|Pickup.pickupLoot.lootTinyMoon|Pickup.pickupLoot.lootV6ActionFigures|Pickup.pickupLoot.lootVillainConHat|Pickup.pickupLoot.lootVillainConShirt|Pickup.pickupLoot.lootZodiacStones has a hits count, update actionMissionBrattAttempt in SCENE 2</t>
  </si>
  <si>
    <t>session: sessionId, scene: 0, hits: 2</t>
  </si>
  <si>
    <t>$.rideSummary.scenes[1].events[?(@.id === 'Pickup.pickupLoot.lootAgnesUnicornOriginal' || @.id === 'Pickup.pickupLoot.lootAgnesUnicornToiletBrush' || @.id === 'Pickup.pickupLoot.lootBeeDohMegaphone' || @.id === 'Pickup.pickupLoot.lootBoogieRobot' || @.id === 'Pickup.pickupLoot.lootBigBenSnowglobe' || @.id === 'Pickup.pickupLoot.lootBrattActionFig' || @.id === 'Pickup.pickupLoot.lootBrattBubblegum' || @.id === 'Pickup.pickupLoot.lootLunchbox' || @.id === 'Pickup.pickupLoot.lootBrattMixtape' || @.id === 'Pickup.pickupLoot.lootClive' || @.id === 'Pickup.pickupLoot.lootCoconutties' || @.id === 'Pickup.pickupLoot.lootCookieRobot') || @.id === 'Pickup.pickupLoot.lootDrawingGruToilet') || @.id === 'Pickup.pickupLoot.lootDrawingGruV6') || @.id === 'Pickup.pickupLoot.lootDrusScarf') || @.id === 'Pickup.pickupLoot.lootDumontDiamond') || @.id === 'Pickup.pickupLoot.lootElMachoMask') || @.id === 'Pickup.pickupLoot.lootGoldenGuardian') || @.id === 'Pickup.pickupLoot.lootGruPinkSpacesuit') || @.id === 'Pickup.pickupLoot.lootGrusJelly') || @.id === 'Pickup.pickupLoot.lootGrusScarf') || @.id === 'Pickup.pickupLoot.lootGuacamoleSombrero') || @.id === 'Pickup.pickupLoot.lootHattieBoxShame') || @.id === 'Pickup.pickupLoot.lootHypnoHat') || @.id === 'Pickup.pickupLoot.lootJuniorKungFuBadge') || @.id === 'Pickup.pickupLoot.lootLipstickTaser') || @.id === 'Pickup.pickupLoot.lootManicEnergyDrink') || @.id === 'Pickup.pickupLoot.lootOttoPetRock') || @.id === 'Pickup.pickupLoot.lootOttoTricycle') || @.id === 'Pickup.pickupLoot.lootQueensCrown') || @.id === 'Pickup.pickupLoot.lootSleepyKittensBook') || @.id === 'Pickup.pickupLoot.lootStickyFingers') || @.id === 'Pickup.pickupLoot.lootStretchSuit') || @.id === 'Pickup.pickupLoot.lootSwordExcalibur') || @.id === 'Pickup.pickupLoot.lootTimTeddyBear') || @.id === 'Pickup.pickupLoot.lootTinyMoon') || @.id === 'Pickup.pickupLoot.lootV6ActionFigures') || @.id === 'Pickup.pickupLoot.lootVillainConHat') || @.id === 'Pickup.pickupLoot.lootVillainConShirt') || @.id === 'Pickup.pickupLoot.lootZodiacStones')].stats[?(@.id === 'hits')].value</t>
  </si>
  <si>
    <t>{
        "resort": "$.resort",
        "park": "$.park",
        "land": "$.land",
        "publisher": "$.publisher",
        "timestamp": "$.timestamp",
        "playerId": "$.playerId",
        "items": [
                {
                        "id": "actionMissionBrattAttempt",
                        "count": 0,
                        "customData": [
                                {
                                        "key": "session",
                                        "value": "$.rideSummary.sessionId"
                                },
                                {
                                        "key": "scene",
                                        "value": "$.rideSummary.scenes[1].number@other()"
                                },
                                {
                                        "key": "hits",
                                        "value": "$.rideSummary.scenes[1].events[?(@.id === 'Pickup.pickupLoot.lootAgnesUnicornOriginal')].stats[?(@.id === 'hits')].value@other()",
                                        "updateType": "add"
                                },
                                {
                                        "key": "hits",
                                        "value": "$.rideSummary.scenes[1].events[?(@.id === 'Pickup.pickupLoot.lootAgnesUnicornToiletBrush')].stats[?(@.id === 'hits')].value@other()",
                                        "updateType": "add"
                                },
                                {
                                        "key": "hits",
                                        "value": "$.rideSummary.scenes[1].events[?(@.id === 'Pickup.pickupLoot.lootBeeDohMegaphone')].stats[?(@.id === 'hits')].value@other()",
                                        "updateType": "add"
                                },
                                {
                                        "key": "hits",
                                        "value": "$.rideSummary.scenes[1].events[?(@.id === 'Pickup.pickupLoot.lootBoogieRobot')].stats[?(@.id === 'hits')].value@other()",
                                        "updateType": "add"
                                },
                                {
                                        "key": "hits",
                                        "value": "$.rideSummary.scenes[1].events[?(@.id === 'Pickup.pickupLoot.lootBigBenSnowglobe')].stats[?(@.id === 'hits')].value@other()",
                                        "updateType": "add"
                                },
                                {
                                        "key": "hits",
                                        "value": "$.rideSummary.scenes[1].events[?(@.id === 'Pickup.pickupLoot.lootBrattActionFig')].stats[?(@.id === 'hits')].value@other()",
                                        "updateType": "add"
                                },
                                {
                                        "key": "hits",
                                        "value": "$.rideSummary.scenes[1].events[?(@.id === 'Pickup.pickupLoot.lootBrattBubblegum')].stats[?(@.id === 'hits')].value@other()",
                                        "updateType": "add"
                                },
                                {
                                        "key": "hits",
                                        "value": "$.rideSummary.scenes[1].events[?(@.id === 'Pickup.pickupLoot.lootLunchbox')].stats[?(@.id === 'hits')].value@other()",
                                        "updateType": "add"
                                },
                                {
                                        "key": "hits",
                                        "value": "$.rideSummary.scenes[1].events[?(@.id === 'Pickup.pickupLoot.lootBrattMixtape')].stats[?(@.id === 'hits')].value@other()",
                                        "updateType": "add"
                                },
                                {
                                        "key": "hits",
                                        "value": "$.rideSummary.scenes[1].events[?(@.id === 'Pickup.pickupLoot.lootClive')].stats[?(@.id === 'hits')].value@other()",
                                        "updateType": "add"
                                },
                                {
                                        "key": "hits",
                                        "value": "$.rideSummary.scenes[1].events[?(@.id === 'Pickup.pickupLoot.lootCoconutties')].stats[?(@.id === 'hits')].value@other()",
                                        "updateType": "add"
                                },
                                {
                                        "key": "hits",
                                        "value": "$.rideSummary.scenes[1].events[?(@.id === 'Pickup.pickupLoot.lootCookieRobot')].stats[?(@.id === 'hits')].value@other()",
                                        "updateType": "add"
                                },
                                {
                                        "key": "hits",
                                        "value": "$.rideSummary.scenes[1].events[?(@.id === 'Pickup.pickupLoot.lootDrawingGruToilet')].stats[?(@.id === 'hits')].value@other()",
                                        "updateType": "add"
                                },
                                {
                                        "key": "hits",
                                        "value": "$.rideSummary.scenes[1].events[?(@.id === 'Pickup.pickupLoot.lootDrawingGruV6')].stats[?(@.id === 'hits')].value@other()",
                                        "updateType": "add"
                                },
                                {
                                        "key": "hits",
                                        "value": "$.rideSummary.scenes[1].events[?(@.id === 'Pickup.pickupLoot.lootDrusScarf')].stats[?(@.id === 'hits')].value@other()",
                                        "updateType": "add"
                                },
                                {
                                        "key": "hits",
                                        "value": "$.rideSummary.scenes[1].events[?(@.id === 'Pickup.pickupLoot.lootDumontDiamond')].stats[?(@.id === 'hits')].value@other()",
                                        "updateType": "add"
                                },
                                {
                                        "key": "hits",
                                        "value": "$.rideSummary.scenes[1].events[?(@.id === 'Pickup.pickupLoot.lootElMachoMask')].stats[?(@.id === 'hits')].value@other()",
                                        "updateType": "add"
                                },
                                {
                                        "key": "hits",
                                        "value": "$.rideSummary.scenes[1].events[?(@.id === 'Pickup.pickupLoot.lootGoldenGuardian')].stats[?(@.id === 'hits')].value@other()",
                                        "updateType": "add"
                                },
                                {
                                        "key": "hits",
                                        "value": "$.rideSummary.scenes[1].events[?(@.id === 'Pickup.pickupLoot.lootGruPinkSpacesuit')].stats[?(@.id === 'hits')].value@other()",
                                        "updateType": "add"
                                },
                                {
                                        "key": "hits",
                                        "value": "$.rideSummary.scenes[1].events[?(@.id === 'Pickup.pickupLoot.lootGrusJelly')].stats[?(@.id === 'hits')].value@other()",
                                        "updateType": "add"
                                },
                                {
                                        "key": "hits",
                                        "value": "$.rideSummary.scenes[1].events[?(@.id === 'Pickup.pickupLoot.lootGrusScarf')].stats[?(@.id === 'hits')].value@other()",
                                        "updateType": "add"
                                },
                                {
                                        "key": "hits",
                                        "value": "$.rideSummary.scenes[1].events[?(@.id === 'Pickup.pickupLoot.lootGuacamoleSombrero')].stats[?(@.id === 'hits')].value@other()",
                                        "updateType": "add"
                                },
                                {
                                        "key": "hits",
                                        "value": "$.rideSummary.scenes[1].events[?(@.id === 'Pickup.pickupLoot.lootHattieBoxShame')].stats[?(@.id === 'hits')].value@other()",
                                        "updateType": "add"
                                },
                                {
                                        "key": "hits",
                                        "value": "$.rideSummary.scenes[1].events[?(@.id === 'Pickup.pickupLoot.lootHypnoHat')].stats[?(@.id === 'hits')].value@other()",
                                        "updateType": "add"
                                },
                                {
                                        "key": "hits",
                                        "value": "$.rideSummary.scenes[1].events[?(@.id === 'Pickup.pickupLoot.lootJuniorKungFuBadge')].stats[?(@.id === 'hits')].value@other()",
                                        "updateType": "add"
                                },
                                {
                                        "key": "hits",
                                        "value": "$.rideSummary.scenes[1].events[?(@.id === 'Pickup.pickupLoot.lootLipstickTaser')].stats[?(@.id === 'hits')].value@other()",
                                        "updateType": "add"
                                },
                                {
                                        "key": "hits",
                                        "value": "$.rideSummary.scenes[1].events[?(@.id === 'Pickup.pickupLoot.lootManicEnergyDrink')].stats[?(@.id === 'hits')].value@other()",
                                        "updateType": "add"
                                },
                                {
                                        "key": "hits",
                                        "value": "$.rideSummary.scenes[1].events[?(@.id === 'Pickup.pickupLoot.lootOttoPetRock')].stats[?(@.id === 'hits')].value@other()",
                                        "updateType": "add"
                                },
                                {
                                        "key": "hits",
                                        "value": "$.rideSummary.scenes[1].events[?(@.id === 'Pickup.pickupLoot.lootOttoTricycle')].stats[?(@.id === 'hits')].value@other()",
                                        "updateType": "add"
                                },
                                {
                                        "key": "hits",
                                        "value": "$.rideSummary.scenes[1].events[?(@.id === 'Pickup.pickupLoot.lootQueensCrown')].stats[?(@.id === 'hits')].value@other()",
                                        "updateType": "add"
                                },
                                {
                                        "key": "hits",
                                        "value": "$.rideSummary.scenes[1].events[?(@.id === 'Pickup.pickupLoot.lootSleepyKittensBook')].stats[?(@.id === 'hits')].value@other()",
                                        "updateType": "add"
                                },
                                {
                                        "key": "hits",
                                        "value": "$.rideSummary.scenes[1].events[?(@.id === 'Pickup.pickupLoot.lootStickyFingers')].stats[?(@.id === 'hits')].value@other()",
                                        "updateType": "add"
                                },
                                {
                                        "key": "hits",
                                        "value": "$.rideSummary.scenes[1].events[?(@.id === 'Pickup.pickupLoot.lootStretchSuit')].stats[?(@.id === 'hits')].value@other()",
                                        "updateType": "add"
                                },
                                {
                                        "key": "hits",
                                        "value": "$.rideSummary.scenes[1].events[?(@.id === 'Pickup.pickupLoot.lootSwordExcalibur')].stats[?(@.id === 'hits')].value@other()",
                                        "updateType": "add"
                                },
                                {
                                        "key": "hits",
                                        "value": "$.rideSummary.scenes[1].events[?(@.id === 'Pickup.pickupLoot.lootTimTeddyBear')].stats[?(@.id === 'hits')].value@other()",
                                        "updateType": "add"
                                },
                                {
                                        "key": "hits",
                                        "value": "$.rideSummary.scenes[1].events[?(@.id === 'Pickup.pickupLoot.lootTinyMoon')].stats[?(@.id === 'hits')].value@other()",
                                        "updateType": "add"
                                },
                                {
                                        "key": "hits",
                                        "value": "$.rideSummary.scenes[1].events[?(@.id === 'Pickup.pickupLoot.lootV6ActionFigures')].stats[?(@.id === 'hits')].value@other()",
                                        "updateType": "add"
                                },
                                {
                                        "key": "hits",
                                        "value": "$.rideSummary.scenes[1].events[?(@.id === 'Pickup.pickupLoot.lootVillainConHat')].stats[?(@.id === 'hits')].value@other()",
                                        "updateType": "add"
                                },
                                {
                                        "key": "hits",
                                        "value": "$.rideSummary.scenes[1].events[?(@.id === 'Pickup.pickupLoot.lootVillainConShirt')].stats[?(@.id === 'hits')].value@other()",
                                        "updateType": "add"
                                },
                                {
                                        "key": "hits",
                                        "value": "$.rideSummary.scenes[1].events[?(@.id === 'Pickup.pickupLoot.lootZodiacStones')].stats[?(@.id === 'hits')].value@other()",
                                        "updateType": "add"
                                }
                        ]
                }
        ]
}</t>
  </si>
  <si>
    <t>if active mission is missionBratt AND Pickup.pickupLoot.lootAgnesUnicornOriginal|Pickup.pickupLoot.lootAgnesUnicornToiletBrush|Pickup.pickupLoot.lootBeeDohMegaphone|Pickup.pickupLoot.lootBoogieRobot|Pickup.pickupLoot.lootBigBenSnowglobe|Pickup.pickupLoot.lootBrattActionFig|Pickup.pickupLoot.lootBrattBubblegum|Pickup.pickupLoot.lootLunchbox|Pickup.pickupLoot.lootBrattMixtape|Pickup.pickupLoot.lootClive|Pickup.pickupLoot.lootCoconutties|Pickup.pickupLoot.lootCookieRobot|Pickup.pickupLoot.lootDrawingGruToilet|Pickup.pickupLoot.lootDrawingGruV6|Pickup.pickupLoot.lootDrusScarf|Pickup.pickupLoot.lootDumontDiamond|Pickup.pickupLoot.lootElMachoMask|Pickup.pickupLoot.lootGoldenGuardian|Pickup.pickupLoot.lootGruPinkSpacesuit|Pickup.pickupLoot.lootGrusJelly|Pickup.pickupLoot.lootGrusScarf|Pickup.pickupLoot.lootGuacamoleSombrero|Pickup.pickupLoot.lootHattieBoxShame|Pickup.pickupLoot.lootHypnoHat|Pickup.pickupLoot.lootJuniorKungFuBadge|Pickup.pickupLoot.lootLipstickTaser|Pickup.pickupLoot.lootManicEnergyDrink|Pickup.pickupLoot.lootOttoPetRock|Pickup.pickupLoot.lootOttoTricycle|Pickup.pickupLoot.lootQueensCrown|Pickup.pickupLoot.lootSleepyKittensBook|Pickup.pickupLoot.lootStickyFingers|Pickup.pickupLoot.lootStretchSuit|Pickup.pickupLoot.lootSwordExcalibur|Pickup.pickupLoot.lootTimTeddyBear|Pickup.pickupLoot.lootTinyMoon|Pickup.pickupLoot.lootV6ActionFigures|Pickup.pickupLoot.lootVillainConHat|Pickup.pickupLoot.lootVillainConShirt|Pickup.pickupLoot.lootZodiacStones has a hits count, update actionMissionBrattAttempt in SCENE 3</t>
  </si>
  <si>
    <t>session: sessionId, scene: 0, hits: 3</t>
  </si>
  <si>
    <t>$.rideSummary.scenes[2].events[?(@.id === 'Pickup.pickupLoot.lootAgnesUnicornOriginal' || @.id === 'Pickup.pickupLoot.lootAgnesUnicornToiletBrush' || @.id === 'Pickup.pickupLoot.lootBeeDohMegaphone' || @.id === 'Pickup.pickupLoot.lootBoogieRobot' || @.id === 'Pickup.pickupLoot.lootBigBenSnowglobe' || @.id === 'Pickup.pickupLoot.lootBrattActionFig' || @.id === 'Pickup.pickupLoot.lootBrattBubblegum' || @.id === 'Pickup.pickupLoot.lootLunchbox' || @.id === 'Pickup.pickupLoot.lootBrattMixtape' || @.id === 'Pickup.pickupLoot.lootClive' || @.id === 'Pickup.pickupLoot.lootCoconutties' || @.id === 'Pickup.pickupLoot.lootCookieRobot') || @.id === 'Pickup.pickupLoot.lootDrawingGruToilet') || @.id === 'Pickup.pickupLoot.lootDrawingGruV6') || @.id === 'Pickup.pickupLoot.lootDrusScarf') || @.id === 'Pickup.pickupLoot.lootDumontDiamond') || @.id === 'Pickup.pickupLoot.lootElMachoMask') || @.id === 'Pickup.pickupLoot.lootGoldenGuardian') || @.id === 'Pickup.pickupLoot.lootGruPinkSpacesuit') || @.id === 'Pickup.pickupLoot.lootGrusJelly') || @.id === 'Pickup.pickupLoot.lootGrusScarf') || @.id === 'Pickup.pickupLoot.lootGuacamoleSombrero') || @.id === 'Pickup.pickupLoot.lootHattieBoxShame') || @.id === 'Pickup.pickupLoot.lootHypnoHat') || @.id === 'Pickup.pickupLoot.lootJuniorKungFuBadge') || @.id === 'Pickup.pickupLoot.lootLipstickTaser') || @.id === 'Pickup.pickupLoot.lootManicEnergyDrink') || @.id === 'Pickup.pickupLoot.lootOttoPetRock') || @.id === 'Pickup.pickupLoot.lootOttoTricycle') || @.id === 'Pickup.pickupLoot.lootQueensCrown') || @.id === 'Pickup.pickupLoot.lootSleepyKittensBook') || @.id === 'Pickup.pickupLoot.lootStickyFingers') || @.id === 'Pickup.pickupLoot.lootStretchSuit') || @.id === 'Pickup.pickupLoot.lootSwordExcalibur') || @.id === 'Pickup.pickupLoot.lootTimTeddyBear') || @.id === 'Pickup.pickupLoot.lootTinyMoon') || @.id === 'Pickup.pickupLoot.lootV6ActionFigures') || @.id === 'Pickup.pickupLoot.lootVillainConHat') || @.id === 'Pickup.pickupLoot.lootVillainConShirt') || @.id === 'Pickup.pickupLoot.lootZodiacStones')].stats[?(@.id === 'hits')].value</t>
  </si>
  <si>
    <t>{
	"resort": "$.resort",
	"park": "$.park",
	"land": "$.land",
	"publisher": "$.publisher",
	"timestamp": "$.timestamp",
	"playerId": "$.playerId",
	"items": [
		{
			"id": "actionMissionBrattAttempt",
			"count": 0,
			"customData": [
				{
					"key": "session",
					"value": "$.rideSummary.sessionId"
				},
				{
					"key": "scene",
					"value": "$.rideSummary.scenes[2].number@other()"
				},
				{
					"key": "hits",
					"value": "$.rideSummary.scenes[2].events[?(@.id === 'Pickup.pickupLoot.lootAgnesUnicornOriginal')].stats[?(@.id === 'hits')].value@other()",
					"updateType": "add"
				},
				{
					"key": "hits",
					"value": "$.rideSummary.scenes[2].events[?(@.id === 'Pickup.pickupLoot.lootAgnesUnicornToiletBrush')].stats[?(@.id === 'hits')].value@other()",
					"updateType": "add"
				},
				{
					"key": "hits",
					"value": "$.rideSummary.scenes[2].events[?(@.id === 'Pickup.pickupLoot.lootBeeDohMegaphone')].stats[?(@.id === 'hits')].value@other()",
					"updateType": "add"
				},
				{
					"key": "hits",
					"value": "$.rideSummary.scenes[2].events[?(@.id === 'Pickup.pickupLoot.lootBoogieRobot')].stats[?(@.id === 'hits')].value@other()",
					"updateType": "add"
				},
				{
					"key": "hits",
					"value": "$.rideSummary.scenes[2].events[?(@.id === 'Pickup.pickupLoot.lootBigBenSnowglobe')].stats[?(@.id === 'hits')].value@other()",
					"updateType": "add"
				},
				{
					"key": "hits",
					"value": "$.rideSummary.scenes[2].events[?(@.id === 'Pickup.pickupLoot.lootBrattActionFig')].stats[?(@.id === 'hits')].value@other()",
					"updateType": "add"
				},
				{
					"key": "hits",
					"value": "$.rideSummary.scenes[2].events[?(@.id === 'Pickup.pickupLoot.lootBrattBubblegum')].stats[?(@.id === 'hits')].value@other()",
					"updateType": "add"
				},
				{
					"key": "hits",
					"value": "$.rideSummary.scenes[2].events[?(@.id === 'Pickup.pickupLoot.lootLunchbox')].stats[?(@.id === 'hits')].value@other()",
					"updateType": "add"
				},
				{
					"key": "hits",
					"value": "$.rideSummary.scenes[2].events[?(@.id === 'Pickup.pickupLoot.lootBrattMixtape')].stats[?(@.id === 'hits')].value@other()",
					"updateType": "add"
				},
				{
					"key": "hits",
					"value": "$.rideSummary.scenes[2].events[?(@.id === 'Pickup.pickupLoot.lootClive')].stats[?(@.id === 'hits')].value@other()",
					"updateType": "add"
				},
				{
					"key": "hits",
					"value": "$.rideSummary.scenes[2].events[?(@.id === 'Pickup.pickupLoot.lootCoconutties')].stats[?(@.id === 'hits')].value@other()",
					"updateType": "add"
				},
				{
					"key": "hits",
					"value": "$.rideSummary.scenes[2].events[?(@.id === 'Pickup.pickupLoot.lootCookieRobot')].stats[?(@.id === 'hits')].value@other()",
					"updateType": "add"
				},
				{
					"key": "hits",
					"value": "$.rideSummary.scenes[2].events[?(@.id === 'Pickup.pickupLoot.lootDrawingGruToilet')].stats[?(@.id === 'hits')].value@other()",
					"updateType": "add"
				},
				{
					"key": "hits",
					"value": "$.rideSummary.scenes[2].events[?(@.id === 'Pickup.pickupLoot.lootDrawingGruV6')].stats[?(@.id === 'hits')].value@other()",
					"updateType": "add"
				},
				{
					"key": "hits",
					"value": "$.rideSummary.scenes[2].events[?(@.id === 'Pickup.pickupLoot.lootDrusScarf')].stats[?(@.id === 'hits')].value@other()",
					"updateType": "add"
				},
				{
					"key": "hits",
					"value": "$.rideSummary.scenes[2].events[?(@.id === 'Pickup.pickupLoot.lootDumontDiamond')].stats[?(@.id === 'hits')].value@other()",
					"updateType": "add"
				},
				{
					"key": "hits",
					"value": "$.rideSummary.scenes[2].events[?(@.id === 'Pickup.pickupLoot.lootElMachoMask')].stats[?(@.id === 'hits')].value@other()",
					"updateType": "add"
				},
				{
					"key": "hits",
					"value": "$.rideSummary.scenes[2].events[?(@.id === 'Pickup.pickupLoot.lootGoldenGuardian')].stats[?(@.id === 'hits')].value@other()",
					"updateType": "add"
				},
				{
					"key": "hits",
					"value": "$.rideSummary.scenes[2].events[?(@.id === 'Pickup.pickupLoot.lootGruPinkSpacesuit')].stats[?(@.id === 'hits')].value@other()",
					"updateType": "add"
				},
				{
					"key": "hits",
					"value": "$.rideSummary.scenes[2].events[?(@.id === 'Pickup.pickupLoot.lootGrusJelly')].stats[?(@.id === 'hits')].value@other()",
					"updateType": "add"
				},
				{
					"key": "hits",
					"value": "$.rideSummary.scenes[2].events[?(@.id === 'Pickup.pickupLoot.lootGrusScarf')].stats[?(@.id === 'hits')].value@other()",
					"updateType": "add"
				},
				{
					"key": "hits",
					"value": "$.rideSummary.scenes[2].events[?(@.id === 'Pickup.pickupLoot.lootGuacamoleSombrero')].stats[?(@.id === 'hits')].value@other()",
					"updateType": "add"
				},
				{
					"key": "hits",
					"value": "$.rideSummary.scenes[2].events[?(@.id === 'Pickup.pickupLoot.lootHattieBoxShame')].stats[?(@.id === 'hits')].value@other()",
					"updateType": "add"
				},
				{
					"key": "hits",
					"value": "$.rideSummary.scenes[2].events[?(@.id === 'Pickup.pickupLoot.lootHypnoHat')].stats[?(@.id === 'hits')].value@other()",
					"updateType": "add"
				},
				{
					"key": "hits",
					"value": "$.rideSummary.scenes[2].events[?(@.id === 'Pickup.pickupLoot.lootJuniorKungFuBadge')].stats[?(@.id === 'hits')].value@other()",
					"updateType": "add"
				},
				{
					"key": "hits",
					"value": "$.rideSummary.scenes[2].events[?(@.id === 'Pickup.pickupLoot.lootLipstickTaser')].stats[?(@.id === 'hits')].value@other()",
					"updateType": "add"
				},
				{
					"key": "hits",
					"value": "$.rideSummary.scenes[2].events[?(@.id === 'Pickup.pickupLoot.lootManicEnergyDrink')].stats[?(@.id === 'hits')].value@other()",
					"updateType": "add"
				},
				{
					"key": "hits",
					"value": "$.rideSummary.scenes[2].events[?(@.id === 'Pickup.pickupLoot.lootOttoPetRock')].stats[?(@.id === 'hits')].value@other()",
					"updateType": "add"
				},
				{
					"key": "hits",
					"value": "$.rideSummary.scenes[2].events[?(@.id === 'Pickup.pickupLoot.lootOttoTricycle')].stats[?(@.id === 'hits')].value@other()",
					"updateType": "add"
				},
				{
					"key": "hits",
					"value": "$.rideSummary.scenes[2].events[?(@.id === 'Pickup.pickupLoot.lootQueensCrown')].stats[?(@.id === 'hits')].value@other()",
					"updateType": "add"
				},
				{
					"key": "hits",
					"value": "$.rideSummary.scenes[2].events[?(@.id === 'Pickup.pickupLoot.lootSleepyKittensBook')].stats[?(@.id === 'hits')].value@other()",
					"updateType": "add"
				},
				{
					"key": "hits",
					"value": "$.rideSummary.scenes[2].events[?(@.id === 'Pickup.pickupLoot.lootStickyFingers')].stats[?(@.id === 'hits')].value@other()",
					"updateType": "add"
				},
				{
					"key": "hits",
					"value": "$.rideSummary.scenes[2].events[?(@.id === 'Pickup.pickupLoot.lootStretchSuit')].stats[?(@.id === 'hits')].value@other()",
					"updateType": "add"
				},
				{
					"key": "hits",
					"value": "$.rideSummary.scenes[2].events[?(@.id === 'Pickup.pickupLoot.lootSwordExcalibur')].stats[?(@.id === 'hits')].value@other()",
					"updateType": "add"
				},
				{
					"key": "hits",
					"value": "$.rideSummary.scenes[2].events[?(@.id === 'Pickup.pickupLoot.lootTimTeddyBear')].stats[?(@.id === 'hits')].value@other()",
					"updateType": "add"
				},
				{
					"key": "hits",
					"value": "$.rideSummary.scenes[2].events[?(@.id === 'Pickup.pickupLoot.lootTinyMoon')].stats[?(@.id === 'hits')].value@other()",
					"updateType": "add"
				},
				{
					"key": "hits",
					"value": "$.rideSummary.scenes[2].events[?(@.id === 'Pickup.pickupLoot.lootV6ActionFigures')].stats[?(@.id === 'hits')].value@other()",
					"updateType": "add"
				},
				{
					"key": "hits",
					"value": "$.rideSummary.scenes[2].events[?(@.id === 'Pickup.pickupLoot.lootVillainConHat')].stats[?(@.id === 'hits')].value@other()",
					"updateType": "add"
				},
				{
					"key": "hits",
					"value": "$.rideSummary.scenes[2].events[?(@.id === 'Pickup.pickupLoot.lootVillainConShirt')].stats[?(@.id === 'hits')].value@other()",
					"updateType": "add"
				},
				{
					"key": "hits",
					"value": "$.rideSummary.scenes[2].events[?(@.id === 'Pickup.pickupLoot.lootZodiacStones')].stats[?(@.id === 'hits')].value@other()",
					"updateType": "add"
				}
			]
		}
	]
}</t>
  </si>
  <si>
    <t>if active mission is missionBratt AND Pickup.pickupLoot.lootAgnesUnicornOriginal|Pickup.pickupLoot.lootAgnesUnicornToiletBrush|Pickup.pickupLoot.lootBeeDohMegaphone|Pickup.pickupLoot.lootBoogieRobot|Pickup.pickupLoot.lootBigBenSnowglobe|Pickup.pickupLoot.lootBrattActionFig|Pickup.pickupLoot.lootBrattBubblegum|Pickup.pickupLoot.lootLunchbox|Pickup.pickupLoot.lootBrattMixtape|Pickup.pickupLoot.lootClive|Pickup.pickupLoot.lootCoconutties|Pickup.pickupLoot.lootCookieRobot|Pickup.pickupLoot.lootDrawingGruToilet|Pickup.pickupLoot.lootDrawingGruV6|Pickup.pickupLoot.lootDrusScarf|Pickup.pickupLoot.lootDumontDiamond|Pickup.pickupLoot.lootElMachoMask|Pickup.pickupLoot.lootGoldenGuardian|Pickup.pickupLoot.lootGruPinkSpacesuit|Pickup.pickupLoot.lootGrusJelly|Pickup.pickupLoot.lootGrusScarf|Pickup.pickupLoot.lootGuacamoleSombrero|Pickup.pickupLoot.lootHattieBoxShame|Pickup.pickupLoot.lootHypnoHat|Pickup.pickupLoot.lootJuniorKungFuBadge|Pickup.pickupLoot.lootLipstickTaser|Pickup.pickupLoot.lootManicEnergyDrink|Pickup.pickupLoot.lootOttoPetRock|Pickup.pickupLoot.lootOttoTricycle|Pickup.pickupLoot.lootQueensCrown|Pickup.pickupLoot.lootSleepyKittensBook|Pickup.pickupLoot.lootStickyFingers|Pickup.pickupLoot.lootStretchSuit|Pickup.pickupLoot.lootSwordExcalibur|Pickup.pickupLoot.lootTimTeddyBear|Pickup.pickupLoot.lootTinyMoon|Pickup.pickupLoot.lootV6ActionFigures|Pickup.pickupLoot.lootVillainConHat|Pickup.pickupLoot.lootVillainConShirt|Pickup.pickupLoot.lootZodiacStones has a hits count, update actionMissionBrattAttempt in SCENE 4</t>
  </si>
  <si>
    <t>session: sessionId, scene: 0, hits: 4</t>
  </si>
  <si>
    <t>$.rideSummary.scenes[3].events[?(@.id === 'Pickup.pickupLoot.lootAgnesUnicornOriginal' || @.id === 'Pickup.pickupLoot.lootAgnesUnicornToiletBrush' || @.id === 'Pickup.pickupLoot.lootBeeDohMegaphone' || @.id === 'Pickup.pickupLoot.lootBoogieRobot' || @.id === 'Pickup.pickupLoot.lootBigBenSnowglobe' || @.id === 'Pickup.pickupLoot.lootBrattActionFig' || @.id === 'Pickup.pickupLoot.lootBrattBubblegum' || @.id === 'Pickup.pickupLoot.lootLunchbox' || @.id === 'Pickup.pickupLoot.lootBrattMixtape' || @.id === 'Pickup.pickupLoot.lootClive' || @.id === 'Pickup.pickupLoot.lootCoconutties' || @.id === 'Pickup.pickupLoot.lootCookieRobot') || @.id === 'Pickup.pickupLoot.lootDrawingGruToilet') || @.id === 'Pickup.pickupLoot.lootDrawingGruV6') || @.id === 'Pickup.pickupLoot.lootDrusScarf') || @.id === 'Pickup.pickupLoot.lootDumontDiamond') || @.id === 'Pickup.pickupLoot.lootElMachoMask') || @.id === 'Pickup.pickupLoot.lootGoldenGuardian') || @.id === 'Pickup.pickupLoot.lootGruPinkSpacesuit') || @.id === 'Pickup.pickupLoot.lootGrusJelly') || @.id === 'Pickup.pickupLoot.lootGrusScarf') || @.id === 'Pickup.pickupLoot.lootGuacamoleSombrero') || @.id === 'Pickup.pickupLoot.lootHattieBoxShame') || @.id === 'Pickup.pickupLoot.lootHypnoHat') || @.id === 'Pickup.pickupLoot.lootJuniorKungFuBadge') || @.id === 'Pickup.pickupLoot.lootLipstickTaser') || @.id === 'Pickup.pickupLoot.lootManicEnergyDrink') || @.id === 'Pickup.pickupLoot.lootOttoPetRock') || @.id === 'Pickup.pickupLoot.lootOttoTricycle') || @.id === 'Pickup.pickupLoot.lootQueensCrown') || @.id === 'Pickup.pickupLoot.lootSleepyKittensBook') || @.id === 'Pickup.pickupLoot.lootStickyFingers') || @.id === 'Pickup.pickupLoot.lootStretchSuit') || @.id === 'Pickup.pickupLoot.lootSwordExcalibur') || @.id === 'Pickup.pickupLoot.lootTimTeddyBear') || @.id === 'Pickup.pickupLoot.lootTinyMoon') || @.id === 'Pickup.pickupLoot.lootV6ActionFigures') || @.id === 'Pickup.pickupLoot.lootVillainConHat') || @.id === 'Pickup.pickupLoot.lootVillainConShirt') || @.id === 'Pickup.pickupLoot.lootZodiacStones')].stats[?(@.id === 'hits')].value</t>
  </si>
  <si>
    <t>{
	"resort": "$.resort",
	"park": "$.park",
	"land": "$.land",
	"publisher": "$.publisher",
	"timestamp": "$.timestamp",
	"playerId": "$.playerId",
	"items": [
		{
			"id": "actionMissionBrattAttempt",
			"count": 0,
			"customData": [
				{
					"key": "session",
					"value": "$.rideSummary.sessionId"
				},
				{
					"key": "scene",
					"value": "$.rideSummary.scenes[3].number@other()"
				},
				{
					"key": "hits",
					"value": "$.rideSummary.scenes[3].events[?(@.id === 'Pickup.pickupLoot.lootAgnesUnicornOriginal')].stats[?(@.id === 'hits')].value@other()",
					"updateType": "add"
				},
				{
					"key": "hits",
					"value": "$.rideSummary.scenes[3].events[?(@.id === 'Pickup.pickupLoot.lootAgnesUnicornToiletBrush')].stats[?(@.id === 'hits')].value@other()",
					"updateType": "add"
				},
				{
					"key": "hits",
					"value": "$.rideSummary.scenes[3].events[?(@.id === 'Pickup.pickupLoot.lootBeeDohMegaphone')].stats[?(@.id === 'hits')].value@other()",
					"updateType": "add"
				},
				{
					"key": "hits",
					"value": "$.rideSummary.scenes[3].events[?(@.id === 'Pickup.pickupLoot.lootBoogieRobot')].stats[?(@.id === 'hits')].value@other()",
					"updateType": "add"
				},
				{
					"key": "hits",
					"value": "$.rideSummary.scenes[3].events[?(@.id === 'Pickup.pickupLoot.lootBigBenSnowglobe')].stats[?(@.id === 'hits')].value@other()",
					"updateType": "add"
				},
				{
					"key": "hits",
					"value": "$.rideSummary.scenes[3].events[?(@.id === 'Pickup.pickupLoot.lootBrattActionFig')].stats[?(@.id === 'hits')].value@other()",
					"updateType": "add"
				},
				{
					"key": "hits",
					"value": "$.rideSummary.scenes[3].events[?(@.id === 'Pickup.pickupLoot.lootBrattBubblegum')].stats[?(@.id === 'hits')].value@other()",
					"updateType": "add"
				},
				{
					"key": "hits",
					"value": "$.rideSummary.scenes[3].events[?(@.id === 'Pickup.pickupLoot.lootLunchbox')].stats[?(@.id === 'hits')].value@other()",
					"updateType": "add"
				},
				{
					"key": "hits",
					"value": "$.rideSummary.scenes[3].events[?(@.id === 'Pickup.pickupLoot.lootBrattMixtape')].stats[?(@.id === 'hits')].value@other()",
					"updateType": "add"
				},
				{
					"key": "hits",
					"value": "$.rideSummary.scenes[3].events[?(@.id === 'Pickup.pickupLoot.lootClive')].stats[?(@.id === 'hits')].value@other()",
					"updateType": "add"
				},
				{
					"key": "hits",
					"value": "$.rideSummary.scenes[3].events[?(@.id === 'Pickup.pickupLoot.lootCoconutties')].stats[?(@.id === 'hits')].value@other()",
					"updateType": "add"
				},
				{
					"key": "hits",
					"value": "$.rideSummary.scenes[3].events[?(@.id === 'Pickup.pickupLoot.lootCookieRobot')].stats[?(@.id === 'hits')].value@other()",
					"updateType": "add"
				},
				{
					"key": "hits",
					"value": "$.rideSummary.scenes[3].events[?(@.id === 'Pickup.pickupLoot.lootDrawingGruToilet')].stats[?(@.id === 'hits')].value@other()",
					"updateType": "add"
				},
				{
					"key": "hits",
					"value": "$.rideSummary.scenes[3].events[?(@.id === 'Pickup.pickupLoot.lootDrawingGruV6')].stats[?(@.id === 'hits')].value@other()",
					"updateType": "add"
				},
				{
					"key": "hits",
					"value": "$.rideSummary.scenes[3].events[?(@.id === 'Pickup.pickupLoot.lootDrusScarf')].stats[?(@.id === 'hits')].value@other()",
					"updateType": "add"
				},
				{
					"key": "hits",
					"value": "$.rideSummary.scenes[3].events[?(@.id === 'Pickup.pickupLoot.lootDumontDiamond')].stats[?(@.id === 'hits')].value@other()",
					"updateType": "add"
				},
				{
					"key": "hits",
					"value": "$.rideSummary.scenes[3].events[?(@.id === 'Pickup.pickupLoot.lootElMachoMask')].stats[?(@.id === 'hits')].value@other()",
					"updateType": "add"
				},
				{
					"key": "hits",
					"value": "$.rideSummary.scenes[3].events[?(@.id === 'Pickup.pickupLoot.lootGoldenGuardian')].stats[?(@.id === 'hits')].value@other()",
					"updateType": "add"
				},
				{
					"key": "hits",
					"value": "$.rideSummary.scenes[3].events[?(@.id === 'Pickup.pickupLoot.lootGruPinkSpacesuit')].stats[?(@.id === 'hits')].value@other()",
					"updateType": "add"
				},
				{
					"key": "hits",
					"value": "$.rideSummary.scenes[3].events[?(@.id === 'Pickup.pickupLoot.lootGrusJelly')].stats[?(@.id === 'hits')].value@other()",
					"updateType": "add"
				},
				{
					"key": "hits",
					"value": "$.rideSummary.scenes[3].events[?(@.id === 'Pickup.pickupLoot.lootGrusScarf')].stats[?(@.id === 'hits')].value@other()",
					"updateType": "add"
				},
				{
					"key": "hits",
					"value": "$.rideSummary.scenes[3].events[?(@.id === 'Pickup.pickupLoot.lootGuacamoleSombrero')].stats[?(@.id === 'hits')].value@other()",
					"updateType": "add"
				},
				{
					"key": "hits",
					"value": "$.rideSummary.scenes[3].events[?(@.id === 'Pickup.pickupLoot.lootHattieBoxShame')].stats[?(@.id === 'hits')].value@other()",
					"updateType": "add"
				},
				{
					"key": "hits",
					"value": "$.rideSummary.scenes[3].events[?(@.id === 'Pickup.pickupLoot.lootHypnoHat')].stats[?(@.id === 'hits')].value@other()",
					"updateType": "add"
				},
				{
					"key": "hits",
					"value": "$.rideSummary.scenes[3].events[?(@.id === 'Pickup.pickupLoot.lootJuniorKungFuBadge')].stats[?(@.id === 'hits')].value@other()",
					"updateType": "add"
				},
				{
					"key": "hits",
					"value": "$.rideSummary.scenes[3].events[?(@.id === 'Pickup.pickupLoot.lootLipstickTaser')].stats[?(@.id === 'hits')].value@other()",
					"updateType": "add"
				},
				{
					"key": "hits",
					"value": "$.rideSummary.scenes[3].events[?(@.id === 'Pickup.pickupLoot.lootManicEnergyDrink')].stats[?(@.id === 'hits')].value@other()",
					"updateType": "add"
				},
				{
					"key": "hits",
					"value": "$.rideSummary.scenes[3].events[?(@.id === 'Pickup.pickupLoot.lootOttoPetRock')].stats[?(@.id === 'hits')].value@other()",
					"updateType": "add"
				},
				{
					"key": "hits",
					"value": "$.rideSummary.scenes[3].events[?(@.id === 'Pickup.pickupLoot.lootOttoTricycle')].stats[?(@.id === 'hits')].value@other()",
					"updateType": "add"
				},
				{
					"key": "hits",
					"value": "$.rideSummary.scenes[3].events[?(@.id === 'Pickup.pickupLoot.lootQueensCrown')].stats[?(@.id === 'hits')].value@other()",
					"updateType": "add"
				},
				{
					"key": "hits",
					"value": "$.rideSummary.scenes[3].events[?(@.id === 'Pickup.pickupLoot.lootSleepyKittensBook')].stats[?(@.id === 'hits')].value@other()",
					"updateType": "add"
				},
				{
					"key": "hits",
					"value": "$.rideSummary.scenes[3].events[?(@.id === 'Pickup.pickupLoot.lootStickyFingers')].stats[?(@.id === 'hits')].value@other()",
					"updateType": "add"
				},
				{
					"key": "hits",
					"value": "$.rideSummary.scenes[3].events[?(@.id === 'Pickup.pickupLoot.lootStretchSuit')].stats[?(@.id === 'hits')].value@other()",
					"updateType": "add"
				},
				{
					"key": "hits",
					"value": "$.rideSummary.scenes[3].events[?(@.id === 'Pickup.pickupLoot.lootSwordExcalibur')].stats[?(@.id === 'hits')].value@other()",
					"updateType": "add"
				},
				{
					"key": "hits",
					"value": "$.rideSummary.scenes[3].events[?(@.id === 'Pickup.pickupLoot.lootTimTeddyBear')].stats[?(@.id === 'hits')].value@other()",
					"updateType": "add"
				},
				{
					"key": "hits",
					"value": "$.rideSummary.scenes[3].events[?(@.id === 'Pickup.pickupLoot.lootTinyMoon')].stats[?(@.id === 'hits')].value@other()",
					"updateType": "add"
				},
				{
					"key": "hits",
					"value": "$.rideSummary.scenes[3].events[?(@.id === 'Pickup.pickupLoot.lootV6ActionFigures')].stats[?(@.id === 'hits')].value@other()",
					"updateType": "add"
				},
				{
					"key": "hits",
					"value": "$.rideSummary.scenes[3].events[?(@.id === 'Pickup.pickupLoot.lootVillainConHat')].stats[?(@.id === 'hits')].value@other()",
					"updateType": "add"
				},
				{
					"key": "hits",
					"value": "$.rideSummary.scenes[3].events[?(@.id === 'Pickup.pickupLoot.lootVillainConShirt')].stats[?(@.id === 'hits')].value@other()",
					"updateType": "add"
				},
				{
					"key": "hits",
					"value": "$.rideSummary.scenes[3].events[?(@.id === 'Pickup.pickupLoot.lootZodiacStones')].stats[?(@.id === 'hits')].value@other()",
					"updateType": "add"
				}
			]
		}
	]
}</t>
  </si>
  <si>
    <t>if active mission is missionBratt AND Pickup.pickupLoot.lootAgnesUnicornOriginal|Pickup.pickupLoot.lootAgnesUnicornToiletBrush|Pickup.pickupLoot.lootBeeDohMegaphone|Pickup.pickupLoot.lootBoogieRobot|Pickup.pickupLoot.lootBigBenSnowglobe|Pickup.pickupLoot.lootBrattActionFig|Pickup.pickupLoot.lootBrattBubblegum|Pickup.pickupLoot.lootLunchbox|Pickup.pickupLoot.lootBrattMixtape|Pickup.pickupLoot.lootClive|Pickup.pickupLoot.lootCoconutties|Pickup.pickupLoot.lootCookieRobot|Pickup.pickupLoot.lootDrawingGruToilet|Pickup.pickupLoot.lootDrawingGruV6|Pickup.pickupLoot.lootDrusScarf|Pickup.pickupLoot.lootDumontDiamond|Pickup.pickupLoot.lootElMachoMask|Pickup.pickupLoot.lootGoldenGuardian|Pickup.pickupLoot.lootGruPinkSpacesuit|Pickup.pickupLoot.lootGrusJelly|Pickup.pickupLoot.lootGrusScarf|Pickup.pickupLoot.lootGuacamoleSombrero|Pickup.pickupLoot.lootHattieBoxShame|Pickup.pickupLoot.lootHypnoHat|Pickup.pickupLoot.lootJuniorKungFuBadge|Pickup.pickupLoot.lootLipstickTaser|Pickup.pickupLoot.lootManicEnergyDrink|Pickup.pickupLoot.lootOttoPetRock|Pickup.pickupLoot.lootOttoTricycle|Pickup.pickupLoot.lootQueensCrown|Pickup.pickupLoot.lootSleepyKittensBook|Pickup.pickupLoot.lootStickyFingers|Pickup.pickupLoot.lootStretchSuit|Pickup.pickupLoot.lootSwordExcalibur|Pickup.pickupLoot.lootTimTeddyBear|Pickup.pickupLoot.lootTinyMoon|Pickup.pickupLoot.lootV6ActionFigures|Pickup.pickupLoot.lootVillainConHat|Pickup.pickupLoot.lootVillainConShirt|Pickup.pickupLoot.lootZodiacStones has a hits count, update actionMissionBrattAttempt in SCENE 5</t>
  </si>
  <si>
    <t>session: sessionId, scene: 0, hits: 5</t>
  </si>
  <si>
    <t>$.rideSummary.scenes[4].events[?(@.id === 'Pickup.pickupLoot.lootAgnesUnicornOriginal' || @.id === 'Pickup.pickupLoot.lootAgnesUnicornToiletBrush' || @.id === 'Pickup.pickupLoot.lootBeeDohMegaphone' || @.id === 'Pickup.pickupLoot.lootBoogieRobot' || @.id === 'Pickup.pickupLoot.lootBigBenSnowglobe' || @.id === 'Pickup.pickupLoot.lootBrattActionFig' || @.id === 'Pickup.pickupLoot.lootBrattBubblegum' || @.id === 'Pickup.pickupLoot.lootLunchbox' || @.id === 'Pickup.pickupLoot.lootBrattMixtape' || @.id === 'Pickup.pickupLoot.lootClive' || @.id === 'Pickup.pickupLoot.lootCoconutties' || @.id === 'Pickup.pickupLoot.lootCookieRobot') || @.id === 'Pickup.pickupLoot.lootDrawingGruToilet') || @.id === 'Pickup.pickupLoot.lootDrawingGruV6') || @.id === 'Pickup.pickupLoot.lootDrusScarf') || @.id === 'Pickup.pickupLoot.lootDumontDiamond') || @.id === 'Pickup.pickupLoot.lootElMachoMask') || @.id === 'Pickup.pickupLoot.lootGoldenGuardian') || @.id === 'Pickup.pickupLoot.lootGruPinkSpacesuit') || @.id === 'Pickup.pickupLoot.lootGrusJelly') || @.id === 'Pickup.pickupLoot.lootGrusScarf') || @.id === 'Pickup.pickupLoot.lootGuacamoleSombrero') || @.id === 'Pickup.pickupLoot.lootHattieBoxShame') || @.id === 'Pickup.pickupLoot.lootHypnoHat') || @.id === 'Pickup.pickupLoot.lootJuniorKungFuBadge') || @.id === 'Pickup.pickupLoot.lootLipstickTaser') || @.id === 'Pickup.pickupLoot.lootManicEnergyDrink') || @.id === 'Pickup.pickupLoot.lootOttoPetRock') || @.id === 'Pickup.pickupLoot.lootOttoTricycle') || @.id === 'Pickup.pickupLoot.lootQueensCrown') || @.id === 'Pickup.pickupLoot.lootSleepyKittensBook') || @.id === 'Pickup.pickupLoot.lootStickyFingers') || @.id === 'Pickup.pickupLoot.lootStretchSuit') || @.id === 'Pickup.pickupLoot.lootSwordExcalibur') || @.id === 'Pickup.pickupLoot.lootTimTeddyBear') || @.id === 'Pickup.pickupLoot.lootTinyMoon') || @.id === 'Pickup.pickupLoot.lootV6ActionFigures') || @.id === 'Pickup.pickupLoot.lootVillainConHat') || @.id === 'Pickup.pickupLoot.lootVillainConShirt') || @.id === 'Pickup.pickupLoot.lootZodiacStones')].stats[?(@.id === 'hits')].value</t>
  </si>
  <si>
    <t>{
	"resort": "$.resort",
	"park": "$.park",
	"land": "$.land",
	"publisher": "$.publisher",
	"timestamp": "$.timestamp",
	"playerId": "$.playerId",
	"items": [
		{
			"id": "actionMissionBrattAttempt",
			"count": 0,
			"customData": [
				{
					"key": "session",
					"value": "$.rideSummary.sessionId"
				},
				{
					"key": "scene",
					"value": "$.rideSummary.scenes[4].number@other()"
				},
				{
					"key": "hits",
					"value": "$.rideSummary.scenes[4].events[?(@.id === 'Pickup.pickupLoot.lootAgnesUnicornOriginal')].stats[?(@.id === 'hits')].value@other()",
					"updateType": "add"
				},
				{
					"key": "hits",
					"value": "$.rideSummary.scenes[4].events[?(@.id === 'Pickup.pickupLoot.lootAgnesUnicornToiletBrush')].stats[?(@.id === 'hits')].value@other()",
					"updateType": "add"
				},
				{
					"key": "hits",
					"value": "$.rideSummary.scenes[4].events[?(@.id === 'Pickup.pickupLoot.lootBeeDohMegaphone')].stats[?(@.id === 'hits')].value@other()",
					"updateType": "add"
				},
				{
					"key": "hits",
					"value": "$.rideSummary.scenes[4].events[?(@.id === 'Pickup.pickupLoot.lootBoogieRobot')].stats[?(@.id === 'hits')].value@other()",
					"updateType": "add"
				},
				{
					"key": "hits",
					"value": "$.rideSummary.scenes[4].events[?(@.id === 'Pickup.pickupLoot.lootBigBenSnowglobe')].stats[?(@.id === 'hits')].value@other()",
					"updateType": "add"
				},
				{
					"key": "hits",
					"value": "$.rideSummary.scenes[4].events[?(@.id === 'Pickup.pickupLoot.lootBrattActionFig')].stats[?(@.id === 'hits')].value@other()",
					"updateType": "add"
				},
				{
					"key": "hits",
					"value": "$.rideSummary.scenes[4].events[?(@.id === 'Pickup.pickupLoot.lootBrattBubblegum')].stats[?(@.id === 'hits')].value@other()",
					"updateType": "add"
				},
				{
					"key": "hits",
					"value": "$.rideSummary.scenes[4].events[?(@.id === 'Pickup.pickupLoot.lootLunchbox')].stats[?(@.id === 'hits')].value@other()",
					"updateType": "add"
				},
				{
					"key": "hits",
					"value": "$.rideSummary.scenes[4].events[?(@.id === 'Pickup.pickupLoot.lootBrattMixtape')].stats[?(@.id === 'hits')].value@other()",
					"updateType": "add"
				},
				{
					"key": "hits",
					"value": "$.rideSummary.scenes[4].events[?(@.id === 'Pickup.pickupLoot.lootClive')].stats[?(@.id === 'hits')].value@other()",
					"updateType": "add"
				},
				{
					"key": "hits",
					"value": "$.rideSummary.scenes[4].events[?(@.id === 'Pickup.pickupLoot.lootCoconutties')].stats[?(@.id === 'hits')].value@other()",
					"updateType": "add"
				},
				{
					"key": "hits",
					"value": "$.rideSummary.scenes[4].events[?(@.id === 'Pickup.pickupLoot.lootCookieRobot')].stats[?(@.id === 'hits')].value@other()",
					"updateType": "add"
				},
				{
					"key": "hits",
					"value": "$.rideSummary.scenes[4].events[?(@.id === 'Pickup.pickupLoot.lootDrawingGruToilet')].stats[?(@.id === 'hits')].value@other()",
					"updateType": "add"
				},
				{
					"key": "hits",
					"value": "$.rideSummary.scenes[4].events[?(@.id === 'Pickup.pickupLoot.lootDrawingGruV6')].stats[?(@.id === 'hits')].value@other()",
					"updateType": "add"
				},
				{
					"key": "hits",
					"value": "$.rideSummary.scenes[4].events[?(@.id === 'Pickup.pickupLoot.lootDrusScarf')].stats[?(@.id === 'hits')].value@other()",
					"updateType": "add"
				},
				{
					"key": "hits",
					"value": "$.rideSummary.scenes[4].events[?(@.id === 'Pickup.pickupLoot.lootDumontDiamond')].stats[?(@.id === 'hits')].value@other()",
					"updateType": "add"
				},
				{
					"key": "hits",
					"value": "$.rideSummary.scenes[4].events[?(@.id === 'Pickup.pickupLoot.lootElMachoMask')].stats[?(@.id === 'hits')].value@other()",
					"updateType": "add"
				},
				{
					"key": "hits",
					"value": "$.rideSummary.scenes[4].events[?(@.id === 'Pickup.pickupLoot.lootGoldenGuardian')].stats[?(@.id === 'hits')].value@other()",
					"updateType": "add"
				},
				{
					"key": "hits",
					"value": "$.rideSummary.scenes[4].events[?(@.id === 'Pickup.pickupLoot.lootGruPinkSpacesuit')].stats[?(@.id === 'hits')].value@other()",
					"updateType": "add"
				},
				{
					"key": "hits",
					"value": "$.rideSummary.scenes[4].events[?(@.id === 'Pickup.pickupLoot.lootGrusJelly')].stats[?(@.id === 'hits')].value@other()",
					"updateType": "add"
				},
				{
					"key": "hits",
					"value": "$.rideSummary.scenes[4].events[?(@.id === 'Pickup.pickupLoot.lootGrusScarf')].stats[?(@.id === 'hits')].value@other()",
					"updateType": "add"
				},
				{
					"key": "hits",
					"value": "$.rideSummary.scenes[4].events[?(@.id === 'Pickup.pickupLoot.lootGuacamoleSombrero')].stats[?(@.id === 'hits')].value@other()",
					"updateType": "add"
				},
				{
					"key": "hits",
					"value": "$.rideSummary.scenes[4].events[?(@.id === 'Pickup.pickupLoot.lootHattieBoxShame')].stats[?(@.id === 'hits')].value@other()",
					"updateType": "add"
				},
				{
					"key": "hits",
					"value": "$.rideSummary.scenes[4].events[?(@.id === 'Pickup.pickupLoot.lootHypnoHat')].stats[?(@.id === 'hits')].value@other()",
					"updateType": "add"
				},
				{
					"key": "hits",
					"value": "$.rideSummary.scenes[4].events[?(@.id === 'Pickup.pickupLoot.lootJuniorKungFuBadge')].stats[?(@.id === 'hits')].value@other()",
					"updateType": "add"
				},
				{
					"key": "hits",
					"value": "$.rideSummary.scenes[4].events[?(@.id === 'Pickup.pickupLoot.lootLipstickTaser')].stats[?(@.id === 'hits')].value@other()",
					"updateType": "add"
				},
				{
					"key": "hits",
					"value": "$.rideSummary.scenes[4].events[?(@.id === 'Pickup.pickupLoot.lootManicEnergyDrink')].stats[?(@.id === 'hits')].value@other()",
					"updateType": "add"
				},
				{
					"key": "hits",
					"value": "$.rideSummary.scenes[4].events[?(@.id === 'Pickup.pickupLoot.lootOttoPetRock')].stats[?(@.id === 'hits')].value@other()",
					"updateType": "add"
				},
				{
					"key": "hits",
					"value": "$.rideSummary.scenes[4].events[?(@.id === 'Pickup.pickupLoot.lootOttoTricycle')].stats[?(@.id === 'hits')].value@other()",
					"updateType": "add"
				},
				{
					"key": "hits",
					"value": "$.rideSummary.scenes[4].events[?(@.id === 'Pickup.pickupLoot.lootQueensCrown')].stats[?(@.id === 'hits')].value@other()",
					"updateType": "add"
				},
				{
					"key": "hits",
					"value": "$.rideSummary.scenes[4].events[?(@.id === 'Pickup.pickupLoot.lootSleepyKittensBook')].stats[?(@.id === 'hits')].value@other()",
					"updateType": "add"
				},
				{
					"key": "hits",
					"value": "$.rideSummary.scenes[4].events[?(@.id === 'Pickup.pickupLoot.lootStickyFingers')].stats[?(@.id === 'hits')].value@other()",
					"updateType": "add"
				},
				{
					"key": "hits",
					"value": "$.rideSummary.scenes[4].events[?(@.id === 'Pickup.pickupLoot.lootStretchSuit')].stats[?(@.id === 'hits')].value@other()",
					"updateType": "add"
				},
				{
					"key": "hits",
					"value": "$.rideSummary.scenes[4].events[?(@.id === 'Pickup.pickupLoot.lootSwordExcalibur')].stats[?(@.id === 'hits')].value@other()",
					"updateType": "add"
				},
				{
					"key": "hits",
					"value": "$.rideSummary.scenes[4].events[?(@.id === 'Pickup.pickupLoot.lootTimTeddyBear')].stats[?(@.id === 'hits')].value@other()",
					"updateType": "add"
				},
				{
					"key": "hits",
					"value": "$.rideSummary.scenes[4].events[?(@.id === 'Pickup.pickupLoot.lootTinyMoon')].stats[?(@.id === 'hits')].value@other()",
					"updateType": "add"
				},
				{
					"key": "hits",
					"value": "$.rideSummary.scenes[4].events[?(@.id === 'Pickup.pickupLoot.lootV6ActionFigures')].stats[?(@.id === 'hits')].value@other()",
					"updateType": "add"
				},
				{
					"key": "hits",
					"value": "$.rideSummary.scenes[4].events[?(@.id === 'Pickup.pickupLoot.lootVillainConHat')].stats[?(@.id === 'hits')].value@other()",
					"updateType": "add"
				},
				{
					"key": "hits",
					"value": "$.rideSummary.scenes[4].events[?(@.id === 'Pickup.pickupLoot.lootVillainConShirt')].stats[?(@.id === 'hits')].value@other()",
					"updateType": "add"
				},
				{
					"key": "hits",
					"value": "$.rideSummary.scenes[4].events[?(@.id === 'Pickup.pickupLoot.lootZodiacStones')].stats[?(@.id === 'hits')].value@other()",
					"updateType": "add"
				}
			]
		}
	]
}</t>
  </si>
  <si>
    <t>if active mission is missionBratt AND Pickup.pickupLoot.lootAgnesUnicornOriginal|Pickup.pickupLoot.lootAgnesUnicornToiletBrush|Pickup.pickupLoot.lootBeeDohMegaphone|Pickup.pickupLoot.lootBoogieRobot|Pickup.pickupLoot.lootBigBenSnowglobe|Pickup.pickupLoot.lootBrattActionFig|Pickup.pickupLoot.lootBrattBubblegum|Pickup.pickupLoot.lootLunchbox|Pickup.pickupLoot.lootBrattMixtape|Pickup.pickupLoot.lootClive|Pickup.pickupLoot.lootCoconutties|Pickup.pickupLoot.lootCookieRobot|Pickup.pickupLoot.lootDrawingGruToilet|Pickup.pickupLoot.lootDrawingGruV6|Pickup.pickupLoot.lootDrusScarf|Pickup.pickupLoot.lootDumontDiamond|Pickup.pickupLoot.lootElMachoMask|Pickup.pickupLoot.lootGoldenGuardian|Pickup.pickupLoot.lootGruPinkSpacesuit|Pickup.pickupLoot.lootGrusJelly|Pickup.pickupLoot.lootGrusScarf|Pickup.pickupLoot.lootGuacamoleSombrero|Pickup.pickupLoot.lootHattieBoxShame|Pickup.pickupLoot.lootHypnoHat|Pickup.pickupLoot.lootJuniorKungFuBadge|Pickup.pickupLoot.lootLipstickTaser|Pickup.pickupLoot.lootManicEnergyDrink|Pickup.pickupLoot.lootOttoPetRock|Pickup.pickupLoot.lootOttoTricycle|Pickup.pickupLoot.lootQueensCrown|Pickup.pickupLoot.lootSleepyKittensBook|Pickup.pickupLoot.lootStickyFingers|Pickup.pickupLoot.lootStretchSuit|Pickup.pickupLoot.lootSwordExcalibur|Pickup.pickupLoot.lootTimTeddyBear|Pickup.pickupLoot.lootTinyMoon|Pickup.pickupLoot.lootV6ActionFigures|Pickup.pickupLoot.lootVillainConHat|Pickup.pickupLoot.lootVillainConShirt|Pickup.pickupLoot.lootZodiacStones has a hits count, update actionMissionBrattAttempt in SCENE 6</t>
  </si>
  <si>
    <t>session: sessionId, scene: 0, hits: 6</t>
  </si>
  <si>
    <t>$.rideSummary.scenes[5].events[?(@.id === 'Pickup.pickupLoot.lootAgnesUnicornOriginal' || @.id === 'Pickup.pickupLoot.lootAgnesUnicornToiletBrush' || @.id === 'Pickup.pickupLoot.lootBeeDohMegaphone' || @.id === 'Pickup.pickupLoot.lootBoogieRobot' || @.id === 'Pickup.pickupLoot.lootBigBenSnowglobe' || @.id === 'Pickup.pickupLoot.lootBrattActionFig' || @.id === 'Pickup.pickupLoot.lootBrattBubblegum' || @.id === 'Pickup.pickupLoot.lootLunchbox' || @.id === 'Pickup.pickupLoot.lootBrattMixtape' || @.id === 'Pickup.pickupLoot.lootClive' || @.id === 'Pickup.pickupLoot.lootCoconutties' || @.id === 'Pickup.pickupLoot.lootCookieRobot') || @.id === 'Pickup.pickupLoot.lootDrawingGruToilet') || @.id === 'Pickup.pickupLoot.lootDrawingGruV6') || @.id === 'Pickup.pickupLoot.lootDrusScarf') || @.id === 'Pickup.pickupLoot.lootDumontDiamond') || @.id === 'Pickup.pickupLoot.lootElMachoMask') || @.id === 'Pickup.pickupLoot.lootGoldenGuardian') || @.id === 'Pickup.pickupLoot.lootGruPinkSpacesuit') || @.id === 'Pickup.pickupLoot.lootGrusJelly') || @.id === 'Pickup.pickupLoot.lootGrusScarf') || @.id === 'Pickup.pickupLoot.lootGuacamoleSombrero') || @.id === 'Pickup.pickupLoot.lootHattieBoxShame') || @.id === 'Pickup.pickupLoot.lootHypnoHat') || @.id === 'Pickup.pickupLoot.lootJuniorKungFuBadge') || @.id === 'Pickup.pickupLoot.lootLipstickTaser') || @.id === 'Pickup.pickupLoot.lootManicEnergyDrink') || @.id === 'Pickup.pickupLoot.lootOttoPetRock') || @.id === 'Pickup.pickupLoot.lootOttoTricycle') || @.id === 'Pickup.pickupLoot.lootQueensCrown') || @.id === 'Pickup.pickupLoot.lootSleepyKittensBook') || @.id === 'Pickup.pickupLoot.lootStickyFingers') || @.id === 'Pickup.pickupLoot.lootStretchSuit') || @.id === 'Pickup.pickupLoot.lootSwordExcalibur') || @.id === 'Pickup.pickupLoot.lootTimTeddyBear') || @.id === 'Pickup.pickupLoot.lootTinyMoon') || @.id === 'Pickup.pickupLoot.lootV6ActionFigures') || @.id === 'Pickup.pickupLoot.lootVillainConHat') || @.id === 'Pickup.pickupLoot.lootVillainConShirt') || @.id === 'Pickup.pickupLoot.lootZodiacStones')].stats[?(@.id === 'hits')].value</t>
  </si>
  <si>
    <t>{
	"resort": "$.resort",
	"park": "$.park",
	"land": "$.land",
	"publisher": "$.publisher",
	"timestamp": "$.timestamp",
	"playerId": "$.playerId",
	"items": [
		{
			"id": "actionMissionBrattAttempt",
			"count": 0,
			"customData": [
				{
					"key": "session",
					"value": "$.rideSummary.sessionId"
				},
				{
					"key": "scene",
					"value": "$.rideSummary.scenes[5].number@other()"
				},
				{
					"key": "hits",
					"value": "$.rideSummary.scenes[5].events[?(@.id === 'Pickup.pickupLoot.lootAgnesUnicornOriginal')].stats[?(@.id === 'hits')].value@other()",
					"updateType": "add"
				},
				{
					"key": "hits",
					"value": "$.rideSummary.scenes[5].events[?(@.id === 'Pickup.pickupLoot.lootAgnesUnicornToiletBrush')].stats[?(@.id === 'hits')].value@other()",
					"updateType": "add"
				},
				{
					"key": "hits",
					"value": "$.rideSummary.scenes[5].events[?(@.id === 'Pickup.pickupLoot.lootBeeDohMegaphone')].stats[?(@.id === 'hits')].value@other()",
					"updateType": "add"
				},
				{
					"key": "hits",
					"value": "$.rideSummary.scenes[5].events[?(@.id === 'Pickup.pickupLoot.lootBoogieRobot')].stats[?(@.id === 'hits')].value@other()",
					"updateType": "add"
				},
				{
					"key": "hits",
					"value": "$.rideSummary.scenes[5].events[?(@.id === 'Pickup.pickupLoot.lootBigBenSnowglobe')].stats[?(@.id === 'hits')].value@other()",
					"updateType": "add"
				},
				{
					"key": "hits",
					"value": "$.rideSummary.scenes[5].events[?(@.id === 'Pickup.pickupLoot.lootBrattActionFig')].stats[?(@.id === 'hits')].value@other()",
					"updateType": "add"
				},
				{
					"key": "hits",
					"value": "$.rideSummary.scenes[5].events[?(@.id === 'Pickup.pickupLoot.lootBrattBubblegum')].stats[?(@.id === 'hits')].value@other()",
					"updateType": "add"
				},
				{
					"key": "hits",
					"value": "$.rideSummary.scenes[5].events[?(@.id === 'Pickup.pickupLoot.lootLunchbox')].stats[?(@.id === 'hits')].value@other()",
					"updateType": "add"
				},
				{
					"key": "hits",
					"value": "$.rideSummary.scenes[5].events[?(@.id === 'Pickup.pickupLoot.lootBrattMixtape')].stats[?(@.id === 'hits')].value@other()",
					"updateType": "add"
				},
				{
					"key": "hits",
					"value": "$.rideSummary.scenes[5].events[?(@.id === 'Pickup.pickupLoot.lootClive')].stats[?(@.id === 'hits')].value@other()",
					"updateType": "add"
				},
				{
					"key": "hits",
					"value": "$.rideSummary.scenes[5].events[?(@.id === 'Pickup.pickupLoot.lootCoconutties')].stats[?(@.id === 'hits')].value@other()",
					"updateType": "add"
				},
				{
					"key": "hits",
					"value": "$.rideSummary.scenes[5].events[?(@.id === 'Pickup.pickupLoot.lootCookieRobot')].stats[?(@.id === 'hits')].value@other()",
					"updateType": "add"
				},
				{
					"key": "hits",
					"value": "$.rideSummary.scenes[5].events[?(@.id === 'Pickup.pickupLoot.lootDrawingGruToilet')].stats[?(@.id === 'hits')].value@other()",
					"updateType": "add"
				},
				{
					"key": "hits",
					"value": "$.rideSummary.scenes[5].events[?(@.id === 'Pickup.pickupLoot.lootDrawingGruV6')].stats[?(@.id === 'hits')].value@other()",
					"updateType": "add"
				},
				{
					"key": "hits",
					"value": "$.rideSummary.scenes[5].events[?(@.id === 'Pickup.pickupLoot.lootDrusScarf')].stats[?(@.id === 'hits')].value@other()",
					"updateType": "add"
				},
				{
					"key": "hits",
					"value": "$.rideSummary.scenes[5].events[?(@.id === 'Pickup.pickupLoot.lootDumontDiamond')].stats[?(@.id === 'hits')].value@other()",
					"updateType": "add"
				},
				{
					"key": "hits",
					"value": "$.rideSummary.scenes[5].events[?(@.id === 'Pickup.pickupLoot.lootElMachoMask')].stats[?(@.id === 'hits')].value@other()",
					"updateType": "add"
				},
				{
					"key": "hits",
					"value": "$.rideSummary.scenes[5].events[?(@.id === 'Pickup.pickupLoot.lootGoldenGuardian')].stats[?(@.id === 'hits')].value@other()",
					"updateType": "add"
				},
				{
					"key": "hits",
					"value": "$.rideSummary.scenes[5].events[?(@.id === 'Pickup.pickupLoot.lootGruPinkSpacesuit')].stats[?(@.id === 'hits')].value@other()",
					"updateType": "add"
				},
				{
					"key": "hits",
					"value": "$.rideSummary.scenes[5].events[?(@.id === 'Pickup.pickupLoot.lootGrusJelly')].stats[?(@.id === 'hits')].value@other()",
					"updateType": "add"
				},
				{
					"key": "hits",
					"value": "$.rideSummary.scenes[5].events[?(@.id === 'Pickup.pickupLoot.lootGrusScarf')].stats[?(@.id === 'hits')].value@other()",
					"updateType": "add"
				},
				{
					"key": "hits",
					"value": "$.rideSummary.scenes[5].events[?(@.id === 'Pickup.pickupLoot.lootGuacamoleSombrero')].stats[?(@.id === 'hits')].value@other()",
					"updateType": "add"
				},
				{
					"key": "hits",
					"value": "$.rideSummary.scenes[5].events[?(@.id === 'Pickup.pickupLoot.lootHattieBoxShame')].stats[?(@.id === 'hits')].value@other()",
					"updateType": "add"
				},
				{
					"key": "hits",
					"value": "$.rideSummary.scenes[5].events[?(@.id === 'Pickup.pickupLoot.lootHypnoHat')].stats[?(@.id === 'hits')].value@other()",
					"updateType": "add"
				},
				{
					"key": "hits",
					"value": "$.rideSummary.scenes[5].events[?(@.id === 'Pickup.pickupLoot.lootJuniorKungFuBadge')].stats[?(@.id === 'hits')].value@other()",
					"updateType": "add"
				},
				{
					"key": "hits",
					"value": "$.rideSummary.scenes[5].events[?(@.id === 'Pickup.pickupLoot.lootLipstickTaser')].stats[?(@.id === 'hits')].value@other()",
					"updateType": "add"
				},
				{
					"key": "hits",
					"value": "$.rideSummary.scenes[5].events[?(@.id === 'Pickup.pickupLoot.lootManicEnergyDrink')].stats[?(@.id === 'hits')].value@other()",
					"updateType": "add"
				},
				{
					"key": "hits",
					"value": "$.rideSummary.scenes[5].events[?(@.id === 'Pickup.pickupLoot.lootOttoPetRock')].stats[?(@.id === 'hits')].value@other()",
					"updateType": "add"
				},
				{
					"key": "hits",
					"value": "$.rideSummary.scenes[5].events[?(@.id === 'Pickup.pickupLoot.lootOttoTricycle')].stats[?(@.id === 'hits')].value@other()",
					"updateType": "add"
				},
				{
					"key": "hits",
					"value": "$.rideSummary.scenes[5].events[?(@.id === 'Pickup.pickupLoot.lootQueensCrown')].stats[?(@.id === 'hits')].value@other()",
					"updateType": "add"
				},
				{
					"key": "hits",
					"value": "$.rideSummary.scenes[5].events[?(@.id === 'Pickup.pickupLoot.lootSleepyKittensBook')].stats[?(@.id === 'hits')].value@other()",
					"updateType": "add"
				},
				{
					"key": "hits",
					"value": "$.rideSummary.scenes[5].events[?(@.id === 'Pickup.pickupLoot.lootStickyFingers')].stats[?(@.id === 'hits')].value@other()",
					"updateType": "add"
				},
				{
					"key": "hits",
					"value": "$.rideSummary.scenes[5].events[?(@.id === 'Pickup.pickupLoot.lootStretchSuit')].stats[?(@.id === 'hits')].value@other()",
					"updateType": "add"
				},
				{
					"key": "hits",
					"value": "$.rideSummary.scenes[5].events[?(@.id === 'Pickup.pickupLoot.lootSwordExcalibur')].stats[?(@.id === 'hits')].value@other()",
					"updateType": "add"
				},
				{
					"key": "hits",
					"value": "$.rideSummary.scenes[5].events[?(@.id === 'Pickup.pickupLoot.lootTimTeddyBear')].stats[?(@.id === 'hits')].value@other()",
					"updateType": "add"
				},
				{
					"key": "hits",
					"value": "$.rideSummary.scenes[5].events[?(@.id === 'Pickup.pickupLoot.lootTinyMoon')].stats[?(@.id === 'hits')].value@other()",
					"updateType": "add"
				},
				{
					"key": "hits",
					"value": "$.rideSummary.scenes[5].events[?(@.id === 'Pickup.pickupLoot.lootV6ActionFigures')].stats[?(@.id === 'hits')].value@other()",
					"updateType": "add"
				},
				{
					"key": "hits",
					"value": "$.rideSummary.scenes[5].events[?(@.id === 'Pickup.pickupLoot.lootVillainConHat')].stats[?(@.id === 'hits')].value@other()",
					"updateType": "add"
				},
				{
					"key": "hits",
					"value": "$.rideSummary.scenes[5].events[?(@.id === 'Pickup.pickupLoot.lootVillainConShirt')].stats[?(@.id === 'hits')].value@other()",
					"updateType": "add"
				},
				{
					"key": "hits",
					"value": "$.rideSummary.scenes[5].events[?(@.id === 'Pickup.pickupLoot.lootZodiacStones')].stats[?(@.id === 'hits')].value@other()",
					"updateType": "add"
				}
			]
		}
	]
}</t>
  </si>
  <si>
    <t>if active mission is missionBratt AND Pickup.pickupLoot.lootAgnesUnicornOriginal|Pickup.pickupLoot.lootAgnesUnicornToiletBrush|Pickup.pickupLoot.lootBeeDohMegaphone|Pickup.pickupLoot.lootBoogieRobot|Pickup.pickupLoot.lootBigBenSnowglobe|Pickup.pickupLoot.lootBrattActionFig|Pickup.pickupLoot.lootBrattBubblegum|Pickup.pickupLoot.lootLunchbox|Pickup.pickupLoot.lootBrattMixtape|Pickup.pickupLoot.lootClive|Pickup.pickupLoot.lootCoconutties|Pickup.pickupLoot.lootCookieRobot|Pickup.pickupLoot.lootDrawingGruToilet|Pickup.pickupLoot.lootDrawingGruV6|Pickup.pickupLoot.lootDrusScarf|Pickup.pickupLoot.lootDumontDiamond|Pickup.pickupLoot.lootElMachoMask|Pickup.pickupLoot.lootGoldenGuardian|Pickup.pickupLoot.lootGruPinkSpacesuit|Pickup.pickupLoot.lootGrusJelly|Pickup.pickupLoot.lootGrusScarf|Pickup.pickupLoot.lootGuacamoleSombrero|Pickup.pickupLoot.lootHattieBoxShame|Pickup.pickupLoot.lootHypnoHat|Pickup.pickupLoot.lootJuniorKungFuBadge|Pickup.pickupLoot.lootLipstickTaser|Pickup.pickupLoot.lootManicEnergyDrink|Pickup.pickupLoot.lootOttoPetRock|Pickup.pickupLoot.lootOttoTricycle|Pickup.pickupLoot.lootQueensCrown|Pickup.pickupLoot.lootSleepyKittensBook|Pickup.pickupLoot.lootStickyFingers|Pickup.pickupLoot.lootStretchSuit|Pickup.pickupLoot.lootSwordExcalibur|Pickup.pickupLoot.lootTimTeddyBear|Pickup.pickupLoot.lootTinyMoon|Pickup.pickupLoot.lootV6ActionFigures|Pickup.pickupLoot.lootVillainConHat|Pickup.pickupLoot.lootVillainConShirt|Pickup.pickupLoot.lootZodiacStones has a hits count, update actionMissionBrattAttempt in SCENE 7</t>
  </si>
  <si>
    <t>session: sessionId, scene: 0, hits: 7</t>
  </si>
  <si>
    <t>$.rideSummary.scenes[6].events[?(@.id === 'Pickup.pickupLoot.lootAgnesUnicornOriginal' || @.id === 'Pickup.pickupLoot.lootAgnesUnicornToiletBrush' || @.id === 'Pickup.pickupLoot.lootBeeDohMegaphone' || @.id === 'Pickup.pickupLoot.lootBoogieRobot' || @.id === 'Pickup.pickupLoot.lootBigBenSnowglobe' || @.id === 'Pickup.pickupLoot.lootBrattActionFig' || @.id === 'Pickup.pickupLoot.lootBrattBubblegum' || @.id === 'Pickup.pickupLoot.lootLunchbox' || @.id === 'Pickup.pickupLoot.lootBrattMixtape' || @.id === 'Pickup.pickupLoot.lootClive' || @.id === 'Pickup.pickupLoot.lootCoconutties' || @.id === 'Pickup.pickupLoot.lootCookieRobot') || @.id === 'Pickup.pickupLoot.lootDrawingGruToilet') || @.id === 'Pickup.pickupLoot.lootDrawingGruV6') || @.id === 'Pickup.pickupLoot.lootDrusScarf') || @.id === 'Pickup.pickupLoot.lootDumontDiamond') || @.id === 'Pickup.pickupLoot.lootElMachoMask') || @.id === 'Pickup.pickupLoot.lootGoldenGuardian') || @.id === 'Pickup.pickupLoot.lootGruPinkSpacesuit') || @.id === 'Pickup.pickupLoot.lootGrusJelly') || @.id === 'Pickup.pickupLoot.lootGrusScarf') || @.id === 'Pickup.pickupLoot.lootGuacamoleSombrero') || @.id === 'Pickup.pickupLoot.lootHattieBoxShame') || @.id === 'Pickup.pickupLoot.lootHypnoHat') || @.id === 'Pickup.pickupLoot.lootJuniorKungFuBadge') || @.id === 'Pickup.pickupLoot.lootLipstickTaser') || @.id === 'Pickup.pickupLoot.lootManicEnergyDrink') || @.id === 'Pickup.pickupLoot.lootOttoPetRock') || @.id === 'Pickup.pickupLoot.lootOttoTricycle') || @.id === 'Pickup.pickupLoot.lootQueensCrown') || @.id === 'Pickup.pickupLoot.lootSleepyKittensBook') || @.id === 'Pickup.pickupLoot.lootStickyFingers') || @.id === 'Pickup.pickupLoot.lootStretchSuit') || @.id === 'Pickup.pickupLoot.lootSwordExcalibur') || @.id === 'Pickup.pickupLoot.lootTimTeddyBear') || @.id === 'Pickup.pickupLoot.lootTinyMoon') || @.id === 'Pickup.pickupLoot.lootV6ActionFigures') || @.id === 'Pickup.pickupLoot.lootVillainConHat') || @.id === 'Pickup.pickupLoot.lootVillainConShirt') || @.id === 'Pickup.pickupLoot.lootZodiacStones')].stats[?(@.id === 'hits')].value</t>
  </si>
  <si>
    <t>{
	"resort": "$.resort",
	"park": "$.park",
	"land": "$.land",
	"publisher": "$.publisher",
	"timestamp": "$.timestamp",
	"playerId": "$.playerId",
	"items": [
		{
			"id": "actionMissionBrattAttempt",
			"count": 0,
			"customData": [
				{
					"key": "session",
					"value": "$.rideSummary.sessionId"
				},
				{
					"key": "scene",
					"value": "$.rideSummary.scenes[6].number@other()"
				},
				{
					"key": "hits",
					"value": "$.rideSummary.scenes[6].events[?(@.id === 'Pickup.pickupLoot.lootAgnesUnicornOriginal')].stats[?(@.id === 'hits')].value@other()",
					"updateType": "add"
				},
				{
					"key": "hits",
					"value": "$.rideSummary.scenes[6].events[?(@.id === 'Pickup.pickupLoot.lootAgnesUnicornToiletBrush')].stats[?(@.id === 'hits')].value@other()",
					"updateType": "add"
				},
				{
					"key": "hits",
					"value": "$.rideSummary.scenes[6].events[?(@.id === 'Pickup.pickupLoot.lootBeeDohMegaphone')].stats[?(@.id === 'hits')].value@other()",
					"updateType": "add"
				},
				{
					"key": "hits",
					"value": "$.rideSummary.scenes[6].events[?(@.id === 'Pickup.pickupLoot.lootBoogieRobot')].stats[?(@.id === 'hits')].value@other()",
					"updateType": "add"
				},
				{
					"key": "hits",
					"value": "$.rideSummary.scenes[6].events[?(@.id === 'Pickup.pickupLoot.lootBigBenSnowglobe')].stats[?(@.id === 'hits')].value@other()",
					"updateType": "add"
				},
				{
					"key": "hits",
					"value": "$.rideSummary.scenes[6].events[?(@.id === 'Pickup.pickupLoot.lootBrattActionFig')].stats[?(@.id === 'hits')].value@other()",
					"updateType": "add"
				},
				{
					"key": "hits",
					"value": "$.rideSummary.scenes[6].events[?(@.id === 'Pickup.pickupLoot.lootBrattBubblegum')].stats[?(@.id === 'hits')].value@other()",
					"updateType": "add"
				},
				{
					"key": "hits",
					"value": "$.rideSummary.scenes[6].events[?(@.id === 'Pickup.pickupLoot.lootLunchbox')].stats[?(@.id === 'hits')].value@other()",
					"updateType": "add"
				},
				{
					"key": "hits",
					"value": "$.rideSummary.scenes[6].events[?(@.id === 'Pickup.pickupLoot.lootBrattMixtape')].stats[?(@.id === 'hits')].value@other()",
					"updateType": "add"
				},
				{
					"key": "hits",
					"value": "$.rideSummary.scenes[6].events[?(@.id === 'Pickup.pickupLoot.lootClive')].stats[?(@.id === 'hits')].value@other()",
					"updateType": "add"
				},
				{
					"key": "hits",
					"value": "$.rideSummary.scenes[6].events[?(@.id === 'Pickup.pickupLoot.lootCoconutties')].stats[?(@.id === 'hits')].value@other()",
					"updateType": "add"
				},
				{
					"key": "hits",
					"value": "$.rideSummary.scenes[6].events[?(@.id === 'Pickup.pickupLoot.lootCookieRobot')].stats[?(@.id === 'hits')].value@other()",
					"updateType": "add"
				},
				{
					"key": "hits",
					"value": "$.rideSummary.scenes[6].events[?(@.id === 'Pickup.pickupLoot.lootDrawingGruToilet')].stats[?(@.id === 'hits')].value@other()",
					"updateType": "add"
				},
				{
					"key": "hits",
					"value": "$.rideSummary.scenes[6].events[?(@.id === 'Pickup.pickupLoot.lootDrawingGruV6')].stats[?(@.id === 'hits')].value@other()",
					"updateType": "add"
				},
				{
					"key": "hits",
					"value": "$.rideSummary.scenes[6].events[?(@.id === 'Pickup.pickupLoot.lootDrusScarf')].stats[?(@.id === 'hits')].value@other()",
					"updateType": "add"
				},
				{
					"key": "hits",
					"value": "$.rideSummary.scenes[6].events[?(@.id === 'Pickup.pickupLoot.lootDumontDiamond')].stats[?(@.id === 'hits')].value@other()",
					"updateType": "add"
				},
				{
					"key": "hits",
					"value": "$.rideSummary.scenes[6].events[?(@.id === 'Pickup.pickupLoot.lootElMachoMask')].stats[?(@.id === 'hits')].value@other()",
					"updateType": "add"
				},
				{
					"key": "hits",
					"value": "$.rideSummary.scenes[6].events[?(@.id === 'Pickup.pickupLoot.lootGoldenGuardian')].stats[?(@.id === 'hits')].value@other()",
					"updateType": "add"
				},
				{
					"key": "hits",
					"value": "$.rideSummary.scenes[6].events[?(@.id === 'Pickup.pickupLoot.lootGruPinkSpacesuit')].stats[?(@.id === 'hits')].value@other()",
					"updateType": "add"
				},
				{
					"key": "hits",
					"value": "$.rideSummary.scenes[6].events[?(@.id === 'Pickup.pickupLoot.lootGrusJelly')].stats[?(@.id === 'hits')].value@other()",
					"updateType": "add"
				},
				{
					"key": "hits",
					"value": "$.rideSummary.scenes[6].events[?(@.id === 'Pickup.pickupLoot.lootGrusScarf')].stats[?(@.id === 'hits')].value@other()",
					"updateType": "add"
				},
				{
					"key": "hits",
					"value": "$.rideSummary.scenes[6].events[?(@.id === 'Pickup.pickupLoot.lootGuacamoleSombrero')].stats[?(@.id === 'hits')].value@other()",
					"updateType": "add"
				},
				{
					"key": "hits",
					"value": "$.rideSummary.scenes[6].events[?(@.id === 'Pickup.pickupLoot.lootHattieBoxShame')].stats[?(@.id === 'hits')].value@other()",
					"updateType": "add"
				},
				{
					"key": "hits",
					"value": "$.rideSummary.scenes[6].events[?(@.id === 'Pickup.pickupLoot.lootHypnoHat')].stats[?(@.id === 'hits')].value@other()",
					"updateType": "add"
				},
				{
					"key": "hits",
					"value": "$.rideSummary.scenes[6].events[?(@.id === 'Pickup.pickupLoot.lootJuniorKungFuBadge')].stats[?(@.id === 'hits')].value@other()",
					"updateType": "add"
				},
				{
					"key": "hits",
					"value": "$.rideSummary.scenes[6].events[?(@.id === 'Pickup.pickupLoot.lootLipstickTaser')].stats[?(@.id === 'hits')].value@other()",
					"updateType": "add"
				},
				{
					"key": "hits",
					"value": "$.rideSummary.scenes[6].events[?(@.id === 'Pickup.pickupLoot.lootManicEnergyDrink')].stats[?(@.id === 'hits')].value@other()",
					"updateType": "add"
				},
				{
					"key": "hits",
					"value": "$.rideSummary.scenes[6].events[?(@.id === 'Pickup.pickupLoot.lootOttoPetRock')].stats[?(@.id === 'hits')].value@other()",
					"updateType": "add"
				},
				{
					"key": "hits",
					"value": "$.rideSummary.scenes[6].events[?(@.id === 'Pickup.pickupLoot.lootOttoTricycle')].stats[?(@.id === 'hits')].value@other()",
					"updateType": "add"
				},
				{
					"key": "hits",
					"value": "$.rideSummary.scenes[6].events[?(@.id === 'Pickup.pickupLoot.lootQueensCrown')].stats[?(@.id === 'hits')].value@other()",
					"updateType": "add"
				},
				{
					"key": "hits",
					"value": "$.rideSummary.scenes[6].events[?(@.id === 'Pickup.pickupLoot.lootSleepyKittensBook')].stats[?(@.id === 'hits')].value@other()",
					"updateType": "add"
				},
				{
					"key": "hits",
					"value": "$.rideSummary.scenes[6].events[?(@.id === 'Pickup.pickupLoot.lootStickyFingers')].stats[?(@.id === 'hits')].value@other()",
					"updateType": "add"
				},
				{
					"key": "hits",
					"value": "$.rideSummary.scenes[6].events[?(@.id === 'Pickup.pickupLoot.lootStretchSuit')].stats[?(@.id === 'hits')].value@other()",
					"updateType": "add"
				},
				{
					"key": "hits",
					"value": "$.rideSummary.scenes[6].events[?(@.id === 'Pickup.pickupLoot.lootSwordExcalibur')].stats[?(@.id === 'hits')].value@other()",
					"updateType": "add"
				},
				{
					"key": "hits",
					"value": "$.rideSummary.scenes[6].events[?(@.id === 'Pickup.pickupLoot.lootTimTeddyBear')].stats[?(@.id === 'hits')].value@other()",
					"updateType": "add"
				},
				{
					"key": "hits",
					"value": "$.rideSummary.scenes[6].events[?(@.id === 'Pickup.pickupLoot.lootTinyMoon')].stats[?(@.id === 'hits')].value@other()",
					"updateType": "add"
				},
				{
					"key": "hits",
					"value": "$.rideSummary.scenes[6].events[?(@.id === 'Pickup.pickupLoot.lootV6ActionFigures')].stats[?(@.id === 'hits')].value@other()",
					"updateType": "add"
				},
				{
					"key": "hits",
					"value": "$.rideSummary.scenes[6].events[?(@.id === 'Pickup.pickupLoot.lootVillainConHat')].stats[?(@.id === 'hits')].value@other()",
					"updateType": "add"
				},
				{
					"key": "hits",
					"value": "$.rideSummary.scenes[6].events[?(@.id === 'Pickup.pickupLoot.lootVillainConShirt')].stats[?(@.id === 'hits')].value@other()",
					"updateType": "add"
				},
				{
					"key": "hits",
					"value": "$.rideSummary.scenes[6].events[?(@.id === 'Pickup.pickupLoot.lootZodiacStones')].stats[?(@.id === 'hits')].value@other()",
					"updateType": "add"
				}
			]
		}
	]
}</t>
  </si>
  <si>
    <t>for every WeaponUsedLauncherStandard, grant actionLauncherUse item SCENE 1</t>
  </si>
  <si>
    <t>session: sessionId, scene: 1</t>
  </si>
  <si>
    <t>multiGameSum</t>
  </si>
  <si>
    <t>$.rideSummary.scenes[0].events[?(@.id === 'WeaponUsedLauncherStandard')].stats[?(@.id === 'hits')].value</t>
  </si>
  <si>
    <t>{
        "resort": "$.resort",
        "park": "$.park",
        "land": "$.land",
        "publisher": "$.publisher",
        "timestamp": "$.timestamp",
        "playerId": "$.playerId",
        "items": [
                {
                        "id": "actionLauncherUse",
                        "count": "$.rideSummary.scenes[0].events[?(@.id === 'WeaponUsedLauncherStandard')].stats[?(@.id === 'hits')].value@other()",
                        "customData": [
                                {
                                        "key": "session",
                                        "value": "$.rideSummary.sessionId"
                                },
                                {
                                        "key": "scene",
                                        "value": "$.rideSummary.scenes[0].number@other()"
                                }
                        ]
                }
        ]
}</t>
  </si>
  <si>
    <t>for every WeaponUsedLauncherStandard, grant actionLauncherUse item SCENE 2</t>
  </si>
  <si>
    <t>session: sessionId, scene: 2</t>
  </si>
  <si>
    <t>$.rideSummary.scenes[1].events[?(@.id === 'WeaponUsedLauncherStandard')].stats[?(@.id === 'hits')].value</t>
  </si>
  <si>
    <t>{
        "resort": "$.resort",
        "park": "$.park",
        "land": "$.land",
        "publisher": "$.publisher",
        "timestamp": "$.timestamp",
        "playerId": "$.playerId",
        "items": [
                {
                        "id": "actionLauncherUse",
                        "count": "$.rideSummary.scenes[1].events[?(@.id === 'WeaponUsedLauncherStandard')].stats[?(@.id === 'hits')].value@other()",
                        "customData": [
                                {
                                        "key": "session",
                                        "value": "$.rideSummary.sessionId"
                                },
                                {
                                        "key": "scene",
                                        "value": "$.rideSummary.scenes[1].number@other()"
                                }
                        ]
                }
        ]
}</t>
  </si>
  <si>
    <t>for every WeaponUsedLauncherStandard, grant actionLauncherUse item SCENE 3</t>
  </si>
  <si>
    <t>session: sessionId, scene: 3</t>
  </si>
  <si>
    <t>$.rideSummary.scenes[2].events[?(@.id === 'WeaponUsedLauncherStandard')].stats[?(@.id === 'hits')].value</t>
  </si>
  <si>
    <t>{
        "resort": "$.resort",
        "park": "$.park",
        "land": "$.land",
        "publisher": "$.publisher",
        "timestamp": "$.timestamp",
        "playerId": "$.playerId",
        "items": [
                {
                        "id": "actionLauncherUse",
                        "count": "$.rideSummary.scenes[2].events[?(@.id === 'WeaponUsedLauncherStandard')].stats[?(@.id === 'hits')].value@other()",
                        "customData": [
                                {
                                        "key": "session",
                                        "value": "$.rideSummary.sessionId"
                                },
                                {
                                        "key": "scene",
                                        "value": "$.rideSummary.scenes[2].number@other()"
                                }
                        ]
                }
        ]
}</t>
  </si>
  <si>
    <t>for every WeaponUsedLauncherStandard, grant actionLauncherUse item SCENE 4</t>
  </si>
  <si>
    <t>session: sessionId, scene: 4</t>
  </si>
  <si>
    <t>$.rideSummary.scenes[3].events[?(@.id === 'WeaponUsedLauncherStandard')].stats[?(@.id === 'hits')].value</t>
  </si>
  <si>
    <t>{
        "resort": "$.resort",
        "park": "$.park",
        "land": "$.land",
        "publisher": "$.publisher",
        "timestamp": "$.timestamp",
        "playerId": "$.playerId",
        "items": [
                {
                        "id": "actionLauncherUse",
                        "count": "$.rideSummary.scenes[3].events[?(@.id === 'WeaponUsedLauncherStandard')].stats[?(@.id === 'hits')].value@other()",
                        "customData": [
                                {
                                        "key": "session",
                                        "value": "$.rideSummary.sessionId"
                                },
                                {
                                        "key": "scene",
                                        "value": "$.rideSummary.scenes[3].number@other()"
                                }
                        ]
                }
        ]
}</t>
  </si>
  <si>
    <t>for every WeaponUsedLauncherStandard, grant actionLauncherUse item SCENE 5</t>
  </si>
  <si>
    <t>session: sessionId, scene: 5</t>
  </si>
  <si>
    <t>$.rideSummary.scenes[4].events[?(@.id === 'WeaponUsedLauncherStandard')].stats[?(@.id === 'hits')].value</t>
  </si>
  <si>
    <t>{
        "resort": "$.resort",
        "park": "$.park",
        "land": "$.land",
        "publisher": "$.publisher",
        "timestamp": "$.timestamp",
        "playerId": "$.playerId",
        "items": [
                {
                        "id": "actionLauncherUse",
                        "count": "$.rideSummary.scenes[4].events[?(@.id === 'WeaponUsedLauncherStandard')].stats[?(@.id === 'hits')].value@other()",
                        "customData": [
                                {
                                        "key": "session",
                                        "value": "$.rideSummary.sessionId"
                                },
                                {
                                        "key": "scene",
                                        "value": "$.rideSummary.scenes[4].number@other()"
                                }
                        ]
                }
        ]
}</t>
  </si>
  <si>
    <t>for every WeaponUsedLauncherStandard, grant actionLauncherUse item SCENE 6</t>
  </si>
  <si>
    <t>session: sessionId, scene: 6</t>
  </si>
  <si>
    <t>$.rideSummary.scenes[5].events[?(@.id === 'WeaponUsedLauncherStandard')].stats[?(@.id === 'hits')].value</t>
  </si>
  <si>
    <t>{
        "resort": "$.resort",
        "park": "$.park",
        "land": "$.land",
        "publisher": "$.publisher",
        "timestamp": "$.timestamp",
        "playerId": "$.playerId",
        "items": [
                {
                        "id": "actionLauncherUse",
                        "count": "$.rideSummary.scenes[5].events[?(@.id === 'WeaponUsedLauncherStandard')].stats[?(@.id === 'hits')].value@other()",
                        "customData": [
                                {
                                        "key": "session",
                                        "value": "$.rideSummary.sessionId"
                                },
                                {
                                        "key": "scene",
                                        "value": "$.rideSummary.scenes[5].number@other()"
                                }
                        ]
                }
        ]
}</t>
  </si>
  <si>
    <t>for every WeaponUsedLauncherStandard, grant actionLauncherUse item SCENE 7</t>
  </si>
  <si>
    <t>session: sessionId, scene: 7</t>
  </si>
  <si>
    <t>$.rideSummary.scenes[6].events[?(@.id === 'WeaponUsedLauncherStandard')].stats[?(@.id === 'hits')].value</t>
  </si>
  <si>
    <t>{
        "resort": "$.resort",
        "park": "$.park",
        "land": "$.land",
        "publisher": "$.publisher",
        "timestamp": "$.timestamp",
        "playerId": "$.playerId",
        "items": [
                {
                        "id": "actionLauncherUse",
                        "count": "$.rideSummary.scenes[6].events[?(@.id === 'WeaponUsedLauncherStandard')].stats[?(@.id === 'hits')].value@other()",
                        "customData": [
                                {
                                        "key": "session",
                                        "value": "$.rideSummary.sessionId"
                                },
                                {
                                        "key": "scene",
                                        "value": "$.rideSummary.scenes[6].number@other()"
                                }
                        ]
                }
        ]
}</t>
  </si>
  <si>
    <t>for every WeaponUsedLauncherUltimate, grant actionUltimateUse item SCENE 1</t>
  </si>
  <si>
    <t>$.rideSummary.scenes[0].events[?(@.id === 'WeaponUsedLauncherUltimate')].stats[?(@.id === 'hits')].value</t>
  </si>
  <si>
    <t>{
        "resort": "$.resort",
        "park": "$.park",
        "land": "$.land",
        "publisher": "$.publisher",
        "timestamp": "$.timestamp",
        "playerId": "$.playerId",
        "items": [
                {
                        "id": "actionUltimateUse",
                        "count": "$.rideSummary.scenes[0].events[?(@.id === 'WeaponUsedLauncherUltimate')].stats[?(@.id === 'hits')].value@other()",
                        "customData": [
                                {
                                        "key": "session",
                                        "value": "$.rideSummary.sessionId"
                                },
                                {
                                        "key": "scene",
                                        "value": "$.rideSummary.scenes[0].number@other()"
                                }
                        ]
                }
        ]
}</t>
  </si>
  <si>
    <t>for every WeaponUsedLauncherUltimate, grant actionUltimateUse item SCENE 2</t>
  </si>
  <si>
    <t>$.rideSummary.scenes[1].events[?(@.id === 'WeaponUsedLauncherUltimate')].stats[?(@.id === 'hits')].value</t>
  </si>
  <si>
    <t>{
        "resort": "$.resort",
        "park": "$.park",
        "land": "$.land",
        "publisher": "$.publisher",
        "timestamp": "$.timestamp",
        "playerId": "$.playerId",
        "items": [
                {
                        "id": "actionUltimateUse",
                        "count": "$.rideSummary.scenes[1].events[?(@.id === 'WeaponUsedLauncherUltimate')].stats[?(@.id === 'hits')].value@other()",
                        "customData": [
                                {
                                        "key": "session",
                                        "value": "$.rideSummary.sessionId"
                                },
                                {
                                        "key": "scene",
                                        "value": "$.rideSummary.scenes[1].number@other()"
                                }
                        ]
                }
        ]
}</t>
  </si>
  <si>
    <t>for every WeaponUsedLauncherUltimate, grant actionUltimateUse item SCENE 3</t>
  </si>
  <si>
    <t>$.rideSummary.scenes[2].events[?(@.id === 'WeaponUsedLauncherUltimate')].stats[?(@.id === 'hits')].value</t>
  </si>
  <si>
    <t>{
        "resort": "$.resort",
        "park": "$.park",
        "land": "$.land",
        "publisher": "$.publisher",
        "timestamp": "$.timestamp",
        "playerId": "$.playerId",
        "items": [
                {
                        "id": "actionUltimateUse",
                        "count": "$.rideSummary.scenes[2].events[?(@.id === 'WeaponUsedLauncherUltimate')].stats[?(@.id === 'hits')].value@other()",
                        "customData": [
                                {
                                        "key": "session",
                                        "value": "$.rideSummary.sessionId"
                                },
                                {
                                        "key": "scene",
                                        "value": "$.rideSummary.scenes[2].number@other()"
                                }
                        ]
                }
        ]
}</t>
  </si>
  <si>
    <t>for every WeaponUsedLauncherUltimate, grant actionUltimateUse item SCENE 4</t>
  </si>
  <si>
    <t>$.rideSummary.scenes[3].events[?(@.id === 'WeaponUsedLauncherUltimate')].stats[?(@.id === 'hits')].value</t>
  </si>
  <si>
    <t>{
        "resort": "$.resort",
        "park": "$.park",
        "land": "$.land",
        "publisher": "$.publisher",
        "timestamp": "$.timestamp",
        "playerId": "$.playerId",
        "items": [
                {
                        "id": "actionUltimateUse",
                        "count": "$.rideSummary.scenes[3].events[?(@.id === 'WeaponUsedLauncherUltimate')].stats[?(@.id === 'hits')].value@other()",
                        "customData": [
                                {
                                        "key": "session",
                                        "value": "$.rideSummary.sessionId"
                                },
                                {
                                        "key": "scene",
                                        "value": "$.rideSummary.scenes[3].number@other()"
                                }
                        ]
                }
        ]
}</t>
  </si>
  <si>
    <t>for every WeaponUsedLauncherUltimate, grant actionUltimateUse item SCENE 5</t>
  </si>
  <si>
    <t>$.rideSummary.scenes[4].events[?(@.id === 'WeaponUsedLauncherUltimate')].stats[?(@.id === 'hits')].value</t>
  </si>
  <si>
    <t>{
        "resort": "$.resort",
        "park": "$.park",
        "land": "$.land",
        "publisher": "$.publisher",
        "timestamp": "$.timestamp",
        "playerId": "$.playerId",
        "items": [
                {
                        "id": "actionUltimateUse",
                        "count": "$.rideSummary.scenes[4].events[?(@.id === 'WeaponUsedLauncherUltimate')].stats[?(@.id === 'hits')].value@other()",
                        "customData": [
                                {
                                        "key": "session",
                                        "value": "$.rideSummary.sessionId"
                                },
                                {
                                        "key": "scene",
                                        "value": "$.rideSummary.scenes[4].number@other()"
                                }
                        ]
                }
        ]
}</t>
  </si>
  <si>
    <t>for every WeaponUsedLauncherUltimate, grant actionUltimateUse item SCENE 6</t>
  </si>
  <si>
    <t>$.rideSummary.scenes[5].events[?(@.id === 'WeaponUsedLauncherUltimate')].stats[?(@.id === 'hits')].value</t>
  </si>
  <si>
    <t>{
        "resort": "$.resort",
        "park": "$.park",
        "land": "$.land",
        "publisher": "$.publisher",
        "timestamp": "$.timestamp",
        "playerId": "$.playerId",
        "items": [
                {
                        "id": "actionUltimateUse",
                        "count": "$.rideSummary.scenes[5].events[?(@.id === 'WeaponUsedLauncherUltimate')].stats[?(@.id === 'hits')].value@other()",
                        "customData": [
                                {
                                        "key": "session",
                                        "value": "$.rideSummary.sessionId"
                                },
                                {
                                        "key": "scene",
                                        "value": "$.rideSummary.scenes[5].number@other()"
                                }
                        ]
                }
        ]
}</t>
  </si>
  <si>
    <t>for every WeaponUsedLauncherUltimate, grant actionUltimateUse item SCENE 7</t>
  </si>
  <si>
    <t>$.rideSummary.scenes[6].events[?(@.id === 'WeaponUsedLauncherUltimate')].stats[?(@.id === 'hits')].value</t>
  </si>
  <si>
    <t>{
        "resort": "$.resort",
        "park": "$.park",
        "land": "$.land",
        "publisher": "$.publisher",
        "timestamp": "$.timestamp",
        "playerId": "$.playerId",
        "items": [
                {
                        "id": "actionUltimateUse",
                        "count": "$.rideSummary.scenes[6].events[?(@.id === 'WeaponUsedLauncherUltimate')].stats[?(@.id === 'hits')].value@other()",
                        "customData": [
                                {
                                        "key": "session",
                                        "value": "$.rideSummary.sessionId"
                                },
                                {
                                        "key": "scene",
                                        "value": "$.rideSummary.scenes[6].number@other()"
                                }
                        ]
                }
        ]
}</t>
  </si>
  <si>
    <t>for every StatusInflictedFreezeCharacter|StatusInflictedFreezeEnvironment, grant actionObjectsFreeze SCENE 1</t>
  </si>
  <si>
    <t>$.rideSummary.scenes[0].events[?(@.id === 'StatusInflictedFreezeCharacter' || @.id === 'StatusInflictedFreezeEnvironment')].stats[?(@.id === 'freezes')].value</t>
  </si>
  <si>
    <t>{
        "resort": "$.resort",
        "park": "$.park",
        "land": "$.land",
        "publisher": "$.publisher",
        "timestamp": "$.timestamp",
        "playerId": "$.playerId",
        "items": [
                {
                        "id": "actionObjectsFreeze",
                        "count": "$.rideSummary.scenes[0].events[?(@.id === 'StatusInflictedFreezeCharacter')].stats[?(@.id === 'freezes')].value@other()",
                        "customData": [
                                {
                                        "key": "session",
                                        "value": "$.rideSummary.sessionId"
                                },
                                {
                                        "key": "scene",
                                        "value": "$.rideSummary.scenes[0].number@other()"
                                }
                        ]
                },
                {
                        "id": "actionObjectsFreeze",
                        "count": "$.rideSummary.scenes[0].events[?(@.id === 'StatusInflictedFreezeEnvironment')].stats[?(@.id === 'freezes')].value@other()",
                        "customData": [
                                {
                                        "key": "session",
                                        "value": "$.rideSummary.sessionId"
                                },
                                {
                                        "key": "scene",
                                        "value": "$.rideSummary.scenes[0].number@other()"
                                }
                        ]
                }
        ]
}</t>
  </si>
  <si>
    <t>for every StatusInflictedFreezeCharacter|StatusInflictedFreezeEnvironment, grant actionObjectsFreeze SCENE 2</t>
  </si>
  <si>
    <t>$.rideSummary.scenes[1].events[?(@.id === 'StatusInflictedFreezeCharacter' || @.id === 'StatusInflictedFreezeEnvironment')].stats[?(@.id === 'freezes')].value</t>
  </si>
  <si>
    <t>{
        "resort": "$.resort",
        "park": "$.park",
        "land": "$.land",
        "publisher": "$.publisher",
        "timestamp": "$.timestamp",
        "playerId": "$.playerId",
        "items": [
                {
                        "id": "actionObjectsFreeze",
                        "count": "$.rideSummary.scenes[1].events[?(@.id === 'StatusInflictedFreezeCharacter')].stats[?(@.id === 'freezes')].value@other()",
                        "customData": [
                                {
                                        "key": "session",
                                        "value": "$.rideSummary.sessionId"
                                },
                                {
                                        "key": "scene",
                                        "value": "$.rideSummary.scenes[1].number@other()"
                                }
                        ]
                },
                {
                        "id": "actionObjectsFreeze",
                        "count": "$.rideSummary.scenes[1].events[?(@.id === 'StatusInflictedFreezeEnvironment')].stats[?(@.id === 'freezes')].value@other()",
                        "customData": [
                                {
                                        "key": "session",
                                        "value": "$.rideSummary.sessionId"
                                },
                                {
                                        "key": "scene",
                                        "value": "$.rideSummary.scenes[1].number@other()"
                                }
                        ]
                }
        ]
}</t>
  </si>
  <si>
    <t>for every StatusInflictedFreezeCharacter|StatusInflictedFreezeEnvironment, grant actionObjectsFreeze SCENE 3</t>
  </si>
  <si>
    <t>$.rideSummary.scenes[2].events[?(@.id === 'StatusInflictedFreezeCharacter' || @.id === 'StatusInflictedFreezeEnvironment')].stats[?(@.id === 'freezes')].value</t>
  </si>
  <si>
    <t>{
        "resort": "$.resort",
        "park": "$.park",
        "land": "$.land",
        "publisher": "$.publisher",
        "timestamp": "$.timestamp",
        "playerId": "$.playerId",
        "items": [
                {
                        "id": "actionObjectsFreeze",
                        "count": "$.rideSummary.scenes[2].events[?(@.id === 'StatusInflictedFreezeCharacter')].stats[?(@.id === 'freezes')].value@other()",
                        "customData": [
                                {
                                        "key": "session",
                                        "value": "$.rideSummary.sessionId"
                                },
                                {
                                        "key": "scene",
                                        "value": "$.rideSummary.scenes[2].number@other()"
                                }
                        ]
                },
                {
                        "id": "actionObjectsFreeze",
                        "count": "$.rideSummary.scenes[2].events[?(@.id === 'StatusInflictedFreezeEnvironment')].stats[?(@.id === 'freezes')].value@other()",
                        "customData": [
                                {
                                        "key": "session",
                                        "value": "$.rideSummary.sessionId"
                                },
                                {
                                        "key": "scene",
                                        "value": "$.rideSummary.scenes[2].number@other()"
                                }
                        ]
                }
        ]
}</t>
  </si>
  <si>
    <t>for every StatusInflictedFreezeCharacter|StatusInflictedFreezeEnvironment, grant actionObjectsFreeze SCENE 4</t>
  </si>
  <si>
    <t>$.rideSummary.scenes[3].events[?(@.id === 'StatusInflictedFreezeCharacter' || @.id === 'StatusInflictedFreezeEnvironment')].stats[?(@.id === 'freezes')].value</t>
  </si>
  <si>
    <t>{
        "resort": "$.resort",
        "park": "$.park",
        "land": "$.land",
        "publisher": "$.publisher",
        "timestamp": "$.timestamp",
        "playerId": "$.playerId",
        "items": [
                {
                        "id": "actionObjectsFreeze",
                        "count": "$.rideSummary.scenes[3].events[?(@.id === 'StatusInflictedFreezeCharacter')].stats[?(@.id === 'freezes')].value@other()",
                        "customData": [
                                {
                                        "key": "session",
                                        "value": "$.rideSummary.sessionId"
                                },
                                {
                                        "key": "scene",
                                        "value": "$.rideSummary.scenes[3].number@other()"
                                }
                        ]
                },
                {
                        "id": "actionObjectsFreeze",
                        "count": "$.rideSummary.scenes[3].events[?(@.id === 'StatusInflictedFreezeEnvironment')].stats[?(@.id === 'freezes')].value@other()",
                        "customData": [
                                {
                                        "key": "session",
                                        "value": "$.rideSummary.sessionId"
                                },
                                {
                                        "key": "scene",
                                        "value": "$.rideSummary.scenes[3].number@other()"
                                }
                        ]
                }
        ]
}</t>
  </si>
  <si>
    <t>for every StatusInflictedFreezeCharacter|StatusInflictedFreezeEnvironment, grant actionObjectsFreeze SCENE 5</t>
  </si>
  <si>
    <t>$.rideSummary.scenes[4].events[?(@.id === 'StatusInflictedFreezeCharacter' || @.id === 'StatusInflictedFreezeEnvironment')].stats[?(@.id === 'freezes')].value</t>
  </si>
  <si>
    <t>{
        "resort": "$.resort",
        "park": "$.park",
        "land": "$.land",
        "publisher": "$.publisher",
        "timestamp": "$.timestamp",
        "playerId": "$.playerId",
        "items": [
                {
                        "id": "actionObjectsFreeze",
                        "count": "$.rideSummary.scenes[4].events[?(@.id === 'StatusInflictedFreezeCharacter')].stats[?(@.id === 'freezes')].value@other()",
                        "customData": [
                                {
                                        "key": "session",
                                        "value": "$.rideSummary.sessionId"
                                },
                                {
                                        "key": "scene",
                                        "value": "$.rideSummary.scenes[4].number@other()"
                                }
                        ]
                },
                {
                        "id": "actionObjectsFreeze",
                        "count": "$.rideSummary.scenes[4].events[?(@.id === 'StatusInflictedFreezeEnvironment')].stats[?(@.id === 'freezes')].value@other()",
                        "customData": [
                                {
                                        "key": "session",
                                        "value": "$.rideSummary.sessionId"
                                },
                                {
                                        "key": "scene",
                                        "value": "$.rideSummary.scenes[4].number@other()"
                                }
                        ]
                }
        ]
}</t>
  </si>
  <si>
    <t>for every StatusInflictedFreezeCharacter|StatusInflictedFreezeEnvironment, grant actionObjectsFreeze SCENE 6</t>
  </si>
  <si>
    <t>$.rideSummary.scenes[5].events[?(@.id === 'StatusInflictedFreezeCharacter' || @.id === 'StatusInflictedFreezeEnvironment')].stats[?(@.id === 'freezes')].value</t>
  </si>
  <si>
    <t>{
        "resort": "$.resort",
        "park": "$.park",
        "land": "$.land",
        "publisher": "$.publisher",
        "timestamp": "$.timestamp",
        "playerId": "$.playerId",
        "items": [
                {
                        "id": "actionObjectsFreeze",
                        "count": "$.rideSummary.scenes[5].events[?(@.id === 'StatusInflictedFreezeCharacter')].stats[?(@.id === 'freezes')].value@other()",
                        "customData": [
                                {
                                        "key": "session",
                                        "value": "$.rideSummary.sessionId"
                                },
                                {
                                        "key": "scene",
                                        "value": "$.rideSummary.scenes[5].number@other()"
                                }
                        ]
                },
                {
                        "id": "actionObjectsFreeze",
                        "count": "$.rideSummary.scenes[5].events[?(@.id === 'StatusInflictedFreezeEnvironment')].stats[?(@.id === 'freezes')].value@other()",
                        "customData": [
                                {
                                        "key": "session",
                                        "value": "$.rideSummary.sessionId"
                                },
                                {
                                        "key": "scene",
                                        "value": "$.rideSummary.scenes[5].number@other()"
                                }
                        ]
                }
        ]
}</t>
  </si>
  <si>
    <t>for every StatusInflictedFreezeCharacter|StatusInflictedFreezeEnvironment, grant actionObjectsFreeze SCENE 7</t>
  </si>
  <si>
    <t>$.rideSummary.scenes[6].events[?(@.id === 'StatusInflictedFreezeCharacter' || @.id === 'StatusInflictedFreezeEnvironment')].stats[?(@.id === 'freezes')].value</t>
  </si>
  <si>
    <t>{
        "resort": "$.resort",
        "park": "$.park",
        "land": "$.land",
        "publisher": "$.publisher",
        "timestamp": "$.timestamp",
        "playerId": "$.playerId",
        "items": [
                {
                        "id": "actionObjectsFreeze",
                        "count": "$.rideSummary.scenes[6].events[?(@.id === 'StatusInflictedFreezeCharacter')].stats[?(@.id === 'freezes')].value@other()",
                        "customData": [
                                {
                                        "key": "session",
                                        "value": "$.rideSummary.sessionId"
                                },
                                {
                                        "key": "scene",
                                        "value": "$.rideSummary.scenes[6].number@other()"
                                }
                        ]
                },
                {
                        "id": "actionObjectsFreeze",
                        "count": "$.rideSummary.scenes[6].events[?(@.id === 'StatusInflictedFreezeEnvironment')].stats[?(@.id === 'freezes')].value@other()",
                        "customData": [
                                {
                                        "key": "session",
                                        "value": "$.rideSummary.sessionId"
                                },
                                {
                                        "key": "scene",
                                        "value": "$.rideSummary.scenes[6].number@other()"
                                }
                        ]
                }
        ]
}</t>
  </si>
  <si>
    <t>for every StatusInflictedFireCharacter|StatusInflictedFireEnvironment, grant actionObjectsBurn SCENE 1</t>
  </si>
  <si>
    <t>$.rideSummary.scenes[0].events[?(@.id === 'StatusInflictedFireCharacter' || @.id === 'StatusInflictedFireEnvironment')].stats[?(@.id === 'burns')].value</t>
  </si>
  <si>
    <t>{
        "resort": "$.resort",
        "park": "$.park",
        "land": "$.land",
        "publisher": "$.publisher",
        "timestamp": "$.timestamp",
        "playerId": "$.playerId",
        "items": [
                {
                        "id": "actionObjectsBurn",
                        "count": "$.rideSummary.scenes[0].events[?(@.id === 'StatusInflictedFireCharacter')].stats[?(@.id === 'burns')].value@other()",
                        "customData": [
                                {
                                        "key": "session",
                                        "value": "$.rideSummary.sessionId"
                                },
                                {
                                        "key": "scene",
                                        "value": "$.rideSummary.scenes[0].number@other()"
                                }
                        ]
                },
                {
                        "id": "actionObjectsBurn",
                        "count": "$.rideSummary.scenes[0].events[?(@.id === 'StatusInflictedFireEnvironment')].stats[?(@.id === 'burns')].value@other()",
                        "customData": [
                                {
                                        "key": "session",
                                        "value": "$.rideSummary.sessionId"
                                },
                                {
                                        "key": "scene",
                                        "value": "$.rideSummary.scenes[0].number@other()"
                                }
                        ]
                }
        ]
}</t>
  </si>
  <si>
    <t>for every StatusInflictedFireCharacter|StatusInflictedFireEnvironment, grant actionObjectsBurn SCENE 2</t>
  </si>
  <si>
    <t>$.rideSummary.scenes[1].events[?(@.id === 'StatusInflictedFireCharacter' || @.id === 'StatusInflictedFireEnvironment')].stats[?(@.id === 'burns')].value</t>
  </si>
  <si>
    <t>{
        "resort": "$.resort",
        "park": "$.park",
        "land": "$.land",
        "publisher": "$.publisher",
        "timestamp": "$.timestamp",
        "playerId": "$.playerId",
        "items": [
                {
                        "id": "actionObjectsBurn",
                        "count": "$.rideSummary.scenes[1].events[?(@.id === 'StatusInflictedFireCharacter')].stats[?(@.id === 'burns')].value@other()",
                        "customData": [
                                {
                                        "key": "session",
                                        "value": "$.rideSummary.sessionId"
                                },
                                {
                                        "key": "scene",
                                        "value": "$.rideSummary.scenes[1].number@other()"
                                }
                        ]
                },
                {
                        "id": "actionObjectsBurn",
                        "count": "$.rideSummary.scenes[1].events[?(@.id === 'StatusInflictedFireEnvironment')].stats[?(@.id === 'burns')].value@other()",
                        "customData": [
                                {
                                        "key": "session",
                                        "value": "$.rideSummary.sessionId"
                                },
                                {
                                        "key": "scene",
                                        "value": "$.rideSummary.scenes[1].number@other()"
                                }
                        ]
                }
        ]
}</t>
  </si>
  <si>
    <t>for every StatusInflictedFireCharacter|StatusInflictedFireEnvironment, grant actionObjectsBurn SCENE 3</t>
  </si>
  <si>
    <t>$.rideSummary.scenes[2].events[?(@.id === 'StatusInflictedFireCharacter' || @.id === 'StatusInflictedFireEnvironment')].stats[?(@.id === 'burns')].value</t>
  </si>
  <si>
    <t>{
        "resort": "$.resort",
        "park": "$.park",
        "land": "$.land",
        "publisher": "$.publisher",
        "timestamp": "$.timestamp",
        "playerId": "$.playerId",
        "items": [
                {
                        "id": "actionObjectsBurn",
                        "count": "$.rideSummary.scenes[2].events[?(@.id === 'StatusInflictedFireCharacter')].stats[?(@.id === 'burns')].value@other()",
                        "customData": [
                                {
                                        "key": "session",
                                        "value": "$.rideSummary.sessionId"
                                },
                                {
                                        "key": "scene",
                                        "value": "$.rideSummary.scenes[2].number@other()"
                                }
                        ]
                },
                {
                        "id": "actionObjectsBurn",
                        "count": "$.rideSummary.scenes[2].events[?(@.id === 'StatusInflictedFireEnvironment')].stats[?(@.id === 'burns')].value@other()",
                        "customData": [
                                {
                                        "key": "session",
                                        "value": "$.rideSummary.sessionId"
                                },
                                {
                                        "key": "scene",
                                        "value": "$.rideSummary.scenes[2].number@other()"
                                }
                        ]
                }
        ]
}</t>
  </si>
  <si>
    <t>for every StatusInflictedFireCharacter|StatusInflictedFireEnvironment, grant actionObjectsBurn SCENE 4</t>
  </si>
  <si>
    <t>$.rideSummary.scenes[3].events[?(@.id === 'StatusInflictedFireCharacter' || @.id === 'StatusInflictedFireEnvironment')].stats[?(@.id === 'burns')].value</t>
  </si>
  <si>
    <t>{
        "resort": "$.resort",
        "park": "$.park",
        "land": "$.land",
        "publisher": "$.publisher",
        "timestamp": "$.timestamp",
        "playerId": "$.playerId",
        "items": [
                {
                        "id": "actionObjectsBurn",
                        "count": "$.rideSummary.scenes[3].events[?(@.id === 'StatusInflictedFireCharacter')].stats[?(@.id === 'burns')].value@other()",
                        "customData": [
                                {
                                        "key": "session",
                                        "value": "$.rideSummary.sessionId"
                                },
                                {
                                        "key": "scene",
                                        "value": "$.rideSummary.scenes[3].number@other()"
                                }
                        ]
                },
                {
                        "id": "actionObjectsBurn",
                        "count": "$.rideSummary.scenes[3].events[?(@.id === 'StatusInflictedFireEnvironment')].stats[?(@.id === 'burns')].value@other()",
                        "customData": [
                                {
                                        "key": "session",
                                        "value": "$.rideSummary.sessionId"
                                },
                                {
                                        "key": "scene",
                                        "value": "$.rideSummary.scenes[3].number@other()"
                                }
                        ]
                }
        ]
}</t>
  </si>
  <si>
    <t>for every StatusInflictedFireCharacter|StatusInflictedFireEnvironment, grant actionObjectsBurn SCENE 5</t>
  </si>
  <si>
    <t>$.rideSummary.scenes[4].events[?(@.id === 'StatusInflictedFireCharacter' || @.id === 'StatusInflictedFireEnvironment')].stats[?(@.id === 'burns')].value</t>
  </si>
  <si>
    <t>{
        "resort": "$.resort",
        "park": "$.park",
        "land": "$.land",
        "publisher": "$.publisher",
        "timestamp": "$.timestamp",
        "playerId": "$.playerId",
        "items": [
                {
                        "id": "actionObjectsBurn",
                        "count": "$.rideSummary.scenes[4].events[?(@.id === 'StatusInflictedFireCharacter')].stats[?(@.id === 'burns')].value@other()",
                        "customData": [
                                {
                                        "key": "session",
                                        "value": "$.rideSummary.sessionId"
                                },
                                {
                                        "key": "scene",
                                        "value": "$.rideSummary.scenes[4].number@other()"
                                }
                        ]
                },
                {
                        "id": "actionObjectsBurn",
                        "count": "$.rideSummary.scenes[4].events[?(@.id === 'StatusInflictedFireEnvironment')].stats[?(@.id === 'burns')].value@other()",
                        "customData": [
                                {
                                        "key": "session",
                                        "value": "$.rideSummary.sessionId"
                                },
                                {
                                        "key": "scene",
                                        "value": "$.rideSummary.scenes[4].number@other()"
                                }
                        ]
                }
        ]
}</t>
  </si>
  <si>
    <t>for every StatusInflictedFireCharacter|StatusInflictedFireEnvironment, grant actionObjectsBurn SCENE 6</t>
  </si>
  <si>
    <t>$.rideSummary.scenes[5].events[?(@.id === 'StatusInflictedFireCharacter' || @.id === 'StatusInflictedFireEnvironment')].stats[?(@.id === 'burns')].value</t>
  </si>
  <si>
    <t>{
        "resort": "$.resort",
        "park": "$.park",
        "land": "$.land",
        "publisher": "$.publisher",
        "timestamp": "$.timestamp",
        "playerId": "$.playerId",
        "items": [
                {
                        "id": "actionObjectsBurn",
                        "count": "$.rideSummary.scenes[5].events[?(@.id === 'StatusInflictedFireCharacter')].stats[?(@.id === 'burns')].value@other()",
                        "customData": [
                                {
                                        "key": "session",
                                        "value": "$.rideSummary.sessionId"
                                },
                                {
                                        "key": "scene",
                                        "value": "$.rideSummary.scenes[5].number@other()"
                                }
                        ]
                },
                {
                        "id": "actionObjectsBurn",
                        "count": "$.rideSummary.scenes[5].events[?(@.id === 'StatusInflictedFireEnvironment')].stats[?(@.id === 'burns')].value@other()",
                        "customData": [
                                {
                                        "key": "session",
                                        "value": "$.rideSummary.sessionId"
                                },
                                {
                                        "key": "scene",
                                        "value": "$.rideSummary.scenes[5].number@other()"
                                }
                        ]
                }
        ]
}</t>
  </si>
  <si>
    <t>for every StatusInflictedFireCharacter|StatusInflictedFireEnvironment, grant actionObjectsBurn SCENE 7</t>
  </si>
  <si>
    <t>$.rideSummary.scenes[6].events[?(@.id === 'StatusInflictedFireCharacter' || @.id === 'StatusInflictedFireEnvironment')].stats[?(@.id === 'burns')].value</t>
  </si>
  <si>
    <t>{
        "resort": "$.resort",
        "park": "$.park",
        "land": "$.land",
        "publisher": "$.publisher",
        "timestamp": "$.timestamp",
        "playerId": "$.playerId",
        "items": [
                {
                        "id": "actionObjectsBurn",
                        "count": "$.rideSummary.scenes[6].events[?(@.id === 'StatusInflictedFireCharacter')].stats[?(@.id === 'burns')].value@other()",
                        "customData": [
                                {
                                        "key": "session",
                                        "value": "$.rideSummary.sessionId"
                                },
                                {
                                        "key": "scene",
                                        "value": "$.rideSummary.scenes[6].number@other()"
                                }
                        ]
                },
                {
                        "id": "actionObjectsBurn",
                        "count": "$.rideSummary.scenes[6].events[?(@.id === 'StatusInflictedFireEnvironment')].stats[?(@.id === 'burns')].value@other()",
                        "customData": [
                                {
                                        "key": "session",
                                        "value": "$.rideSummary.sessionId"
                                },
                                {
                                        "key": "scene",
                                        "value": "$.rideSummary.scenes[6].number@other()"
                                }
                        ]
                }
        ]
}</t>
  </si>
  <si>
    <t>for every StatusInflictedForceCharacter|StatusInflictedForceEnvironment, grant actionObjectsCrush SCENE 1</t>
  </si>
  <si>
    <t>$.rideSummary.scenes[0].events[?(@.id === 'StatusInflictedForceCharacter' || @.id === 'StatusInflictedForceEnvironment')].stats[?(@.id === 'knockdowns')].value</t>
  </si>
  <si>
    <t>{
        "resort": "$.resort",
        "park": "$.park",
        "land": "$.land",
        "publisher": "$.publisher",
        "timestamp": "$.timestamp",
        "playerId": "$.playerId",
        "items": [
                {
                        "id": "actionObjectsCrush",
                        "count": "$.rideSummary.scenes[0].events[?(@.id === 'StatusInflictedForceCharacter')].stats[?(@.id === 'knockdowns')].value@other()",
                        "customData": [
                                {
                                        "key": "session",
                                        "value": "$.rideSummary.sessionId"
                                },
                                {
                                        "key": "scene",
                                        "value": "$.rideSummary.scenes[0].number@other()"
                                }
                        ]
                },
                {
                        "id": "actionObjectsCrush",
                        "count": "$.rideSummary.scenes[0].events[?(@.id === 'StatusInflictedForceEnvironment')].stats[?(@.id === 'knockdowns')].value@other()",
                        "customData": [
                                {
                                        "key": "session",
                                        "value": "$.rideSummary.sessionId"
                                },
                                {
                                        "key": "scene",
                                        "value": "$.rideSummary.scenes[0].number@other()"
                                }
                        ]
                }
        ]
}</t>
  </si>
  <si>
    <t>for every StatusInflictedForceCharacter|StatusInflictedForceEnvironment, grant actionObjectsCrush SCENE 2</t>
  </si>
  <si>
    <t>$.rideSummary.scenes[1].events[?(@.id === 'StatusInflictedForceCharacter' || @.id === 'StatusInflictedForceEnvironment')].stats[?(@.id === 'knockdowns')].value</t>
  </si>
  <si>
    <t>{
        "resort": "$.resort",
        "park": "$.park",
        "land": "$.land",
        "publisher": "$.publisher",
        "timestamp": "$.timestamp",
        "playerId": "$.playerId",
        "items": [
                {
                        "id": "actionObjectsCrush",
                        "count": "$.rideSummary.scenes[1].events[?(@.id === 'StatusInflictedForceCharacter')].stats[?(@.id === 'knockdowns')].value@other()",
                        "customData": [
                                {
                                        "key": "session",
                                        "value": "$.rideSummary.sessionId"
                                },
                                {
                                        "key": "scene",
                                        "value": "$.rideSummary.scenes[1].number@other()"
                                }
                        ]
                },
                {
                        "id": "actionObjectsCrush",
                        "count": "$.rideSummary.scenes[1].events[?(@.id === 'StatusInflictedForceEnvironment')].stats[?(@.id === 'knockdowns')].value@other()",
                        "customData": [
                                {
                                        "key": "session",
                                        "value": "$.rideSummary.sessionId"
                                },
                                {
                                        "key": "scene",
                                        "value": "$.rideSummary.scenes[1].number@other()"
                                }
                        ]
                }
        ]
}</t>
  </si>
  <si>
    <t>for every StatusInflictedForceCharacter|StatusInflictedForceEnvironment, grant actionObjectsCrush SCENE 3</t>
  </si>
  <si>
    <t>$.rideSummary.scenes[2].events[?(@.id === 'StatusInflictedForceCharacter' || @.id === 'StatusInflictedForceEnvironment')].stats[?(@.id === 'knockdowns')].value</t>
  </si>
  <si>
    <t>{
        "resort": "$.resort",
        "park": "$.park",
        "land": "$.land",
        "publisher": "$.publisher",
        "timestamp": "$.timestamp",
        "playerId": "$.playerId",
        "items": [
                {
                        "id": "actionObjectsCrush",
                        "count": "$.rideSummary.scenes[2].events[?(@.id === 'StatusInflictedForceCharacter')].stats[?(@.id === 'knockdowns')].value@other()",
                        "customData": [
                                {
                                        "key": "session",
                                        "value": "$.rideSummary.sessionId"
                                },
                                {
                                        "key": "scene",
                                        "value": "$.rideSummary.scenes[2].number@other()"
                                }
                        ]
                },
                {
                        "id": "actionObjectsCrush",
                        "count": "$.rideSummary.scenes[2].events[?(@.id === 'StatusInflictedForceEnvironment')].stats[?(@.id === 'knockdowns')].value@other()",
                        "customData": [
                                {
                                        "key": "session",
                                        "value": "$.rideSummary.sessionId"
                                },
                                {
                                        "key": "scene",
                                        "value": "$.rideSummary.scenes[2].number@other()"
                                }
                        ]
                }
        ]
}</t>
  </si>
  <si>
    <t>for every StatusInflictedForceCharacter|StatusInflictedForceEnvironment, grant actionObjectsCrush SCENE 4</t>
  </si>
  <si>
    <t>$.rideSummary.scenes[3].events[?(@.id === 'StatusInflictedForceCharacter' || @.id === 'StatusInflictedForceEnvironment')].stats[?(@.id === 'knockdowns')].value</t>
  </si>
  <si>
    <t>{
        "resort": "$.resort",
        "park": "$.park",
        "land": "$.land",
        "publisher": "$.publisher",
        "timestamp": "$.timestamp",
        "playerId": "$.playerId",
        "items": [
                {
                        "id": "actionObjectsCrush",
                        "count": "$.rideSummary.scenes[3].events[?(@.id === 'StatusInflictedForceCharacter')].stats[?(@.id === 'knockdowns')].value@other()",
                        "customData": [
                                {
                                        "key": "session",
                                        "value": "$.rideSummary.sessionId"
                                },
                                {
                                        "key": "scene",
                                        "value": "$.rideSummary.scenes[3].number@other()"
                                }
                        ]
                },
                {
                        "id": "actionObjectsCrush",
                        "count": "$.rideSummary.scenes[3].events[?(@.id === 'StatusInflictedForceEnvironment')].stats[?(@.id === 'knockdowns')].value@other()",
                        "customData": [
                                {
                                        "key": "session",
                                        "value": "$.rideSummary.sessionId"
                                },
                                {
                                        "key": "scene",
                                        "value": "$.rideSummary.scenes[3].number@other()"
                                }
                        ]
                }
        ]
}</t>
  </si>
  <si>
    <t>for every StatusInflictedForceCharacter|StatusInflictedForceEnvironment, grant actionObjectsCrush SCENE 5</t>
  </si>
  <si>
    <t>$.rideSummary.scenes[4].events[?(@.id === 'StatusInflictedForceCharacter' || @.id === 'StatusInflictedForceEnvironment')].stats[?(@.id === 'knockdowns')].value</t>
  </si>
  <si>
    <t>{
        "resort": "$.resort",
        "park": "$.park",
        "land": "$.land",
        "publisher": "$.publisher",
        "timestamp": "$.timestamp",
        "playerId": "$.playerId",
        "items": [
                {
                        "id": "actionObjectsCrush",
                        "count": "$.rideSummary.scenes[4].events[?(@.id === 'StatusInflictedForceCharacter')].stats[?(@.id === 'knockdowns')].value@other()",
                        "customData": [
                                {
                                        "key": "session",
                                        "value": "$.rideSummary.sessionId"
                                },
                                {
                                        "key": "scene",
                                        "value": "$.rideSummary.scenes[4].number@other()"
                                }
                        ]
                },
                {
                        "id": "actionObjectsCrush",
                        "count": "$.rideSummary.scenes[4].events[?(@.id === 'StatusInflictedForceEnvironment')].stats[?(@.id === 'knockdowns')].value@other()",
                        "customData": [
                                {
                                        "key": "session",
                                        "value": "$.rideSummary.sessionId"
                                },
                                {
                                        "key": "scene",
                                        "value": "$.rideSummary.scenes[4].number@other()"
                                }
                        ]
                }
        ]
}</t>
  </si>
  <si>
    <t>for every StatusInflictedForceCharacter|StatusInflictedForceEnvironment, grant actionObjectsCrush SCENE 6</t>
  </si>
  <si>
    <t>$.rideSummary.scenes[5].events[?(@.id === 'StatusInflictedForceCharacter' || @.id === 'StatusInflictedForceEnvironment')].stats[?(@.id === 'knockdowns')].value</t>
  </si>
  <si>
    <t>{
        "resort": "$.resort",
        "park": "$.park",
        "land": "$.land",
        "publisher": "$.publisher",
        "timestamp": "$.timestamp",
        "playerId": "$.playerId",
        "items": [
                {
                        "id": "actionObjectsCrush",
                        "count": "$.rideSummary.scenes[5].events[?(@.id === 'StatusInflictedForceCharacter')].stats[?(@.id === 'knockdowns')].value@other()",
                        "customData": [
                                {
                                        "key": "session",
                                        "value": "$.rideSummary.sessionId"
                                },
                                {
                                        "key": "scene",
                                        "value": "$.rideSummary.scenes[5].number@other()"
                                }
                        ]
                },
                {
                        "id": "actionObjectsCrush",
                        "count": "$.rideSummary.scenes[5].events[?(@.id === 'StatusInflictedForceEnvironment')].stats[?(@.id === 'knockdowns')].value@other()",
                        "customData": [
                                {
                                        "key": "session",
                                        "value": "$.rideSummary.sessionId"
                                },
                                {
                                        "key": "scene",
                                        "value": "$.rideSummary.scenes[5].number@other()"
                                }
                        ]
                }
        ]
}</t>
  </si>
  <si>
    <t>for every StatusInflictedForceCharacter|StatusInflictedForceEnvironment, grant actionObjectsCrush SCENE 7</t>
  </si>
  <si>
    <t>$.rideSummary.scenes[6].events[?(@.id === 'StatusInflictedForceCharacter' || @.id === 'StatusInflictedForceEnvironment')].stats[?(@.id === 'knockdowns')].value</t>
  </si>
  <si>
    <t>{
        "resort": "$.resort",
        "park": "$.park",
        "land": "$.land",
        "publisher": "$.publisher",
        "timestamp": "$.timestamp",
        "playerId": "$.playerId",
        "items": [
                {
                        "id": "actionObjectsCrush",
                        "count": "$.rideSummary.scenes[6].events[?(@.id === 'StatusInflictedForceCharacter')].stats[?(@.id === 'knockdowns')].value@other()",
                        "customData": [
                                {
                                        "key": "session",
                                        "value": "$.rideSummary.sessionId"
                                },
                                {
                                        "key": "scene",
                                        "value": "$.rideSummary.scenes[6].number@other()"
                                }
                        ]
                },
                {
                        "id": "actionObjectsCrush",
                        "count": "$.rideSummary.scenes[6].events[?(@.id === 'StatusInflictedForceEnvironment')].stats[?(@.id === 'knockdowns')].value@other()",
                        "customData": [
                                {
                                        "key": "session",
                                        "value": "$.rideSummary.sessionId"
                                },
                                {
                                        "key": "scene",
                                        "value": "$.rideSummary.scenes[6].number@other()"
                                }
                        ]
                }
        ]
}</t>
  </si>
  <si>
    <t>for every StatusInflictedLightningCharacter|StatusInflictedLightningEnvironment, grant actionObjectsElectrify SCENE 1</t>
  </si>
  <si>
    <t>$.rideSummary.scenes[0].events[?(@.id === 'StatusInflictedLightningCharacter' || @.id === 'StatusInflictedLightningEnvironment')].stats[?(@.id === 'shocks')].value</t>
  </si>
  <si>
    <t>{
        "resort": "$.resort",
        "park": "$.park",
        "land": "$.land",
        "publisher": "$.publisher",
        "timestamp": "$.timestamp",
        "playerId": "$.playerId",
        "items": [
                {
                        "id": "actionObjectsElectrify",
                        "count": "$.rideSummary.scenes[0].events[?(@.id === 'StatusInflictedLightningCharacter')].stats[?(@.id === 'shocks')].value@other()",
                        "customData": [
                                {
                                        "key": "session",
                                        "value": "$.rideSummary.sessionId"
                                },
                                {
                                        "key": "scene",
                                        "value": "$.rideSummary.scenes[0].number@other()"
                                }
                        ]
                },
                {
                        "id": "actionObjectsElectrify",
                        "count": "$.rideSummary.scenes[0].events[?(@.id === 'StatusInflictedLightningEnvironment')].stats[?(@.id === 'shocks')].value@other()",
                        "customData": [
                                {
                                        "key": "session",
                                        "value": "$.rideSummary.sessionId"
                                },
                                {
                                        "key": "scene",
                                        "value": "$.rideSummary.scenes[0].number@other()"
                                }
                        ]
                }
        ]
}</t>
  </si>
  <si>
    <t>for every StatusInflictedLightningCharacter|StatusInflictedLightningEnvironment, grant actionObjectsElectrify SCENE 2</t>
  </si>
  <si>
    <t>$.rideSummary.scenes[1].events[?(@.id === 'StatusInflictedLightningCharacter' || @.id === 'StatusInflictedLightningEnvironment')].stats[?(@.id === 'shocks')].value</t>
  </si>
  <si>
    <t>{
        "resort": "$.resort",
        "park": "$.park",
        "land": "$.land",
        "publisher": "$.publisher",
        "timestamp": "$.timestamp",
        "playerId": "$.playerId",
        "items": [
                {
                        "id": "actionObjectsElectrify",
                        "count": "$.rideSummary.scenes[1].events[?(@.id === 'StatusInflictedLightningCharacter')].stats[?(@.id === 'shocks')].value@other()",
                        "customData": [
                                {
                                        "key": "session",
                                        "value": "$.rideSummary.sessionId"
                                },
                                {
                                        "key": "scene",
                                        "value": "$.rideSummary.scenes[1].number@other()"
                                }
                        ]
                },
                {
                        "id": "actionObjectsElectrify",
                        "count": "$.rideSummary.scenes[1].events[?(@.id === 'StatusInflictedLightningEnvironment')].stats[?(@.id === 'shocks')].value@other()",
                        "customData": [
                                {
                                        "key": "session",
                                        "value": "$.rideSummary.sessionId"
                                },
                                {
                                        "key": "scene",
                                        "value": "$.rideSummary.scenes[1].number@other()"
                                }
                        ]
                }
        ]
}</t>
  </si>
  <si>
    <t>for every StatusInflictedLightningCharacter|StatusInflictedLightningEnvironment, grant actionObjectsElectrify SCENE 3</t>
  </si>
  <si>
    <t>$.rideSummary.scenes[2].events[?(@.id === 'StatusInflictedLightningCharacter' || @.id === 'StatusInflictedLightningEnvironment')].stats[?(@.id === 'shocks')].value</t>
  </si>
  <si>
    <t>{
        "resort": "$.resort",
        "park": "$.park",
        "land": "$.land",
        "publisher": "$.publisher",
        "timestamp": "$.timestamp",
        "playerId": "$.playerId",
        "items": [
                {
                        "id": "actionObjectsElectrify",
                        "count": "$.rideSummary.scenes[2].events[?(@.id === 'StatusInflictedLightningCharacter')].stats[?(@.id === 'shocks')].value@other()",
                        "customData": [
                                {
                                        "key": "session",
                                        "value": "$.rideSummary.sessionId"
                                },
                                {
                                        "key": "scene",
                                        "value": "$.rideSummary.scenes[2].number@other()"
                                }
                        ]
                },
                {
                        "id": "actionObjectsElectrify",
                        "count": "$.rideSummary.scenes[2].events[?(@.id === 'StatusInflictedLightningEnvironment')].stats[?(@.id === 'shocks')].value@other()",
                        "customData": [
                                {
                                        "key": "session",
                                        "value": "$.rideSummary.sessionId"
                                },
                                {
                                        "key": "scene",
                                        "value": "$.rideSummary.scenes[2].number@other()"
                                }
                        ]
                }
        ]
}</t>
  </si>
  <si>
    <t>for every StatusInflictedLightningCharacter|StatusInflictedLightningEnvironment, grant actionObjectsElectrify SCENE 4</t>
  </si>
  <si>
    <t>$.rideSummary.scenes[3].events[?(@.id === 'StatusInflictedLightningCharacter' || @.id === 'StatusInflictedLightningEnvironment')].stats[?(@.id === 'shocks')].value</t>
  </si>
  <si>
    <t>{
        "resort": "$.resort",
        "park": "$.park",
        "land": "$.land",
        "publisher": "$.publisher",
        "timestamp": "$.timestamp",
        "playerId": "$.playerId",
        "items": [
                {
                        "id": "actionObjectsElectrify",
                        "count": "$.rideSummary.scenes[3].events[?(@.id === 'StatusInflictedLightningCharacter')].stats[?(@.id === 'shocks')].value@other()",
                        "customData": [
                                {
                                        "key": "session",
                                        "value": "$.rideSummary.sessionId"
                                },
                                {
                                        "key": "scene",
                                        "value": "$.rideSummary.scenes[3].number@other()"
                                }
                        ]
                },
                {
                        "id": "actionObjectsElectrify",
                        "count": "$.rideSummary.scenes[3].events[?(@.id === 'StatusInflictedLightningEnvironment')].stats[?(@.id === 'shocks')].value@other()",
                        "customData": [
                                {
                                        "key": "session",
                                        "value": "$.rideSummary.sessionId"
                                },
                                {
                                        "key": "scene",
                                        "value": "$.rideSummary.scenes[3].number@other()"
                                }
                        ]
                }
        ]
}</t>
  </si>
  <si>
    <t>for every StatusInflictedLightningCharacter|StatusInflictedLightningEnvironment, grant actionObjectsElectrify SCENE 5</t>
  </si>
  <si>
    <t>$.rideSummary.scenes[4].events[?(@.id === 'StatusInflictedLightningCharacter' || @.id === 'StatusInflictedLightningEnvironment')].stats[?(@.id === 'shocks')].value</t>
  </si>
  <si>
    <t>{
        "resort": "$.resort",
        "park": "$.park",
        "land": "$.land",
        "publisher": "$.publisher",
        "timestamp": "$.timestamp",
        "playerId": "$.playerId",
        "items": [
                {
                        "id": "actionObjectsElectrify",
                        "count": "$.rideSummary.scenes[4].events[?(@.id === 'StatusInflictedLightningCharacter')].stats[?(@.id === 'shocks')].value@other()",
                        "customData": [
                                {
                                        "key": "session",
                                        "value": "$.rideSummary.sessionId"
                                },
                                {
                                        "key": "scene",
                                        "value": "$.rideSummary.scenes[4].number@other()"
                                }
                        ]
                },
                {
                        "id": "actionObjectsElectrify",
                        "count": "$.rideSummary.scenes[4].events[?(@.id === 'StatusInflictedLightningEnvironment')].stats[?(@.id === 'shocks')].value@other()",
                        "customData": [
                                {
                                        "key": "session",
                                        "value": "$.rideSummary.sessionId"
                                },
                                {
                                        "key": "scene",
                                        "value": "$.rideSummary.scenes[4].number@other()"
                                }
                        ]
                }
        ]
}</t>
  </si>
  <si>
    <t>for every StatusInflictedLightningCharacter|StatusInflictedLightningEnvironment, grant actionObjectsElectrify SCENE 6</t>
  </si>
  <si>
    <t>$.rideSummary.scenes[5].events[?(@.id === 'StatusInflictedLightningCharacter' || @.id === 'StatusInflictedLightningEnvironment')].stats[?(@.id === 'shocks')].value</t>
  </si>
  <si>
    <t>{
        "resort": "$.resort",
        "park": "$.park",
        "land": "$.land",
        "publisher": "$.publisher",
        "timestamp": "$.timestamp",
        "playerId": "$.playerId",
        "items": [
                {
                        "id": "actionObjectsElectrify",
                        "count": "$.rideSummary.scenes[5].events[?(@.id === 'StatusInflictedLightningCharacter')].stats[?(@.id === 'shocks')].value@other()",
                        "customData": [
                                {
                                        "key": "session",
                                        "value": "$.rideSummary.sessionId"
                                },
                                {
                                        "key": "scene",
                                        "value": "$.rideSummary.scenes[5].number@other()"
                                }
                        ]
                },
                {
                        "id": "actionObjectsElectrify",
                        "count": "$.rideSummary.scenes[5].events[?(@.id === 'StatusInflictedLightningEnvironment')].stats[?(@.id === 'shocks')].value@other()",
                        "customData": [
                                {
                                        "key": "session",
                                        "value": "$.rideSummary.sessionId"
                                },
                                {
                                        "key": "scene",
                                        "value": "$.rideSummary.scenes[5].number@other()"
                                }
                        ]
                }
        ]
}</t>
  </si>
  <si>
    <t>for every StatusInflictedLightningCharacter|StatusInflictedLightningEnvironment, grant actionObjectsElectrify SCENE 7</t>
  </si>
  <si>
    <t>$.rideSummary.scenes[6].events[?(@.id === 'StatusInflictedLightningCharacter' || @.id === 'StatusInflictedLightningEnvironment')].stats[?(@.id === 'shocks')].value</t>
  </si>
  <si>
    <t>{
        "resort": "$.resort",
        "park": "$.park",
        "land": "$.land",
        "publisher": "$.publisher",
        "timestamp": "$.timestamp",
        "playerId": "$.playerId",
        "items": [
                {
                        "id": "actionObjectsElectrify",
                        "count": "$.rideSummary.scenes[6].events[?(@.id === 'StatusInflictedLightningCharacter')].stats[?(@.id === 'shocks')].value@other()",
                        "customData": [
                                {
                                        "key": "session",
                                        "value": "$.rideSummary.sessionId"
                                },
                                {
                                        "key": "scene",
                                        "value": "$.rideSummary.scenes[6].number@other()"
                                }
                        ]
                },
                {
                        "id": "actionObjectsElectrify",
                        "count": "$.rideSummary.scenes[6].events[?(@.id === 'StatusInflictedLightningEnvironment')].stats[?(@.id === 'shocks')].value@other()",
                        "customData": [
                                {
                                        "key": "session",
                                        "value": "$.rideSummary.sessionId"
                                },
                                {
                                        "key": "scene",
                                        "value": "$.rideSummary.scenes[6].number@other()"
                                }
                        ]
                }
        ]
}</t>
  </si>
  <si>
    <t>for every ExplodeBomb, grant actionBombsExplode item SCENE 1</t>
  </si>
  <si>
    <t>$.rideSummary.scenes[0].events[?(@.id === 'ExplodeBomb')].stats[?(@.id === 'hits')].value</t>
  </si>
  <si>
    <t>{
        "resort": "$.resort",
        "park": "$.park",
        "land": "$.land",
        "publisher": "$.publisher",
        "timestamp": "$.timestamp",
        "playerId": "$.playerId",
        "items": [
                {
                        "id": "actionBombsExplode",
                        "count": "$.rideSummary.scenes[0].events[?(@.id === 'ExplodeBomb')].stats[?(@.id === 'hits')].value@other()",
                        "customData": [
                                {
                                        "key": "session",
                                        "value": "$.rideSummary.sessionId"
                                },
                                {
                                        "key": "scene",
                                        "value": "$.rideSummary.scenes[0].number@other()"
                                }
                        ]
                }
        ]
}</t>
  </si>
  <si>
    <t>for every ExplodeBomb, grant actionBombsExplode item SCENE 2</t>
  </si>
  <si>
    <t>$.rideSummary.scenes[1].events[?(@.id === 'ExplodeBomb')].stats[?(@.id === 'hits')].value</t>
  </si>
  <si>
    <t>{
        "resort": "$.resort",
        "park": "$.park",
        "land": "$.land",
        "publisher": "$.publisher",
        "timestamp": "$.timestamp",
        "playerId": "$.playerId",
        "items": [
                {
                        "id": "actionBombsExplode",
                        "count": "$.rideSummary.scenes[1].events[?(@.id === 'ExplodeBomb')].stats[?(@.id === 'hits')].value@other()",
                        "customData": [
                                {
                                        "key": "session",
                                        "value": "$.rideSummary.sessionId"
                                },
                                {
                                        "key": "scene",
                                        "value": "$.rideSummary.scenes[1].number@other()"
                                }
                        ]
                }
        ]
}</t>
  </si>
  <si>
    <t>for every ExplodeBomb, grant actionBombsExplode item SCENE 3</t>
  </si>
  <si>
    <t>$.rideSummary.scenes[2].events[?(@.id === 'ExplodeBomb')].stats[?(@.id === 'hits')].value</t>
  </si>
  <si>
    <t>{
        "resort": "$.resort",
        "park": "$.park",
        "land": "$.land",
        "publisher": "$.publisher",
        "timestamp": "$.timestamp",
        "playerId": "$.playerId",
        "items": [
                {
                        "id": "actionBombsExplode",
                        "count": "$.rideSummary.scenes[2].events[?(@.id === 'ExplodeBomb')].stats[?(@.id === 'hits')].value@other()",
                        "customData": [
                                {
                                        "key": "session",
                                        "value": "$.rideSummary.sessionId"
                                },
                                {
                                        "key": "scene",
                                        "value": "$.rideSummary.scenes[2].number@other()"
                                }
                        ]
                }
        ]
}</t>
  </si>
  <si>
    <t>for every ExplodeBomb, grant actionBombsExplode item SCENE 4</t>
  </si>
  <si>
    <t>$.rideSummary.scenes[3].events[?(@.id === 'ExplodeBomb')].stats[?(@.id === 'hits')].value</t>
  </si>
  <si>
    <t>{
        "resort": "$.resort",
        "park": "$.park",
        "land": "$.land",
        "publisher": "$.publisher",
        "timestamp": "$.timestamp",
        "playerId": "$.playerId",
        "items": [
                {
                        "id": "actionBombsExplode",
                        "count": "$.rideSummary.scenes[3].events[?(@.id === 'ExplodeBomb')].stats[?(@.id === 'hits')].value@other()",
                        "customData": [
                                {
                                        "key": "session",
                                        "value": "$.rideSummary.sessionId"
                                },
                                {
                                        "key": "scene",
                                        "value": "$.rideSummary.scenes[3].number@other()"
                                }
                        ]
                }
        ]
}</t>
  </si>
  <si>
    <t>for every ExplodeBomb, grant actionBombsExplode item SCENE 5</t>
  </si>
  <si>
    <t>$.rideSummary.scenes[4].events[?(@.id === 'ExplodeBomb')].stats[?(@.id === 'hits')].value</t>
  </si>
  <si>
    <t>{
        "resort": "$.resort",
        "park": "$.park",
        "land": "$.land",
        "publisher": "$.publisher",
        "timestamp": "$.timestamp",
        "playerId": "$.playerId",
        "items": [
                {
                        "id": "actionBombsExplode",
                        "count": "$.rideSummary.scenes[4].events[?(@.id === 'ExplodeBomb')].stats[?(@.id === 'hits')].value@other()",
                        "customData": [
                                {
                                        "key": "session",
                                        "value": "$.rideSummary.sessionId"
                                },
                                {
                                        "key": "scene",
                                        "value": "$.rideSummary.scenes[4].number@other()"
                                }
                        ]
                }
        ]
}</t>
  </si>
  <si>
    <t>for every ExplodeBomb, grant actionBombsExplode item SCENE 6</t>
  </si>
  <si>
    <t>$.rideSummary.scenes[5].events[?(@.id === 'ExplodeBomb')].stats[?(@.id === 'hits')].value</t>
  </si>
  <si>
    <t>{
        "resort": "$.resort",
        "park": "$.park",
        "land": "$.land",
        "publisher": "$.publisher",
        "timestamp": "$.timestamp",
        "playerId": "$.playerId",
        "items": [
                {
                        "id": "actionBombsExplode",
                        "count": "$.rideSummary.scenes[5].events[?(@.id === 'ExplodeBomb')].stats[?(@.id === 'hits')].value@other()",
                        "customData": [
                                {
                                        "key": "session",
                                        "value": "$.rideSummary.sessionId"
                                },
                                {
                                        "key": "scene",
                                        "value": "$.rideSummary.scenes[5].number@other()"
                                }
                        ]
                }
        ]
}</t>
  </si>
  <si>
    <t>for every ExplodeBomb, grant actionBombsExplode item SCENE 7</t>
  </si>
  <si>
    <t>$.rideSummary.scenes[6].events[?(@.id === 'ExplodeBomb')].stats[?(@.id === 'hits')].value</t>
  </si>
  <si>
    <t>{
        "resort": "$.resort",
        "park": "$.park",
        "land": "$.land",
        "publisher": "$.publisher",
        "timestamp": "$.timestamp",
        "playerId": "$.playerId",
        "items": [
                {
                        "id": "actionBombsExplode",
                        "count": "$.rideSummary.scenes[6].events[?(@.id === 'ExplodeBomb')].stats[?(@.id === 'hits')].value@other()",
                        "customData": [
                                {
                                        "key": "session",
                                        "value": "$.rideSummary.sessionId"
                                },
                                {
                                        "key": "scene",
                                        "value": "$.rideSummary.scenes[6].number@other()"
                                }
                        ]
                }
        ]
}</t>
  </si>
  <si>
    <t>for every Environmental.envDestructible.sc01CrateTNT|Environmental.envDestructible.sc01Bomb|Environmental.envDestructible.sc01Mine, grant actionBombsExplode item SCENE 1</t>
  </si>
  <si>
    <t>$.rideSummary.scenes[0].events[?(@.id === 'Environmental.envDestructible.sc01CrateTNT' || @.id === 'Environmental.envDestructible.sc01Bomb' || @.id === 'Environmental.envDestructible.sc01Mine')].stats[?(@.id === 'destroys')].value</t>
  </si>
  <si>
    <t>{
        "resort": "$.resort",
        "park": "$.park",
        "land": "$.land",
        "publisher": "$.publisher",
        "timestamp": "$.timestamp",
        "playerId": "$.playerId",
        "items": [
                {
                        "id": "actionBombsExplode",
                        "count": "$.rideSummary.scenes[0].events[?(@.id === 'Environmental.envDestructible.sc01CrateTNT')].stats[?(@.id === 'destroys')].value@other()",
                        "customData": [
                                {
                                        "key": "session",
                                        "value": "$.rideSummary.sessionId"
                                },
                                {
                                        "key": "scene",
                                        "value": "$.rideSummary.scenes[0].number@other()"
                                }
                        ]
                },
                {
                        "id": "actionBombsExplode",
                        "count": "$.rideSummary.scenes[0].events[?(@.id === 'Environmental.envDestructible.sc01Bomb')].stats[?(@.id === 'destroys')].value@other()",
                        "customData": [
                                {
                                        "key": "session",
                                        "value": "$.rideSummary.sessionId"
                                },
                                {
                                        "key": "scene",
                                        "value": "$.rideSummary.scenes[0].number@other()"
                                }
                        ]
                },
                {
                        "id": "actionBombsExplode",
                        "count": "$.rideSummary.scenes[0].events[?(@.id === 'Environmental.envDestructible.sc01Mine')].stats[?(@.id === 'destroys')].value@other()",
                        "customData": [
                                {
                                        "key": "session",
                                        "value": "$.rideSummary.sessionId"
                                },
                                {
                                        "key": "scene",
                                        "value": "$.rideSummary.scenes[0].number@other()"
                                }
                        ]
                }
        ]
}</t>
  </si>
  <si>
    <t>for every Environmental.envDestructible.sc07CrateTNT|Environmental.envDestructible.sc07Bomb|Environmental.envDestructible.sc07Mine, grant actionBombsExplode item SCENE 7</t>
  </si>
  <si>
    <t>$.rideSummary.scenes[6].events[?(@.id === 'Environmental.envDestructible.sc07CrateTNT' || @.id === 'Environmental.envDestructible.sc07Bomb' || @.id === 'Environmental.envDestructible.sc07Mine')].stats[?(@.id === 'destroys')].value</t>
  </si>
  <si>
    <t>{
        "resort": "$.resort",
        "park": "$.park",
        "land": "$.land",
        "publisher": "$.publisher",
        "timestamp": "$.timestamp",
        "playerId": "$.playerId",
        "items": [
                {
                        "id": "actionBombsExplode",
                        "count": "$.rideSummary.scenes[6].events[?(@.id === 'Environmental.envDestructible.sc07CrateTNT')].stats[?(@.id === 'destroys')].value@other()",
                        "customData": [
                                {
                                        "key": "session",
                                        "value": "$.rideSummary.sessionId"
                                },
                                {
                                        "key": "scene",
                                        "value": "$.rideSummary.scenes[0].number@other()"
                                }
                        ]
                },
                {
                        "id": "actionBombsExplode",
                        "count": "$.rideSummary.scenes[6].events[?(@.id === 'Environmental.envDestructible.sc07Bomb')].stats[?(@.id === 'destroys')].value@other()",
                        "customData": [
                                {
                                        "key": "session",
                                        "value": "$.rideSummary.sessionId"
                                },
                                {
                                        "key": "scene",
                                        "value": "$.rideSummary.scenes[0].number@other()"
                                }
                        ]
                },
                {
                        "id": "actionBombsExplode",
                        "count": "$.rideSummary.scenes[6].events[?(@.id === 'Environmental.envDestructible.sc07Mine')].stats[?(@.id === 'destroys')].value@other()",
                        "customData": [
                                {
                                        "key": "session",
                                        "value": "$.rideSummary.sessionId"
                                },
                                {
                                        "key": "scene",
                                        "value": "$.rideSummary.scenes[0].number@other()"
                                }
                        ]
                }
        ]
}</t>
  </si>
  <si>
    <t>for every StealPickupFromCharacter, grant actionCharacterPickup item SCENE 1</t>
  </si>
  <si>
    <t>$.rideSummary.scenes[0].events[?(@.id === 'StealPickupFromCharacter')].stats[?(@.id === 'hits')].value</t>
  </si>
  <si>
    <t>{
        "resort": "$.resort",
        "park": "$.park",
        "land": "$.land",
        "publisher": "$.publisher",
        "timestamp": "$.timestamp",
        "playerId": "$.playerId",
        "items": [
                {
                        "id": "actionCharacterPickup",
                        "count": "$.rideSummary.scenes[0].events[?(@.id === 'StealPickupFromCharacter')].stats[?(@.id === 'hits')].value@other()",
                        "customData": [
                                {
                                        "key": "session",
                                        "value": "$.rideSummary.sessionId"
                                },
                                {
                                        "key": "scene",
                                        "value": "$.rideSummary.scenes[0].number@other()"
                                }
                        ]
                }
        ]
}</t>
  </si>
  <si>
    <t>for every StealPickupFromCharacter, grant actionCharacterPickup item SCENE 2</t>
  </si>
  <si>
    <t>$.rideSummary.scenes[1].events[?(@.id === 'StealPickupFromCharacter')].stats[?(@.id === 'hits')].value</t>
  </si>
  <si>
    <t>{
        "resort": "$.resort",
        "park": "$.park",
        "land": "$.land",
        "publisher": "$.publisher",
        "timestamp": "$.timestamp",
        "playerId": "$.playerId",
        "items": [
                {
                        "id": "actionCharacterPickup",
                        "count": "$.rideSummary.scenes[1].events[?(@.id === 'StealPickupFromCharacter')].stats[?(@.id === 'hits')].value@other()",
                        "customData": [
                                {
                                        "key": "session",
                                        "value": "$.rideSummary.sessionId"
                                },
                                {
                                        "key": "scene",
                                        "value": "$.rideSummary.scenes[1].number@other()"
                                }
                        ]
                }
        ]
}</t>
  </si>
  <si>
    <t>for every StealPickupFromCharacter, grant actionCharacterPickup item SCENE 3</t>
  </si>
  <si>
    <t>$.rideSummary.scenes[2].events[?(@.id === 'StealPickupFromCharacter')].stats[?(@.id === 'hits')].value</t>
  </si>
  <si>
    <t>{
        "resort": "$.resort",
        "park": "$.park",
        "land": "$.land",
        "publisher": "$.publisher",
        "timestamp": "$.timestamp",
        "playerId": "$.playerId",
        "items": [
                {
                        "id": "actionCharacterPickup",
                        "count": "$.rideSummary.scenes[2].events[?(@.id === 'StealPickupFromCharacter')].stats[?(@.id === 'hits')].value@other()",
                        "customData": [
                                {
                                        "key": "session",
                                        "value": "$.rideSummary.sessionId"
                                },
                                {
                                        "key": "scene",
                                        "value": "$.rideSummary.scenes[2].number@other()"
                                }
                        ]
                }
        ]
}</t>
  </si>
  <si>
    <t>for every StealPickupFromCharacter, grant actionCharacterPickup item SCENE 4</t>
  </si>
  <si>
    <t>$.rideSummary.scenes[3].events[?(@.id === 'StealPickupFromCharacter')].stats[?(@.id === 'hits')].value</t>
  </si>
  <si>
    <t>{
        "resort": "$.resort",
        "park": "$.park",
        "land": "$.land",
        "publisher": "$.publisher",
        "timestamp": "$.timestamp",
        "playerId": "$.playerId",
        "items": [
                {
                        "id": "actionCharacterPickup",
                        "count": "$.rideSummary.scenes[3].events[?(@.id === 'StealPickupFromCharacter')].stats[?(@.id === 'hits')].value@other()",
                        "customData": [
                                {
                                        "key": "session",
                                        "value": "$.rideSummary.sessionId"
                                },
                                {
                                        "key": "scene",
                                        "value": "$.rideSummary.scenes[3].number@other()"
                                }
                        ]
                }
        ]
}</t>
  </si>
  <si>
    <t>for every StealPickupFromCharacter, grant actionCharacterPickup item SCENE 5</t>
  </si>
  <si>
    <t>$.rideSummary.scenes[4].events[?(@.id === 'StealPickupFromCharacter')].stats[?(@.id === 'hits')].value</t>
  </si>
  <si>
    <t>{
        "resort": "$.resort",
        "park": "$.park",
        "land": "$.land",
        "publisher": "$.publisher",
        "timestamp": "$.timestamp",
        "playerId": "$.playerId",
        "items": [
                {
                        "id": "actionCharacterPickup",
                        "count": "$.rideSummary.scenes[4].events[?(@.id === 'StealPickupFromCharacter')].stats[?(@.id === 'hits')].value@other()",
                        "customData": [
                                {
                                        "key": "session",
                                        "value": "$.rideSummary.sessionId"
                                },
                                {
                                        "key": "scene",
                                        "value": "$.rideSummary.scenes[4].number@other()"
                                }
                        ]
                }
        ]
}</t>
  </si>
  <si>
    <t>for every StealPickupFromCharacter, grant actionCharacterPickup item SCENE 6</t>
  </si>
  <si>
    <t>$.rideSummary.scenes[5].events[?(@.id === 'StealPickupFromCharacter')].stats[?(@.id === 'hits')].value</t>
  </si>
  <si>
    <t>{
        "resort": "$.resort",
        "park": "$.park",
        "land": "$.land",
        "publisher": "$.publisher",
        "timestamp": "$.timestamp",
        "playerId": "$.playerId",
        "items": [
                {
                        "id": "actionCharacterPickup",
                        "count": "$.rideSummary.scenes[5].events[?(@.id === 'StealPickupFromCharacter')].stats[?(@.id === 'hits')].value@other()",
                        "customData": [
                                {
                                        "key": "session",
                                        "value": "$.rideSummary.sessionId"
                                },
                                {
                                        "key": "scene",
                                        "value": "$.rideSummary.scenes[5].number@other()"
                                }
                        ]
                }
        ]
}</t>
  </si>
  <si>
    <t>for every StealPickupFromCharacter, grant actionCharacterPickup item SCENE 7</t>
  </si>
  <si>
    <t>$.rideSummary.scenes[6].events[?(@.id === 'StealPickupFromCharacter')].stats[?(@.id === 'hits')].value</t>
  </si>
  <si>
    <t>{
        "resort": "$.resort",
        "park": "$.park",
        "land": "$.land",
        "publisher": "$.publisher",
        "timestamp": "$.timestamp",
        "playerId": "$.playerId",
        "items": [
                {
                        "id": "actionCharacterPickup",
                        "count": "$.rideSummary.scenes[6].events[?(@.id === 'StealPickupFromCharacter')].stats[?(@.id === 'hits')].value@other()",
                        "customData": [
                                {
                                        "key": "session",
                                        "value": "$.rideSummary.sessionId"
                                },
                                {
                                        "key": "scene",
                                        "value": "$.rideSummary.scenes[6].number@other()"
                                }
                        ]
                }
        ]
}</t>
  </si>
  <si>
    <t>for every WeaponSwappedElement, grant actionAmmoSwap item SCENE 1</t>
  </si>
  <si>
    <t>$.rideSummary.scenes[0].events[?(@.id === 'WeaponSwappedElement')].stats[?(@.id === 'hits')].value</t>
  </si>
  <si>
    <t>{
        "resort": "$.resort",
        "park": "$.park",
        "land": "$.land",
        "publisher": "$.publisher",
        "timestamp": "$.timestamp",
        "playerId": "$.playerId",
        "items": [
                {
                        "id": "actionAmmoSwap",
                        "count": "$.rideSummary.scenes[0].events[?(@.id === 'WeaponSwappedElement')].stats[?(@.id === 'hits')].value@other()",
                        "customData": [
                                {
                                        "key": "session",
                                        "value": "$.rideSummary.sessionId"
                                },
                                {
                                        "key": "scene",
                                        "value": "$.rideSummary.scenes[0].number@other()"
                                }
                        ]
                }
        ]
}</t>
  </si>
  <si>
    <t>for every WeaponSwappedElement, grant actionAmmoSwap item SCENE 2</t>
  </si>
  <si>
    <t>$.rideSummary.scenes[1].events[?(@.id === 'WeaponSwappedElement')].stats[?(@.id === 'hits')].value</t>
  </si>
  <si>
    <t>{
        "resort": "$.resort",
        "park": "$.park",
        "land": "$.land",
        "publisher": "$.publisher",
        "timestamp": "$.timestamp",
        "playerId": "$.playerId",
        "items": [
                {
                        "id": "actionAmmoSwap",
                        "count": "$.rideSummary.scenes[1].events[?(@.id === 'WeaponSwappedElement')].stats[?(@.id === 'hits')].value@other()",
                        "customData": [
                                {
                                        "key": "session",
                                        "value": "$.rideSummary.sessionId"
                                },
                                {
                                        "key": "scene",
                                        "value": "$.rideSummary.scenes[1].number@other()"
                                }
                        ]
                }
        ]
}</t>
  </si>
  <si>
    <t>for every WeaponSwappedElement, grant actionAmmoSwap item SCENE 3</t>
  </si>
  <si>
    <t>$.rideSummary.scenes[2].events[?(@.id === 'WeaponSwappedElement')].stats[?(@.id === 'hits')].value</t>
  </si>
  <si>
    <t>{
        "resort": "$.resort",
        "park": "$.park",
        "land": "$.land",
        "publisher": "$.publisher",
        "timestamp": "$.timestamp",
        "playerId": "$.playerId",
        "items": [
                {
                        "id": "actionAmmoSwap",
                        "count": "$.rideSummary.scenes[2].events[?(@.id === 'WeaponSwappedElement')].stats[?(@.id === 'hits')].value@other()",
                        "customData": [
                                {
                                        "key": "session",
                                        "value": "$.rideSummary.sessionId"
                                },
                                {
                                        "key": "scene",
                                        "value": "$.rideSummary.scenes[2].number@other()"
                                }
                        ]
                }
        ]
}</t>
  </si>
  <si>
    <t>for every WeaponSwappedElement, grant actionAmmoSwap item SCENE 4</t>
  </si>
  <si>
    <t>$.rideSummary.scenes[3].events[?(@.id === 'WeaponSwappedElement')].stats[?(@.id === 'hits')].value</t>
  </si>
  <si>
    <t>{
        "resort": "$.resort",
        "park": "$.park",
        "land": "$.land",
        "publisher": "$.publisher",
        "timestamp": "$.timestamp",
        "playerId": "$.playerId",
        "items": [
                {
                        "id": "actionAmmoSwap",
                        "count": "$.rideSummary.scenes[3].events[?(@.id === 'WeaponSwappedElement')].stats[?(@.id === 'hits')].value@other()",
                        "customData": [
                                {
                                        "key": "session",
                                        "value": "$.rideSummary.sessionId"
                                },
                                {
                                        "key": "scene",
                                        "value": "$.rideSummary.scenes[3].number@other()"
                                }
                        ]
                }
        ]
}</t>
  </si>
  <si>
    <t>for every WeaponSwappedElement, grant actionAmmoSwap item SCENE 5</t>
  </si>
  <si>
    <t>$.rideSummary.scenes[4].events[?(@.id === 'WeaponSwappedElement')].stats[?(@.id === 'hits')].value</t>
  </si>
  <si>
    <t>{
        "resort": "$.resort",
        "park": "$.park",
        "land": "$.land",
        "publisher": "$.publisher",
        "timestamp": "$.timestamp",
        "playerId": "$.playerId",
        "items": [
                {
                        "id": "actionAmmoSwap",
                        "count": "$.rideSummary.scenes[4].events[?(@.id === 'WeaponSwappedElement')].stats[?(@.id === 'hits')].value@other()",
                        "customData": [
                                {
                                        "key": "session",
                                        "value": "$.rideSummary.sessionId"
                                },
                                {
                                        "key": "scene",
                                        "value": "$.rideSummary.scenes[4].number@other()"
                                }
                        ]
                }
        ]
}</t>
  </si>
  <si>
    <t>for every WeaponSwappedElement, grant actionAmmoSwap item SCENE 6</t>
  </si>
  <si>
    <t>$.rideSummary.scenes[5].events[?(@.id === 'WeaponSwappedElement')].stats[?(@.id === 'hits')].value</t>
  </si>
  <si>
    <t>{
        "resort": "$.resort",
        "park": "$.park",
        "land": "$.land",
        "publisher": "$.publisher",
        "timestamp": "$.timestamp",
        "playerId": "$.playerId",
        "items": [
                {
                        "id": "actionAmmoSwap",
                        "count": "$.rideSummary.scenes[5].events[?(@.id === 'WeaponSwappedElement')].stats[?(@.id === 'hits')].value@other()",
                        "customData": [
                                {
                                        "key": "session",
                                        "value": "$.rideSummary.sessionId"
                                },
                                {
                                        "key": "scene",
                                        "value": "$.rideSummary.scenes[5].number@other()"
                                }
                        ]
                }
        ]
}</t>
  </si>
  <si>
    <t>for every WeaponSwappedElement, grant actionAmmoSwap item SCENE 7</t>
  </si>
  <si>
    <t>$.rideSummary.scenes[6].events[?(@.id === 'WeaponSwappedElement')].stats[?(@.id === 'hits')].value</t>
  </si>
  <si>
    <t>{
        "resort": "$.resort",
        "park": "$.park",
        "land": "$.land",
        "publisher": "$.publisher",
        "timestamp": "$.timestamp",
        "playerId": "$.playerId",
        "items": [
                {
                        "id": "actionAmmoSwap",
                        "count": "$.rideSummary.scenes[6].events[?(@.id === 'WeaponSwappedElement')].stats[?(@.id === 'hits')].value@other()",
                        "customData": [
                                {
                                        "key": "session",
                                        "value": "$.rideSummary.sessionId"
                                },
                                {
                                        "key": "scene",
                                        "value": "$.rideSummary.scenes[6].number@other()"
                                }
                        ]
                }
        ]
}</t>
  </si>
  <si>
    <t>for every WeaponNerfed, grant actionPlayerNerfed item SCENE 1</t>
  </si>
  <si>
    <t>multiGameImmediate</t>
  </si>
  <si>
    <t>$.rideSummary.scenes[0].events[?(@.id === 'WeaponNerfed')].stats[?(@.id === 'hits')].value</t>
  </si>
  <si>
    <t>{
        "resort": "$.resort",
        "park": "$.park",
        "land": "$.land",
        "publisher": "$.publisher",
        "timestamp": "$.timestamp",
        "playerId": "$.playerId",
        "items": [
                {
                        "id": "actionPlayerNerfed",
                        "count": "$.rideSummary.scenes[0].events[?(@.id === 'WeaponNerfed')].stats[?(@.id === 'hits')].value@other()",
                        "customData": [
                                {
                                        "key": "session",
                                        "value": "$.rideSummary.sessionId"
                                },
                                {
                                        "key": "scene",
                                        "value": "$.rideSummary.scenes[0].number@other()"
                                }
                        ]
                }
        ]
}</t>
  </si>
  <si>
    <t>for every WeaponNerfed, grant actionPlayerNerfed item SCENE 2</t>
  </si>
  <si>
    <t>$.rideSummary.scenes[1].events[?(@.id === 'WeaponNerfed')].stats[?(@.id === 'hits')].value</t>
  </si>
  <si>
    <t>{
        "resort": "$.resort",
        "park": "$.park",
        "land": "$.land",
        "publisher": "$.publisher",
        "timestamp": "$.timestamp",
        "playerId": "$.playerId",
        "items": [
                {
                        "id": "actionPlayerNerfed",
                        "count": "$.rideSummary.scenes[1].events[?(@.id === 'WeaponNerfed')].stats[?(@.id === 'hits')].value@other()",
                        "customData": [
                                {
                                        "key": "session",
                                        "value": "$.rideSummary.sessionId"
                                },
                                {
                                        "key": "scene",
                                        "value": "$.rideSummary.scenes[1].number@other()"
                                }
                        ]
                }
        ]
}</t>
  </si>
  <si>
    <t>for every WeaponNerfed, grant actionPlayerNerfed item SCENE 3</t>
  </si>
  <si>
    <t>$.rideSummary.scenes[2].events[?(@.id === 'WeaponNerfed')].stats[?(@.id === 'hits')].value</t>
  </si>
  <si>
    <t>{
        "resort": "$.resort",
        "park": "$.park",
        "land": "$.land",
        "publisher": "$.publisher",
        "timestamp": "$.timestamp",
        "playerId": "$.playerId",
        "items": [
                {
                        "id": "actionPlayerNerfed",
                        "count": "$.rideSummary.scenes[2].events[?(@.id === 'WeaponNerfed')].stats[?(@.id === 'hits')].value@other()",
                        "customData": [
                                {
                                        "key": "session",
                                        "value": "$.rideSummary.sessionId"
                                },
                                {
                                        "key": "scene",
                                        "value": "$.rideSummary.scenes[2].number@other()"
                                }
                        ]
                }
        ]
}</t>
  </si>
  <si>
    <t>for every WeaponNerfed, grant actionPlayerNerfed item SCENE 4</t>
  </si>
  <si>
    <t>$.rideSummary.scenes[3].events[?(@.id === 'WeaponNerfed')].stats[?(@.id === 'hits')].value</t>
  </si>
  <si>
    <t>{
        "resort": "$.resort",
        "park": "$.park",
        "land": "$.land",
        "publisher": "$.publisher",
        "timestamp": "$.timestamp",
        "playerId": "$.playerId",
        "items": [
                {
                        "id": "actionPlayerNerfed",
                        "count": "$.rideSummary.scenes[3].events[?(@.id === 'WeaponNerfed')].stats[?(@.id === 'hits')].value@other()",
                        "customData": [
                                {
                                        "key": "session",
                                        "value": "$.rideSummary.sessionId"
                                },
                                {
                                        "key": "scene",
                                        "value": "$.rideSummary.scenes[3].number@other()"
                                }
                        ]
                }
        ]
}</t>
  </si>
  <si>
    <t>for every WeaponNerfed, grant actionPlayerNerfed item SCENE 5</t>
  </si>
  <si>
    <t>$.rideSummary.scenes[4].events[?(@.id === 'WeaponNerfed')].stats[?(@.id === 'hits')].value</t>
  </si>
  <si>
    <t>{
        "resort": "$.resort",
        "park": "$.park",
        "land": "$.land",
        "publisher": "$.publisher",
        "timestamp": "$.timestamp",
        "playerId": "$.playerId",
        "items": [
                {
                        "id": "actionPlayerNerfed",
                        "count": "$.rideSummary.scenes[4].events[?(@.id === 'WeaponNerfed')].stats[?(@.id === 'hits')].value@other()",
                        "customData": [
                                {
                                        "key": "session",
                                        "value": "$.rideSummary.sessionId"
                                },
                                {
                                        "key": "scene",
                                        "value": "$.rideSummary.scenes[4].number@other()"
                                }
                        ]
                }
        ]
}</t>
  </si>
  <si>
    <t>for every WeaponNerfed, grant actionPlayerNerfed item SCENE 6</t>
  </si>
  <si>
    <t>$.rideSummary.scenes[5].events[?(@.id === 'WeaponNerfed')].stats[?(@.id === 'hits')].value</t>
  </si>
  <si>
    <t>{
        "resort": "$.resort",
        "park": "$.park",
        "land": "$.land",
        "publisher": "$.publisher",
        "timestamp": "$.timestamp",
        "playerId": "$.playerId",
        "items": [
                {
                        "id": "actionPlayerNerfed",
                        "count": "$.rideSummary.scenes[5].events[?(@.id === 'WeaponNerfed')].stats[?(@.id === 'hits')].value@other()",
                        "customData": [
                                {
                                        "key": "session",
                                        "value": "$.rideSummary.sessionId"
                                },
                                {
                                        "key": "scene",
                                        "value": "$.rideSummary.scenes[5].number@other()"
                                }
                        ]
                }
        ]
}</t>
  </si>
  <si>
    <t>for every WeaponNerfed, grant actionPlayerNerfed item SCENE 7</t>
  </si>
  <si>
    <t>$.rideSummary.scenes[6].events[?(@.id === 'WeaponNerfed')].stats[?(@.id === 'hits')].value</t>
  </si>
  <si>
    <t>{
        "resort": "$.resort",
        "park": "$.park",
        "land": "$.land",
        "publisher": "$.publisher",
        "timestamp": "$.timestamp",
        "playerId": "$.playerId",
        "items": [
                {
                        "id": "actionPlayerNerfed",
                        "count": "$.rideSummary.scenes[6].events[?(@.id === 'WeaponNerfed')].stats[?(@.id === 'hits')].value@other()",
                        "customData": [
                                {
                                        "key": "session",
                                        "value": "$.rideSummary.sessionId"
                                },
                                {
                                        "key": "scene",
                                        "value": "$.rideSummary.scenes[6].number@other()"
                                }
                        ]
                }
        ]
}</t>
  </si>
  <si>
    <t>for every Pickup.pickupLauncher.launcherIronFists, grant actionLauncherStronghold item SCENE 1</t>
  </si>
  <si>
    <t>$.rideSummary.scenes[0].events[?(@.id === 'Pickup.pickupLauncher.launcherIronFists')].stats[?(@.id === 'hits')].value</t>
  </si>
  <si>
    <t>{
        "resort": "$.resort",
        "park": "$.park",
        "land": "$.land",
        "publisher": "$.publisher",
        "timestamp": "$.timestamp",
        "playerId": "$.playerId",
        "items": [
                {
                        "id": "actionLauncherStronghold",
                        "count": "$.rideSummary.scenes[0].events[?(@.id === 'Pickup.pickupLauncher.launcherIronFists')].stats[?(@.id === 'hits')].value@other()",
                        "customData": [
                                {
                                        "key": "session",
                                        "value": "$.rideSummary.sessionId"
                                },
                                {
                                        "key": "scene",
                                        "value": "$.rideSummary.scenes[0].number@other()"
                                }
                        ]
                }
        ]
}</t>
  </si>
  <si>
    <t>for every Pickup.pickupLauncher.launcherIronFists, grant actionLauncherStronghold item SCENE 2</t>
  </si>
  <si>
    <t>$.rideSummary.scenes[1].events[?(@.id === 'Pickup.pickupLauncher.launcherIronFists')].stats[?(@.id === 'hits')].value</t>
  </si>
  <si>
    <t>{
        "resort": "$.resort",
        "park": "$.park",
        "land": "$.land",
        "publisher": "$.publisher",
        "timestamp": "$.timestamp",
        "playerId": "$.playerId",
        "items": [
                {
                        "id": "actionLauncherStronghold",
                        "count": "$.rideSummary.scenes[1].events[?(@.id === 'Pickup.pickupLauncher.launcherIronFists')].stats[?(@.id === 'hits')].value@other()",
                        "customData": [
                                {
                                        "key": "session",
                                        "value": "$.rideSummary.sessionId"
                                },
                                {
                                        "key": "scene",
                                        "value": "$.rideSummary.scenes[1].number@other()"
                                }
                        ]
                }
        ]
}</t>
  </si>
  <si>
    <t>for every Pickup.pickupLauncher.launcherIronFists, grant actionLauncherStronghold item SCENE 3</t>
  </si>
  <si>
    <t>$.rideSummary.scenes[2].events[?(@.id === 'Pickup.pickupLauncher.launcherIronFists')].stats[?(@.id === 'hits')].value</t>
  </si>
  <si>
    <t>{
        "resort": "$.resort",
        "park": "$.park",
        "land": "$.land",
        "publisher": "$.publisher",
        "timestamp": "$.timestamp",
        "playerId": "$.playerId",
        "items": [
                {
                        "id": "actionLauncherStronghold",
                        "count": "$.rideSummary.scenes[2].events[?(@.id === 'Pickup.pickupLauncher.launcherIronFists')].stats[?(@.id === 'hits')].value@other()",
                        "customData": [
                                {
                                        "key": "session",
                                        "value": "$.rideSummary.sessionId"
                                },
                                {
                                        "key": "scene",
                                        "value": "$.rideSummary.scenes[2].number@other()"
                                }
                        ]
                }
        ]
}</t>
  </si>
  <si>
    <t>for every Pickup.pickupLauncher.launcherIronFists, grant actionLauncherStronghold item SCENE 4</t>
  </si>
  <si>
    <t>$.rideSummary.scenes[3].events[?(@.id === 'Pickup.pickupLauncher.launcherIronFists')].stats[?(@.id === 'hits')].value</t>
  </si>
  <si>
    <t>{
        "resort": "$.resort",
        "park": "$.park",
        "land": "$.land",
        "publisher": "$.publisher",
        "timestamp": "$.timestamp",
        "playerId": "$.playerId",
        "items": [
                {
                        "id": "actionLauncherStronghold",
                        "count": "$.rideSummary.scenes[3].events[?(@.id === 'Pickup.pickupLauncher.launcherIronFists')].stats[?(@.id === 'hits')].value@other()",
                        "customData": [
                                {
                                        "key": "session",
                                        "value": "$.rideSummary.sessionId"
                                },
                                {
                                        "key": "scene",
                                        "value": "$.rideSummary.scenes[3].number@other()"
                                }
                        ]
                }
        ]
}</t>
  </si>
  <si>
    <t>for every Pickup.pickupLauncher.launcherIronFists, grant actionLauncherStronghold item SCENE 5</t>
  </si>
  <si>
    <t>$.rideSummary.scenes[4].events[?(@.id === 'Pickup.pickupLauncher.launcherIronFists')].stats[?(@.id === 'hits')].value</t>
  </si>
  <si>
    <t>{
        "resort": "$.resort",
        "park": "$.park",
        "land": "$.land",
        "publisher": "$.publisher",
        "timestamp": "$.timestamp",
        "playerId": "$.playerId",
        "items": [
                {
                        "id": "actionLauncherStronghold",
                        "count": "$.rideSummary.scenes[4].events[?(@.id === 'Pickup.pickupLauncher.launcherIronFists')].stats[?(@.id === 'hits')].value@other()",
                        "customData": [
                                {
                                        "key": "session",
                                        "value": "$.rideSummary.sessionId"
                                },
                                {
                                        "key": "scene",
                                        "value": "$.rideSummary.scenes[4].number@other()"
                                }
                        ]
                }
        ]
}</t>
  </si>
  <si>
    <t>for every Pickup.pickupLauncher.launcherIronFists, grant actionLauncherStronghold item SCENE 6</t>
  </si>
  <si>
    <t>$.rideSummary.scenes[5].events[?(@.id === 'Pickup.pickupLauncher.launcherIronFists')].stats[?(@.id === 'hits')].value</t>
  </si>
  <si>
    <t>{
        "resort": "$.resort",
        "park": "$.park",
        "land": "$.land",
        "publisher": "$.publisher",
        "timestamp": "$.timestamp",
        "playerId": "$.playerId",
        "items": [
                {
                        "id": "actionLauncherStronghold",
                        "count": "$.rideSummary.scenes[5].events[?(@.id === 'Pickup.pickupLauncher.launcherIronFists')].stats[?(@.id === 'hits')].value@other()",
                        "customData": [
                                {
                                        "key": "session",
                                        "value": "$.rideSummary.sessionId"
                                },
                                {
                                        "key": "scene",
                                        "value": "$.rideSummary.scenes[5].number@other()"
                                }
                        ]
                }
        ]
}</t>
  </si>
  <si>
    <t>for every Pickup.pickupLauncher.launcherIronFists, grant actionLauncherStronghold item SCENE 7</t>
  </si>
  <si>
    <t>$.rideSummary.scenes[6].events[?(@.id === 'Pickup.pickupLauncher.launcherIronFists')].stats[?(@.id === 'hits')].value</t>
  </si>
  <si>
    <t>{
        "resort": "$.resort",
        "park": "$.park",
        "land": "$.land",
        "publisher": "$.publisher",
        "timestamp": "$.timestamp",
        "playerId": "$.playerId",
        "items": [
                {
                        "id": "actionLauncherStronghold",
                        "count": "$.rideSummary.scenes[6].events[?(@.id === 'Pickup.pickupLauncher.launcherIronFists')].stats[?(@.id === 'hits')].value@other()",
                        "customData": [
                                {
                                        "key": "session",
                                        "value": "$.rideSummary.sessionId"
                                },
                                {
                                        "key": "scene",
                                        "value": "$.rideSummary.scenes[6].number@other()"
                                }
                        ]
                }
        ]
}</t>
  </si>
  <si>
    <t>for every Pickup.pickupLauncher.launcherNunchuck, grant actionLauncherNunchuck item SCENE 1</t>
  </si>
  <si>
    <t>$.rideSummary.scenes[0].events[?(@.id === 'Pickup.pickupLauncher.launcherNunchuck')].stats[?(@.id === 'hits')].value</t>
  </si>
  <si>
    <t>{
        "resort": "$.resort",
        "park": "$.park",
        "land": "$.land",
        "publisher": "$.publisher",
        "timestamp": "$.timestamp",
        "playerId": "$.playerId",
        "items": [
                {
                        "id": "actionLauncherNunchuck",
                        "count": "$.rideSummary.scenes[0].events[?(@.id === 'Pickup.pickupLauncher.launcherNunchuck')].stats[?(@.id === 'hits')].value@other()",
                        "customData": [
                                {
                                        "key": "session",
                                        "value": "$.rideSummary.sessionId"
                                },
                                {
                                        "key": "scene",
                                        "value": "$.rideSummary.scenes[0].number@other()"
                                }
                        ]
                }
        ]
}</t>
  </si>
  <si>
    <t>for every Pickup.pickupLauncher.launcherNunchuck, grant actionLauncherNunchuck item SCENE 2</t>
  </si>
  <si>
    <t>$.rideSummary.scenes[1].events[?(@.id === 'Pickup.pickupLauncher.launcherNunchuck')].stats[?(@.id === 'hits')].value</t>
  </si>
  <si>
    <t>{
        "resort": "$.resort",
        "park": "$.park",
        "land": "$.land",
        "publisher": "$.publisher",
        "timestamp": "$.timestamp",
        "playerId": "$.playerId",
        "items": [
                {
                        "id": "actionLauncherNunchuck",
                        "count": "$.rideSummary.scenes[1].events[?(@.id === 'Pickup.pickupLauncher.launcherNunchuck')].stats[?(@.id === 'hits')].value@other()",
                        "customData": [
                                {
                                        "key": "session",
                                        "value": "$.rideSummary.sessionId"
                                },
                                {
                                        "key": "scene",
                                        "value": "$.rideSummary.scenes[1].number@other()"
                                }
                        ]
                }
        ]
}</t>
  </si>
  <si>
    <t>for every Pickup.pickupLauncher.launcherNunchuck, grant actionLauncherNunchuck item SCENE 3</t>
  </si>
  <si>
    <t>$.rideSummary.scenes[2].events[?(@.id === 'Pickup.pickupLauncher.launcherNunchuck')].stats[?(@.id === 'hits')].value</t>
  </si>
  <si>
    <t>{
        "resort": "$.resort",
        "park": "$.park",
        "land": "$.land",
        "publisher": "$.publisher",
        "timestamp": "$.timestamp",
        "playerId": "$.playerId",
        "items": [
                {
                        "id": "actionLauncherNunchuck",
                        "count": "$.rideSummary.scenes[2].events[?(@.id === 'Pickup.pickupLauncher.launcherNunchuck')].stats[?(@.id === 'hits')].value@other()",
                        "customData": [
                                {
                                        "key": "session",
                                        "value": "$.rideSummary.sessionId"
                                },
                                {
                                        "key": "scene",
                                        "value": "$.rideSummary.scenes[2].number@other()"
                                }
                        ]
                }
        ]
}</t>
  </si>
  <si>
    <t>for every Pickup.pickupLauncher.launcherNunchuck, grant actionLauncherNunchuck item SCENE 4</t>
  </si>
  <si>
    <t>$.rideSummary.scenes[3].events[?(@.id === 'Pickup.pickupLauncher.launcherNunchuck')].stats[?(@.id === 'hits')].value</t>
  </si>
  <si>
    <t>{
        "resort": "$.resort",
        "park": "$.park",
        "land": "$.land",
        "publisher": "$.publisher",
        "timestamp": "$.timestamp",
        "playerId": "$.playerId",
        "items": [
                {
                        "id": "actionLauncherNunchuck",
                        "count": "$.rideSummary.scenes[3].events[?(@.id === 'Pickup.pickupLauncher.launcherNunchuck')].stats[?(@.id === 'hits')].value@other()",
                        "customData": [
                                {
                                        "key": "session",
                                        "value": "$.rideSummary.sessionId"
                                },
                                {
                                        "key": "scene",
                                        "value": "$.rideSummary.scenes[3].number@other()"
                                }
                        ]
                }
        ]
}</t>
  </si>
  <si>
    <t>for every Pickup.pickupLauncher.launcherNunchuck, grant actionLauncherNunchuck item SCENE 5</t>
  </si>
  <si>
    <t>$.rideSummary.scenes[4].events[?(@.id === 'Pickup.pickupLauncher.launcherNunchuck')].stats[?(@.id === 'hits')].value</t>
  </si>
  <si>
    <t>{
        "resort": "$.resort",
        "park": "$.park",
        "land": "$.land",
        "publisher": "$.publisher",
        "timestamp": "$.timestamp",
        "playerId": "$.playerId",
        "items": [
                {
                        "id": "actionLauncherNunchuck",
                        "count": "$.rideSummary.scenes[4].events[?(@.id === 'Pickup.pickupLauncher.launcherNunchuck')].stats[?(@.id === 'hits')].value@other()",
                        "customData": [
                                {
                                        "key": "session",
                                        "value": "$.rideSummary.sessionId"
                                },
                                {
                                        "key": "scene",
                                        "value": "$.rideSummary.scenes[4].number@other()"
                                }
                        ]
                }
        ]
}</t>
  </si>
  <si>
    <t>for every Pickup.pickupLauncher.launcherNunchuck, grant actionLauncherNunchuck item SCENE 6</t>
  </si>
  <si>
    <t>$.rideSummary.scenes[5].events[?(@.id === 'Pickup.pickupLauncher.launcherNunchuck')].stats[?(@.id === 'hits')].value</t>
  </si>
  <si>
    <t>{
        "resort": "$.resort",
        "park": "$.park",
        "land": "$.land",
        "publisher": "$.publisher",
        "timestamp": "$.timestamp",
        "playerId": "$.playerId",
        "items": [
                {
                        "id": "actionLauncherNunchuck",
                        "count": "$.rideSummary.scenes[5].events[?(@.id === 'Pickup.pickupLauncher.launcherNunchuck')].stats[?(@.id === 'hits')].value@other()",
                        "customData": [
                                {
                                        "key": "session",
                                        "value": "$.rideSummary.sessionId"
                                },
                                {
                                        "key": "scene",
                                        "value": "$.rideSummary.scenes[5].number@other()"
                                }
                        ]
                }
        ]
}</t>
  </si>
  <si>
    <t>for every Pickup.pickupLauncher.launcherNunchuck, grant actionLauncherNunchuck item SCENE 7</t>
  </si>
  <si>
    <t>$.rideSummary.scenes[6].events[?(@.id === 'Pickup.pickupLauncher.launcherNunchuck')].stats[?(@.id === 'hits')].value</t>
  </si>
  <si>
    <t>{
        "resort": "$.resort",
        "park": "$.park",
        "land": "$.land",
        "publisher": "$.publisher",
        "timestamp": "$.timestamp",
        "playerId": "$.playerId",
        "items": [
                {
                        "id": "actionLauncherNunchuck",
                        "count": "$.rideSummary.scenes[6].events[?(@.id === 'Pickup.pickupLauncher.launcherNunchuck')].stats[?(@.id === 'hits')].value@other()",
                        "customData": [
                                {
                                        "key": "session",
                                        "value": "$.rideSummary.sessionId"
                                },
                                {
                                        "key": "scene",
                                        "value": "$.rideSummary.scenes[6].number@other()"
                                }
                        ]
                }
        ]
}</t>
  </si>
  <si>
    <t>for every Pickup.pickupLauncher.launcherShockwave, grant actionLauncherJeanClawed item SCENE 1</t>
  </si>
  <si>
    <t>$.rideSummary.scenes[0].events[?(@.id === 'Pickup.pickupLauncher.launcherShockwave')].stats[?(@.id === 'hits')].value</t>
  </si>
  <si>
    <t>{
        "resort": "$.resort",
        "park": "$.park",
        "land": "$.land",
        "publisher": "$.publisher",
        "timestamp": "$.timestamp",
        "playerId": "$.playerId",
        "items": [
                {
                        "id": "actionLauncherJeanClawed",
                        "count": "$.rideSummary.scenes[0].events[?(@.id === 'Pickup.pickupLauncher.launcherShockwave')].stats[?(@.id === 'hits')].value@other()",
                        "customData": [
                                {
                                        "key": "session",
                                        "value": "$.rideSummary.sessionId"
                                },
                                {
                                        "key": "scene",
                                        "value": "$.rideSummary.scenes[0].number@other()"
                                }
                        ]
                }
        ]
}</t>
  </si>
  <si>
    <t>for every Pickup.pickupLauncher.launcherShockwave, grant actionLauncherJeanClawed item SCENE 2</t>
  </si>
  <si>
    <t>$.rideSummary.scenes[1].events[?(@.id === 'Pickup.pickupLauncher.launcherShockwave')].stats[?(@.id === 'hits')].value</t>
  </si>
  <si>
    <t>{
        "resort": "$.resort",
        "park": "$.park",
        "land": "$.land",
        "publisher": "$.publisher",
        "timestamp": "$.timestamp",
        "playerId": "$.playerId",
        "items": [
                {
                        "id": "actionLauncherJeanClawed",
                        "count": "$.rideSummary.scenes[1].events[?(@.id === 'Pickup.pickupLauncher.launcherShockwave')].stats[?(@.id === 'hits')].value@other()",
                        "customData": [
                                {
                                        "key": "session",
                                        "value": "$.rideSummary.sessionId"
                                },
                                {
                                        "key": "scene",
                                        "value": "$.rideSummary.scenes[1].number@other()"
                                }
                        ]
                }
        ]
}</t>
  </si>
  <si>
    <t>for every Pickup.pickupLauncher.launcherShockwave, grant actionLauncherJeanClawed item SCENE 3</t>
  </si>
  <si>
    <t>$.rideSummary.scenes[2].events[?(@.id === 'Pickup.pickupLauncher.launcherShockwave')].stats[?(@.id === 'hits')].value</t>
  </si>
  <si>
    <t>{
        "resort": "$.resort",
        "park": "$.park",
        "land": "$.land",
        "publisher": "$.publisher",
        "timestamp": "$.timestamp",
        "playerId": "$.playerId",
        "items": [
                {
                        "id": "actionLauncherJeanClawed",
                        "count": "$.rideSummary.scenes[2].events[?(@.id === 'Pickup.pickupLauncher.launcherShockwave')].stats[?(@.id === 'hits')].value@other()",
                        "customData": [
                                {
                                        "key": "session",
                                        "value": "$.rideSummary.sessionId"
                                },
                                {
                                        "key": "scene",
                                        "value": "$.rideSummary.scenes[2].number@other()"
                                }
                        ]
                }
        ]
}</t>
  </si>
  <si>
    <t>for every Pickup.pickupLauncher.launcherShockwave, grant actionLauncherJeanClawed item SCENE 4</t>
  </si>
  <si>
    <t>$.rideSummary.scenes[3].events[?(@.id === 'Pickup.pickupLauncher.launcherShockwave')].stats[?(@.id === 'hits')].value</t>
  </si>
  <si>
    <t>{
        "resort": "$.resort",
        "park": "$.park",
        "land": "$.land",
        "publisher": "$.publisher",
        "timestamp": "$.timestamp",
        "playerId": "$.playerId",
        "items": [
                {
                        "id": "actionLauncherJeanClawed",
                        "count": "$.rideSummary.scenes[3].events[?(@.id === 'Pickup.pickupLauncher.launcherShockwave')].stats[?(@.id === 'hits')].value@other()",
                        "customData": [
                                {
                                        "key": "session",
                                        "value": "$.rideSummary.sessionId"
                                },
                                {
                                        "key": "scene",
                                        "value": "$.rideSummary.scenes[3].number@other()"
                                }
                        ]
                }
        ]
}</t>
  </si>
  <si>
    <t>for every Pickup.pickupLauncher.launcherShockwave, grant actionLauncherJeanClawed item SCENE 5</t>
  </si>
  <si>
    <t>$.rideSummary.scenes[4].events[?(@.id === 'Pickup.pickupLauncher.launcherShockwave')].stats[?(@.id === 'hits')].value</t>
  </si>
  <si>
    <t>{
        "resort": "$.resort",
        "park": "$.park",
        "land": "$.land",
        "publisher": "$.publisher",
        "timestamp": "$.timestamp",
        "playerId": "$.playerId",
        "items": [
                {
                        "id": "actionLauncherJeanClawed",
                        "count": "$.rideSummary.scenes[4].events[?(@.id === 'Pickup.pickupLauncher.launcherShockwave')].stats[?(@.id === 'hits')].value@other()",
                        "customData": [
                                {
                                        "key": "session",
                                        "value": "$.rideSummary.sessionId"
                                },
                                {
                                        "key": "scene",
                                        "value": "$.rideSummary.scenes[4].number@other()"
                                }
                        ]
                }
        ]
}</t>
  </si>
  <si>
    <t>for every Pickup.pickupLauncher.launcherShockwave, grant actionLauncherJeanClawed item SCENE 6</t>
  </si>
  <si>
    <t>$.rideSummary.scenes[5].events[?(@.id === 'Pickup.pickupLauncher.launcherShockwave')].stats[?(@.id === 'hits')].value</t>
  </si>
  <si>
    <t>{
        "resort": "$.resort",
        "park": "$.park",
        "land": "$.land",
        "publisher": "$.publisher",
        "timestamp": "$.timestamp",
        "playerId": "$.playerId",
        "items": [
                {
                        "id": "actionLauncherJeanClawed",
                        "count": "$.rideSummary.scenes[5].events[?(@.id === 'Pickup.pickupLauncher.launcherShockwave')].stats[?(@.id === 'hits')].value@other()",
                        "customData": [
                                {
                                        "key": "session",
                                        "value": "$.rideSummary.sessionId"
                                },
                                {
                                        "key": "scene",
                                        "value": "$.rideSummary.scenes[5].number@other()"
                                }
                        ]
                }
        ]
}</t>
  </si>
  <si>
    <t>for every Pickup.pickupLauncher.launcherShockwave, grant actionLauncherJeanClawed item SCENE 7</t>
  </si>
  <si>
    <t>$.rideSummary.scenes[6].events[?(@.id === 'Pickup.pickupLauncher.launcherShockwave')].stats[?(@.id === 'hits')].value</t>
  </si>
  <si>
    <t>{
        "resort": "$.resort",
        "park": "$.park",
        "land": "$.land",
        "publisher": "$.publisher",
        "timestamp": "$.timestamp",
        "playerId": "$.playerId",
        "items": [
                {
                        "id": "actionLauncherJeanClawed",
                        "count": "$.rideSummary.scenes[6].events[?(@.id === 'Pickup.pickupLauncher.launcherShockwave')].stats[?(@.id === 'hits')].value@other()",
                        "customData": [
                                {
                                        "key": "session",
                                        "value": "$.rideSummary.sessionId"
                                },
                                {
                                        "key": "scene",
                                        "value": "$.rideSummary.scenes[6].number@other()"
                                }
                        ]
                }
        ]
}</t>
  </si>
  <si>
    <t>for every Pickup.pickupLauncher.launcherSpikedBall, grant actionLauncherSvengeance item SCENE 1</t>
  </si>
  <si>
    <t>$.rideSummary.scenes[0].events[?(@.id === 'Pickup.pickupLauncher.launcherSpikedBall')].stats[?(@.id === 'hits')].value</t>
  </si>
  <si>
    <t>{
        "resort": "$.resort",
        "park": "$.park",
        "land": "$.land",
        "publisher": "$.publisher",
        "timestamp": "$.timestamp",
        "playerId": "$.playerId",
        "items": [
                {
                        "id": "actionLauncherSvengeance",
                        "count": "$.rideSummary.scenes[0].events[?(@.id === 'Pickup.pickupLauncher.launcherSpikedBall')].stats[?(@.id === 'hits')].value@other()",
                        "customData": [
                                {
                                        "key": "session",
                                        "value": "$.rideSummary.sessionId"
                                },
                                {
                                        "key": "scene",
                                        "value": "$.rideSummary.scenes[0].number@other()"
                                }
                        ]
                }
        ]
}</t>
  </si>
  <si>
    <t>for every Pickup.pickupLauncher.launcherSpikedBall, grant actionLauncherSvengeance item SCENE 2</t>
  </si>
  <si>
    <t>$.rideSummary.scenes[1].events[?(@.id === 'Pickup.pickupLauncher.launcherSpikedBall')].stats[?(@.id === 'hits')].value</t>
  </si>
  <si>
    <t>{
        "resort": "$.resort",
        "park": "$.park",
        "land": "$.land",
        "publisher": "$.publisher",
        "timestamp": "$.timestamp",
        "playerId": "$.playerId",
        "items": [
                {
                        "id": "actionLauncherSvengeance",
                        "count": "$.rideSummary.scenes[1].events[?(@.id === 'Pickup.pickupLauncher.launcherSpikedBall')].stats[?(@.id === 'hits')].value@other()",
                        "customData": [
                                {
                                        "key": "session",
                                        "value": "$.rideSummary.sessionId"
                                },
                                {
                                        "key": "scene",
                                        "value": "$.rideSummary.scenes[1].number@other()"
                                }
                        ]
                }
        ]
}</t>
  </si>
  <si>
    <t>for every Pickup.pickupLauncher.launcherSpikedBall, grant actionLauncherSvengeance item SCENE 3</t>
  </si>
  <si>
    <t>$.rideSummary.scenes[2].events[?(@.id === 'Pickup.pickupLauncher.launcherSpikedBall')].stats[?(@.id === 'hits')].value</t>
  </si>
  <si>
    <t>{
        "resort": "$.resort",
        "park": "$.park",
        "land": "$.land",
        "publisher": "$.publisher",
        "timestamp": "$.timestamp",
        "playerId": "$.playerId",
        "items": [
                {
                        "id": "actionLauncherSvengeance",
                        "count": "$.rideSummary.scenes[2].events[?(@.id === 'Pickup.pickupLauncher.launcherSpikedBall')].stats[?(@.id === 'hits')].value@other()",
                        "customData": [
                                {
                                        "key": "session",
                                        "value": "$.rideSummary.sessionId"
                                },
                                {
                                        "key": "scene",
                                        "value": "$.rideSummary.scenes[2].number@other()"
                                }
                        ]
                }
        ]
}</t>
  </si>
  <si>
    <t>for every Pickup.pickupLauncher.launcherSpikedBall, grant actionLauncherSvengeance item SCENE 4</t>
  </si>
  <si>
    <t>$.rideSummary.scenes[3].events[?(@.id === 'Pickup.pickupLauncher.launcherSpikedBall')].stats[?(@.id === 'hits')].value</t>
  </si>
  <si>
    <t>{
        "resort": "$.resort",
        "park": "$.park",
        "land": "$.land",
        "publisher": "$.publisher",
        "timestamp": "$.timestamp",
        "playerId": "$.playerId",
        "items": [
                {
                        "id": "actionLauncherSvengeance",
                        "count": "$.rideSummary.scenes[3].events[?(@.id === 'Pickup.pickupLauncher.launcherSpikedBall')].stats[?(@.id === 'hits')].value@other()",
                        "customData": [
                                {
                                        "key": "session",
                                        "value": "$.rideSummary.sessionId"
                                },
                                {
                                        "key": "scene",
                                        "value": "$.rideSummary.scenes[3].number@other()"
                                }
                        ]
                }
        ]
}</t>
  </si>
  <si>
    <t>for every Pickup.pickupLauncher.launcherSpikedBall, grant actionLauncherSvengeance item SCENE 5</t>
  </si>
  <si>
    <t>$.rideSummary.scenes[4].events[?(@.id === 'Pickup.pickupLauncher.launcherSpikedBall')].stats[?(@.id === 'hits')].value</t>
  </si>
  <si>
    <t>{
        "resort": "$.resort",
        "park": "$.park",
        "land": "$.land",
        "publisher": "$.publisher",
        "timestamp": "$.timestamp",
        "playerId": "$.playerId",
        "items": [
                {
                        "id": "actionLauncherSvengeance",
                        "count": "$.rideSummary.scenes[4].events[?(@.id === 'Pickup.pickupLauncher.launcherSpikedBall')].stats[?(@.id === 'hits')].value@other()",
                        "customData": [
                                {
                                        "key": "session",
                                        "value": "$.rideSummary.sessionId"
                                },
                                {
                                        "key": "scene",
                                        "value": "$.rideSummary.scenes[4].number@other()"
                                }
                        ]
                }
        ]
}</t>
  </si>
  <si>
    <t>for every Pickup.pickupLauncher.launcherSpikedBall, grant actionLauncherSvengeance item SCENE 6</t>
  </si>
  <si>
    <t>$.rideSummary.scenes[5].events[?(@.id === 'Pickup.pickupLauncher.launcherSpikedBall')].stats[?(@.id === 'hits')].value</t>
  </si>
  <si>
    <t>{
        "resort": "$.resort",
        "park": "$.park",
        "land": "$.land",
        "publisher": "$.publisher",
        "timestamp": "$.timestamp",
        "playerId": "$.playerId",
        "items": [
                {
                        "id": "actionLauncherSvengeance",
                        "count": "$.rideSummary.scenes[5].events[?(@.id === 'Pickup.pickupLauncher.launcherSpikedBall')].stats[?(@.id === 'hits')].value@other()",
                        "customData": [
                                {
                                        "key": "session",
                                        "value": "$.rideSummary.sessionId"
                                },
                                {
                                        "key": "scene",
                                        "value": "$.rideSummary.scenes[5].number@other()"
                                }
                        ]
                }
        ]
}</t>
  </si>
  <si>
    <t>for every Pickup.pickupLauncher.launcherSpikedBall, grant actionLauncherSvengeance item SCENE 7</t>
  </si>
  <si>
    <t>$.rideSummary.scenes[6].events[?(@.id === 'Pickup.pickupLauncher.launcherSpikedBall')].stats[?(@.id === 'hits')].value</t>
  </si>
  <si>
    <t>{
        "resort": "$.resort",
        "park": "$.park",
        "land": "$.land",
        "publisher": "$.publisher",
        "timestamp": "$.timestamp",
        "playerId": "$.playerId",
        "items": [
                {
                        "id": "actionLauncherSvengeance",
                        "count": "$.rideSummary.scenes[6].events[?(@.id === 'Pickup.pickupLauncher.launcherSpikedBall')].stats[?(@.id === 'hits')].value@other()",
                        "customData": [
                                {
                                        "key": "session",
                                        "value": "$.rideSummary.sessionId"
                                },
                                {
                                        "key": "scene",
                                        "value": "$.rideSummary.scenes[6].number@other()"
                                }
                        ]
                }
        ]
}</t>
  </si>
  <si>
    <t>for every Pickup.pickupLauncher.launcherLaserLightshow, grant actionLauncherBelle item SCENE 1</t>
  </si>
  <si>
    <t>$.rideSummary.scenes[0].events[?(@.id === 'Pickup.pickupLauncher.launcherLaserLightshow')].stats[?(@.id === 'hits')].value</t>
  </si>
  <si>
    <t>{
        "resort": "$.resort",
        "park": "$.park",
        "land": "$.land",
        "publisher": "$.publisher",
        "timestamp": "$.timestamp",
        "playerId": "$.playerId",
        "items": [
                {
                        "id": "actionLauncherBelle",
                        "count": "$.rideSummary.scenes[0].events[?(@.id === 'Pickup.pickupLauncher.launcherLaserLightshow')].stats[?(@.id === 'hits')].value@other()",
                        "customData": [
                                {
                                        "key": "session",
                                        "value": "$.rideSummary.sessionId"
                                },
                                {
                                        "key": "scene",
                                        "value": "$.rideSummary.scenes[0].number@other()"
                                }
                        ]
                }
        ]
}</t>
  </si>
  <si>
    <t>for every Pickup.pickupLauncher.launcherLaserLightshow, grant actionLauncherBelle item SCENE 2</t>
  </si>
  <si>
    <t>$.rideSummary.scenes[1].events[?(@.id === 'Pickup.pickupLauncher.launcherLaserLightshow')].stats[?(@.id === 'hits')].value</t>
  </si>
  <si>
    <t>{
        "resort": "$.resort",
        "park": "$.park",
        "land": "$.land",
        "publisher": "$.publisher",
        "timestamp": "$.timestamp",
        "playerId": "$.playerId",
        "items": [
                {
                        "id": "actionLauncherBelle",
                        "count": "$.rideSummary.scenes[1].events[?(@.id === 'Pickup.pickupLauncher.launcherLaserLightshow')].stats[?(@.id === 'hits')].value@other()",
                        "customData": [
                                {
                                        "key": "session",
                                        "value": "$.rideSummary.sessionId"
                                },
                                {
                                        "key": "scene",
                                        "value": "$.rideSummary.scenes[1].number@other()"
                                }
                        ]
                }
        ]
}</t>
  </si>
  <si>
    <t>for every Pickup.pickupLauncher.launcherLaserLightshow, grant actionLauncherBelle item SCENE 3</t>
  </si>
  <si>
    <t>$.rideSummary.scenes[2].events[?(@.id === 'Pickup.pickupLauncher.launcherLaserLightshow')].stats[?(@.id === 'hits')].value</t>
  </si>
  <si>
    <t>{
        "resort": "$.resort",
        "park": "$.park",
        "land": "$.land",
        "publisher": "$.publisher",
        "timestamp": "$.timestamp",
        "playerId": "$.playerId",
        "items": [
                {
                        "id": "actionLauncherBelle",
                        "count": "$.rideSummary.scenes[2].events[?(@.id === 'Pickup.pickupLauncher.launcherLaserLightshow')].stats[?(@.id === 'hits')].value@other()",
                        "customData": [
                                {
                                        "key": "session",
                                        "value": "$.rideSummary.sessionId"
                                },
                                {
                                        "key": "scene",
                                        "value": "$.rideSummary.scenes[2].number@other()"
                                }
                        ]
                }
        ]
}</t>
  </si>
  <si>
    <t>for every Pickup.pickupLauncher.launcherLaserLightshow, grant actionLauncherBelle item SCENE 4</t>
  </si>
  <si>
    <t>$.rideSummary.scenes[3].events[?(@.id === 'Pickup.pickupLauncher.launcherLaserLightshow')].stats[?(@.id === 'hits')].value</t>
  </si>
  <si>
    <t>{
        "resort": "$.resort",
        "park": "$.park",
        "land": "$.land",
        "publisher": "$.publisher",
        "timestamp": "$.timestamp",
        "playerId": "$.playerId",
        "items": [
                {
                        "id": "actionLauncherBelle",
                        "count": "$.rideSummary.scenes[3].events[?(@.id === 'Pickup.pickupLauncher.launcherLaserLightshow')].stats[?(@.id === 'hits')].value@other()",
                        "customData": [
                                {
                                        "key": "session",
                                        "value": "$.rideSummary.sessionId"
                                },
                                {
                                        "key": "scene",
                                        "value": "$.rideSummary.scenes[3].number@other()"
                                }
                        ]
                }
        ]
}</t>
  </si>
  <si>
    <t>for every Pickup.pickupLauncher.launcherLaserLightshow, grant actionLauncherBelle item SCENE 5</t>
  </si>
  <si>
    <t>$.rideSummary.scenes[4].events[?(@.id === 'Pickup.pickupLauncher.launcherLaserLightshow')].stats[?(@.id === 'hits')].value</t>
  </si>
  <si>
    <t>{
        "resort": "$.resort",
        "park": "$.park",
        "land": "$.land",
        "publisher": "$.publisher",
        "timestamp": "$.timestamp",
        "playerId": "$.playerId",
        "items": [
                {
                        "id": "actionLauncherBelle",
                        "count": "$.rideSummary.scenes[4].events[?(@.id === 'Pickup.pickupLauncher.launcherLaserLightshow')].stats[?(@.id === 'hits')].value@other()",
                        "customData": [
                                {
                                        "key": "session",
                                        "value": "$.rideSummary.sessionId"
                                },
                                {
                                        "key": "scene",
                                        "value": "$.rideSummary.scenes[4].number@other()"
                                }
                        ]
                }
        ]
}</t>
  </si>
  <si>
    <t>for every Pickup.pickupLauncher.launcherLaserLightshow, grant actionLauncherBelle item SCENE 6</t>
  </si>
  <si>
    <t>$.rideSummary.scenes[5].events[?(@.id === 'Pickup.pickupLauncher.launcherLaserLightshow')].stats[?(@.id === 'hits')].value</t>
  </si>
  <si>
    <t>{
        "resort": "$.resort",
        "park": "$.park",
        "land": "$.land",
        "publisher": "$.publisher",
        "timestamp": "$.timestamp",
        "playerId": "$.playerId",
        "items": [
                {
                        "id": "actionLauncherBelle",
                        "count": "$.rideSummary.scenes[5].events[?(@.id === 'Pickup.pickupLauncher.launcherLaserLightshow')].stats[?(@.id === 'hits')].value@other()",
                        "customData": [
                                {
                                        "key": "session",
                                        "value": "$.rideSummary.sessionId"
                                },
                                {
                                        "key": "scene",
                                        "value": "$.rideSummary.scenes[5].number@other()"
                                }
                        ]
                }
        ]
}</t>
  </si>
  <si>
    <t>for every Pickup.pickupLauncher.launcherLaserLightshow, grant actionLauncherBelle item SCENE 7</t>
  </si>
  <si>
    <t>$.rideSummary.scenes[6].events[?(@.id === 'Pickup.pickupLauncher.launcherLaserLightshow')].stats[?(@.id === 'hits')].value</t>
  </si>
  <si>
    <t>{
        "resort": "$.resort",
        "park": "$.park",
        "land": "$.land",
        "publisher": "$.publisher",
        "timestamp": "$.timestamp",
        "playerId": "$.playerId",
        "items": [
                {
                        "id": "actionLauncherBelle",
                        "count": "$.rideSummary.scenes[6].events[?(@.id === 'Pickup.pickupLauncher.launcherLaserLightshow')].stats[?(@.id === 'hits')].value@other()",
                        "customData": [
                                {
                                        "key": "session",
                                        "value": "$.rideSummary.sessionId"
                                },
                                {
                                        "key": "scene",
                                        "value": "$.rideSummary.scenes[6].number@other()"
                                }
                        ]
                }
        ]
}</t>
  </si>
  <si>
    <t>for every Sc02BossStrongholdDeathblossom, grant actionStrongholdTankHaywire item SCENE 1</t>
  </si>
  <si>
    <t>$.rideSummary.scenes[0].events[?(@.id === 'Sc02BossStrongholdDeathblossom')].stats[?(@.id === 'hits')].value</t>
  </si>
  <si>
    <t>{
        "resort": "$.resort",
        "park": "$.park",
        "land": "$.land",
        "publisher": "$.publisher",
        "timestamp": "$.timestamp",
        "playerId": "$.playerId",
        "items": [
                {
                        "id": "actionStrongholdTankHaywire",
                        "count": "$.rideSummary.scenes[0].events[?(@.id === 'Sc02BossStrongholdDeathblossom')].stats[?(@.id === 'hits')].value@other()",
                        "customData": [
                                {
                                        "key": "session",
                                        "value": "$.rideSummary.sessionId"
                                },
                                {
                                        "key": "scene",
                                        "value": "$.rideSummary.scenes[0].number@other()"
                                }
                        ]
                }
        ]
}</t>
  </si>
  <si>
    <t>for every Sc02BossStrongholdDeathblossom, grant actionStrongholdTankHaywire item SCENE 2</t>
  </si>
  <si>
    <t>$.rideSummary.scenes[1].events[?(@.id === 'Sc02BossStrongholdDeathblossom')].stats[?(@.id === 'hits')].value</t>
  </si>
  <si>
    <t>{
        "resort": "$.resort",
        "park": "$.park",
        "land": "$.land",
        "publisher": "$.publisher",
        "timestamp": "$.timestamp",
        "playerId": "$.playerId",
        "items": [
                {
                        "id": "actionStrongholdTankHaywire",
                        "count": "$.rideSummary.scenes[1].events[?(@.id === 'Sc02BossStrongholdDeathblossom')].stats[?(@.id === 'hits')].value@other()",
                        "customData": [
                                {
                                        "key": "session",
                                        "value": "$.rideSummary.sessionId"
                                },
                                {
                                        "key": "scene",
                                        "value": "$.rideSummary.scenes[1].number@other()"
                                }
                        ]
                }
        ]
}</t>
  </si>
  <si>
    <t>for every Sc02BossStrongholdDeathblossom, grant actionStrongholdTankHaywire item SCENE 3</t>
  </si>
  <si>
    <t>$.rideSummary.scenes[2].events[?(@.id === 'Sc02BossStrongholdDeathblossom')].stats[?(@.id === 'hits')].value</t>
  </si>
  <si>
    <t>{
        "resort": "$.resort",
        "park": "$.park",
        "land": "$.land",
        "publisher": "$.publisher",
        "timestamp": "$.timestamp",
        "playerId": "$.playerId",
        "items": [
                {
                        "id": "actionStrongholdTankHaywire",
                        "count": "$.rideSummary.scenes[2].events[?(@.id === 'Sc02BossStrongholdDeathblossom')].stats[?(@.id === 'hits')].value@other()",
                        "customData": [
                                {
                                        "key": "session",
                                        "value": "$.rideSummary.sessionId"
                                },
                                {
                                        "key": "scene",
                                        "value": "$.rideSummary.scenes[2].number@other()"
                                }
                        ]
                }
        ]
}</t>
  </si>
  <si>
    <t>for every Sc02BossStrongholdDeathblossom, grant actionStrongholdTankHaywire item SCENE 4</t>
  </si>
  <si>
    <t>$.rideSummary.scenes[3].events[?(@.id === 'Sc02BossStrongholdDeathblossom')].stats[?(@.id === 'hits')].value</t>
  </si>
  <si>
    <t>{
        "resort": "$.resort",
        "park": "$.park",
        "land": "$.land",
        "publisher": "$.publisher",
        "timestamp": "$.timestamp",
        "playerId": "$.playerId",
        "items": [
                {
                        "id": "actionStrongholdTankHaywire",
                        "count": "$.rideSummary.scenes[3].events[?(@.id === 'Sc02BossStrongholdDeathblossom')].stats[?(@.id === 'hits')].value@other()",
                        "customData": [
                                {
                                        "key": "session",
                                        "value": "$.rideSummary.sessionId"
                                },
                                {
                                        "key": "scene",
                                        "value": "$.rideSummary.scenes[3].number@other()"
                                }
                        ]
                }
        ]
}</t>
  </si>
  <si>
    <t>for every Sc02BossStrongholdDeathblossom, grant actionStrongholdTankHaywire item SCENE 5</t>
  </si>
  <si>
    <t>$.rideSummary.scenes[4].events[?(@.id === 'Sc02BossStrongholdDeathblossom')].stats[?(@.id === 'hits')].value</t>
  </si>
  <si>
    <t>{
        "resort": "$.resort",
        "park": "$.park",
        "land": "$.land",
        "publisher": "$.publisher",
        "timestamp": "$.timestamp",
        "playerId": "$.playerId",
        "items": [
                {
                        "id": "actionStrongholdTankHaywire",
                        "count": "$.rideSummary.scenes[4].events[?(@.id === 'Sc02BossStrongholdDeathblossom')].stats[?(@.id === 'hits')].value@other()",
                        "customData": [
                                {
                                        "key": "session",
                                        "value": "$.rideSummary.sessionId"
                                },
                                {
                                        "key": "scene",
                                        "value": "$.rideSummary.scenes[4].number@other()"
                                }
                        ]
                }
        ]
}</t>
  </si>
  <si>
    <t>for every Sc02BossStrongholdDeathblossom, grant actionStrongholdTankHaywire item SCENE 6</t>
  </si>
  <si>
    <t>$.rideSummary.scenes[5].events[?(@.id === 'Sc02BossStrongholdDeathblossom')].stats[?(@.id === 'hits')].value</t>
  </si>
  <si>
    <t>{
        "resort": "$.resort",
        "park": "$.park",
        "land": "$.land",
        "publisher": "$.publisher",
        "timestamp": "$.timestamp",
        "playerId": "$.playerId",
        "items": [
                {
                        "id": "actionStrongholdTankHaywire",
                        "count": "$.rideSummary.scenes[5].events[?(@.id === 'Sc02BossStrongholdDeathblossom')].stats[?(@.id === 'hits')].value@other()",
                        "customData": [
                                {
                                        "key": "session",
                                        "value": "$.rideSummary.sessionId"
                                },
                                {
                                        "key": "scene",
                                        "value": "$.rideSummary.scenes[5].number@other()"
                                }
                        ]
                }
        ]
}</t>
  </si>
  <si>
    <t>for every Sc02BossStrongholdDeathblossom, grant actionStrongholdTankHaywire item SCENE 7</t>
  </si>
  <si>
    <t>$.rideSummary.scenes[6].events[?(@.id === 'Sc02BossStrongholdDeathblossom')].stats[?(@.id === 'hits')].value</t>
  </si>
  <si>
    <t>{
        "resort": "$.resort",
        "park": "$.park",
        "land": "$.land",
        "publisher": "$.publisher",
        "timestamp": "$.timestamp",
        "playerId": "$.playerId",
        "items": [
                {
                        "id": "actionStrongholdTankHaywire",
                        "count": "$.rideSummary.scenes[6].events[?(@.id === 'Sc02BossStrongholdDeathblossom')].stats[?(@.id === 'hits')].value@other()",
                        "customData": [
                                {
                                        "key": "session",
                                        "value": "$.rideSummary.sessionId"
                                },
                                {
                                        "key": "scene",
                                        "value": "$.rideSummary.scenes[6].number@other()"
                                }
                        ]
                }
        ]
}</t>
  </si>
  <si>
    <t>for every Sc03InstrumentTrackChange, grant actionNunchuckMusicNotes item SCENE 1</t>
  </si>
  <si>
    <t>$.rideSummary.scenes[0].events[?(@.id === 'Sc03InstrumentTrackChange')].stats[?(@.id === 'hits')].value</t>
  </si>
  <si>
    <t>{
        "resort": "$.resort",
        "park": "$.park",
        "land": "$.land",
        "publisher": "$.publisher",
        "timestamp": "$.timestamp",
        "playerId": "$.playerId",
        "items": [
                {
                        "id": "actionNunchuckMusicNotes",
                        "count": "$.rideSummary.scenes[0].events[?(@.id === 'Sc03InstrumentTrackChange')].stats[?(@.id === 'hits')].value@other()",
                        "customData": [
                                {
                                        "key": "session",
                                        "value": "$.rideSummary.sessionId"
                                },
                                {
                                        "key": "scene",
                                        "value": "$.rideSummary.scenes[0].number@other()"
                                }
                        ]
                }
        ]
}</t>
  </si>
  <si>
    <t>for every Sc03InstrumentTrackChange, grant actionNunchuckMusicNotes item SCENE 2</t>
  </si>
  <si>
    <t>$.rideSummary.scenes[1].events[?(@.id === 'Sc03InstrumentTrackChange')].stats[?(@.id === 'hits')].value</t>
  </si>
  <si>
    <t>{
        "resort": "$.resort",
        "park": "$.park",
        "land": "$.land",
        "publisher": "$.publisher",
        "timestamp": "$.timestamp",
        "playerId": "$.playerId",
        "items": [
                {
                        "id": "actionNunchuckMusicNotes",
                        "count": "$.rideSummary.scenes[1].events[?(@.id === 'Sc03InstrumentTrackChange')].stats[?(@.id === 'hits')].value@other()",
                        "customData": [
                                {
                                        "key": "session",
                                        "value": "$.rideSummary.sessionId"
                                },
                                {
                                        "key": "scene",
                                        "value": "$.rideSummary.scenes[1].number@other()"
                                }
                        ]
                }
        ]
}</t>
  </si>
  <si>
    <t>for every Sc03InstrumentTrackChange, grant actionNunchuckMusicNotes item SCENE 3</t>
  </si>
  <si>
    <t>$.rideSummary.scenes[2].events[?(@.id === 'Sc03InstrumentTrackChange')].stats[?(@.id === 'hits')].value</t>
  </si>
  <si>
    <t>{
        "resort": "$.resort",
        "park": "$.park",
        "land": "$.land",
        "publisher": "$.publisher",
        "timestamp": "$.timestamp",
        "playerId": "$.playerId",
        "items": [
                {
                        "id": "actionNunchuckMusicNotes",
                        "count": "$.rideSummary.scenes[2].events[?(@.id === 'Sc03InstrumentTrackChange')].stats[?(@.id === 'hits')].value@other()",
                        "customData": [
                                {
                                        "key": "session",
                                        "value": "$.rideSummary.sessionId"
                                },
                                {
                                        "key": "scene",
                                        "value": "$.rideSummary.scenes[2].number@other()"
                                }
                        ]
                }
        ]
}</t>
  </si>
  <si>
    <t>for every Sc03InstrumentTrackChange, grant actionNunchuckMusicNotes item SCENE 4</t>
  </si>
  <si>
    <t>$.rideSummary.scenes[3].events[?(@.id === 'Sc03InstrumentTrackChange')].stats[?(@.id === 'hits')].value</t>
  </si>
  <si>
    <t>{
        "resort": "$.resort",
        "park": "$.park",
        "land": "$.land",
        "publisher": "$.publisher",
        "timestamp": "$.timestamp",
        "playerId": "$.playerId",
        "items": [
                {
                        "id": "actionNunchuckMusicNotes",
                        "count": "$.rideSummary.scenes[3].events[?(@.id === 'Sc03InstrumentTrackChange')].stats[?(@.id === 'hits')].value@other()",
                        "customData": [
                                {
                                        "key": "session",
                                        "value": "$.rideSummary.sessionId"
                                },
                                {
                                        "key": "scene",
                                        "value": "$.rideSummary.scenes[3].number@other()"
                                }
                        ]
                }
        ]
}</t>
  </si>
  <si>
    <t>for every Sc03InstrumentTrackChange, grant actionNunchuckMusicNotes item SCENE 5</t>
  </si>
  <si>
    <t>$.rideSummary.scenes[4].events[?(@.id === 'Sc03InstrumentTrackChange')].stats[?(@.id === 'hits')].value</t>
  </si>
  <si>
    <t>{
        "resort": "$.resort",
        "park": "$.park",
        "land": "$.land",
        "publisher": "$.publisher",
        "timestamp": "$.timestamp",
        "playerId": "$.playerId",
        "items": [
                {
                        "id": "actionNunchuckMusicNotes",
                        "count": "$.rideSummary.scenes[4].events[?(@.id === 'Sc03InstrumentTrackChange')].stats[?(@.id === 'hits')].value@other()",
                        "customData": [
                                {
                                        "key": "session",
                                        "value": "$.rideSummary.sessionId"
                                },
                                {
                                        "key": "scene",
                                        "value": "$.rideSummary.scenes[4].number@other()"
                                }
                        ]
                }
        ]
}</t>
  </si>
  <si>
    <t>for every Sc03InstrumentTrackChange, grant actionNunchuckMusicNotes item SCENE 6</t>
  </si>
  <si>
    <t>$.rideSummary.scenes[5].events[?(@.id === 'Sc03InstrumentTrackChange')].stats[?(@.id === 'hits')].value</t>
  </si>
  <si>
    <t>{
        "resort": "$.resort",
        "park": "$.park",
        "land": "$.land",
        "publisher": "$.publisher",
        "timestamp": "$.timestamp",
        "playerId": "$.playerId",
        "items": [
                {
                        "id": "actionNunchuckMusicNotes",
                        "count": "$.rideSummary.scenes[5].events[?(@.id === 'Sc03InstrumentTrackChange')].stats[?(@.id === 'hits')].value@other()",
                        "customData": [
                                {
                                        "key": "session",
                                        "value": "$.rideSummary.sessionId"
                                },
                                {
                                        "key": "scene",
                                        "value": "$.rideSummary.scenes[5].number@other()"
                                }
                        ]
                }
        ]
}</t>
  </si>
  <si>
    <t>for every Sc03InstrumentTrackChange, grant actionNunchuckMusicNotes item SCENE 7</t>
  </si>
  <si>
    <t>$.rideSummary.scenes[6].events[?(@.id === 'Sc03InstrumentTrackChange')].stats[?(@.id === 'hits')].value</t>
  </si>
  <si>
    <t>{
        "resort": "$.resort",
        "park": "$.park",
        "land": "$.land",
        "publisher": "$.publisher",
        "timestamp": "$.timestamp",
        "playerId": "$.playerId",
        "items": [
                {
                        "id": "actionNunchuckMusicNotes",
                        "count": "$.rideSummary.scenes[6].events[?(@.id === 'Sc03InstrumentTrackChange')].stats[?(@.id === 'hits')].value@other()",
                        "customData": [
                                {
                                        "key": "session",
                                        "value": "$.rideSummary.sessionId"
                                },
                                {
                                        "key": "scene",
                                        "value": "$.rideSummary.scenes[6].number@other()"
                                }
                        ]
                }
        ]
}</t>
  </si>
  <si>
    <t>for every Sc04DrainWater, grant actionJeanClawedBathtub item SCENE 1</t>
  </si>
  <si>
    <t>$.rideSummary.scenes[0].events[?(@.id === 'Sc04DrainWater')].stats[?(@.id === 'hits')].value</t>
  </si>
  <si>
    <t>{
        "resort": "$.resort",
        "park": "$.park",
        "land": "$.land",
        "publisher": "$.publisher",
        "timestamp": "$.timestamp",
        "playerId": "$.playerId",
        "items": [
                {
                        "id": "actionJeanClawedBathtub",
                        "count": "$.rideSummary.scenes[0].events[?(@.id === 'Sc04DrainWater')].stats[?(@.id === 'hits')].value@other()",
                        "customData": [
                                {
                                        "key": "session",
                                        "value": "$.rideSummary.sessionId"
                                },
                                {
                                        "key": "scene",
                                        "value": "$.rideSummary.scenes[0].number@other()"
                                }
                        ]
                }
        ]
}</t>
  </si>
  <si>
    <t>for every Sc04DrainWater, grant actionJeanClawedBathtub item SCENE 2</t>
  </si>
  <si>
    <t>$.rideSummary.scenes[1].events[?(@.id === 'Sc04DrainWater')].stats[?(@.id === 'hits')].value</t>
  </si>
  <si>
    <t>{
        "resort": "$.resort",
        "park": "$.park",
        "land": "$.land",
        "publisher": "$.publisher",
        "timestamp": "$.timestamp",
        "playerId": "$.playerId",
        "items": [
                {
                        "id": "actionJeanClawedBathtub",
                        "count": "$.rideSummary.scenes[1].events[?(@.id === 'Sc04DrainWater')].stats[?(@.id === 'hits')].value@other()",
                        "customData": [
                                {
                                        "key": "session",
                                        "value": "$.rideSummary.sessionId"
                                },
                                {
                                        "key": "scene",
                                        "value": "$.rideSummary.scenes[1].number@other()"
                                }
                        ]
                }
        ]
}</t>
  </si>
  <si>
    <t>for every Sc04DrainWater, grant actionJeanClawedBathtub item SCENE 3</t>
  </si>
  <si>
    <t>$.rideSummary.scenes[2].events[?(@.id === 'Sc04DrainWater')].stats[?(@.id === 'hits')].value</t>
  </si>
  <si>
    <t>{
        "resort": "$.resort",
        "park": "$.park",
        "land": "$.land",
        "publisher": "$.publisher",
        "timestamp": "$.timestamp",
        "playerId": "$.playerId",
        "items": [
                {
                        "id": "actionJeanClawedBathtub",
                        "count": "$.rideSummary.scenes[2].events[?(@.id === 'Sc04DrainWater')].stats[?(@.id === 'hits')].value@other()",
                        "customData": [
                                {
                                        "key": "session",
                                        "value": "$.rideSummary.sessionId"
                                },
                                {
                                        "key": "scene",
                                        "value": "$.rideSummary.scenes[2].number@other()"
                                }
                        ]
                }
        ]
}</t>
  </si>
  <si>
    <t>for every Sc04DrainWater, grant actionJeanClawedBathtub item SCENE 4</t>
  </si>
  <si>
    <t>$.rideSummary.scenes[3].events[?(@.id === 'Sc04DrainWater')].stats[?(@.id === 'hits')].value</t>
  </si>
  <si>
    <t>{
        "resort": "$.resort",
        "park": "$.park",
        "land": "$.land",
        "publisher": "$.publisher",
        "timestamp": "$.timestamp",
        "playerId": "$.playerId",
        "items": [
                {
                        "id": "actionJeanClawedBathtub",
                        "count": "$.rideSummary.scenes[3].events[?(@.id === 'Sc04DrainWater')].stats[?(@.id === 'hits')].value@other()",
                        "customData": [
                                {
                                        "key": "session",
                                        "value": "$.rideSummary.sessionId"
                                },
                                {
                                        "key": "scene",
                                        "value": "$.rideSummary.scenes[3].number@other()"
                                }
                        ]
                }
        ]
}</t>
  </si>
  <si>
    <t>for every Sc04DrainWater, grant actionJeanClawedBathtub item SCENE 5</t>
  </si>
  <si>
    <t>$.rideSummary.scenes[4].events[?(@.id === 'Sc04DrainWater')].stats[?(@.id === 'hits')].value</t>
  </si>
  <si>
    <t>{
        "resort": "$.resort",
        "park": "$.park",
        "land": "$.land",
        "publisher": "$.publisher",
        "timestamp": "$.timestamp",
        "playerId": "$.playerId",
        "items": [
                {
                        "id": "actionJeanClawedBathtub",
                        "count": "$.rideSummary.scenes[4].events[?(@.id === 'Sc04DrainWater')].stats[?(@.id === 'hits')].value@other()",
                        "customData": [
                                {
                                        "key": "session",
                                        "value": "$.rideSummary.sessionId"
                                },
                                {
                                        "key": "scene",
                                        "value": "$.rideSummary.scenes[4].number@other()"
                                }
                        ]
                }
        ]
}</t>
  </si>
  <si>
    <t>for every Sc04DrainWater, grant actionJeanClawedBathtub item SCENE 6</t>
  </si>
  <si>
    <t>$.rideSummary.scenes[5].events[?(@.id === 'Sc04DrainWater')].stats[?(@.id === 'hits')].value</t>
  </si>
  <si>
    <t>{
        "resort": "$.resort",
        "park": "$.park",
        "land": "$.land",
        "publisher": "$.publisher",
        "timestamp": "$.timestamp",
        "playerId": "$.playerId",
        "items": [
                {
                        "id": "actionJeanClawedBathtub",
                        "count": "$.rideSummary.scenes[5].events[?(@.id === 'Sc04DrainWater')].stats[?(@.id === 'hits')].value@other()",
                        "customData": [
                                {
                                        "key": "session",
                                        "value": "$.rideSummary.sessionId"
                                },
                                {
                                        "key": "scene",
                                        "value": "$.rideSummary.scenes[5].number@other()"
                                }
                        ]
                }
        ]
}</t>
  </si>
  <si>
    <t>for every Sc04DrainWater, grant actionJeanClawedBathtub item SCENE 7</t>
  </si>
  <si>
    <t>$.rideSummary.scenes[6].events[?(@.id === 'Sc04DrainWater')].stats[?(@.id === 'hits')].value</t>
  </si>
  <si>
    <t>{
        "resort": "$.resort",
        "park": "$.park",
        "land": "$.land",
        "publisher": "$.publisher",
        "timestamp": "$.timestamp",
        "playerId": "$.playerId",
        "items": [
                {
                        "id": "actionJeanClawedBathtub",
                        "count": "$.rideSummary.scenes[6].events[?(@.id === 'Sc04DrainWater')].stats[?(@.id === 'hits')].value@other()",
                        "customData": [
                                {
                                        "key": "session",
                                        "value": "$.rideSummary.sessionId"
                                },
                                {
                                        "key": "scene",
                                        "value": "$.rideSummary.scenes[6].number@other()"
                                }
                        ]
                }
        ]
}</t>
  </si>
  <si>
    <t>for every Mob.mobRollingBot.BotRoller, grant actionSvengeanceSkaterbots item SCENE 1</t>
  </si>
  <si>
    <t>$.rideSummary.scenes[0].events[?(@.id === 'Mob.mobRollingBot.BotRoller')].stats[?(@.id === 'destroys')].value</t>
  </si>
  <si>
    <t>{
        "resort": "$.resort",
        "park": "$.park",
        "land": "$.land",
        "publisher": "$.publisher",
        "timestamp": "$.timestamp",
        "playerId": "$.playerId",
        "items": [
                {
                        "id": "actionSvengeanceSkaterbots",
                        "count": "$.rideSummary.scenes[0].events[?(@.id === 'Mob.mobRollingBot.BotRoller')].stats[?(@.id === 'destroys')].value@other()",
                        "customData": [
                                {
                                        "key": "session",
                                        "value": "$.rideSummary.sessionId"
                                },
                                {
                                        "key": "scene",
                                        "value": "$.rideSummary.scenes[0].number@other()"
                                }
                        ]
                }
        ]
}</t>
  </si>
  <si>
    <t>for every Mob.mobRollingBot.BotRoller, grant actionSvengeanceSkaterbots item SCENE 2</t>
  </si>
  <si>
    <t>$.rideSummary.scenes[1].events[?(@.id === 'Mob.mobRollingBot.BotRoller')].stats[?(@.id === 'destroys')].value</t>
  </si>
  <si>
    <t>{
        "resort": "$.resort",
        "park": "$.park",
        "land": "$.land",
        "publisher": "$.publisher",
        "timestamp": "$.timestamp",
        "playerId": "$.playerId",
        "items": [
                {
                        "id": "actionSvengeanceSkaterbots",
                        "count": "$.rideSummary.scenes[1].events[?(@.id === 'Mob.mobRollingBot.BotRoller')].stats[?(@.id === 'destroys')].value@other()",
                        "customData": [
                                {
                                        "key": "session",
                                        "value": "$.rideSummary.sessionId"
                                },
                                {
                                        "key": "scene",
                                        "value": "$.rideSummary.scenes[1].number@other()"
                                }
                        ]
                }
        ]
}</t>
  </si>
  <si>
    <t>for every Mob.mobRollingBot.BotRoller, grant actionSvengeanceSkaterbots item SCENE 3</t>
  </si>
  <si>
    <t>$.rideSummary.scenes[2].events[?(@.id === 'Mob.mobRollingBot.BotRoller')].stats[?(@.id === 'destroys')].value</t>
  </si>
  <si>
    <t>{
        "resort": "$.resort",
        "park": "$.park",
        "land": "$.land",
        "publisher": "$.publisher",
        "timestamp": "$.timestamp",
        "playerId": "$.playerId",
        "items": [
                {
                        "id": "actionSvengeanceSkaterbots",
                        "count": "$.rideSummary.scenes[2].events[?(@.id === 'Mob.mobRollingBot.BotRoller')].stats[?(@.id === 'destroys')].value@other()",
                        "customData": [
                                {
                                        "key": "session",
                                        "value": "$.rideSummary.sessionId"
                                },
                                {
                                        "key": "scene",
                                        "value": "$.rideSummary.scenes[2].number@other()"
                                }
                        ]
                }
        ]
}</t>
  </si>
  <si>
    <t>for every Mob.mobRollingBot.BotRoller, grant actionSvengeanceSkaterbots item SCENE 4</t>
  </si>
  <si>
    <t>$.rideSummary.scenes[3].events[?(@.id === 'Mob.mobRollingBot.BotRoller')].stats[?(@.id === 'destroys')].value</t>
  </si>
  <si>
    <t>{
        "resort": "$.resort",
        "park": "$.park",
        "land": "$.land",
        "publisher": "$.publisher",
        "timestamp": "$.timestamp",
        "playerId": "$.playerId",
        "items": [
                {
                        "id": "actionSvengeanceSkaterbots",
                        "count": "$.rideSummary.scenes[3].events[?(@.id === 'Mob.mobRollingBot.BotRoller')].stats[?(@.id === 'destroys')].value@other()",
                        "customData": [
                                {
                                        "key": "session",
                                        "value": "$.rideSummary.sessionId"
                                },
                                {
                                        "key": "scene",
                                        "value": "$.rideSummary.scenes[3].number@other()"
                                }
                        ]
                }
        ]
}</t>
  </si>
  <si>
    <t>for every Mob.mobRollingBot.BotRoller, grant actionSvengeanceSkaterbots item SCENE 5</t>
  </si>
  <si>
    <t>$.rideSummary.scenes[4].events[?(@.id === 'Mob.mobRollingBot.BotRoller')].stats[?(@.id === 'destroys')].value</t>
  </si>
  <si>
    <t>{
        "resort": "$.resort",
        "park": "$.park",
        "land": "$.land",
        "publisher": "$.publisher",
        "timestamp": "$.timestamp",
        "playerId": "$.playerId",
        "items": [
                {
                        "id": "actionSvengeanceSkaterbots",
                        "count": "$.rideSummary.scenes[4].events[?(@.id === 'Mob.mobRollingBot.BotRoller')].stats[?(@.id === 'destroys')].value@other()",
                        "customData": [
                                {
                                        "key": "session",
                                        "value": "$.rideSummary.sessionId"
                                },
                                {
                                        "key": "scene",
                                        "value": "$.rideSummary.scenes[4].number@other()"
                                }
                        ]
                }
        ]
}</t>
  </si>
  <si>
    <t>for every Mob.mobRollingBot.BotRoller, grant actionSvengeanceSkaterbots item SCENE 6</t>
  </si>
  <si>
    <t>$.rideSummary.scenes[5].events[?(@.id === 'Mob.mobRollingBot.BotRoller')].stats[?(@.id === 'destroys')].value</t>
  </si>
  <si>
    <t>{
        "resort": "$.resort",
        "park": "$.park",
        "land": "$.land",
        "publisher": "$.publisher",
        "timestamp": "$.timestamp",
        "playerId": "$.playerId",
        "items": [
                {
                        "id": "actionSvengeanceSkaterbots",
                        "count": "$.rideSummary.scenes[5].events[?(@.id === 'Mob.mobRollingBot.BotRoller')].stats[?(@.id === 'destroys')].value@other()",
                        "customData": [
                                {
                                        "key": "session",
                                        "value": "$.rideSummary.sessionId"
                                },
                                {
                                        "key": "scene",
                                        "value": "$.rideSummary.scenes[5].number@other()"
                                }
                        ]
                }
        ]
}</t>
  </si>
  <si>
    <t>for every Mob.mobRollingBot.BotRoller, grant actionSvengeanceSkaterbots item SCENE 7</t>
  </si>
  <si>
    <t>$.rideSummary.scenes[6].events[?(@.id === 'Mob.mobRollingBot.BotRoller')].stats[?(@.id === 'destroys')].value</t>
  </si>
  <si>
    <t>{
        "resort": "$.resort",
        "park": "$.park",
        "land": "$.land",
        "publisher": "$.publisher",
        "timestamp": "$.timestamp",
        "playerId": "$.playerId",
        "items": [
                {
                        "id": "actionSvengeanceSkaterbots",
                        "count": "$.rideSummary.scenes[6].events[?(@.id === 'Mob.mobRollingBot.BotRoller')].stats[?(@.id === 'destroys')].value@other()",
                        "customData": [
                                {
                                        "key": "session",
                                        "value": "$.rideSummary.sessionId"
                                },
                                {
                                        "key": "scene",
                                        "value": "$.rideSummary.scenes[6].number@other()"
                                }
                        ]
                }
        ]
}</t>
  </si>
  <si>
    <t>for every Environmental.envDestructible.sc06RecordVinyl|Environmental.envDestructible.sc06RecordGold|Environmental.envDestructible.sc06RecordPlatinum|Environmental.envDestructible.sc06RecordDiamond, grant actionBelleRecordBreak item SCENE 1</t>
  </si>
  <si>
    <t>$.rideSummary.scenes[0].events[?(@.id === 'Environmental.envDestructible.sc06RecordVinyl' || @.id === 'Environmental.envDestructible.sc06RecordGold' || @.id === 'Environmental.envDestructible.sc06RecordPlatinum' || @.id === 'Environmental.envDestructible.sc06RecordDiamond')].stats[?(@.id === 'destroys')].value</t>
  </si>
  <si>
    <t>{
        "resort": "$.resort",
        "park": "$.park",
        "land": "$.land",
        "publisher": "$.publisher",
        "timestamp": "$.timestamp",
        "playerId": "$.playerId",
        "items": [
                {
                        "id": "actionBelleRecordBreak",
                        "count": "$.rideSummary.scenes[0].events[?(@.id === 'Environmental.envDestructible.sc06RecordVinyl')].stats[?(@.id === 'destroys')].value@other()",
                        "customData": [
                                {
                                        "key": "session",
                                        "value": "$.rideSummary.sessionId"
                                },
                                {
                                        "key": "scene",
                                        "value": "$.rideSummary.scenes[0].number@other()"
                                }
                        ]
                },
                {
                        "id": "actionBelleRecordBreak",
                        "count": "$.rideSummary.scenes[0].events[?(@.id === 'Environmental.envDestructible.sc06RecordGold')].stats[?(@.id === 'destroys')].value@other()",
                        "customData": [
                                {
                                        "key": "session",
                                        "value": "$.rideSummary.sessionId"
                                },
                                {
                                        "key": "scene",
                                        "value": "$.rideSummary.scenes[0].number@other()"
                                }
                        ]
                }, 
                {
                        "id": "actionBelleRecordBreak",
                        "count": "$.rideSummary.scenes[0].events[?(@.id === 'Environmental.envDestructible.sc06RecordPlatinum')].stats[?(@.id === 'destroys')].value@other()",
                        "customData": [
                                {
                                        "key": "session",
                                        "value": "$.rideSummary.sessionId"
                                },
                                {
                                        "key": "scene",
                                        "value": "$.rideSummary.scenes[0].number@other()"
                                }
                        ]
                }, 
                {
                        "id": "actionBelleRecordBreak",
                        "count": "$.rideSummary.scenes[0].events[?(@.id === 'Environmental.envDestructible.sc06RecordDiamond')].stats[?(@.id === 'destroys')].value@other()",
                        "customData": [
                                {
                                        "key": "session",
                                        "value": "$.rideSummary.sessionId"
                                },
                                {
                                        "key": "scene",
                                        "value": "$.rideSummary.scenes[0].number@other()"
                                }
                        ]
                }
        ]
}</t>
  </si>
  <si>
    <t>for every Environmental.envDestructible.sc06RecordVinyl|Environmental.envDestructible.sc06RecordGold|Environmental.envDestructible.sc06RecordPlatinum|Environmental.envDestructible.sc06RecordDiamond, grant actionBelleRecordBreak item SCENE 2</t>
  </si>
  <si>
    <t>$.rideSummary.scenes[1].events[?(@.id === 'Environmental.envDestructible.sc06RecordVinyl' || @.id === 'Environmental.envDestructible.sc06RecordGold' || @.id === 'Environmental.envDestructible.sc06RecordPlatinum' || @.id === 'Environmental.envDestructible.sc06RecordDiamond')].stats[?(@.id === 'destroys')].value</t>
  </si>
  <si>
    <t>{
        "resort": "$.resort",
        "park": "$.park",
        "land": "$.land",
        "publisher": "$.publisher",
        "timestamp": "$.timestamp",
        "playerId": "$.playerId",
        "items": [
                {
                        "id": "actionBelleRecordBreak",
                        "count": "$.rideSummary.scenes[1].events[?(@.id === 'Environmental.envDestructible.sc06RecordVinyl')].stats[?(@.id === 'destroys')].value@other()",
                        "customData": [
                                {
                                        "key": "session",
                                        "value": "$.rideSummary.sessionId"
                                },
                                {
                                        "key": "scene",
                                        "value": "$.rideSummary.scenes[1].number@other()"
                                }
                        ]
                },
                {
                        "id": "actionBelleRecordBreak",
                        "count": "$.rideSummary.scenes[1].events[?(@.id === 'Environmental.envDestructible.sc06RecordGold')].stats[?(@.id === 'destroys')].value@other()",
                        "customData": [
                                {
                                        "key": "session",
                                        "value": "$.rideSummary.sessionId"
                                },
                                {
                                        "key": "scene",
                                        "value": "$.rideSummary.scenes[1].number@other()"
                                }
                        ]
                }, 
                {
                        "id": "actionBelleRecordBreak",
                        "count": "$.rideSummary.scenes[1].events[?(@.id === 'Environmental.envDestructible.sc06RecordPlatinum')].stats[?(@.id === 'destroys')].value@other()",
                        "customData": [
                                {
                                        "key": "session",
                                        "value": "$.rideSummary.sessionId"
                                },
                                {
                                        "key": "scene",
                                        "value": "$.rideSummary.scenes[1].number@other()"
                                }
                        ]
                }, 
                {
                        "id": "actionBelleRecordBreak",
                        "count": "$.rideSummary.scenes[1].events[?(@.id === 'Environmental.envDestructible.sc06RecordDiamond')].stats[?(@.id === 'destroys')].value@other()",
                        "customData": [
                                {
                                        "key": "session",
                                        "value": "$.rideSummary.sessionId"
                                },
                                {
                                        "key": "scene",
                                        "value": "$.rideSummary.scenes[1].number@other()"
                                }
                        ]
                }
        ]
}</t>
  </si>
  <si>
    <t>for every Environmental.envDestructible.sc06RecordVinyl|Environmental.envDestructible.sc06RecordGold|Environmental.envDestructible.sc06RecordPlatinum|Environmental.envDestructible.sc06RecordDiamond, grant actionBelleRecordBreak item SCENE 3</t>
  </si>
  <si>
    <t>$.rideSummary.scenes[2].events[?(@.id === 'Environmental.envDestructible.sc06RecordVinyl' || @.id === 'Environmental.envDestructible.sc06RecordGold' || @.id === 'Environmental.envDestructible.sc06RecordPlatinum' || @.id === 'Environmental.envDestructible.sc06RecordDiamond')].stats[?(@.id === 'destroys')].value</t>
  </si>
  <si>
    <t>{
        "resort": "$.resort",
        "park": "$.park",
        "land": "$.land",
        "publisher": "$.publisher",
        "timestamp": "$.timestamp",
        "playerId": "$.playerId",
        "items": [
                {
                        "id": "actionBelleRecordBreak",
                        "count": "$.rideSummary.scenes[2].events[?(@.id === 'Environmental.envDestructible.sc06RecordVinyl')].stats[?(@.id === 'destroys')].value@other()",
                        "customData": [
                                {
                                        "key": "session",
                                        "value": "$.rideSummary.sessionId"
                                },
                                {
                                        "key": "scene",
                                        "value": "$.rideSummary.scenes[2].number@other()"
                                }
                        ]
                },
                {
                        "id": "actionBelleRecordBreak",
                        "count": "$.rideSummary.scenes[2].events[?(@.id === 'Environmental.envDestructible.sc06RecordGold')].stats[?(@.id === 'destroys')].value@other()",
                        "customData": [
                                {
                                        "key": "session",
                                        "value": "$.rideSummary.sessionId"
                                },
                                {
                                        "key": "scene",
                                        "value": "$.rideSummary.scenes[2].number@other()"
                                }
                        ]
                }, 
                {
                        "id": "actionBelleRecordBreak",
                        "count": "$.rideSummary.scenes[2].events[?(@.id === 'Environmental.envDestructible.sc06RecordPlatinum')].stats[?(@.id === 'destroys')].value@other()",
                        "customData": [
                                {
                                        "key": "session",
                                        "value": "$.rideSummary.sessionId"
                                },
                                {
                                        "key": "scene",
                                        "value": "$.rideSummary.scenes[2].number@other()"
                                }
                        ]
                }, 
                {
                        "id": "actionBelleRecordBreak",
                        "count": "$.rideSummary.scenes[2].events[?(@.id === 'Environmental.envDestructible.sc06RecordDiamond')].stats[?(@.id === 'destroys')].value@other()",
                        "customData": [
                                {
                                        "key": "session",
                                        "value": "$.rideSummary.sessionId"
                                },
                                {
                                        "key": "scene",
                                        "value": "$.rideSummary.scenes[2].number@other()"
                                }
                        ]
                }
        ]
}</t>
  </si>
  <si>
    <t>for every Environmental.envDestructible.sc06RecordVinyl|Environmental.envDestructible.sc06RecordGold|Environmental.envDestructible.sc06RecordPlatinum|Environmental.envDestructible.sc06RecordDiamond, grant actionBelleRecordBreak item SCENE 4</t>
  </si>
  <si>
    <t>$.rideSummary.scenes[3].events[?(@.id === 'Environmental.envDestructible.sc06RecordVinyl' || @.id === 'Environmental.envDestructible.sc06RecordGold' || @.id === 'Environmental.envDestructible.sc06RecordPlatinum' || @.id === 'Environmental.envDestructible.sc06RecordDiamond')].stats[?(@.id === 'destroys')].value</t>
  </si>
  <si>
    <t>{
        "resort": "$.resort",
        "park": "$.park",
        "land": "$.land",
        "publisher": "$.publisher",
        "timestamp": "$.timestamp",
        "playerId": "$.playerId",
        "items": [
                {
                        "id": "actionBelleRecordBreak",
                        "count": "$.rideSummary.scenes[3].events[?(@.id === 'Environmental.envDestructible.sc06RecordVinyl')].stats[?(@.id === 'destroys')].value@other()",
                        "customData": [
                                {
                                        "key": "session",
                                        "value": "$.rideSummary.sessionId"
                                },
                                {
                                        "key": "scene",
                                        "value": "$.rideSummary.scenes[3].number@other()"
                                }
                        ]
                },
                {
                        "id": "actionBelleRecordBreak",
                        "count": "$.rideSummary.scenes[3].events[?(@.id === 'Environmental.envDestructible.sc06RecordGold')].stats[?(@.id === 'destroys')].value@other()",
                        "customData": [
                                {
                                        "key": "session",
                                        "value": "$.rideSummary.sessionId"
                                },
                                {
                                        "key": "scene",
                                        "value": "$.rideSummary.scenes[3].number@other()"
                                }
                        ]
                }, 
                {
                        "id": "actionBelleRecordBreak",
                        "count": "$.rideSummary.scenes[3].events[?(@.id === 'Environmental.envDestructible.sc06RecordPlatinum')].stats[?(@.id === 'destroys')].value@other()",
                        "customData": [
                                {
                                        "key": "session",
                                        "value": "$.rideSummary.sessionId"
                                },
                                {
                                        "key": "scene",
                                        "value": "$.rideSummary.scenes[3].number@other()"
                                }
                        ]
                }, 
                {
                        "id": "actionBelleRecordBreak",
                        "count": "$.rideSummary.scenes[3].events[?(@.id === 'Environmental.envDestructible.sc06RecordDiamond')].stats[?(@.id === 'destroys')].value@other()",
                        "customData": [
                                {
                                        "key": "session",
                                        "value": "$.rideSummary.sessionId"
                                },
                                {
                                        "key": "scene",
                                        "value": "$.rideSummary.scenes[3].number@other()"
                                }
                        ]
                }
        ]
}</t>
  </si>
  <si>
    <t>for every Environmental.envDestructible.sc06RecordVinyl|Environmental.envDestructible.sc06RecordGold|Environmental.envDestructible.sc06RecordPlatinum|Environmental.envDestructible.sc06RecordDiamond, grant actionBelleRecordBreak item SCENE 5</t>
  </si>
  <si>
    <t>$.rideSummary.scenes[4].events[?(@.id === 'Environmental.envDestructible.sc06RecordVinyl' || @.id === 'Environmental.envDestructible.sc06RecordGold' || @.id === 'Environmental.envDestructible.sc06RecordPlatinum' || @.id === 'Environmental.envDestructible.sc06RecordDiamond')].stats[?(@.id === 'destroys')].value</t>
  </si>
  <si>
    <t>{
        "resort": "$.resort",
        "park": "$.park",
        "land": "$.land",
        "publisher": "$.publisher",
        "timestamp": "$.timestamp",
        "playerId": "$.playerId",
        "items": [
                {
                        "id": "actionBelleRecordBreak",
                        "count": "$.rideSummary.scenes[4].events[?(@.id === 'Environmental.envDestructible.sc06RecordVinyl')].stats[?(@.id === 'destroys')].value@other()",
                        "customData": [
                                {
                                        "key": "session",
                                        "value": "$.rideSummary.sessionId"
                                },
                                {
                                        "key": "scene",
                                        "value": "$.rideSummary.scenes[4].number@other()"
                                }
                        ]
                },
                {
                        "id": "actionBelleRecordBreak",
                        "count": "$.rideSummary.scenes[4].events[?(@.id === 'Environmental.envDestructible.sc06RecordGold')].stats[?(@.id === 'destroys')].value@other()",
                        "customData": [
                                {
                                        "key": "session",
                                        "value": "$.rideSummary.sessionId"
                                },
                                {
                                        "key": "scene",
                                        "value": "$.rideSummary.scenes[4].number@other()"
                                }
                        ]
                }, 
                {
                        "id": "actionBelleRecordBreak",
                        "count": "$.rideSummary.scenes[4].events[?(@.id === 'Environmental.envDestructible.sc06RecordPlatinum')].stats[?(@.id === 'destroys')].value@other()",
                        "customData": [
                                {
                                        "key": "session",
                                        "value": "$.rideSummary.sessionId"
                                },
                                {
                                        "key": "scene",
                                        "value": "$.rideSummary.scenes[4].number@other()"
                                }
                        ]
                }, 
                {
                        "id": "actionBelleRecordBreak",
                        "count": "$.rideSummary.scenes[4].events[?(@.id === 'Environmental.envDestructible.sc06RecordDiamond')].stats[?(@.id === 'destroys')].value@other()",
                        "customData": [
                                {
                                        "key": "session",
                                        "value": "$.rideSummary.sessionId"
                                },
                                {
                                        "key": "scene",
                                        "value": "$.rideSummary.scenes[4].number@other()"
                                }
                        ]
                }
        ]
}</t>
  </si>
  <si>
    <t>for every Environmental.envDestructible.sc06RecordVinyl|Environmental.envDestructible.sc06RecordGold|Environmental.envDestructible.sc06RecordPlatinum|Environmental.envDestructible.sc06RecordDiamond, grant actionBelleRecordBreak item SCENE 6</t>
  </si>
  <si>
    <t>$.rideSummary.scenes[5].events[?(@.id === 'Environmental.envDestructible.sc06RecordVinyl' || @.id === 'Environmental.envDestructible.sc06RecordGold' || @.id === 'Environmental.envDestructible.sc06RecordPlatinum' || @.id === 'Environmental.envDestructible.sc06RecordDiamond')].stats[?(@.id === 'destroys')].value</t>
  </si>
  <si>
    <t>{
        "resort": "$.resort",
        "park": "$.park",
        "land": "$.land",
        "publisher": "$.publisher",
        "timestamp": "$.timestamp",
        "playerId": "$.playerId",
        "items": [
                {
                        "id": "actionBelleRecordBreak",
                        "count": "$.rideSummary.scenes[5].events[?(@.id === 'Environmental.envDestructible.sc06RecordVinyl')].stats[?(@.id === 'destroys')].value@other()",
                        "customData": [
                                {
                                        "key": "session",
                                        "value": "$.rideSummary.sessionId"
                                },
                                {
                                        "key": "scene",
                                        "value": "$.rideSummary.scenes[5].number@other()"
                                }
                        ]
                },
                {
                        "id": "actionBelleRecordBreak",
                        "count": "$.rideSummary.scenes[5].events[?(@.id === 'Environmental.envDestructible.sc06RecordGold')].stats[?(@.id === 'destroys')].value@other()",
                        "customData": [
                                {
                                        "key": "session",
                                        "value": "$.rideSummary.sessionId"
                                },
                                {
                                        "key": "scene",
                                        "value": "$.rideSummary.scenes[5].number@other()"
                                }
                        ]
                }, 
                {
                        "id": "actionBelleRecordBreak",
                        "count": "$.rideSummary.scenes[5].events[?(@.id === 'Environmental.envDestructible.sc06RecordPlatinum')].stats[?(@.id === 'destroys')].value@other()",
                        "customData": [
                                {
                                        "key": "session",
                                        "value": "$.rideSummary.sessionId"
                                },
                                {
                                        "key": "scene",
                                        "value": "$.rideSummary.scenes[5].number@other()"
                                }
                        ]
                }, 
                {
                        "id": "actionBelleRecordBreak",
                        "count": "$.rideSummary.scenes[5].events[?(@.id === 'Environmental.envDestructible.sc06RecordDiamond')].stats[?(@.id === 'destroys')].value@other()",
                        "customData": [
                                {
                                        "key": "session",
                                        "value": "$.rideSummary.sessionId"
                                },
                                {
                                        "key": "scene",
                                        "value": "$.rideSummary.scenes[5].number@other()"
                                }
                        ]
                }
        ]
}</t>
  </si>
  <si>
    <t>for every Environmental.envDestructible.sc06RecordVinyl|Environmental.envDestructible.sc06RecordGold|Environmental.envDestructible.sc06RecordPlatinum|Environmental.envDestructible.sc06RecordDiamond, grant actionBelleRecordBreak item SCENE 7</t>
  </si>
  <si>
    <t>$.rideSummary.scenes[6].events[?(@.id === 'Environmental.envDestructible.sc06RecordVinyl' || @.id === 'Environmental.envDestructible.sc06RecordGold' || @.id === 'Environmental.envDestructible.sc06RecordPlatinum' || @.id === 'Environmental.envDestructible.sc06RecordDiamond')].stats[?(@.id === 'destroys')].value</t>
  </si>
  <si>
    <t>{
        "resort": "$.resort",
        "park": "$.park",
        "land": "$.land",
        "publisher": "$.publisher",
        "timestamp": "$.timestamp",
        "playerId": "$.playerId",
        "items": [
                {
                        "id": "actionBelleRecordBreak",
                        "count": "$.rideSummary.scenes[6].events[?(@.id === 'Environmental.envDestructible.sc06RecordVinyl')].stats[?(@.id === 'destroys')].value@other()",
                        "customData": [
                                {
                                        "key": "session",
                                        "value": "$.rideSummary.sessionId"
                                },
                                {
                                        "key": "scene",
                                        "value": "$.rideSummary.scenes[6].number@other()"
                                }
                        ]
                },
                {
                        "id": "actionBelleRecordBreak",
                        "count": "$.rideSummary.scenes[6].events[?(@.id === 'Environmental.envDestructible.sc06RecordGold')].stats[?(@.id === 'destroys')].value@other()",
                        "customData": [
                                {
                                        "key": "session",
                                        "value": "$.rideSummary.sessionId"
                                },
                                {
                                        "key": "scene",
                                        "value": "$.rideSummary.scenes[6].number@other()"
                                }
                        ]
                }, 
                {
                        "id": "actionBelleRecordBreak",
                        "count": "$.rideSummary.scenes[6].events[?(@.id === 'Environmental.envDestructible.sc06RecordPlatinum')].stats[?(@.id === 'destroys')].value@other()",
                        "customData": [
                                {
                                        "key": "session",
                                        "value": "$.rideSummary.sessionId"
                                },
                                {
                                        "key": "scene",
                                        "value": "$.rideSummary.scenes[6].number@other()"
                                }
                        ]
                }, 
                {
                        "id": "actionBelleRecordBreak",
                        "count": "$.rideSummary.scenes[6].events[?(@.id === 'Environmental.envDestructible.sc06RecordDiamond')].stats[?(@.id === 'destroys')].value@other()",
                        "customData": [
                                {
                                        "key": "session",
                                        "value": "$.rideSummary.sessionId"
                                },
                                {
                                        "key": "scene",
                                        "value": "$.rideSummary.scenes[6].number@other()"
                                }
                        ]
                }
        ]
}</t>
  </si>
  <si>
    <t>for every Mob.mobFlyingDrone.DroneVector, grant actionVectorPiranha item SCENE 1</t>
  </si>
  <si>
    <t>$.rideSummary.scenes[0].events[?(@.id === 'Mob.mobFlyingDrone.DroneVector')].stats[?(@.id === 'destroys')].value</t>
  </si>
  <si>
    <t>{
        "resort": "$.resort",
        "park": "$.park",
        "land": "$.land",
        "publisher": "$.publisher",
        "timestamp": "$.timestamp",
        "playerId": "$.playerId",
        "items": [
                {
                        "id": "actionVectorPiranha",
                        "count": "$.rideSummary.scenes[0].events[?(@.id === 'Mob.mobFlyingDrone.DroneVector')].stats[?(@.id === 'destroys')].value@other()",
                        "customData": [
                                {
                                        "key": "session",
                                        "value": "$.rideSummary.sessionId"
                                },
                                {
                                        "key": "scene",
                                        "value": "$.rideSummary.scenes[0].number@other()"
                                }
                        ]
                }
        ]
}</t>
  </si>
  <si>
    <t>for every Mob.mobFlyingDrone.DroneVector, grant actionVectorPiranha item SCENE 2</t>
  </si>
  <si>
    <t>$.rideSummary.scenes[1].events[?(@.id === 'Mob.mobFlyingDrone.DroneVector')].stats[?(@.id === 'destroys')].value</t>
  </si>
  <si>
    <t>{
        "resort": "$.resort",
        "park": "$.park",
        "land": "$.land",
        "publisher": "$.publisher",
        "timestamp": "$.timestamp",
        "playerId": "$.playerId",
        "items": [
                {
                        "id": "actionVectorPiranha",
                        "count": "$.rideSummary.scenes[1].events[?(@.id === 'Mob.mobFlyingDrone.DroneVector')].stats[?(@.id === 'destroys')].value@other()",
                        "customData": [
                                {
                                        "key": "session",
                                        "value": "$.rideSummary.sessionId"
                                },
                                {
                                        "key": "scene",
                                        "value": "$.rideSummary.scenes[1].number@other()"
                                }
                        ]
                }
        ]
}</t>
  </si>
  <si>
    <t>for every Mob.mobFlyingDrone.DroneVector, grant actionVectorPiranha item SCENE 3</t>
  </si>
  <si>
    <t>$.rideSummary.scenes[2].events[?(@.id === 'Mob.mobFlyingDrone.DroneVector')].stats[?(@.id === 'destroys')].value</t>
  </si>
  <si>
    <t>{
        "resort": "$.resort",
        "park": "$.park",
        "land": "$.land",
        "publisher": "$.publisher",
        "timestamp": "$.timestamp",
        "playerId": "$.playerId",
        "items": [
                {
                        "id": "actionVectorPiranha",
                        "count": "$.rideSummary.scenes[2].events[?(@.id === 'Mob.mobFlyingDrone.DroneVector')].stats[?(@.id === 'destroys')].value@other()",
                        "customData": [
                                {
                                        "key": "session",
                                        "value": "$.rideSummary.sessionId"
                                },
                                {
                                        "key": "scene",
                                        "value": "$.rideSummary.scenes[2].number@other()"
                                }
                        ]
                }
        ]
}</t>
  </si>
  <si>
    <t>for every Mob.mobFlyingDrone.DroneVector, grant actionVectorPiranha item SCENE 4</t>
  </si>
  <si>
    <t>$.rideSummary.scenes[3].events[?(@.id === 'Mob.mobFlyingDrone.DroneVector')].stats[?(@.id === 'destroys')].value</t>
  </si>
  <si>
    <t>{
        "resort": "$.resort",
        "park": "$.park",
        "land": "$.land",
        "publisher": "$.publisher",
        "timestamp": "$.timestamp",
        "playerId": "$.playerId",
        "items": [
                {
                        "id": "actionVectorPiranha",
                        "count": "$.rideSummary.scenes[3].events[?(@.id === 'Mob.mobFlyingDrone.DroneVector')].stats[?(@.id === 'destroys')].value@other()",
                        "customData": [
                                {
                                        "key": "session",
                                        "value": "$.rideSummary.sessionId"
                                },
                                {
                                        "key": "scene",
                                        "value": "$.rideSummary.scenes[3].number@other()"
                                }
                        ]
                }
        ]
}</t>
  </si>
  <si>
    <t>for every Mob.mobFlyingDrone.DroneVector, grant actionVectorPiranha item SCENE 5</t>
  </si>
  <si>
    <t>$.rideSummary.scenes[4].events[?(@.id === 'Mob.mobFlyingDrone.DroneVector')].stats[?(@.id === 'destroys')].value</t>
  </si>
  <si>
    <t>{
        "resort": "$.resort",
        "park": "$.park",
        "land": "$.land",
        "publisher": "$.publisher",
        "timestamp": "$.timestamp",
        "playerId": "$.playerId",
        "items": [
                {
                        "id": "actionVectorPiranha",
                        "count": "$.rideSummary.scenes[4].events[?(@.id === 'Mob.mobFlyingDrone.DroneVector')].stats[?(@.id === 'destroys')].value@other()",
                        "customData": [
                                {
                                        "key": "session",
                                        "value": "$.rideSummary.sessionId"
                                },
                                {
                                        "key": "scene",
                                        "value": "$.rideSummary.scenes[4].number@other()"
                                }
                        ]
                }
        ]
}</t>
  </si>
  <si>
    <t>for every Mob.mobFlyingDrone.DroneVector, grant actionVectorPiranha item SCENE 6</t>
  </si>
  <si>
    <t>$.rideSummary.scenes[5].events[?(@.id === 'Mob.mobFlyingDrone.DroneVector')].stats[?(@.id === 'destroys')].value</t>
  </si>
  <si>
    <t>{
        "resort": "$.resort",
        "park": "$.park",
        "land": "$.land",
        "publisher": "$.publisher",
        "timestamp": "$.timestamp",
        "playerId": "$.playerId",
        "items": [
                {
                        "id": "actionVectorPiranha",
                        "count": "$.rideSummary.scenes[5].events[?(@.id === 'Mob.mobFlyingDrone.DroneVector')].stats[?(@.id === 'destroys')].value@other()",
                        "customData": [
                                {
                                        "key": "session",
                                        "value": "$.rideSummary.sessionId"
                                },
                                {
                                        "key": "scene",
                                        "value": "$.rideSummary.scenes[5].number@other()"
                                }
                        ]
                }
        ]
}</t>
  </si>
  <si>
    <t>for every Mob.mobFlyingDrone.DroneVector, grant actionVectorPiranha item SCENE 7</t>
  </si>
  <si>
    <t>$.rideSummary.scenes[6].events[?(@.id === 'Mob.mobFlyingDrone.DroneVector')].stats[?(@.id === 'destroys')].value</t>
  </si>
  <si>
    <t>{
        "resort": "$.resort",
        "park": "$.park",
        "land": "$.land",
        "publisher": "$.publisher",
        "timestamp": "$.timestamp",
        "playerId": "$.playerId",
        "items": [
                {
                        "id": "actionVectorPiranha",
                        "count": "$.rideSummary.scenes[6].events[?(@.id === 'Mob.mobFlyingDrone.DroneVector')].stats[?(@.id === 'destroys')].value@other()",
                        "customData": [
                                {
                                        "key": "session",
                                        "value": "$.rideSummary.sessionId"
                                },
                                {
                                        "key": "scene",
                                        "value": "$.rideSummary.scenes[6].number@other()"
                                }
                        ]
                }
        ]
}</t>
  </si>
  <si>
    <t>for every Pickup.pickupLoot.lootMedallionCommon, grant lootV6common item SCENE 1</t>
  </si>
  <si>
    <t>state: 2, category: "inside", session: sessionId, scene: 1</t>
  </si>
  <si>
    <t>$.rideSummary.scenes[0].events[?(@.id === 'Pickup.pickupLoot.lootMedallionCommon')].stats[?(@.id === 'hits')].value</t>
  </si>
  <si>
    <t>{
        "resort": "$.resort",
        "park": "$.park",
        "land": "$.land",
        "publisher": "$.publisher",
        "timestamp": "$.timestamp",
        "playerId": "$.playerId",
        "items": [
                {
                        "id": "lootV6common",
                        "count": "$.rideSummary.scenes[0].events[?(@.id === 'Pickup.pickupLoot.lootMedallionCommon')].stats[?(@.id === 'hits')].value@other()",
                        "customData": [
                                {
                                        "key": "state",
                                        "value": 2
                                },
                                {
                                        "key": "category",
                                        "value": "inside"
                                },
                                {
                                        "key": "session",
                                        "value": "$.rideSummary.sessionId"
                                },
                                {
                                        "key": "scene",
                                        "value": "$.rideSummary.scenes[0].number@other()"
                                }
                        ]
                }
        ]
}</t>
  </si>
  <si>
    <t>for every Pickup.pickupLoot.lootMedallionCommon, grant lootV6common item SCENE 2</t>
  </si>
  <si>
    <t>state: 2, category: "inside", session: sessionId, scene: 2</t>
  </si>
  <si>
    <t>$.rideSummary.scenes[1].events[?(@.id === 'Pickup.pickupLoot.lootMedallionCommon')].stats[?(@.id === 'hits')].value</t>
  </si>
  <si>
    <t>{
        "resort": "$.resort",
        "park": "$.park",
        "land": "$.land",
        "publisher": "$.publisher",
        "timestamp": "$.timestamp",
        "playerId": "$.playerId",
        "items": [
                {
                        "id": "lootV6common",
                        "count": "$.rideSummary.scenes[1].events[?(@.id === 'Pickup.pickupLoot.lootMedallionCommon')].stats[?(@.id === 'hits')].value@other()",
                        "customData": [
                                {
                                        "key": "state",
                                        "value": 2
                                },
                                {
                                        "key": "category",
                                        "value": "inside"
                                },
                                {
                                        "key": "session",
                                        "value": "$.rideSummary.sessionId"
                                },
                                {
                                        "key": "scene",
                                        "value": "$.rideSummary.scenes[1].number@other()"
                                }
                        ]
                }
        ]
}</t>
  </si>
  <si>
    <t>for every Pickup.pickupLoot.lootMedallionCommon, grant lootV6common item SCENE 3</t>
  </si>
  <si>
    <t>state: 2, category: "inside", session: sessionId, scene: 3</t>
  </si>
  <si>
    <t>$.rideSummary.scenes[2].events[?(@.id === 'Pickup.pickupLoot.lootMedallionCommon')].stats[?(@.id === 'hits')].value</t>
  </si>
  <si>
    <t>{
        "resort": "$.resort",
        "park": "$.park",
        "land": "$.land",
        "publisher": "$.publisher",
        "timestamp": "$.timestamp",
        "playerId": "$.playerId",
        "items": [
                {
                        "id": "lootV6common",
                        "count": "$.rideSummary.scenes[2].events[?(@.id === 'Pickup.pickupLoot.lootMedallionCommon')].stats[?(@.id === 'hits')].value@other()",
                        "customData": [
                                {
                                        "key": "state",
                                        "value": 2
                                },
                                {
                                        "key": "category",
                                        "value": "inside"
                                },
                                {
                                        "key": "session",
                                        "value": "$.rideSummary.sessionId"
                                },
                                {
                                        "key": "scene",
                                        "value": "$.rideSummary.scenes[2].number@other()"
                                }
                        ]
                }
        ]
}</t>
  </si>
  <si>
    <t>for every Pickup.pickupLoot.lootMedallionCommon, grant lootV6common item SCENE 4</t>
  </si>
  <si>
    <t>state: 2, category: "inside", session: sessionId, scene: 4</t>
  </si>
  <si>
    <t>$.rideSummary.scenes[3].events[?(@.id === 'Pickup.pickupLoot.lootMedallionCommon')].stats[?(@.id === 'hits')].value</t>
  </si>
  <si>
    <t>{
        "resort": "$.resort",
        "park": "$.park",
        "land": "$.land",
        "publisher": "$.publisher",
        "timestamp": "$.timestamp",
        "playerId": "$.playerId",
        "items": [
                {
                        "id": "lootV6common",
                        "count": "$.rideSummary.scenes[3].events[?(@.id === 'Pickup.pickupLoot.lootMedallionCommon')].stats[?(@.id === 'hits')].value@other()",
                        "customData": [
                                {
                                        "key": "state",
                                        "value": 2
                                },
                                {
                                        "key": "category",
                                        "value": "inside"
                                },
                                {
                                        "key": "session",
                                        "value": "$.rideSummary.sessionId"
                                },
                                {
                                        "key": "scene",
                                        "value": "$.rideSummary.scenes[3].number@other()"
                                }
                        ]
                }
        ]
}</t>
  </si>
  <si>
    <t>for every Pickup.pickupLoot.lootMedallionCommon, grant lootV6common item SCENE 5</t>
  </si>
  <si>
    <t>state: 2, category: "inside", session: sessionId, scene: 5</t>
  </si>
  <si>
    <t>$.rideSummary.scenes[4].events[?(@.id === 'Pickup.pickupLoot.lootMedallionCommon')].stats[?(@.id === 'hits')].value</t>
  </si>
  <si>
    <t>{
        "resort": "$.resort",
        "park": "$.park",
        "land": "$.land",
        "publisher": "$.publisher",
        "timestamp": "$.timestamp",
        "playerId": "$.playerId",
        "items": [
                {
                        "id": "lootV6common",
                        "count": "$.rideSummary.scenes[4].events[?(@.id === 'Pickup.pickupLoot.lootMedallionCommon')].stats[?(@.id === 'hits')].value@other()",
                        "customData": [
                                {
                                        "key": "state",
                                        "value": 2
                                },
                                {
                                        "key": "category",
                                        "value": "inside"
                                },
                                {
                                        "key": "session",
                                        "value": "$.rideSummary.sessionId"
                                },
                                {
                                        "key": "scene",
                                        "value": "$.rideSummary.scenes[4].number@other()"
                                }
                        ]
                }
        ]
}</t>
  </si>
  <si>
    <t>for every Pickup.pickupLoot.lootMedallionCommon, grant lootV6common item SCENE 6</t>
  </si>
  <si>
    <t>state: 2, category: "inside", session: sessionId, scene: 6</t>
  </si>
  <si>
    <t>$.rideSummary.scenes[5].events[?(@.id === 'Pickup.pickupLoot.lootMedallionCommon')].stats[?(@.id === 'hits')].value</t>
  </si>
  <si>
    <t>{
        "resort": "$.resort",
        "park": "$.park",
        "land": "$.land",
        "publisher": "$.publisher",
        "timestamp": "$.timestamp",
        "playerId": "$.playerId",
        "items": [
                {
                        "id": "lootV6common",
                        "count": "$.rideSummary.scenes[5].events[?(@.id === 'Pickup.pickupLoot.lootMedallionCommon')].stats[?(@.id === 'hits')].value@other()",
                        "customData": [
                                {
                                        "key": "state",
                                        "value": 2
                                },
                                {
                                        "key": "category",
                                        "value": "inside"
                                },
                                {
                                        "key": "session",
                                        "value": "$.rideSummary.sessionId"
                                },
                                {
                                        "key": "scene",
                                        "value": "$.rideSummary.scenes[5].number@other()"
                                }
                        ]
                }
        ]
}</t>
  </si>
  <si>
    <t>for every Pickup.pickupLoot.lootMedallionCommon, grant lootV6common item SCENE 7</t>
  </si>
  <si>
    <t>state: 2, category: "inside", session: sessionId, scene: 7</t>
  </si>
  <si>
    <t>$.rideSummary.scenes[6].events[?(@.id === 'Pickup.pickupLoot.lootMedallionCommon')].stats[?(@.id === 'hits')].value</t>
  </si>
  <si>
    <t>{
        "resort": "$.resort",
        "park": "$.park",
        "land": "$.land",
        "publisher": "$.publisher",
        "timestamp": "$.timestamp",
        "playerId": "$.playerId",
        "items": [
                {
                        "id": "lootV6common",
                        "count": "$.rideSummary.scenes[6].events[?(@.id === 'Pickup.pickupLoot.lootMedallionCommon')].stats[?(@.id === 'hits')].value@other()",
                        "customData": [
                                {
                                        "key": "state",
                                        "value": 2
                                },
                                {
                                        "key": "category",
                                        "value": "inside"
                                },
                                {
                                        "key": "session",
                                        "value": "$.rideSummary.sessionId"
                                },
                                {
                                        "key": "scene",
                                        "value": "$.rideSummary.scenes[6].number@other()"
                                }
                        ]
                }
        ]
}</t>
  </si>
  <si>
    <t>for every Pickup.pickupLoot.lootMedallionUncommon, grant lootV6uncommon item SCENE 1</t>
  </si>
  <si>
    <t>lootv6uncommon</t>
  </si>
  <si>
    <t>$.rideSummary.scenes[0].events[?(@.id === 'Pickup.pickupLoot.lootMedallionUncommon')].stats[?(@.id === 'hits')].value</t>
  </si>
  <si>
    <t>{
        "resort": "$.resort",
        "park": "$.park",
        "land": "$.land",
        "publisher": "$.publisher",
        "timestamp": "$.timestamp",
        "playerId": "$.playerId",
        "items": [
                {
                        "id": "lootV6uncommon",
                        "count": "$.rideSummary.scenes[0].events[?(@.id === 'Pickup.pickupLoot.lootMedallionUncommon')].stats[?(@.id === 'hits')].value@other()",
                        "customData": [
                                {
                                        "key": "state",
                                        "value": 2
                                },
                                {
                                        "key": "category",
                                        "value": "inside"
                                },
                                {
                                        "key": "session",
                                        "value": "$.rideSummary.sessionId"
                                },
                                {
                                        "key": "scene",
                                        "value": "$.rideSummary.scenes[0].number@other()"
                                }
                        ]
                }
        ]
}</t>
  </si>
  <si>
    <t>for every Pickup.pickupLoot.lootMedallionUncommon, grant lootV6uncommon item SCENE 2</t>
  </si>
  <si>
    <t>$.rideSummary.scenes[1].events[?(@.id === 'Pickup.pickupLoot.lootMedallionUncommon')].stats[?(@.id === 'hits')].value</t>
  </si>
  <si>
    <t>{
        "resort": "$.resort",
        "park": "$.park",
        "land": "$.land",
        "publisher": "$.publisher",
        "timestamp": "$.timestamp",
        "playerId": "$.playerId",
        "items": [
                {
                        "id": "lootV6uncommon",
                        "count": "$.rideSummary.scenes[1].events[?(@.id === 'Pickup.pickupLoot.lootMedallionUncommon')].stats[?(@.id === 'hits')].value@other()",
                        "customData": [
                                {
                                        "key": "state",
                                        "value": 2
                                },
                                {
                                        "key": "category",
                                        "value": "inside"
                                },
                                {
                                        "key": "session",
                                        "value": "$.rideSummary.sessionId"
                                },
                                {
                                        "key": "scene",
                                        "value": "$.rideSummary.scenes[1].number@other()"
                                }
                        ]
                }
        ]
}</t>
  </si>
  <si>
    <t>for every Pickup.pickupLoot.lootMedallionUncommon, grant lootV6uncommon item SCENE 3</t>
  </si>
  <si>
    <t>$.rideSummary.scenes[2].events[?(@.id === 'Pickup.pickupLoot.lootMedallionUncommon')].stats[?(@.id === 'hits')].value</t>
  </si>
  <si>
    <t>{
        "resort": "$.resort",
        "park": "$.park",
        "land": "$.land",
        "publisher": "$.publisher",
        "timestamp": "$.timestamp",
        "playerId": "$.playerId",
        "items": [
                {
                        "id": "lootV6uncommon",
                        "count": "$.rideSummary.scenes[2].events[?(@.id === 'Pickup.pickupLoot.lootMedallionUncommon')].stats[?(@.id === 'hits')].value@other()",
                        "customData": [
                                {
                                        "key": "state",
                                        "value": 2
                                },
                                {
                                        "key": "category",
                                        "value": "inside"
                                },
                                {
                                        "key": "session",
                                        "value": "$.rideSummary.sessionId"
                                },
                                {
                                        "key": "scene",
                                        "value": "$.rideSummary.scenes[2].number@other()"
                                }
                        ]
                }
        ]
}</t>
  </si>
  <si>
    <t>for every Pickup.pickupLoot.lootMedallionUncommon, grant lootV6uncommon item SCENE 4</t>
  </si>
  <si>
    <t>$.rideSummary.scenes[3].events[?(@.id === 'Pickup.pickupLoot.lootMedallionUncommon')].stats[?(@.id === 'hits')].value</t>
  </si>
  <si>
    <t>{
        "resort": "$.resort",
        "park": "$.park",
        "land": "$.land",
        "publisher": "$.publisher",
        "timestamp": "$.timestamp",
        "playerId": "$.playerId",
        "items": [
                {
                        "id": "lootV6uncommon",
                        "count": "$.rideSummary.scenes[3].events[?(@.id === 'Pickup.pickupLoot.lootMedallionUncommon')].stats[?(@.id === 'hits')].value@other()",
                        "customData": [
                                {
                                        "key": "state",
                                        "value": 2
                                },
                                {
                                        "key": "category",
                                        "value": "inside"
                                },
                                {
                                        "key": "session",
                                        "value": "$.rideSummary.sessionId"
                                },
                                {
                                        "key": "scene",
                                        "value": "$.rideSummary.scenes[3].number@other()"
                                }
                        ]
                }
        ]
}</t>
  </si>
  <si>
    <t>for every Pickup.pickupLoot.lootMedallionUncommon, grant lootV6uncommon item SCENE 5</t>
  </si>
  <si>
    <t>$.rideSummary.scenes[4].events[?(@.id === 'Pickup.pickupLoot.lootMedallionUncommon')].stats[?(@.id === 'hits')].value</t>
  </si>
  <si>
    <t>{
        "resort": "$.resort",
        "park": "$.park",
        "land": "$.land",
        "publisher": "$.publisher",
        "timestamp": "$.timestamp",
        "playerId": "$.playerId",
        "items": [
                {
                        "id": "lootV6uncommon",
                        "count": "$.rideSummary.scenes[4].events[?(@.id === 'Pickup.pickupLoot.lootMedallionUncommon')].stats[?(@.id === 'hits')].value@other()",
                        "customData": [
                                {
                                        "key": "state",
                                        "value": 2
                                },
                                {
                                        "key": "category",
                                        "value": "inside"
                                },
                                {
                                        "key": "session",
                                        "value": "$.rideSummary.sessionId"
                                },
                                {
                                        "key": "scene",
                                        "value": "$.rideSummary.scenes[4].number@other()"
                                }
                        ]
                }
        ]
}</t>
  </si>
  <si>
    <t>for every Pickup.pickupLoot.lootMedallionUncommon, grant lootV6uncommon item SCENE 6</t>
  </si>
  <si>
    <t>$.rideSummary.scenes[5].events[?(@.id === 'Pickup.pickupLoot.lootMedallionUncommon')].stats[?(@.id === 'hits')].value</t>
  </si>
  <si>
    <t>{
        "resort": "$.resort",
        "park": "$.park",
        "land": "$.land",
        "publisher": "$.publisher",
        "timestamp": "$.timestamp",
        "playerId": "$.playerId",
        "items": [
                {
                        "id": "lootV6uncommon",
                        "count": "$.rideSummary.scenes[5].events[?(@.id === 'Pickup.pickupLoot.lootMedallionUncommon')].stats[?(@.id === 'hits')].value@other()",
                        "customData": [
                                {
                                        "key": "state",
                                        "value": 2
                                },
                                {
                                        "key": "category",
                                        "value": "inside"
                                },
                                {
                                        "key": "session",
                                        "value": "$.rideSummary.sessionId"
                                },
                                {
                                        "key": "scene",
                                        "value": "$.rideSummary.scenes[5].number@other()"
                                }
                        ]
                }
        ]
}</t>
  </si>
  <si>
    <t>for every Pickup.pickupLoot.lootMedallionUncommon, grant lootV6uncommon item SCENE 7</t>
  </si>
  <si>
    <t>$.rideSummary.scenes[6].events[?(@.id === 'Pickup.pickupLoot.lootMedallionUncommon')].stats[?(@.id === 'hits')].value</t>
  </si>
  <si>
    <t>{
        "resort": "$.resort",
        "park": "$.park",
        "land": "$.land",
        "publisher": "$.publisher",
        "timestamp": "$.timestamp",
        "playerId": "$.playerId",
        "items": [
                {
                        "id": "lootV6uncommon",
                        "count": "$.rideSummary.scenes[6].events[?(@.id === 'Pickup.pickupLoot.lootMedallionUncommon')].stats[?(@.id === 'hits')].value@other()",
                        "customData": [
                                {
                                        "key": "state",
                                        "value": 2
                                },
                                {
                                        "key": "category",
                                        "value": "inside"
                                },
                                {
                                        "key": "session",
                                        "value": "$.rideSummary.sessionId"
                                },
                                {
                                        "key": "scene",
                                        "value": "$.rideSummary.scenes[6].number@other()"
                                }
                        ]
                }
        ]
}</t>
  </si>
  <si>
    <t>for every Pickup.pickupLoot.lootMedallionRare, grant lootV6rare item SCENE 1</t>
  </si>
  <si>
    <t>lootv6rare</t>
  </si>
  <si>
    <t>$.rideSummary.scenes[0].events[?(@.id === 'Pickup.pickupLoot.lootMedallionRare')].stats[?(@.id === 'hits')].value</t>
  </si>
  <si>
    <t>{
        "resort": "$.resort",
        "park": "$.park",
        "land": "$.land",
        "publisher": "$.publisher",
        "timestamp": "$.timestamp",
        "playerId": "$.playerId",
        "items": [
                {
                        "id": "lootV6rare",
                        "count": "$.rideSummary.scenes[0].events[?(@.id === 'Pickup.pickupLoot.lootMedallionRare')].stats[?(@.id === 'hits')].value@other()",
                        "customData": [
                                {
                                        "key": "state",
                                        "value": 2
                                },
                                {
                                        "key": "category",
                                        "value": "inside"
                                },
                                {
                                        "key": "session",
                                        "value": "$.rideSummary.sessionId"
                                },
                                {
                                        "key": "scene",
                                        "value": "$.rideSummary.scenes[0].number@other()"
                                }
                        ]
                }
        ]
}</t>
  </si>
  <si>
    <t>for every Pickup.pickupLoot.lootMedallionRare, grant lootV6rare item SCENE 2</t>
  </si>
  <si>
    <t>$.rideSummary.scenes[1].events[?(@.id === 'Pickup.pickupLoot.lootMedallionRare')].stats[?(@.id === 'hits')].value</t>
  </si>
  <si>
    <t>{
        "resort": "$.resort",
        "park": "$.park",
        "land": "$.land",
        "publisher": "$.publisher",
        "timestamp": "$.timestamp",
        "playerId": "$.playerId",
        "items": [
                {
                        "id": "lootV6rare",
                        "count": "$.rideSummary.scenes[1].events[?(@.id === 'Pickup.pickupLoot.lootMedallionRare')].stats[?(@.id === 'hits')].value@other()",
                        "customData": [
                                {
                                        "key": "state",
                                        "value": 2
                                },
                                {
                                        "key": "category",
                                        "value": "inside"
                                },
                                {
                                        "key": "session",
                                        "value": "$.rideSummary.sessionId"
                                },
                                {
                                        "key": "scene",
                                        "value": "$.rideSummary.scenes[1].number@other()"
                                }
                        ]
                }
        ]
}</t>
  </si>
  <si>
    <t>for every Pickup.pickupLoot.lootMedallionRare, grant lootV6rare item SCENE 3</t>
  </si>
  <si>
    <t>$.rideSummary.scenes[2].events[?(@.id === 'Pickup.pickupLoot.lootMedallionRare')].stats[?(@.id === 'hits')].value</t>
  </si>
  <si>
    <t>{
        "resort": "$.resort",
        "park": "$.park",
        "land": "$.land",
        "publisher": "$.publisher",
        "timestamp": "$.timestamp",
        "playerId": "$.playerId",
        "items": [
                {
                        "id": "lootV6rare",
                        "count": "$.rideSummary.scenes[2].events[?(@.id === 'Pickup.pickupLoot.lootMedallionRare')].stats[?(@.id === 'hits')].value@other()",
                        "customData": [
                                {
                                        "key": "state",
                                        "value": 2
                                },
                                {
                                        "key": "category",
                                        "value": "inside"
                                },
                                {
                                        "key": "session",
                                        "value": "$.rideSummary.sessionId"
                                },
                                {
                                        "key": "scene",
                                        "value": "$.rideSummary.scenes[2].number@other()"
                                }
                        ]
                }
        ]
}</t>
  </si>
  <si>
    <t>for every Pickup.pickupLoot.lootMedallionRare, grant lootV6rare item SCENE 4</t>
  </si>
  <si>
    <t>$.rideSummary.scenes[3].events[?(@.id === 'Pickup.pickupLoot.lootMedallionRare')].stats[?(@.id === 'hits')].value</t>
  </si>
  <si>
    <t>{
        "resort": "$.resort",
        "park": "$.park",
        "land": "$.land",
        "publisher": "$.publisher",
        "timestamp": "$.timestamp",
        "playerId": "$.playerId",
        "items": [
                {
                        "id": "lootV6rare",
                        "count": "$.rideSummary.scenes[3].events[?(@.id === 'Pickup.pickupLoot.lootMedallionRare')].stats[?(@.id === 'hits')].value@other()",
                        "customData": [
                                {
                                        "key": "state",
                                        "value": 2
                                },
                                {
                                        "key": "category",
                                        "value": "inside"
                                },
                                {
                                        "key": "session",
                                        "value": "$.rideSummary.sessionId"
                                },
                                {
                                        "key": "scene",
                                        "value": "$.rideSummary.scenes[3].number@other()"
                                }
                        ]
                }
        ]
}</t>
  </si>
  <si>
    <t>for every Pickup.pickupLoot.lootMedallionRare, grant lootV6rare item SCENE 5</t>
  </si>
  <si>
    <t>$.rideSummary.scenes[4].events[?(@.id === 'Pickup.pickupLoot.lootMedallionRare')].stats[?(@.id === 'hits')].value</t>
  </si>
  <si>
    <t>{
        "resort": "$.resort",
        "park": "$.park",
        "land": "$.land",
        "publisher": "$.publisher",
        "timestamp": "$.timestamp",
        "playerId": "$.playerId",
        "items": [
                {
                        "id": "lootV6rare",
                        "count": "$.rideSummary.scenes[4].events[?(@.id === 'Pickup.pickupLoot.lootMedallionRare')].stats[?(@.id === 'hits')].value@other()",
                        "customData": [
                                {
                                        "key": "state",
                                        "value": 2
                                },
                                {
                                        "key": "category",
                                        "value": "inside"
                                },
                                {
                                        "key": "session",
                                        "value": "$.rideSummary.sessionId"
                                },
                                {
                                        "key": "scene",
                                        "value": "$.rideSummary.scenes[4].number@other()"
                                }
                        ]
                }
        ]
}</t>
  </si>
  <si>
    <t>for every Pickup.pickupLoot.lootMedallionRare, grant lootV6rare item SCENE 6</t>
  </si>
  <si>
    <t>$.rideSummary.scenes[5].events[?(@.id === 'Pickup.pickupLoot.lootMedallionRare')].stats[?(@.id === 'hits')].value</t>
  </si>
  <si>
    <t>{
        "resort": "$.resort",
        "park": "$.park",
        "land": "$.land",
        "publisher": "$.publisher",
        "timestamp": "$.timestamp",
        "playerId": "$.playerId",
        "items": [
                {
                        "id": "lootV6rare",
                        "count": "$.rideSummary.scenes[5].events[?(@.id === 'Pickup.pickupLoot.lootMedallionRare')].stats[?(@.id === 'hits')].value@other()",
                        "customData": [
                                {
                                        "key": "state",
                                        "value": 2
                                },
                                {
                                        "key": "category",
                                        "value": "inside"
                                },
                                {
                                        "key": "session",
                                        "value": "$.rideSummary.sessionId"
                                },
                                {
                                        "key": "scene",
                                        "value": "$.rideSummary.scenes[5].number@other()"
                                }
                        ]
                }
        ]
}</t>
  </si>
  <si>
    <t>for every Pickup.pickupLoot.lootMedallionRare, grant lootV6rare item SCENE 7</t>
  </si>
  <si>
    <t>$.rideSummary.scenes[6].events[?(@.id === 'Pickup.pickupLoot.lootMedallionRare')].stats[?(@.id === 'hits')].value</t>
  </si>
  <si>
    <t>{
        "resort": "$.resort",
        "park": "$.park",
        "land": "$.land",
        "publisher": "$.publisher",
        "timestamp": "$.timestamp",
        "playerId": "$.playerId",
        "items": [
                {
                        "id": "lootV6rare",
                        "count": "$.rideSummary.scenes[6].events[?(@.id === 'Pickup.pickupLoot.lootMedallionRare')].stats[?(@.id === 'hits')].value@other()",
                        "customData": [
                                {
                                        "key": "state",
                                        "value": 2
                                },
                                {
                                        "key": "category",
                                        "value": "inside"
                                },
                                {
                                        "key": "session",
                                        "value": "$.rideSummary.sessionId"
                                },
                                {
                                        "key": "scene",
                                        "value": "$.rideSummary.scenes[6].number@other()"
                                }
                        ]
                }
        ]
}</t>
  </si>
  <si>
    <t>for every Pickup.pickupLoot.lootAgnesUnicornOriginal, grant lootUnicornOriginal item SCENE 1</t>
  </si>
  <si>
    <t>$.rideSummary.scenes[0].events[?(@.id === 'Pickup.pickupLoot.lootAgnesUnicornOriginal')].stats[?(@.id === 'hits')].value</t>
  </si>
  <si>
    <t>{
        "resort": "$.resort",
        "park": "$.park",
        "land": "$.land",
        "publisher": "$.publisher",
        "timestamp": "$.timestamp",
        "playerId": "$.playerId",
        "items": [
                {
                        "id": "lootUnicornOriginal",
                        "count": "$.rideSummary.scenes[0].events[?(@.id === 'Pickup.pickupLoot.lootAgnesUnicornOriginal')].stats[?(@.id === 'hits')].value@other()",
                        "customData": [
                                {
                                        "key": "state",
                                        "value": 2
                                },
                                {
                                        "key": "category",
                                        "value": "inside"
                                },
                                {
                                        "key": "session",
                                        "value": "$.rideSummary.sessionId"
                                },
                                {
                                        "key": "scene",
                                        "value": "$.rideSummary.scenes[0].number@other()"
                                }
                        ]
                }
        ]
}</t>
  </si>
  <si>
    <t>for every Pickup.pickupLoot.lootAgnesUnicornOriginal, grant lootUnicornOriginal item SCENE 2</t>
  </si>
  <si>
    <t>$.rideSummary.scenes[1].events[?(@.id === 'Pickup.pickupLoot.lootAgnesUnicornOriginal')].stats[?(@.id === 'hits')].value</t>
  </si>
  <si>
    <t>{
        "resort": "$.resort",
        "park": "$.park",
        "land": "$.land",
        "publisher": "$.publisher",
        "timestamp": "$.timestamp",
        "playerId": "$.playerId",
        "items": [
                {
                        "id": "lootUnicornOriginal",
                        "count": "$.rideSummary.scenes[1].events[?(@.id === 'Pickup.pickupLoot.lootAgnesUnicornOriginal')].stats[?(@.id === 'hits')].value@other()",
                        "customData": [
                                {
                                        "key": "state",
                                        "value": 2
                                },
                                {
                                        "key": "category",
                                        "value": "inside"
                                },
                                {
                                        "key": "session",
                                        "value": "$.rideSummary.sessionId"
                                },
                                {
                                        "key": "scene",
                                        "value": "$.rideSummary.scenes[1].number@other()"
                                }
                        ]
                }
        ]
}</t>
  </si>
  <si>
    <t>for every Pickup.pickupLoot.lootAgnesUnicornOriginal, grant lootUnicornOriginal item SCENE 3</t>
  </si>
  <si>
    <t>$.rideSummary.scenes[2].events[?(@.id === 'Pickup.pickupLoot.lootAgnesUnicornOriginal')].stats[?(@.id === 'hits')].value</t>
  </si>
  <si>
    <t>{
        "resort": "$.resort",
        "park": "$.park",
        "land": "$.land",
        "publisher": "$.publisher",
        "timestamp": "$.timestamp",
        "playerId": "$.playerId",
        "items": [
                {
                        "id": "lootUnicornOriginal",
                        "count": "$.rideSummary.scenes[2].events[?(@.id === 'Pickup.pickupLoot.lootAgnesUnicornOriginal')].stats[?(@.id === 'hits')].value@other()",
                        "customData": [
                                {
                                        "key": "state",
                                        "value": 2
                                },
                                {
                                        "key": "category",
                                        "value": "inside"
                                },
                                {
                                        "key": "session",
                                        "value": "$.rideSummary.sessionId"
                                },
                                {
                                        "key": "scene",
                                        "value": "$.rideSummary.scenes[2].number@other()"
                                }
                        ]
                }
        ]
}</t>
  </si>
  <si>
    <t>for every Pickup.pickupLoot.lootAgnesUnicornOriginal, grant lootUnicornOriginal item SCENE 4</t>
  </si>
  <si>
    <t>$.rideSummary.scenes[3].events[?(@.id === 'Pickup.pickupLoot.lootAgnesUnicornOriginal')].stats[?(@.id === 'hits')].value</t>
  </si>
  <si>
    <t>{
        "resort": "$.resort",
        "park": "$.park",
        "land": "$.land",
        "publisher": "$.publisher",
        "timestamp": "$.timestamp",
        "playerId": "$.playerId",
        "items": [
                {
                        "id": "lootUnicornOriginal",
                        "count": "$.rideSummary.scenes[3].events[?(@.id === 'Pickup.pickupLoot.lootAgnesUnicornOriginal')].stats[?(@.id === 'hits')].value@other()",
                        "customData": [
                                {
                                        "key": "state",
                                        "value": 2
                                },
                                {
                                        "key": "category",
                                        "value": "inside"
                                },
                                {
                                        "key": "session",
                                        "value": "$.rideSummary.sessionId"
                                },
                                {
                                        "key": "scene",
                                        "value": "$.rideSummary.scenes[3].number@other()"
                                }
                        ]
                }
        ]
}</t>
  </si>
  <si>
    <t>for every Pickup.pickupLoot.lootAgnesUnicornOriginal, grant lootUnicornOriginal item SCENE 5</t>
  </si>
  <si>
    <t>$.rideSummary.scenes[4].events[?(@.id === 'Pickup.pickupLoot.lootAgnesUnicornOriginal')].stats[?(@.id === 'hits')].value</t>
  </si>
  <si>
    <t>{
        "resort": "$.resort",
        "park": "$.park",
        "land": "$.land",
        "publisher": "$.publisher",
        "timestamp": "$.timestamp",
        "playerId": "$.playerId",
        "items": [
                {
                        "id": "lootUnicornOriginal",
                        "count": "$.rideSummary.scenes[4].events[?(@.id === 'Pickup.pickupLoot.lootAgnesUnicornOriginal')].stats[?(@.id === 'hits')].value@other()",
                        "customData": [
                                {
                                        "key": "state",
                                        "value": 2
                                },
                                {
                                        "key": "category",
                                        "value": "inside"
                                },
                                {
                                        "key": "session",
                                        "value": "$.rideSummary.sessionId"
                                },
                                {
                                        "key": "scene",
                                        "value": "$.rideSummary.scenes[4].number@other()"
                                }
                        ]
                }
        ]
}</t>
  </si>
  <si>
    <t>for every Pickup.pickupLoot.lootAgnesUnicornOriginal, grant lootUnicornOriginal item SCENE 6</t>
  </si>
  <si>
    <t>$.rideSummary.scenes[5].events[?(@.id === 'Pickup.pickupLoot.lootAgnesUnicornOriginal')].stats[?(@.id === 'hits')].value</t>
  </si>
  <si>
    <t>{
        "resort": "$.resort",
        "park": "$.park",
        "land": "$.land",
        "publisher": "$.publisher",
        "timestamp": "$.timestamp",
        "playerId": "$.playerId",
        "items": [
                {
                        "id": "lootUnicornOriginal",
                        "count": "$.rideSummary.scenes[5].events[?(@.id === 'Pickup.pickupLoot.lootAgnesUnicornOriginal')].stats[?(@.id === 'hits')].value@other()",
                        "customData": [
                                {
                                        "key": "state",
                                        "value": 2
                                },
                                {
                                        "key": "category",
                                        "value": "inside"
                                },
                                {
                                        "key": "session",
                                        "value": "$.rideSummary.sessionId"
                                },
                                {
                                        "key": "scene",
                                        "value": "$.rideSummary.scenes[5].number@other()"
                                }
                        ]
                }
        ]
}</t>
  </si>
  <si>
    <t>for every Pickup.pickupLoot.lootAgnesUnicornOriginal, grant lootUnicornOriginal item SCENE 7</t>
  </si>
  <si>
    <t>$.rideSummary.scenes[6].events[?(@.id === 'Pickup.pickupLoot.lootAgnesUnicornOriginal')].stats[?(@.id === 'hits')].value</t>
  </si>
  <si>
    <t>{
        "resort": "$.resort",
        "park": "$.park",
        "land": "$.land",
        "publisher": "$.publisher",
        "timestamp": "$.timestamp",
        "playerId": "$.playerId",
        "items": [
                {
                        "id": "lootUnicornOriginal",
                        "count": "$.rideSummary.scenes[6].events[?(@.id === 'Pickup.pickupLoot.lootAgnesUnicornOriginal')].stats[?(@.id === 'hits')].value@other()",
                        "customData": [
                                {
                                        "key": "state",
                                        "value": 2
                                },
                                {
                                        "key": "category",
                                        "value": "inside"
                                },
                                {
                                        "key": "session",
                                        "value": "$.rideSummary.sessionId"
                                },
                                {
                                        "key": "scene",
                                        "value": "$.rideSummary.scenes[6].number@other()"
                                }
                        ]
                }
        ]
}</t>
  </si>
  <si>
    <t>for every Pickup.pickupLoot.lootAgnesUnicornToiletBrush, grant lootUnicornReplacement item SCENE 1</t>
  </si>
  <si>
    <t>$.rideSummary.scenes[0].events[?(@.id === 'Pickup.pickupLoot.lootAgnesUnicornToiletBrush')].stats[?(@.id === 'hits')].value</t>
  </si>
  <si>
    <t>{
        "resort": "$.resort",
        "park": "$.park",
        "land": "$.land",
        "publisher": "$.publisher",
        "timestamp": "$.timestamp",
        "playerId": "$.playerId",
        "items": [
                {
                        "id": "lootUnicornReplacement",
                        "count": "$.rideSummary.scenes[0].events[?(@.id === 'Pickup.pickupLoot.lootAgnesUnicornToiletBrush')].stats[?(@.id === 'hits')].value@other()",
                        "customData": [
                                {
                                        "key": "state",
                                        "value": 2
                                },
                                {
                                        "key": "category",
                                        "value": "inside"
                                },
                                {
                                        "key": "session",
                                        "value": "$.rideSummary.sessionId"
                                },
                                {
                                        "key": "scene",
                                        "value": "$.rideSummary.scenes[1].number@other()"
                                }
                        ]
                }
        ]
}</t>
  </si>
  <si>
    <t>for every Pickup.pickupLoot.lootAgnesUnicornToiletBrush, grant lootUnicornReplacement item SCENE 2</t>
  </si>
  <si>
    <t>$.rideSummary.scenes[1].events[?(@.id === 'Pickup.pickupLoot.lootAgnesUnicornToiletBrush')].stats[?(@.id === 'hits')].value</t>
  </si>
  <si>
    <t>{
        "resort": "$.resort",
        "park": "$.park",
        "land": "$.land",
        "publisher": "$.publisher",
        "timestamp": "$.timestamp",
        "playerId": "$.playerId",
        "items": [
                {
                        "id": "lootUnicornReplacement",
                        "count": "$.rideSummary.scenes[1].events[?(@.id === 'Pickup.pickupLoot.lootAgnesUnicornToiletBrush')].stats[?(@.id === 'hits')].value@other()",
                        "customData": [
                                {
                                        "key": "state",
                                        "value": 2
                                },
                                {
                                        "key": "category",
                                        "value": "inside"
                                },
                                {
                                        "key": "session",
                                        "value": "$.rideSummary.sessionId"
                                },
                                {
                                        "key": "scene",
                                        "value": "$.rideSummary.scenes[1].number@other()"
                                }
                        ]
                }
        ]
}</t>
  </si>
  <si>
    <t>for every Pickup.pickupLoot.lootAgnesUnicornToiletBrush, grant lootUnicornReplacement item SCENE 3</t>
  </si>
  <si>
    <t>$.rideSummary.scenes[2].events[?(@.id === 'Pickup.pickupLoot.lootAgnesUnicornToiletBrush')].stats[?(@.id === 'hits')].value</t>
  </si>
  <si>
    <t>{
        "resort": "$.resort",
        "park": "$.park",
        "land": "$.land",
        "publisher": "$.publisher",
        "timestamp": "$.timestamp",
        "playerId": "$.playerId",
        "items": [
                {
                        "id": "lootUnicornReplacement",
                        "count": "$.rideSummary.scenes[2].events[?(@.id === 'Pickup.pickupLoot.lootAgnesUnicornToiletBrush')].stats[?(@.id === 'hits')].value@other()",
                        "customData": [
                                {
                                        "key": "state",
                                        "value": 2
                                },
                                {
                                        "key": "category",
                                        "value": "inside"
                                },
                                {
                                        "key": "session",
                                        "value": "$.rideSummary.sessionId"
                                },
                                {
                                        "key": "scene",
                                        "value": "$.rideSummary.scenes[2].number@other()"
                                }
                        ]
                }
        ]
}</t>
  </si>
  <si>
    <t>for every Pickup.pickupLoot.lootAgnesUnicornToiletBrush, grant lootUnicornReplacement item SCENE 4</t>
  </si>
  <si>
    <t>$.rideSummary.scenes[3].events[?(@.id === 'Pickup.pickupLoot.lootAgnesUnicornToiletBrush')].stats[?(@.id === 'hits')].value</t>
  </si>
  <si>
    <t>{
        "resort": "$.resort",
        "park": "$.park",
        "land": "$.land",
        "publisher": "$.publisher",
        "timestamp": "$.timestamp",
        "playerId": "$.playerId",
        "items": [
                {
                        "id": "lootUnicornReplacement",
                        "count": "$.rideSummary.scenes[3].events[?(@.id === 'Pickup.pickupLoot.lootAgnesUnicornToiletBrush')].stats[?(@.id === 'hits')].value@other()",
                        "customData": [
                                {
                                        "key": "state",
                                        "value": 2
                                },
                                {
                                        "key": "category",
                                        "value": "inside"
                                },
                                {
                                        "key": "session",
                                        "value": "$.rideSummary.sessionId"
                                },
                                {
                                        "key": "scene",
                                        "value": "$.rideSummary.scenes[3].number@other()"
                                }
                        ]
                }
        ]
}</t>
  </si>
  <si>
    <t>for every Pickup.pickupLoot.lootAgnesUnicornToiletBrush, grant lootUnicornReplacement item SCENE 5</t>
  </si>
  <si>
    <t>$.rideSummary.scenes[4].events[?(@.id === 'Pickup.pickupLoot.lootAgnesUnicornToiletBrush')].stats[?(@.id === 'hits')].value</t>
  </si>
  <si>
    <t>{
        "resort": "$.resort",
        "park": "$.park",
        "land": "$.land",
        "publisher": "$.publisher",
        "timestamp": "$.timestamp",
        "playerId": "$.playerId",
        "items": [
                {
                        "id": "lootUnicornReplacement",
                        "count": "$.rideSummary.scenes[4].events[?(@.id === 'Pickup.pickupLoot.lootAgnesUnicornToiletBrush')].stats[?(@.id === 'hits')].value@other()",
                        "customData": [
                                {
                                        "key": "state",
                                        "value": 2
                                },
                                {
                                        "key": "category",
                                        "value": "inside"
                                },
                                {
                                        "key": "session",
                                        "value": "$.rideSummary.sessionId"
                                },
                                {
                                        "key": "scene",
                                        "value": "$.rideSummary.scenes[4].number@other()"
                                }
                        ]
                }
        ]
}</t>
  </si>
  <si>
    <t>for every Pickup.pickupLoot.lootAgnesUnicornToiletBrush, grant lootUnicornReplacement item SCENE 6</t>
  </si>
  <si>
    <t>$.rideSummary.scenes[5].events[?(@.id === 'Pickup.pickupLoot.lootAgnesUnicornToiletBrush')].stats[?(@.id === 'hits')].value</t>
  </si>
  <si>
    <t>{
        "resort": "$.resort",
        "park": "$.park",
        "land": "$.land",
        "publisher": "$.publisher",
        "timestamp": "$.timestamp",
        "playerId": "$.playerId",
        "items": [
                {
                        "id": "lootUnicornReplacement",
                        "count": "$.rideSummary.scenes[5].events[?(@.id === 'Pickup.pickupLoot.lootAgnesUnicornToiletBrush')].stats[?(@.id === 'hits')].value@other()",
                        "customData": [
                                {
                                        "key": "state",
                                        "value": 2
                                },
                                {
                                        "key": "category",
                                        "value": "inside"
                                },
                                {
                                        "key": "session",
                                        "value": "$.rideSummary.sessionId"
                                },
                                {
                                        "key": "scene",
                                        "value": "$.rideSummary.scenes[5].number@other()"
                                }
                        ]
                }
        ]
}</t>
  </si>
  <si>
    <t>for every Pickup.pickupLoot.lootAgnesUnicornToiletBrush, grant lootUnicornReplacement item SCENE 7</t>
  </si>
  <si>
    <t>$.rideSummary.scenes[6].events[?(@.id === 'Pickup.pickupLoot.lootAgnesUnicornToiletBrush')].stats[?(@.id === 'hits')].value</t>
  </si>
  <si>
    <t>{
        "resort": "$.resort",
        "park": "$.park",
        "land": "$.land",
        "publisher": "$.publisher",
        "timestamp": "$.timestamp",
        "playerId": "$.playerId",
        "items": [
                {
                        "id": "lootUnicornReplacement",
                        "count": "$.rideSummary.scenes[6].events[?(@.id === 'Pickup.pickupLoot.lootAgnesUnicornToiletBrush')].stats[?(@.id === 'hits')].value@other()",
                        "customData": [
                                {
                                        "key": "state",
                                        "value": 2
                                },
                                {
                                        "key": "category",
                                        "value": "inside"
                                },
                                {
                                        "key": "session",
                                        "value": "$.rideSummary.sessionId"
                                },
                                {
                                        "key": "scene",
                                        "value": "$.rideSummary.scenes[6].number@other()"
                                }
                        ]
                }
        ]
}</t>
  </si>
  <si>
    <t>for every Pickup.pickupLoot.lootBeeDohMegaphone, grant lootBeeDoh item SCENE 1</t>
  </si>
  <si>
    <t>$.rideSummary.scenes[0].events[?(@.id === 'Pickup.pickupLoot.lootBeeDohMegaphone')].stats[?(@.id === 'hits')].value</t>
  </si>
  <si>
    <t>{
        "resort": "$.resort",
        "park": "$.park",
        "land": "$.land",
        "publisher": "$.publisher",
        "timestamp": "$.timestamp",
        "playerId": "$.playerId",
        "items": [
                {
                        "id": "lootBeeDoh",
                        "count": "$.rideSummary.scenes[0].events[?(@.id === 'Pickup.pickupLoot.lootBeeDohMegaphone')].stats[?(@.id === 'hits')].value@other()",
                        "customData": [
                                {
                                        "key": "state",
                                        "value": 2
                                },
                                {
                                        "key": "category",
                                        "value": "inside"
                                },
                                {
                                        "key": "session",
                                        "value": "$.rideSummary.sessionId"
                                },
                                {
                                        "key": "scene",
                                        "value": "$.rideSummary.scenes[1].number@other()"
                                }
                        ]
                }
        ]
}</t>
  </si>
  <si>
    <t>for every Pickup.pickupLoot.lootBeeDohMegaphone, grant lootBeeDoh item SCENE 2</t>
  </si>
  <si>
    <t>$.rideSummary.scenes[1].events[?(@.id === 'Pickup.pickupLoot.lootBeeDohMegaphone')].stats[?(@.id === 'hits')].value</t>
  </si>
  <si>
    <t>{
        "resort": "$.resort",
        "park": "$.park",
        "land": "$.land",
        "publisher": "$.publisher",
        "timestamp": "$.timestamp",
        "playerId": "$.playerId",
        "items": [
                {
                        "id": "lootBeeDoh",
                        "count": "$.rideSummary.scenes[1].events[?(@.id === 'Pickup.pickupLoot.lootBeeDohMegaphone')].stats[?(@.id === 'hits')].value@other()",
                        "customData": [
                                {
                                        "key": "state",
                                        "value": 2
                                },
                                {
                                        "key": "category",
                                        "value": "inside"
                                },
                                {
                                        "key": "session",
                                        "value": "$.rideSummary.sessionId"
                                },
                                {
                                        "key": "scene",
                                        "value": "$.rideSummary.scenes[1].number@other()"
                                }
                        ]
                }
        ]
}</t>
  </si>
  <si>
    <t>for every Pickup.pickupLoot.lootBeeDohMegaphone, grant lootBeeDoh item SCENE 3</t>
  </si>
  <si>
    <t>$.rideSummary.scenes[2].events[?(@.id === 'Pickup.pickupLoot.lootBeeDohMegaphone')].stats[?(@.id === 'hits')].value</t>
  </si>
  <si>
    <t>{
        "resort": "$.resort",
        "park": "$.park",
        "land": "$.land",
        "publisher": "$.publisher",
        "timestamp": "$.timestamp",
        "playerId": "$.playerId",
        "items": [
                {
                        "id": "lootBeeDoh",
                        "count": "$.rideSummary.scenes[2].events[?(@.id === 'Pickup.pickupLoot.lootBeeDohMegaphone')].stats[?(@.id === 'hits')].value@other()",
                        "customData": [
                                {
                                        "key": "state",
                                        "value": 2
                                },
                                {
                                        "key": "category",
                                        "value": "inside"
                                },
                                {
                                        "key": "session",
                                        "value": "$.rideSummary.sessionId"
                                },
                                {
                                        "key": "scene",
                                        "value": "$.rideSummary.scenes[2].number@other()"
                                }
                        ]
                }
        ]
}</t>
  </si>
  <si>
    <t>for every Pickup.pickupLoot.lootBeeDohMegaphone, grant lootBeeDoh item SCENE 4</t>
  </si>
  <si>
    <t>$.rideSummary.scenes[3].events[?(@.id === 'Pickup.pickupLoot.lootBeeDohMegaphone')].stats[?(@.id === 'hits')].value</t>
  </si>
  <si>
    <t>{
        "resort": "$.resort",
        "park": "$.park",
        "land": "$.land",
        "publisher": "$.publisher",
        "timestamp": "$.timestamp",
        "playerId": "$.playerId",
        "items": [
                {
                        "id": "lootBeeDoh",
                        "count": "$.rideSummary.scenes[3].events[?(@.id === 'Pickup.pickupLoot.lootBeeDohMegaphone')].stats[?(@.id === 'hits')].value@other()",
                        "customData": [
                                {
                                        "key": "state",
                                        "value": 2
                                },
                                {
                                        "key": "category",
                                        "value": "inside"
                                },
                                {
                                        "key": "session",
                                        "value": "$.rideSummary.sessionId"
                                },
                                {
                                        "key": "scene",
                                        "value": "$.rideSummary.scenes[3].number@other()"
                                }
                        ]
                }
        ]
}</t>
  </si>
  <si>
    <t>for every Pickup.pickupLoot.lootBeeDohMegaphone, grant lootBeeDoh item SCENE 5</t>
  </si>
  <si>
    <t>$.rideSummary.scenes[4].events[?(@.id === 'Pickup.pickupLoot.lootBeeDohMegaphone')].stats[?(@.id === 'hits')].value</t>
  </si>
  <si>
    <t>{
        "resort": "$.resort",
        "park": "$.park",
        "land": "$.land",
        "publisher": "$.publisher",
        "timestamp": "$.timestamp",
        "playerId": "$.playerId",
        "items": [
                {
                        "id": "lootBeeDoh",
                        "count": "$.rideSummary.scenes[4].events[?(@.id === 'Pickup.pickupLoot.lootBeeDohMegaphone')].stats[?(@.id === 'hits')].value@other()",
                        "customData": [
                                {
                                        "key": "state",
                                        "value": 2
                                },
                                {
                                        "key": "category",
                                        "value": "inside"
                                },
                                {
                                        "key": "session",
                                        "value": "$.rideSummary.sessionId"
                                },
                                {
                                        "key": "scene",
                                        "value": "$.rideSummary.scenes[4].number@other()"
                                }
                        ]
                }
        ]
}</t>
  </si>
  <si>
    <t>for every Pickup.pickupLoot.lootBeeDohMegaphone, grant lootBeeDoh item SCENE 6</t>
  </si>
  <si>
    <t>$.rideSummary.scenes[5].events[?(@.id === 'Pickup.pickupLoot.lootBeeDohMegaphone')].stats[?(@.id === 'hits')].value</t>
  </si>
  <si>
    <t>{
        "resort": "$.resort",
        "park": "$.park",
        "land": "$.land",
        "publisher": "$.publisher",
        "timestamp": "$.timestamp",
        "playerId": "$.playerId",
        "items": [
                {
                        "id": "lootBeeDoh",
                        "count": "$.rideSummary.scenes[5].events[?(@.id === 'Pickup.pickupLoot.lootBeeDohMegaphone')].stats[?(@.id === 'hits')].value@other()",
                        "customData": [
                                {
                                        "key": "state",
                                        "value": 2
                                },
                                {
                                        "key": "category",
                                        "value": "inside"
                                },
                                {
                                        "key": "session",
                                        "value": "$.rideSummary.sessionId"
                                },
                                {
                                        "key": "scene",
                                        "value": "$.rideSummary.scenes[5].number@other()"
                                }
                        ]
                }
        ]
}</t>
  </si>
  <si>
    <t>for every Pickup.pickupLoot.lootBeeDohMegaphone, grant lootBeeDoh item SCENE 7</t>
  </si>
  <si>
    <t>$.rideSummary.scenes[6].events[?(@.id === 'Pickup.pickupLoot.lootBeeDohMegaphone')].stats[?(@.id === 'hits')].value</t>
  </si>
  <si>
    <t>{
        "resort": "$.resort",
        "park": "$.park",
        "land": "$.land",
        "publisher": "$.publisher",
        "timestamp": "$.timestamp",
        "playerId": "$.playerId",
        "items": [
                {
                        "id": "lootBeeDoh",
                        "count": "$.rideSummary.scenes[6].events[?(@.id === 'Pickup.pickupLoot.lootBeeDohMegaphone')].stats[?(@.id === 'hits')].value@other()",
                        "customData": [
                                {
                                        "key": "state",
                                        "value": 2
                                },
                                {
                                        "key": "category",
                                        "value": "inside"
                                },
                                {
                                        "key": "session",
                                        "value": "$.rideSummary.sessionId"
                                },
                                {
                                        "key": "scene",
                                        "value": "$.rideSummary.scenes[6].number@other()"
                                }
                        ]
                }
        ]
}</t>
  </si>
  <si>
    <t>for every Pickup.pickupLoot.lootBoogieRobot, grant lootBoogieRobot item SCENE 1</t>
  </si>
  <si>
    <t>$.rideSummary.scenes[0].events[?(@.id === 'Pickup.pickupLoot.lootBoogieRobot')].stats[?(@.id === 'hits')].value</t>
  </si>
  <si>
    <t>{
        "resort": "$.resort",
        "park": "$.park",
        "land": "$.land",
        "publisher": "$.publisher",
        "timestamp": "$.timestamp",
        "playerId": "$.playerId",
        "items": [
                {
                        "id": "lootBoogieRobot",
                        "count": "$.rideSummary.scenes[0].events[?(@.id === 'Pickup.pickupLoot.lootBoogieRobot')].stats[?(@.id === 'hits')].value@other()",
                        "customData": [
                                {
                                        "key": "state",
                                        "value": 2
                                },
                                {
                                        "key": "category",
                                        "value": "inside"
                                },
                                {
                                        "key": "session",
                                        "value": "$.rideSummary.sessionId"
                                },
                                {
                                        "key": "scene",
                                        "value": "$.rideSummary.scenes[1].number@other()"
                                }
                        ]
                }
        ]
}</t>
  </si>
  <si>
    <t>for every Pickup.pickupLoot.lootBoogieRobot, grant lootBoogieRobot item SCENE 2</t>
  </si>
  <si>
    <t>$.rideSummary.scenes[1].events[?(@.id === 'Pickup.pickupLoot.lootBoogieRobot')].stats[?(@.id === 'hits')].value</t>
  </si>
  <si>
    <t>{
        "resort": "$.resort",
        "park": "$.park",
        "land": "$.land",
        "publisher": "$.publisher",
        "timestamp": "$.timestamp",
        "playerId": "$.playerId",
        "items": [
                {
                        "id": "lootBoogieRobot",
                        "count": "$.rideSummary.scenes[1].events[?(@.id === 'Pickup.pickupLoot.lootBoogieRobot')].stats[?(@.id === 'hits')].value@other()",
                        "customData": [
                                {
                                        "key": "state",
                                        "value": 2
                                },
                                {
                                        "key": "category",
                                        "value": "inside"
                                },
                                {
                                        "key": "session",
                                        "value": "$.rideSummary.sessionId"
                                },
                                {
                                        "key": "scene",
                                        "value": "$.rideSummary.scenes[1].number@other()"
                                }
                        ]
                }
        ]
}</t>
  </si>
  <si>
    <t>for every Pickup.pickupLoot.lootBoogieRobot, grant lootBoogieRobot item SCENE 3</t>
  </si>
  <si>
    <t>$.rideSummary.scenes[2].events[?(@.id === 'Pickup.pickupLoot.lootBoogieRobot')].stats[?(@.id === 'hits')].value</t>
  </si>
  <si>
    <t>{
        "resort": "$.resort",
        "park": "$.park",
        "land": "$.land",
        "publisher": "$.publisher",
        "timestamp": "$.timestamp",
        "playerId": "$.playerId",
        "items": [
                {
                        "id": "lootBoogieRobot",
                        "count": "$.rideSummary.scenes[2].events[?(@.id === 'Pickup.pickupLoot.lootBoogieRobot')].stats[?(@.id === 'hits')].value@other()",
                        "customData": [
                                {
                                        "key": "state",
                                        "value": 2
                                },
                                {
                                        "key": "category",
                                        "value": "inside"
                                },
                                {
                                        "key": "session",
                                        "value": "$.rideSummary.sessionId"
                                },
                                {
                                        "key": "scene",
                                        "value": "$.rideSummary.scenes[2].number@other()"
                                }
                        ]
                }
        ]
}</t>
  </si>
  <si>
    <t>for every Pickup.pickupLoot.lootBoogieRobot, grant lootBoogieRobot item SCENE 4</t>
  </si>
  <si>
    <t>$.rideSummary.scenes[3].events[?(@.id === 'Pickup.pickupLoot.lootBoogieRobot')].stats[?(@.id === 'hits')].value</t>
  </si>
  <si>
    <t>{
        "resort": "$.resort",
        "park": "$.park",
        "land": "$.land",
        "publisher": "$.publisher",
        "timestamp": "$.timestamp",
        "playerId": "$.playerId",
        "items": [
                {
                        "id": "lootBoogieRobot",
                        "count": "$.rideSummary.scenes[3].events[?(@.id === 'Pickup.pickupLoot.lootBoogieRobot')].stats[?(@.id === 'hits')].value@other()",
                        "customData": [
                                {
                                        "key": "state",
                                        "value": 2
                                },
                                {
                                        "key": "category",
                                        "value": "inside"
                                },
                                {
                                        "key": "session",
                                        "value": "$.rideSummary.sessionId"
                                },
                                {
                                        "key": "scene",
                                        "value": "$.rideSummary.scenes[3].number@other()"
                                }
                        ]
                }
        ]
}</t>
  </si>
  <si>
    <t>for every Pickup.pickupLoot.lootBoogieRobot, grant lootBoogieRobot item SCENE 5</t>
  </si>
  <si>
    <t>$.rideSummary.scenes[4].events[?(@.id === 'Pickup.pickupLoot.lootBoogieRobot')].stats[?(@.id === 'hits')].value</t>
  </si>
  <si>
    <t>{
        "resort": "$.resort",
        "park": "$.park",
        "land": "$.land",
        "publisher": "$.publisher",
        "timestamp": "$.timestamp",
        "playerId": "$.playerId",
        "items": [
                {
                        "id": "lootBoogieRobot",
                        "count": "$.rideSummary.scenes[4].events[?(@.id === 'Pickup.pickupLoot.lootBoogieRobot')].stats[?(@.id === 'hits')].value@other()",
                        "customData": [
                                {
                                        "key": "state",
                                        "value": 2
                                },
                                {
                                        "key": "category",
                                        "value": "inside"
                                },
                                {
                                        "key": "session",
                                        "value": "$.rideSummary.sessionId"
                                },
                                {
                                        "key": "scene",
                                        "value": "$.rideSummary.scenes[4].number@other()"
                                }
                        ]
                }
        ]
}</t>
  </si>
  <si>
    <t>for every Pickup.pickupLoot.lootBoogieRobot, grant lootBoogieRobot item SCENE 6</t>
  </si>
  <si>
    <t>$.rideSummary.scenes[5].events[?(@.id === 'Pickup.pickupLoot.lootBoogieRobot')].stats[?(@.id === 'hits')].value</t>
  </si>
  <si>
    <t>{
        "resort": "$.resort",
        "park": "$.park",
        "land": "$.land",
        "publisher": "$.publisher",
        "timestamp": "$.timestamp",
        "playerId": "$.playerId",
        "items": [
                {
                        "id": "lootBoogieRobot",
                        "count": "$.rideSummary.scenes[5].events[?(@.id === 'Pickup.pickupLoot.lootBoogieRobot')].stats[?(@.id === 'hits')].value@other()",
                        "customData": [
                                {
                                        "key": "state",
                                        "value": 2
                                },
                                {
                                        "key": "category",
                                        "value": "inside"
                                },
                                {
                                        "key": "session",
                                        "value": "$.rideSummary.sessionId"
                                },
                                {
                                        "key": "scene",
                                        "value": "$.rideSummary.scenes[5].number@other()"
                                }
                        ]
                }
        ]
}</t>
  </si>
  <si>
    <t>for every Pickup.pickupLoot.lootBoogieRobot, grant lootBoogieRobot item SCENE 7</t>
  </si>
  <si>
    <t>$.rideSummary.scenes[6].events[?(@.id === 'Pickup.pickupLoot.lootBoogieRobot')].stats[?(@.id === 'hits')].value</t>
  </si>
  <si>
    <t>{
        "resort": "$.resort",
        "park": "$.park",
        "land": "$.land",
        "publisher": "$.publisher",
        "timestamp": "$.timestamp",
        "playerId": "$.playerId",
        "items": [
                {
                        "id": "lootBoogieRobot",
                        "count": "$.rideSummary.scenes[6].events[?(@.id === 'Pickup.pickupLoot.lootBoogieRobot')].stats[?(@.id === 'hits')].value@other()",
                        "customData": [
                                {
                                        "key": "state",
                                        "value": 2
                                },
                                {
                                        "key": "category",
                                        "value": "inside"
                                },
                                {
                                        "key": "session",
                                        "value": "$.rideSummary.sessionId"
                                },
                                {
                                        "key": "scene",
                                        "value": "$.rideSummary.scenes[6].number@other()"
                                }
                        ]
                }
        ]
}</t>
  </si>
  <si>
    <t>for every Pickup.pickupLoot.lootBigBenSnowglobe, grant lootBigBenSnowglobe item SCENE 1</t>
  </si>
  <si>
    <t>$.rideSummary.scenes[0].events[?(@.id === 'Pickup.pickupLoot.lootBigBenSnowglobe')].stats[?(@.id === 'hits')].value</t>
  </si>
  <si>
    <t>{
        "resort": "$.resort",
        "park": "$.park",
        "land": "$.land",
        "publisher": "$.publisher",
        "timestamp": "$.timestamp",
        "playerId": "$.playerId",
        "items": [
                {
                        "id": "lootBigBenSnowglobe",
                        "count": "$.rideSummary.scenes[0].events[?(@.id === 'Pickup.pickupLoot.lootBigBenSnowglobe')].stats[?(@.id === 'hits')].value@other()",
                        "customData": [
                                {
                                        "key": "state",
                                        "value": 2
                                },
                                {
                                        "key": "category",
                                        "value": "inside"
                                },
                                {
                                        "key": "session",
                                        "value": "$.rideSummary.sessionId"
                                },
                                {
                                        "key": "scene",
                                        "value": "$.rideSummary.scenes[1].number@other()"
                                }
                        ]
                }
        ]
}</t>
  </si>
  <si>
    <t>for every Pickup.pickupLoot.lootBigBenSnowglobe, grant lootBigBenSnowglobe item SCENE 2</t>
  </si>
  <si>
    <t>$.rideSummary.scenes[1].events[?(@.id === 'Pickup.pickupLoot.lootBigBenSnowglobe')].stats[?(@.id === 'hits')].value</t>
  </si>
  <si>
    <t>{
        "resort": "$.resort",
        "park": "$.park",
        "land": "$.land",
        "publisher": "$.publisher",
        "timestamp": "$.timestamp",
        "playerId": "$.playerId",
        "items": [
                {
                        "id": "lootBigBenSnowglobe",
                        "count": "$.rideSummary.scenes[1].events[?(@.id === 'Pickup.pickupLoot.lootBigBenSnowglobe')].stats[?(@.id === 'hits')].value@other()",
                        "customData": [
                                {
                                        "key": "state",
                                        "value": 2
                                },
                                {
                                        "key": "category",
                                        "value": "inside"
                                },
                                {
                                        "key": "session",
                                        "value": "$.rideSummary.sessionId"
                                },
                                {
                                        "key": "scene",
                                        "value": "$.rideSummary.scenes[1].number@other()"
                                }
                        ]
                }
        ]
}</t>
  </si>
  <si>
    <t>for every Pickup.pickupLoot.lootBigBenSnowglobe, grant lootBigBenSnowglobe item SCENE 3</t>
  </si>
  <si>
    <t>$.rideSummary.scenes[2].events[?(@.id === 'Pickup.pickupLoot.lootBigBenSnowglobe')].stats[?(@.id === 'hits')].value</t>
  </si>
  <si>
    <t>{
        "resort": "$.resort",
        "park": "$.park",
        "land": "$.land",
        "publisher": "$.publisher",
        "timestamp": "$.timestamp",
        "playerId": "$.playerId",
        "items": [
                {
                        "id": "lootBigBenSnowglobe",
                        "count": "$.rideSummary.scenes[2].events[?(@.id === 'Pickup.pickupLoot.lootBigBenSnowglobe')].stats[?(@.id === 'hits')].value@other()",
                        "customData": [
                                {
                                        "key": "state",
                                        "value": 2
                                },
                                {
                                        "key": "category",
                                        "value": "inside"
                                },
                                {
                                        "key": "session",
                                        "value": "$.rideSummary.sessionId"
                                },
                                {
                                        "key": "scene",
                                        "value": "$.rideSummary.scenes[2].number@other()"
                                }
                        ]
                }
        ]
}</t>
  </si>
  <si>
    <t>for every Pickup.pickupLoot.lootBigBenSnowglobe, grant lootBigBenSnowglobe item SCENE 4</t>
  </si>
  <si>
    <t>$.rideSummary.scenes[3].events[?(@.id === 'Pickup.pickupLoot.lootBigBenSnowglobe')].stats[?(@.id === 'hits')].value</t>
  </si>
  <si>
    <t>{
        "resort": "$.resort",
        "park": "$.park",
        "land": "$.land",
        "publisher": "$.publisher",
        "timestamp": "$.timestamp",
        "playerId": "$.playerId",
        "items": [
                {
                        "id": "lootBigBenSnowglobe",
                        "count": "$.rideSummary.scenes[3].events[?(@.id === 'Pickup.pickupLoot.lootBigBenSnowglobe')].stats[?(@.id === 'hits')].value@other()",
                        "customData": [
                                {
                                        "key": "state",
                                        "value": 2
                                },
                                {
                                        "key": "category",
                                        "value": "inside"
                                },
                                {
                                        "key": "session",
                                        "value": "$.rideSummary.sessionId"
                                },
                                {
                                        "key": "scene",
                                        "value": "$.rideSummary.scenes[3].number@other()"
                                }
                        ]
                }
        ]
}</t>
  </si>
  <si>
    <t>for every Pickup.pickupLoot.lootBigBenSnowglobe, grant lootBigBenSnowglobe item SCENE 5</t>
  </si>
  <si>
    <t>$.rideSummary.scenes[4].events[?(@.id === 'Pickup.pickupLoot.lootBigBenSnowglobe')].stats[?(@.id === 'hits')].value</t>
  </si>
  <si>
    <t>{
        "resort": "$.resort",
        "park": "$.park",
        "land": "$.land",
        "publisher": "$.publisher",
        "timestamp": "$.timestamp",
        "playerId": "$.playerId",
        "items": [
                {
                        "id": "lootBigBenSnowglobe",
                        "count": "$.rideSummary.scenes[4].events[?(@.id === 'Pickup.pickupLoot.lootBigBenSnowglobe')].stats[?(@.id === 'hits')].value@other()",
                        "customData": [
                                {
                                        "key": "state",
                                        "value": 2
                                },
                                {
                                        "key": "category",
                                        "value": "inside"
                                },
                                {
                                        "key": "session",
                                        "value": "$.rideSummary.sessionId"
                                },
                                {
                                        "key": "scene",
                                        "value": "$.rideSummary.scenes[4].number@other()"
                                }
                        ]
                }
        ]
}</t>
  </si>
  <si>
    <t>for every Pickup.pickupLoot.lootBigBenSnowglobe, grant lootBigBenSnowglobe item SCENE 6</t>
  </si>
  <si>
    <t>$.rideSummary.scenes[5].events[?(@.id === 'Pickup.pickupLoot.lootBigBenSnowglobe')].stats[?(@.id === 'hits')].value</t>
  </si>
  <si>
    <t>{
        "resort": "$.resort",
        "park": "$.park",
        "land": "$.land",
        "publisher": "$.publisher",
        "timestamp": "$.timestamp",
        "playerId": "$.playerId",
        "items": [
                {
                        "id": "lootBigBenSnowglobe",
                        "count": "$.rideSummary.scenes[5].events[?(@.id === 'Pickup.pickupLoot.lootBigBenSnowglobe')].stats[?(@.id === 'hits')].value@other()",
                        "customData": [
                                {
                                        "key": "state",
                                        "value": 2
                                },
                                {
                                        "key": "category",
                                        "value": "inside"
                                },
                                {
                                        "key": "session",
                                        "value": "$.rideSummary.sessionId"
                                },
                                {
                                        "key": "scene",
                                        "value": "$.rideSummary.scenes[5].number@other()"
                                }
                        ]
                }
        ]
}</t>
  </si>
  <si>
    <t>for every Pickup.pickupLoot.lootBigBenSnowglobe, grant lootBigBenSnowglobe item SCENE 7</t>
  </si>
  <si>
    <t>$.rideSummary.scenes[6].events[?(@.id === 'Pickup.pickupLoot.lootBigBenSnowglobe')].stats[?(@.id === 'hits')].value</t>
  </si>
  <si>
    <t>{
        "resort": "$.resort",
        "park": "$.park",
        "land": "$.land",
        "publisher": "$.publisher",
        "timestamp": "$.timestamp",
        "playerId": "$.playerId",
        "items": [
                {
                        "id": "lootBigBenSnowglobe",
                        "count": "$.rideSummary.scenes[6].events[?(@.id === 'Pickup.pickupLoot.lootBigBenSnowglobe')].stats[?(@.id === 'hits')].value@other()",
                        "customData": [
                                {
                                        "key": "state",
                                        "value": 2
                                },
                                {
                                        "key": "category",
                                        "value": "inside"
                                },
                                {
                                        "key": "session",
                                        "value": "$.rideSummary.sessionId"
                                },
                                {
                                        "key": "scene",
                                        "value": "$.rideSummary.scenes[6].number@other()"
                                }
                        ]
                }
        ]
}</t>
  </si>
  <si>
    <t>for every Pickup.pickupLoot.lootBrattActionFig, grant lootBrattToy item SCENE 1</t>
  </si>
  <si>
    <t>$.rideSummary.scenes[0].events[?(@.id === 'Pickup.pickupLoot.lootBrattActionFig')].stats[?(@.id === 'hits')].value</t>
  </si>
  <si>
    <t>{
        "resort": "$.resort",
        "park": "$.park",
        "land": "$.land",
        "publisher": "$.publisher",
        "timestamp": "$.timestamp",
        "playerId": "$.playerId",
        "items": [
                {
                        "id": "lootBrattToy",
                        "count": "$.rideSummary.scenes[0].events[?(@.id === 'Pickup.pickupLoot.lootBrattActionFig')].stats[?(@.id === 'hits')].value@other()",
                        "customData": [
                                {
                                        "key": "state",
                                        "value": 2
                                },
                                {
                                        "key": "category",
                                        "value": "inside"
                                },
                                {
                                        "key": "session",
                                        "value": "$.rideSummary.sessionId"
                                },
                                {
                                        "key": "scene",
                                        "value": "$.rideSummary.scenes[1].number@other()"
                                }
                        ]
                }
        ]
}</t>
  </si>
  <si>
    <t>for every Pickup.pickupLoot.lootBrattActionFig, grant lootBrattToy item SCENE 2</t>
  </si>
  <si>
    <t>$.rideSummary.scenes[1].events[?(@.id === 'Pickup.pickupLoot.lootBrattActionFig')].stats[?(@.id === 'hits')].value</t>
  </si>
  <si>
    <t>{
        "resort": "$.resort",
        "park": "$.park",
        "land": "$.land",
        "publisher": "$.publisher",
        "timestamp": "$.timestamp",
        "playerId": "$.playerId",
        "items": [
                {
                        "id": "lootBrattToy",
                        "count": "$.rideSummary.scenes[1].events[?(@.id === 'Pickup.pickupLoot.lootBrattActionFig')].stats[?(@.id === 'hits')].value@other()",
                        "customData": [
                                {
                                        "key": "state",
                                        "value": 2
                                },
                                {
                                        "key": "category",
                                        "value": "inside"
                                },
                                {
                                        "key": "session",
                                        "value": "$.rideSummary.sessionId"
                                },
                                {
                                        "key": "scene",
                                        "value": "$.rideSummary.scenes[1].number@other()"
                                }
                        ]
                }
        ]
}</t>
  </si>
  <si>
    <t>for every Pickup.pickupLoot.lootBrattActionFig, grant lootBrattToy item SCENE 3</t>
  </si>
  <si>
    <t>$.rideSummary.scenes[2].events[?(@.id === 'Pickup.pickupLoot.lootBrattActionFig')].stats[?(@.id === 'hits')].value</t>
  </si>
  <si>
    <t>{
        "resort": "$.resort",
        "park": "$.park",
        "land": "$.land",
        "publisher": "$.publisher",
        "timestamp": "$.timestamp",
        "playerId": "$.playerId",
        "items": [
                {
                        "id": "lootBrattToy",
                        "count": "$.rideSummary.scenes[2].events[?(@.id === 'Pickup.pickupLoot.lootBrattActionFig')].stats[?(@.id === 'hits')].value@other()",
                        "customData": [
                                {
                                        "key": "state",
                                        "value": 2
                                },
                                {
                                        "key": "category",
                                        "value": "inside"
                                },
                                {
                                        "key": "session",
                                        "value": "$.rideSummary.sessionId"
                                },
                                {
                                        "key": "scene",
                                        "value": "$.rideSummary.scenes[2].number@other()"
                                }
                        ]
                }
        ]
}</t>
  </si>
  <si>
    <t>for every Pickup.pickupLoot.lootBrattActionFig, grant lootBrattToy item SCENE 4</t>
  </si>
  <si>
    <t>$.rideSummary.scenes[3].events[?(@.id === 'Pickup.pickupLoot.lootBrattActionFig')].stats[?(@.id === 'hits')].value</t>
  </si>
  <si>
    <t>{
        "resort": "$.resort",
        "park": "$.park",
        "land": "$.land",
        "publisher": "$.publisher",
        "timestamp": "$.timestamp",
        "playerId": "$.playerId",
        "items": [
                {
                        "id": "lootBrattToy",
                        "count": "$.rideSummary.scenes[3].events[?(@.id === 'Pickup.pickupLoot.lootBrattActionFig')].stats[?(@.id === 'hits')].value@other()",
                        "customData": [
                                {
                                        "key": "state",
                                        "value": 2
                                },
                                {
                                        "key": "category",
                                        "value": "inside"
                                },
                                {
                                        "key": "session",
                                        "value": "$.rideSummary.sessionId"
                                },
                                {
                                        "key": "scene",
                                        "value": "$.rideSummary.scenes[3].number@other()"
                                }
                        ]
                }
        ]
}</t>
  </si>
  <si>
    <t>for every Pickup.pickupLoot.lootBrattActionFig, grant lootBrattToy item SCENE 5</t>
  </si>
  <si>
    <t>$.rideSummary.scenes[4].events[?(@.id === 'Pickup.pickupLoot.lootBrattActionFig')].stats[?(@.id === 'hits')].value</t>
  </si>
  <si>
    <t>{
        "resort": "$.resort",
        "park": "$.park",
        "land": "$.land",
        "publisher": "$.publisher",
        "timestamp": "$.timestamp",
        "playerId": "$.playerId",
        "items": [
                {
                        "id": "lootBrattToy",
                        "count": "$.rideSummary.scenes[4].events[?(@.id === 'Pickup.pickupLoot.lootBrattActionFig')].stats[?(@.id === 'hits')].value@other()",
                        "customData": [
                                {
                                        "key": "state",
                                        "value": 2
                                },
                                {
                                        "key": "category",
                                        "value": "inside"
                                },
                                {
                                        "key": "session",
                                        "value": "$.rideSummary.sessionId"
                                },
                                {
                                        "key": "scene",
                                        "value": "$.rideSummary.scenes[4].number@other()"
                                }
                        ]
                }
        ]
}</t>
  </si>
  <si>
    <t>for every Pickup.pickupLoot.lootBrattActionFig, grant lootBrattToy item SCENE 6</t>
  </si>
  <si>
    <t>$.rideSummary.scenes[5].events[?(@.id === 'Pickup.pickupLoot.lootBrattActionFig')].stats[?(@.id === 'hits')].value</t>
  </si>
  <si>
    <t>{
        "resort": "$.resort",
        "park": "$.park",
        "land": "$.land",
        "publisher": "$.publisher",
        "timestamp": "$.timestamp",
        "playerId": "$.playerId",
        "items": [
                {
                        "id": "lootBrattToy",
                        "count": "$.rideSummary.scenes[5].events[?(@.id === 'Pickup.pickupLoot.lootBrattActionFig')].stats[?(@.id === 'hits')].value@other()",
                        "customData": [
                                {
                                        "key": "state",
                                        "value": 2
                                },
                                {
                                        "key": "category",
                                        "value": "inside"
                                },
                                {
                                        "key": "session",
                                        "value": "$.rideSummary.sessionId"
                                },
                                {
                                        "key": "scene",
                                        "value": "$.rideSummary.scenes[5].number@other()"
                                }
                        ]
                }
        ]
}</t>
  </si>
  <si>
    <t>for every Pickup.pickupLoot.lootBrattActionFig, grant lootBrattToy item SCENE 7</t>
  </si>
  <si>
    <t>$.rideSummary.scenes[6].events[?(@.id === 'Pickup.pickupLoot.lootBrattActionFig')].stats[?(@.id === 'hits')].value</t>
  </si>
  <si>
    <t>{
        "resort": "$.resort",
        "park": "$.park",
        "land": "$.land",
        "publisher": "$.publisher",
        "timestamp": "$.timestamp",
        "playerId": "$.playerId",
        "items": [
                {
                        "id": "lootBrattToy",
                        "count": "$.rideSummary.scenes[6].events[?(@.id === 'Pickup.pickupLoot.lootBrattActionFig')].stats[?(@.id === 'hits')].value@other()",
                        "customData": [
                                {
                                        "key": "state",
                                        "value": 2
                                },
                                {
                                        "key": "category",
                                        "value": "inside"
                                },
                                {
                                        "key": "session",
                                        "value": "$.rideSummary.sessionId"
                                },
                                {
                                        "key": "scene",
                                        "value": "$.rideSummary.scenes[6].number@other()"
                                }
                        ]
                }
        ]
}</t>
  </si>
  <si>
    <t>for every Pickup.pickupLoot.lootBrattBubblegum, grant lootBubbleGum item SCENE 1</t>
  </si>
  <si>
    <t>$.rideSummary.scenes[0].events[?(@.id === 'Pickup.pickupLoot.lootBrattBubblegum')].stats[?(@.id === 'hits')].value</t>
  </si>
  <si>
    <t>{
        "resort": "$.resort",
        "park": "$.park",
        "land": "$.land",
        "publisher": "$.publisher",
        "timestamp": "$.timestamp",
        "playerId": "$.playerId",
        "items": [
                {
                        "id": "lootBubbleGum",
                        "count": "$.rideSummary.scenes[0].events[?(@.id === 'Pickup.pickupLoot.lootBrattBubblegum')].stats[?(@.id === 'hits')].value@other()",
                        "customData": [
                                {
                                        "key": "state",
                                        "value": 2
                                },
                                {
                                        "key": "category",
                                        "value": "inside"
                                },
                                {
                                        "key": "session",
                                        "value": "$.rideSummary.sessionId"
                                },
                                {
                                        "key": "scene",
                                        "value": "$.rideSummary.scenes[1].number@other()"
                                }
                        ]
                }
        ]
}</t>
  </si>
  <si>
    <t>for every Pickup.pickupLoot.lootBrattBubblegum, grant lootBubbleGum item SCENE 2</t>
  </si>
  <si>
    <t>$.rideSummary.scenes[1].events[?(@.id === 'Pickup.pickupLoot.lootBrattBubblegum')].stats[?(@.id === 'hits')].value</t>
  </si>
  <si>
    <t>{
        "resort": "$.resort",
        "park": "$.park",
        "land": "$.land",
        "publisher": "$.publisher",
        "timestamp": "$.timestamp",
        "playerId": "$.playerId",
        "items": [
                {
                        "id": "lootBubbleGum",
                        "count": "$.rideSummary.scenes[1].events[?(@.id === 'Pickup.pickupLoot.lootBrattBubblegum')].stats[?(@.id === 'hits')].value@other()",
                        "customData": [
                                {
                                        "key": "state",
                                        "value": 2
                                },
                                {
                                        "key": "category",
                                        "value": "inside"
                                },
                                {
                                        "key": "session",
                                        "value": "$.rideSummary.sessionId"
                                },
                                {
                                        "key": "scene",
                                        "value": "$.rideSummary.scenes[1].number@other()"
                                }
                        ]
                }
        ]
}</t>
  </si>
  <si>
    <t>for every Pickup.pickupLoot.lootBrattBubblegum, grant lootBubbleGum item SCENE 3</t>
  </si>
  <si>
    <t>$.rideSummary.scenes[2].events[?(@.id === 'Pickup.pickupLoot.lootBrattBubblegum')].stats[?(@.id === 'hits')].value</t>
  </si>
  <si>
    <t>{
        "resort": "$.resort",
        "park": "$.park",
        "land": "$.land",
        "publisher": "$.publisher",
        "timestamp": "$.timestamp",
        "playerId": "$.playerId",
        "items": [
                {
                        "id": "lootBubbleGum",
                        "count": "$.rideSummary.scenes[2].events[?(@.id === 'Pickup.pickupLoot.lootBrattBubblegum')].stats[?(@.id === 'hits')].value@other()",
                        "customData": [
                                {
                                        "key": "state",
                                        "value": 2
                                },
                                {
                                        "key": "category",
                                        "value": "inside"
                                },
                                {
                                        "key": "session",
                                        "value": "$.rideSummary.sessionId"
                                },
                                {
                                        "key": "scene",
                                        "value": "$.rideSummary.scenes[2].number@other()"
                                }
                        ]
                }
        ]
}</t>
  </si>
  <si>
    <t>for every Pickup.pickupLoot.lootBrattBubblegum, grant lootBubbleGum item SCENE 4</t>
  </si>
  <si>
    <t>$.rideSummary.scenes[3].events[?(@.id === 'Pickup.pickupLoot.lootBrattBubblegum')].stats[?(@.id === 'hits')].value</t>
  </si>
  <si>
    <t>{
        "resort": "$.resort",
        "park": "$.park",
        "land": "$.land",
        "publisher": "$.publisher",
        "timestamp": "$.timestamp",
        "playerId": "$.playerId",
        "items": [
                {
                        "id": "lootBubbleGum",
                        "count": "$.rideSummary.scenes[3].events[?(@.id === 'Pickup.pickupLoot.lootBrattBubblegum')].stats[?(@.id === 'hits')].value@other()",
                        "customData": [
                                {
                                        "key": "state",
                                        "value": 2
                                },
                                {
                                        "key": "category",
                                        "value": "inside"
                                },
                                {
                                        "key": "session",
                                        "value": "$.rideSummary.sessionId"
                                },
                                {
                                        "key": "scene",
                                        "value": "$.rideSummary.scenes[3].number@other()"
                                }
                        ]
                }
        ]
}</t>
  </si>
  <si>
    <t>for every Pickup.pickupLoot.lootBrattBubblegum, grant lootBubbleGum item SCENE 5</t>
  </si>
  <si>
    <t>$.rideSummary.scenes[4].events[?(@.id === 'Pickup.pickupLoot.lootBrattBubblegum')].stats[?(@.id === 'hits')].value</t>
  </si>
  <si>
    <t>{
        "resort": "$.resort",
        "park": "$.park",
        "land": "$.land",
        "publisher": "$.publisher",
        "timestamp": "$.timestamp",
        "playerId": "$.playerId",
        "items": [
                {
                        "id": "lootBubbleGum",
                        "count": "$.rideSummary.scenes[4].events[?(@.id === 'Pickup.pickupLoot.lootBrattBubblegum')].stats[?(@.id === 'hits')].value@other()",
                        "customData": [
                                {
                                        "key": "state",
                                        "value": 2
                                },
                                {
                                        "key": "category",
                                        "value": "inside"
                                },
                                {
                                        "key": "session",
                                        "value": "$.rideSummary.sessionId"
                                },
                                {
                                        "key": "scene",
                                        "value": "$.rideSummary.scenes[4].number@other()"
                                }
                        ]
                }
        ]
}</t>
  </si>
  <si>
    <t>for every Pickup.pickupLoot.lootBrattBubblegum, grant lootBubbleGum item SCENE 6</t>
  </si>
  <si>
    <t>$.rideSummary.scenes[5].events[?(@.id === 'Pickup.pickupLoot.lootBrattBubblegum')].stats[?(@.id === 'hits')].value</t>
  </si>
  <si>
    <t>{
        "resort": "$.resort",
        "park": "$.park",
        "land": "$.land",
        "publisher": "$.publisher",
        "timestamp": "$.timestamp",
        "playerId": "$.playerId",
        "items": [
                {
                        "id": "lootBubbleGum",
                        "count": "$.rideSummary.scenes[5].events[?(@.id === 'Pickup.pickupLoot.lootBrattBubblegum')].stats[?(@.id === 'hits')].value@other()",
                        "customData": [
                                {
                                        "key": "state",
                                        "value": 2
                                },
                                {
                                        "key": "category",
                                        "value": "inside"
                                },
                                {
                                        "key": "session",
                                        "value": "$.rideSummary.sessionId"
                                },
                                {
                                        "key": "scene",
                                        "value": "$.rideSummary.scenes[5].number@other()"
                                }
                        ]
                }
        ]
}</t>
  </si>
  <si>
    <t>for every Pickup.pickupLoot.lootBrattBubblegum, grant lootBubbleGum item SCENE 7</t>
  </si>
  <si>
    <t>$.rideSummary.scenes[6].events[?(@.id === 'Pickup.pickupLoot.lootBrattBubblegum')].stats[?(@.id === 'hits')].value</t>
  </si>
  <si>
    <t>{
        "resort": "$.resort",
        "park": "$.park",
        "land": "$.land",
        "publisher": "$.publisher",
        "timestamp": "$.timestamp",
        "playerId": "$.playerId",
        "items": [
                {
                        "id": "lootBubbleGum",
                        "count": "$.rideSummary.scenes[6].events[?(@.id === 'Pickup.pickupLoot.lootBrattBubblegum')].stats[?(@.id === 'hits')].value@other()",
                        "customData": [
                                {
                                        "key": "state",
                                        "value": 2
                                },
                                {
                                        "key": "category",
                                        "value": "inside"
                                },
                                {
                                        "key": "session",
                                        "value": "$.rideSummary.sessionId"
                                },
                                {
                                        "key": "scene",
                                        "value": "$.rideSummary.scenes[6].number@other()"
                                }
                        ]
                }
        ]
}</t>
  </si>
  <si>
    <t>for every Pickup.pickupLoot.lootLunchbox, grant lootLunchbox item SCENE 1</t>
  </si>
  <si>
    <t>$.rideSummary.scenes[0].events[?(@.id === 'Pickup.pickupLoot.lootLunchbox')].stats[?(@.id === 'hits')].value</t>
  </si>
  <si>
    <t>{
        "resort": "$.resort",
        "park": "$.park",
        "land": "$.land",
        "publisher": "$.publisher",
        "timestamp": "$.timestamp",
        "playerId": "$.playerId",
        "items": [
                {
                        "id": "lootLunchbox",
                        "count": "$.rideSummary.scenes[0].events[?(@.id === 'Pickup.pickupLoot.lootLunchbox')].stats[?(@.id === 'hits')].value@other()",
                        "customData": [
                                {
                                        "key": "state",
                                        "value": 2
                                },
                                {
                                        "key": "category",
                                        "value": "inside"
                                },
                                {
                                        "key": "session",
                                        "value": "$.rideSummary.sessionId"
                                },
                                {
                                        "key": "scene",
                                        "value": "$.rideSummary.scenes[1].number@other()"
                                }
                        ]
                }
        ]
}</t>
  </si>
  <si>
    <t>for every Pickup.pickupLoot.lootLunchbox, grant lootLunchbox item SCENE 2</t>
  </si>
  <si>
    <t>$.rideSummary.scenes[1].events[?(@.id === 'Pickup.pickupLoot.lootLunchbox')].stats[?(@.id === 'hits')].value</t>
  </si>
  <si>
    <t>{
        "resort": "$.resort",
        "park": "$.park",
        "land": "$.land",
        "publisher": "$.publisher",
        "timestamp": "$.timestamp",
        "playerId": "$.playerId",
        "items": [
                {
                        "id": "lootLunchbox",
                        "count": "$.rideSummary.scenes[1].events[?(@.id === 'Pickup.pickupLoot.lootLunchbox')].stats[?(@.id === 'hits')].value@other()",
                        "customData": [
                                {
                                        "key": "state",
                                        "value": 2
                                },
                                {
                                        "key": "category",
                                        "value": "inside"
                                },
                                {
                                        "key": "session",
                                        "value": "$.rideSummary.sessionId"
                                },
                                {
                                        "key": "scene",
                                        "value": "$.rideSummary.scenes[1].number@other()"
                                }
                        ]
                }
        ]
}</t>
  </si>
  <si>
    <t>for every Pickup.pickupLoot.lootLunchbox, grant lootLunchbox item SCENE 3</t>
  </si>
  <si>
    <t>$.rideSummary.scenes[2].events[?(@.id === 'Pickup.pickupLoot.lootLunchbox')].stats[?(@.id === 'hits')].value</t>
  </si>
  <si>
    <t>{
        "resort": "$.resort",
        "park": "$.park",
        "land": "$.land",
        "publisher": "$.publisher",
        "timestamp": "$.timestamp",
        "playerId": "$.playerId",
        "items": [
                {
                        "id": "lootLunchbox",
                        "count": "$.rideSummary.scenes[2].events[?(@.id === 'Pickup.pickupLoot.lootLunchbox')].stats[?(@.id === 'hits')].value@other()",
                        "customData": [
                                {
                                        "key": "state",
                                        "value": 2
                                },
                                {
                                        "key": "category",
                                        "value": "inside"
                                },
                                {
                                        "key": "session",
                                        "value": "$.rideSummary.sessionId"
                                },
                                {
                                        "key": "scene",
                                        "value": "$.rideSummary.scenes[2].number@other()"
                                }
                        ]
                }
        ]
}</t>
  </si>
  <si>
    <t>for every Pickup.pickupLoot.lootLunchbox, grant lootLunchbox item SCENE 4</t>
  </si>
  <si>
    <t>$.rideSummary.scenes[3].events[?(@.id === 'Pickup.pickupLoot.lootLunchbox')].stats[?(@.id === 'hits')].value</t>
  </si>
  <si>
    <t>{
        "resort": "$.resort",
        "park": "$.park",
        "land": "$.land",
        "publisher": "$.publisher",
        "timestamp": "$.timestamp",
        "playerId": "$.playerId",
        "items": [
                {
                        "id": "lootLunchbox",
                        "count": "$.rideSummary.scenes[3].events[?(@.id === 'Pickup.pickupLoot.lootLunchbox')].stats[?(@.id === 'hits')].value@other()",
                        "customData": [
                                {
                                        "key": "state",
                                        "value": 2
                                },
                                {
                                        "key": "category",
                                        "value": "inside"
                                },
                                {
                                        "key": "session",
                                        "value": "$.rideSummary.sessionId"
                                },
                                {
                                        "key": "scene",
                                        "value": "$.rideSummary.scenes[3].number@other()"
                                }
                        ]
                }
        ]
}</t>
  </si>
  <si>
    <t>for every Pickup.pickupLoot.lootLunchbox, grant lootLunchbox item SCENE 5</t>
  </si>
  <si>
    <t>$.rideSummary.scenes[4].events[?(@.id === 'Pickup.pickupLoot.lootLunchbox')].stats[?(@.id === 'hits')].value</t>
  </si>
  <si>
    <t>{
        "resort": "$.resort",
        "park": "$.park",
        "land": "$.land",
        "publisher": "$.publisher",
        "timestamp": "$.timestamp",
        "playerId": "$.playerId",
        "items": [
                {
                        "id": "lootLunchbox",
                        "count": "$.rideSummary.scenes[4].events[?(@.id === 'Pickup.pickupLoot.lootLunchbox')].stats[?(@.id === 'hits')].value@other()",
                        "customData": [
                                {
                                        "key": "state",
                                        "value": 2
                                },
                                {
                                        "key": "category",
                                        "value": "inside"
                                },
                                {
                                        "key": "session",
                                        "value": "$.rideSummary.sessionId"
                                },
                                {
                                        "key": "scene",
                                        "value": "$.rideSummary.scenes[4].number@other()"
                                }
                        ]
                }
        ]
}</t>
  </si>
  <si>
    <t>for every Pickup.pickupLoot.lootLunchbox, grant lootLunchbox item SCENE 6</t>
  </si>
  <si>
    <t>$.rideSummary.scenes[5].events[?(@.id === 'Pickup.pickupLoot.lootLunchbox')].stats[?(@.id === 'hits')].value</t>
  </si>
  <si>
    <t>{
        "resort": "$.resort",
        "park": "$.park",
        "land": "$.land",
        "publisher": "$.publisher",
        "timestamp": "$.timestamp",
        "playerId": "$.playerId",
        "items": [
                {
                        "id": "lootLunchbox",
                        "count": "$.rideSummary.scenes[5].events[?(@.id === 'Pickup.pickupLoot.lootLunchbox')].stats[?(@.id === 'hits')].value@other()",
                        "customData": [
                                {
                                        "key": "state",
                                        "value": 2
                                },
                                {
                                        "key": "category",
                                        "value": "inside"
                                },
                                {
                                        "key": "session",
                                        "value": "$.rideSummary.sessionId"
                                },
                                {
                                        "key": "scene",
                                        "value": "$.rideSummary.scenes[5].number@other()"
                                }
                        ]
                }
        ]
}</t>
  </si>
  <si>
    <t>for every Pickup.pickupLoot.lootLunchbox, grant lootLunchbox item SCENE 7</t>
  </si>
  <si>
    <t>$.rideSummary.scenes[6].events[?(@.id === 'Pickup.pickupLoot.lootLunchbox')].stats[?(@.id === 'hits')].value</t>
  </si>
  <si>
    <t>{
        "resort": "$.resort",
        "park": "$.park",
        "land": "$.land",
        "publisher": "$.publisher",
        "timestamp": "$.timestamp",
        "playerId": "$.playerId",
        "items": [
                {
                        "id": "lootLunchbox",
                        "count": "$.rideSummary.scenes[6].events[?(@.id === 'Pickup.pickupLoot.lootLunchbox')].stats[?(@.id === 'hits')].value@other()",
                        "customData": [
                                {
                                        "key": "state",
                                        "value": 2
                                },
                                {
                                        "key": "category",
                                        "value": "inside"
                                },
                                {
                                        "key": "session",
                                        "value": "$.rideSummary.sessionId"
                                },
                                {
                                        "key": "scene",
                                        "value": "$.rideSummary.scenes[6].number@other()"
                                }
                        ]
                }
        ]
}</t>
  </si>
  <si>
    <t>for every Pickup.pickupLoot.lootBrattMixtape, grant lootBrattMixtape item SCENE 1</t>
  </si>
  <si>
    <t>$.rideSummary.scenes[0].events[?(@.id === 'Pickup.pickupLoot.lootBrattMixtape')].stats[?(@.id === 'hits')].value</t>
  </si>
  <si>
    <t>{
        "resort": "$.resort",
        "park": "$.park",
        "land": "$.land",
        "publisher": "$.publisher",
        "timestamp": "$.timestamp",
        "playerId": "$.playerId",
        "items": [
                {
                        "id": "lootBrattMixtape",
                        "count": "$.rideSummary.scenes[0].events[?(@.id === 'Pickup.pickupLoot.lootBrattMixtape')].stats[?(@.id === 'hits')].value@other()",
                        "customData": [
                                {
                                        "key": "state",
                                        "value": 2
                                },
                                {
                                        "key": "category",
                                        "value": "inside"
                                },
                                {
                                        "key": "session",
                                        "value": "$.rideSummary.sessionId"
                                },
                                {
                                        "key": "scene",
                                        "value": "$.rideSummary.scenes[1].number@other()"
                                }
                        ]
                }
        ]
}</t>
  </si>
  <si>
    <t>for every Pickup.pickupLoot.lootBrattMixtape, grant lootBrattMixtape item SCENE 2</t>
  </si>
  <si>
    <t>$.rideSummary.scenes[1].events[?(@.id === 'Pickup.pickupLoot.lootBrattMixtape')].stats[?(@.id === 'hits')].value</t>
  </si>
  <si>
    <t>{
        "resort": "$.resort",
        "park": "$.park",
        "land": "$.land",
        "publisher": "$.publisher",
        "timestamp": "$.timestamp",
        "playerId": "$.playerId",
        "items": [
                {
                        "id": "lootBrattMixtape",
                        "count": "$.rideSummary.scenes[1].events[?(@.id === 'Pickup.pickupLoot.lootBrattMixtape')].stats[?(@.id === 'hits')].value@other()",
                        "customData": [
                                {
                                        "key": "state",
                                        "value": 2
                                },
                                {
                                        "key": "category",
                                        "value": "inside"
                                },
                                {
                                        "key": "session",
                                        "value": "$.rideSummary.sessionId"
                                },
                                {
                                        "key": "scene",
                                        "value": "$.rideSummary.scenes[1].number@other()"
                                }
                        ]
                }
        ]
}</t>
  </si>
  <si>
    <t>for every Pickup.pickupLoot.lootBrattMixtape, grant lootBrattMixtape item SCENE 3</t>
  </si>
  <si>
    <t>$.rideSummary.scenes[2].events[?(@.id === 'Pickup.pickupLoot.lootBrattMixtape')].stats[?(@.id === 'hits')].value</t>
  </si>
  <si>
    <t>{
        "resort": "$.resort",
        "park": "$.park",
        "land": "$.land",
        "publisher": "$.publisher",
        "timestamp": "$.timestamp",
        "playerId": "$.playerId",
        "items": [
                {
                        "id": "lootBrattMixtape",
                        "count": "$.rideSummary.scenes[2].events[?(@.id === 'Pickup.pickupLoot.lootBrattMixtape')].stats[?(@.id === 'hits')].value@other()",
                        "customData": [
                                {
                                        "key": "state",
                                        "value": 2
                                },
                                {
                                        "key": "category",
                                        "value": "inside"
                                },
                                {
                                        "key": "session",
                                        "value": "$.rideSummary.sessionId"
                                },
                                {
                                        "key": "scene",
                                        "value": "$.rideSummary.scenes[2].number@other()"
                                }
                        ]
                }
        ]
}</t>
  </si>
  <si>
    <t>for every Pickup.pickupLoot.lootBrattMixtape, grant lootBrattMixtape item SCENE 4</t>
  </si>
  <si>
    <t>$.rideSummary.scenes[3].events[?(@.id === 'Pickup.pickupLoot.lootBrattMixtape')].stats[?(@.id === 'hits')].value</t>
  </si>
  <si>
    <t>{
        "resort": "$.resort",
        "park": "$.park",
        "land": "$.land",
        "publisher": "$.publisher",
        "timestamp": "$.timestamp",
        "playerId": "$.playerId",
        "items": [
                {
                        "id": "lootBrattMixtape",
                        "count": "$.rideSummary.scenes[3].events[?(@.id === 'Pickup.pickupLoot.lootBrattMixtape')].stats[?(@.id === 'hits')].value@other()",
                        "customData": [
                                {
                                        "key": "state",
                                        "value": 2
                                },
                                {
                                        "key": "category",
                                        "value": "inside"
                                },
                                {
                                        "key": "session",
                                        "value": "$.rideSummary.sessionId"
                                },
                                {
                                        "key": "scene",
                                        "value": "$.rideSummary.scenes[3].number@other()"
                                }
                        ]
                }
        ]
}</t>
  </si>
  <si>
    <t>for every Pickup.pickupLoot.lootBrattMixtape, grant lootBrattMixtape item SCENE 5</t>
  </si>
  <si>
    <t>$.rideSummary.scenes[4].events[?(@.id === 'Pickup.pickupLoot.lootBrattMixtape')].stats[?(@.id === 'hits')].value</t>
  </si>
  <si>
    <t>{
        "resort": "$.resort",
        "park": "$.park",
        "land": "$.land",
        "publisher": "$.publisher",
        "timestamp": "$.timestamp",
        "playerId": "$.playerId",
        "items": [
                {
                        "id": "lootBrattMixtape",
                        "count": "$.rideSummary.scenes[4].events[?(@.id === 'Pickup.pickupLoot.lootBrattMixtape')].stats[?(@.id === 'hits')].value@other()",
                        "customData": [
                                {
                                        "key": "state",
                                        "value": 2
                                },
                                {
                                        "key": "category",
                                        "value": "inside"
                                },
                                {
                                        "key": "session",
                                        "value": "$.rideSummary.sessionId"
                                },
                                {
                                        "key": "scene",
                                        "value": "$.rideSummary.scenes[4].number@other()"
                                }
                        ]
                }
        ]
}</t>
  </si>
  <si>
    <t>for every Pickup.pickupLoot.lootBrattMixtape, grant lootBrattMixtape item SCENE 6</t>
  </si>
  <si>
    <t>$.rideSummary.scenes[5].events[?(@.id === 'Pickup.pickupLoot.lootBrattMixtape')].stats[?(@.id === 'hits')].value</t>
  </si>
  <si>
    <t>{
        "resort": "$.resort",
        "park": "$.park",
        "land": "$.land",
        "publisher": "$.publisher",
        "timestamp": "$.timestamp",
        "playerId": "$.playerId",
        "items": [
                {
                        "id": "lootBrattMixtape",
                        "count": "$.rideSummary.scenes[5].events[?(@.id === 'Pickup.pickupLoot.lootBrattMixtape')].stats[?(@.id === 'hits')].value@other()",
                        "customData": [
                                {
                                        "key": "state",
                                        "value": 2
                                },
                                {
                                        "key": "category",
                                        "value": "inside"
                                },
                                {
                                        "key": "session",
                                        "value": "$.rideSummary.sessionId"
                                },
                                {
                                        "key": "scene",
                                        "value": "$.rideSummary.scenes[5].number@other()"
                                }
                        ]
                }
        ]
}</t>
  </si>
  <si>
    <t>for every Pickup.pickupLoot.lootBrattMixtape, grant lootBrattMixtape item SCENE 7</t>
  </si>
  <si>
    <t>$.rideSummary.scenes[6].events[?(@.id === 'Pickup.pickupLoot.lootBrattMixtape')].stats[?(@.id === 'hits')].value</t>
  </si>
  <si>
    <t>{
        "resort": "$.resort",
        "park": "$.park",
        "land": "$.land",
        "publisher": "$.publisher",
        "timestamp": "$.timestamp",
        "playerId": "$.playerId",
        "items": [
                {
                        "id": "lootBrattMixtape",
                        "count": "$.rideSummary.scenes[6].events[?(@.id === 'Pickup.pickupLoot.lootBrattMixtape')].stats[?(@.id === 'hits')].value@other()",
                        "customData": [
                                {
                                        "key": "state",
                                        "value": 2
                                },
                                {
                                        "key": "category",
                                        "value": "inside"
                                },
                                {
                                        "key": "session",
                                        "value": "$.rideSummary.sessionId"
                                },
                                {
                                        "key": "scene",
                                        "value": "$.rideSummary.scenes[6].number@other()"
                                }
                        ]
                }
        ]
}</t>
  </si>
  <si>
    <t>for every Pickup.pickupLoot.lootClive, grant lootClive item SCENE 1</t>
  </si>
  <si>
    <t>$.rideSummary.scenes[0].events[?(@.id === 'Pickup.pickupLoot.lootClive')].stats[?(@.id === 'hits')].value</t>
  </si>
  <si>
    <t>{
        "resort": "$.resort",
        "park": "$.park",
        "land": "$.land",
        "publisher": "$.publisher",
        "timestamp": "$.timestamp",
        "playerId": "$.playerId",
        "items": [
                {
                        "id": "lootClive",
                        "count": "$.rideSummary.scenes[0].events[?(@.id === 'Pickup.pickupLoot.lootClive')].stats[?(@.id === 'hits')].value@other()",
                        "customData": [
                                {
                                        "key": "state",
                                        "value": 2
                                },
                                {
                                        "key": "category",
                                        "value": "inside"
                                },
                                {
                                        "key": "session",
                                        "value": "$.rideSummary.sessionId"
                                },
                                {
                                        "key": "scene",
                                        "value": "$.rideSummary.scenes[1].number@other()"
                                }
                        ]
                }
        ]
}</t>
  </si>
  <si>
    <t>for every Pickup.pickupLoot.lootClive, grant lootClive item SCENE 2</t>
  </si>
  <si>
    <t>$.rideSummary.scenes[1].events[?(@.id === 'Pickup.pickupLoot.lootClive')].stats[?(@.id === 'hits')].value</t>
  </si>
  <si>
    <t>{
        "resort": "$.resort",
        "park": "$.park",
        "land": "$.land",
        "publisher": "$.publisher",
        "timestamp": "$.timestamp",
        "playerId": "$.playerId",
        "items": [
                {
                        "id": "lootClive",
                        "count": "$.rideSummary.scenes[1].events[?(@.id === 'Pickup.pickupLoot.lootClive')].stats[?(@.id === 'hits')].value@other()",
                        "customData": [
                                {
                                        "key": "state",
                                        "value": 2
                                },
                                {
                                        "key": "category",
                                        "value": "inside"
                                },
                                {
                                        "key": "session",
                                        "value": "$.rideSummary.sessionId"
                                },
                                {
                                        "key": "scene",
                                        "value": "$.rideSummary.scenes[1].number@other()"
                                }
                        ]
                }
        ]
}</t>
  </si>
  <si>
    <t>for every Pickup.pickupLoot.lootClive, grant lootClive item SCENE 3</t>
  </si>
  <si>
    <t>$.rideSummary.scenes[2].events[?(@.id === 'Pickup.pickupLoot.lootClive')].stats[?(@.id === 'hits')].value</t>
  </si>
  <si>
    <t>{
        "resort": "$.resort",
        "park": "$.park",
        "land": "$.land",
        "publisher": "$.publisher",
        "timestamp": "$.timestamp",
        "playerId": "$.playerId",
        "items": [
                {
                        "id": "lootClive",
                        "count": "$.rideSummary.scenes[2].events[?(@.id === 'Pickup.pickupLoot.lootClive')].stats[?(@.id === 'hits')].value@other()",
                        "customData": [
                                {
                                        "key": "state",
                                        "value": 2
                                },
                                {
                                        "key": "category",
                                        "value": "inside"
                                },
                                {
                                        "key": "session",
                                        "value": "$.rideSummary.sessionId"
                                },
                                {
                                        "key": "scene",
                                        "value": "$.rideSummary.scenes[2].number@other()"
                                }
                        ]
                }
        ]
}</t>
  </si>
  <si>
    <t>for every Pickup.pickupLoot.lootClive, grant lootClive item SCENE 4</t>
  </si>
  <si>
    <t>$.rideSummary.scenes[3].events[?(@.id === 'Pickup.pickupLoot.lootClive')].stats[?(@.id === 'hits')].value</t>
  </si>
  <si>
    <t>{
        "resort": "$.resort",
        "park": "$.park",
        "land": "$.land",
        "publisher": "$.publisher",
        "timestamp": "$.timestamp",
        "playerId": "$.playerId",
        "items": [
                {
                        "id": "lootClive",
                        "count": "$.rideSummary.scenes[3].events[?(@.id === 'Pickup.pickupLoot.lootClive')].stats[?(@.id === 'hits')].value@other()",
                        "customData": [
                                {
                                        "key": "state",
                                        "value": 2
                                },
                                {
                                        "key": "category",
                                        "value": "inside"
                                },
                                {
                                        "key": "session",
                                        "value": "$.rideSummary.sessionId"
                                },
                                {
                                        "key": "scene",
                                        "value": "$.rideSummary.scenes[3].number@other()"
                                }
                        ]
                }
        ]
}</t>
  </si>
  <si>
    <t>for every Pickup.pickupLoot.lootClive, grant lootClive item SCENE 5</t>
  </si>
  <si>
    <t>$.rideSummary.scenes[4].events[?(@.id === 'Pickup.pickupLoot.lootClive')].stats[?(@.id === 'hits')].value</t>
  </si>
  <si>
    <t>{
        "resort": "$.resort",
        "park": "$.park",
        "land": "$.land",
        "publisher": "$.publisher",
        "timestamp": "$.timestamp",
        "playerId": "$.playerId",
        "items": [
                {
                        "id": "lootClive",
                        "count": "$.rideSummary.scenes[4].events[?(@.id === 'Pickup.pickupLoot.lootClive')].stats[?(@.id === 'hits')].value@other()",
                        "customData": [
                                {
                                        "key": "state",
                                        "value": 2
                                },
                                {
                                        "key": "category",
                                        "value": "inside"
                                },
                                {
                                        "key": "session",
                                        "value": "$.rideSummary.sessionId"
                                },
                                {
                                        "key": "scene",
                                        "value": "$.rideSummary.scenes[4].number@other()"
                                }
                        ]
                }
        ]
}</t>
  </si>
  <si>
    <t>for every Pickup.pickupLoot.lootClive, grant lootClive item SCENE 6</t>
  </si>
  <si>
    <t>$.rideSummary.scenes[5].events[?(@.id === 'Pickup.pickupLoot.lootClive')].stats[?(@.id === 'hits')].value</t>
  </si>
  <si>
    <t>{
        "resort": "$.resort",
        "park": "$.park",
        "land": "$.land",
        "publisher": "$.publisher",
        "timestamp": "$.timestamp",
        "playerId": "$.playerId",
        "items": [
                {
                        "id": "lootClive",
                        "count": "$.rideSummary.scenes[5].events[?(@.id === 'Pickup.pickupLoot.lootClive')].stats[?(@.id === 'hits')].value@other()",
                        "customData": [
                                {
                                        "key": "state",
                                        "value": 2
                                },
                                {
                                        "key": "category",
                                        "value": "inside"
                                },
                                {
                                        "key": "session",
                                        "value": "$.rideSummary.sessionId"
                                },
                                {
                                        "key": "scene",
                                        "value": "$.rideSummary.scenes[5].number@other()"
                                }
                        ]
                }
        ]
}</t>
  </si>
  <si>
    <t>for every Pickup.pickupLoot.lootClive, grant lootClive item SCENE 7</t>
  </si>
  <si>
    <t>$.rideSummary.scenes[6].events[?(@.id === 'Pickup.pickupLoot.lootClive')].stats[?(@.id === 'hits')].value</t>
  </si>
  <si>
    <t>{
        "resort": "$.resort",
        "park": "$.park",
        "land": "$.land",
        "publisher": "$.publisher",
        "timestamp": "$.timestamp",
        "playerId": "$.playerId",
        "items": [
                {
                        "id": "lootClive",
                        "count": "$.rideSummary.scenes[6].events[?(@.id === 'Pickup.pickupLoot.lootClive')].stats[?(@.id === 'hits')].value@other()",
                        "customData": [
                                {
                                        "key": "state",
                                        "value": 2
                                },
                                {
                                        "key": "category",
                                        "value": "inside"
                                },
                                {
                                        "key": "session",
                                        "value": "$.rideSummary.sessionId"
                                },
                                {
                                        "key": "scene",
                                        "value": "$.rideSummary.scenes[6].number@other()"
                                }
                        ]
                }
        ]
}</t>
  </si>
  <si>
    <t>for every Pickup.pickupLoot.lootCoconutties, grant lootCoconutties item SCENE 1</t>
  </si>
  <si>
    <t>$.rideSummary.scenes[0].events[?(@.id === 'Pickup.pickupLoot.lootCoconutties')].stats[?(@.id === 'hits')].value</t>
  </si>
  <si>
    <t>{
        "resort": "$.resort",
        "park": "$.park",
        "land": "$.land",
        "publisher": "$.publisher",
        "timestamp": "$.timestamp",
        "playerId": "$.playerId",
        "items": [
                {
                        "id": "lootCoconutties",
                        "count": "$.rideSummary.scenes[0].events[?(@.id === 'Pickup.pickupLoot.lootCoconutties')].stats[?(@.id === 'hits')].value@other()",
                        "customData": [
                                {
                                        "key": "state",
                                        "value": 2
                                },
                                {
                                        "key": "category",
                                        "value": "inside"
                                },
                                {
                                        "key": "session",
                                        "value": "$.rideSummary.sessionId"
                                },
                                {
                                        "key": "scene",
                                        "value": "$.rideSummary.scenes[1].number@other()"
                                }
                        ]
                }
        ]
}</t>
  </si>
  <si>
    <t>for every Pickup.pickupLoot.lootCoconutties, grant lootCoconutties item SCENE 2</t>
  </si>
  <si>
    <t>$.rideSummary.scenes[1].events[?(@.id === 'Pickup.pickupLoot.lootCoconutties')].stats[?(@.id === 'hits')].value</t>
  </si>
  <si>
    <t>{
        "resort": "$.resort",
        "park": "$.park",
        "land": "$.land",
        "publisher": "$.publisher",
        "timestamp": "$.timestamp",
        "playerId": "$.playerId",
        "items": [
                {
                        "id": "lootCoconutties",
                        "count": "$.rideSummary.scenes[1].events[?(@.id === 'Pickup.pickupLoot.lootCoconutties')].stats[?(@.id === 'hits')].value@other()",
                        "customData": [
                                {
                                        "key": "state",
                                        "value": 2
                                },
                                {
                                        "key": "category",
                                        "value": "inside"
                                },
                                {
                                        "key": "session",
                                        "value": "$.rideSummary.sessionId"
                                },
                                {
                                        "key": "scene",
                                        "value": "$.rideSummary.scenes[1].number@other()"
                                }
                        ]
                }
        ]
}</t>
  </si>
  <si>
    <t>for every Pickup.pickupLoot.lootCoconutties, grant lootCoconutties item SCENE 3</t>
  </si>
  <si>
    <t>$.rideSummary.scenes[2].events[?(@.id === 'Pickup.pickupLoot.lootCoconutties')].stats[?(@.id === 'hits')].value</t>
  </si>
  <si>
    <t>{
        "resort": "$.resort",
        "park": "$.park",
        "land": "$.land",
        "publisher": "$.publisher",
        "timestamp": "$.timestamp",
        "playerId": "$.playerId",
        "items": [
                {
                        "id": "lootCoconutties",
                        "count": "$.rideSummary.scenes[2].events[?(@.id === 'Pickup.pickupLoot.lootCoconutties')].stats[?(@.id === 'hits')].value@other()",
                        "customData": [
                                {
                                        "key": "state",
                                        "value": 2
                                },
                                {
                                        "key": "category",
                                        "value": "inside"
                                },
                                {
                                        "key": "session",
                                        "value": "$.rideSummary.sessionId"
                                },
                                {
                                        "key": "scene",
                                        "value": "$.rideSummary.scenes[2].number@other()"
                                }
                        ]
                }
        ]
}</t>
  </si>
  <si>
    <t>for every Pickup.pickupLoot.lootCoconutties, grant lootCoconutties item SCENE 4</t>
  </si>
  <si>
    <t>$.rideSummary.scenes[3].events[?(@.id === 'Pickup.pickupLoot.lootCoconutties')].stats[?(@.id === 'hits')].value</t>
  </si>
  <si>
    <t>{
        "resort": "$.resort",
        "park": "$.park",
        "land": "$.land",
        "publisher": "$.publisher",
        "timestamp": "$.timestamp",
        "playerId": "$.playerId",
        "items": [
                {
                        "id": "lootCoconutties",
                        "count": "$.rideSummary.scenes[3].events[?(@.id === 'Pickup.pickupLoot.lootCoconutties')].stats[?(@.id === 'hits')].value@other()",
                        "customData": [
                                {
                                        "key": "state",
                                        "value": 2
                                },
                                {
                                        "key": "category",
                                        "value": "inside"
                                },
                                {
                                        "key": "session",
                                        "value": "$.rideSummary.sessionId"
                                },
                                {
                                        "key": "scene",
                                        "value": "$.rideSummary.scenes[3].number@other()"
                                }
                        ]
                }
        ]
}</t>
  </si>
  <si>
    <t>for every Pickup.pickupLoot.lootCoconutties, grant lootCoconutties item SCENE 5</t>
  </si>
  <si>
    <t>$.rideSummary.scenes[4].events[?(@.id === 'Pickup.pickupLoot.lootCoconutties')].stats[?(@.id === 'hits')].value</t>
  </si>
  <si>
    <t>{
        "resort": "$.resort",
        "park": "$.park",
        "land": "$.land",
        "publisher": "$.publisher",
        "timestamp": "$.timestamp",
        "playerId": "$.playerId",
        "items": [
                {
                        "id": "lootCoconutties",
                        "count": "$.rideSummary.scenes[4].events[?(@.id === 'Pickup.pickupLoot.lootCoconutties')].stats[?(@.id === 'hits')].value@other()",
                        "customData": [
                                {
                                        "key": "state",
                                        "value": 2
                                },
                                {
                                        "key": "category",
                                        "value": "inside"
                                },
                                {
                                        "key": "session",
                                        "value": "$.rideSummary.sessionId"
                                },
                                {
                                        "key": "scene",
                                        "value": "$.rideSummary.scenes[4].number@other()"
                                }
                        ]
                }
        ]
}</t>
  </si>
  <si>
    <t>for every Pickup.pickupLoot.lootCoconutties, grant lootCoconutties item SCENE 6</t>
  </si>
  <si>
    <t>$.rideSummary.scenes[5].events[?(@.id === 'Pickup.pickupLoot.lootCoconutties')].stats[?(@.id === 'hits')].value</t>
  </si>
  <si>
    <t>{
        "resort": "$.resort",
        "park": "$.park",
        "land": "$.land",
        "publisher": "$.publisher",
        "timestamp": "$.timestamp",
        "playerId": "$.playerId",
        "items": [
                {
                        "id": "lootCoconutties",
                        "count": "$.rideSummary.scenes[5].events[?(@.id === 'Pickup.pickupLoot.lootCoconutties')].stats[?(@.id === 'hits')].value@other()",
                        "customData": [
                                {
                                        "key": "state",
                                        "value": 2
                                },
                                {
                                        "key": "category",
                                        "value": "inside"
                                },
                                {
                                        "key": "session",
                                        "value": "$.rideSummary.sessionId"
                                },
                                {
                                        "key": "scene",
                                        "value": "$.rideSummary.scenes[5].number@other()"
                                }
                        ]
                }
        ]
}</t>
  </si>
  <si>
    <t>for every Pickup.pickupLoot.lootCoconutties, grant lootCoconutties item SCENE 7</t>
  </si>
  <si>
    <t>$.rideSummary.scenes[6].events[?(@.id === 'Pickup.pickupLoot.lootCoconutties')].stats[?(@.id === 'hits')].value</t>
  </si>
  <si>
    <t>{
        "resort": "$.resort",
        "park": "$.park",
        "land": "$.land",
        "publisher": "$.publisher",
        "timestamp": "$.timestamp",
        "playerId": "$.playerId",
        "items": [
                {
                        "id": "lootCoconutties",
                        "count": "$.rideSummary.scenes[6].events[?(@.id === 'Pickup.pickupLoot.lootCoconutties')].stats[?(@.id === 'hits')].value@other()",
                        "customData": [
                                {
                                        "key": "state",
                                        "value": 2
                                },
                                {
                                        "key": "category",
                                        "value": "inside"
                                },
                                {
                                        "key": "session",
                                        "value": "$.rideSummary.sessionId"
                                },
                                {
                                        "key": "scene",
                                        "value": "$.rideSummary.scenes[6].number@other()"
                                }
                        ]
                }
        ]
}</t>
  </si>
  <si>
    <t>for every Pickup.pickupLoot.lootCookieRobot, grant lootCookieRobot item SCENE 1</t>
  </si>
  <si>
    <t>$.rideSummary.scenes[0].events[?(@.id === 'Pickup.pickupLoot.lootCookieRobot')].stats[?(@.id === 'hits')].value</t>
  </si>
  <si>
    <t>{
        "resort": "$.resort",
        "park": "$.park",
        "land": "$.land",
        "publisher": "$.publisher",
        "timestamp": "$.timestamp",
        "playerId": "$.playerId",
        "items": [
                {
                        "id": "lootCookieRobot",
                        "count": "$.rideSummary.scenes[0].events[?(@.id === 'Pickup.pickupLoot.lootCookieRobot')].stats[?(@.id === 'hits')].value@other()",
                        "customData": [
                                {
                                        "key": "state",
                                        "value": 2
                                },
                                {
                                        "key": "category",
                                        "value": "inside"
                                },
                                {
                                        "key": "session",
                                        "value": "$.rideSummary.sessionId"
                                },
                                {
                                        "key": "scene",
                                        "value": "$.rideSummary.scenes[1].number@other()"
                                }
                        ]
                }
        ]
}</t>
  </si>
  <si>
    <t>for every Pickup.pickupLoot.lootCookieRobot, grant lootCookieRobot item SCENE 2</t>
  </si>
  <si>
    <t>$.rideSummary.scenes[1].events[?(@.id === 'Pickup.pickupLoot.lootCookieRobot')].stats[?(@.id === 'hits')].value</t>
  </si>
  <si>
    <t>{
        "resort": "$.resort",
        "park": "$.park",
        "land": "$.land",
        "publisher": "$.publisher",
        "timestamp": "$.timestamp",
        "playerId": "$.playerId",
        "items": [
                {
                        "id": "lootCookieRobot",
                        "count": "$.rideSummary.scenes[1].events[?(@.id === 'Pickup.pickupLoot.lootCookieRobot')].stats[?(@.id === 'hits')].value@other()",
                        "customData": [
                                {
                                        "key": "state",
                                        "value": 2
                                },
                                {
                                        "key": "category",
                                        "value": "inside"
                                },
                                {
                                        "key": "session",
                                        "value": "$.rideSummary.sessionId"
                                },
                                {
                                        "key": "scene",
                                        "value": "$.rideSummary.scenes[1].number@other()"
                                }
                        ]
                }
        ]
}</t>
  </si>
  <si>
    <t>for every Pickup.pickupLoot.lootCookieRobot, grant lootCookieRobot item SCENE 3</t>
  </si>
  <si>
    <t>$.rideSummary.scenes[2].events[?(@.id === 'Pickup.pickupLoot.lootCookieRobot')].stats[?(@.id === 'hits')].value</t>
  </si>
  <si>
    <t>{
        "resort": "$.resort",
        "park": "$.park",
        "land": "$.land",
        "publisher": "$.publisher",
        "timestamp": "$.timestamp",
        "playerId": "$.playerId",
        "items": [
                {
                        "id": "lootCookieRobot",
                        "count": "$.rideSummary.scenes[2].events[?(@.id === 'Pickup.pickupLoot.lootCookieRobot')].stats[?(@.id === 'hits')].value@other()",
                        "customData": [
                                {
                                        "key": "state",
                                        "value": 2
                                },
                                {
                                        "key": "category",
                                        "value": "inside"
                                },
                                {
                                        "key": "session",
                                        "value": "$.rideSummary.sessionId"
                                },
                                {
                                        "key": "scene",
                                        "value": "$.rideSummary.scenes[2].number@other()"
                                }
                        ]
                }
        ]
}</t>
  </si>
  <si>
    <t>for every Pickup.pickupLoot.lootCookieRobot, grant lootCookieRobot item SCENE 4</t>
  </si>
  <si>
    <t>$.rideSummary.scenes[3].events[?(@.id === 'Pickup.pickupLoot.lootCookieRobot')].stats[?(@.id === 'hits')].value</t>
  </si>
  <si>
    <t>{
        "resort": "$.resort",
        "park": "$.park",
        "land": "$.land",
        "publisher": "$.publisher",
        "timestamp": "$.timestamp",
        "playerId": "$.playerId",
        "items": [
                {
                        "id": "lootCookieRobot",
                        "count": "$.rideSummary.scenes[3].events[?(@.id === 'Pickup.pickupLoot.lootCookieRobot')].stats[?(@.id === 'hits')].value@other()",
                        "customData": [
                                {
                                        "key": "state",
                                        "value": 2
                                },
                                {
                                        "key": "category",
                                        "value": "inside"
                                },
                                {
                                        "key": "session",
                                        "value": "$.rideSummary.sessionId"
                                },
                                {
                                        "key": "scene",
                                        "value": "$.rideSummary.scenes[3].number@other()"
                                }
                        ]
                }
        ]
}</t>
  </si>
  <si>
    <t>for every Pickup.pickupLoot.lootCookieRobot, grant lootCookieRobot item SCENE 5</t>
  </si>
  <si>
    <t>$.rideSummary.scenes[4].events[?(@.id === 'Pickup.pickupLoot.lootCookieRobot')].stats[?(@.id === 'hits')].value</t>
  </si>
  <si>
    <t>{
        "resort": "$.resort",
        "park": "$.park",
        "land": "$.land",
        "publisher": "$.publisher",
        "timestamp": "$.timestamp",
        "playerId": "$.playerId",
        "items": [
                {
                        "id": "lootCookieRobot",
                        "count": "$.rideSummary.scenes[4].events[?(@.id === 'Pickup.pickupLoot.lootCookieRobot')].stats[?(@.id === 'hits')].value@other()",
                        "customData": [
                                {
                                        "key": "state",
                                        "value": 2
                                },
                                {
                                        "key": "category",
                                        "value": "inside"
                                },
                                {
                                        "key": "session",
                                        "value": "$.rideSummary.sessionId"
                                },
                                {
                                        "key": "scene",
                                        "value": "$.rideSummary.scenes[4].number@other()"
                                }
                        ]
                }
        ]
}</t>
  </si>
  <si>
    <t>for every Pickup.pickupLoot.lootCookieRobot, grant lootCookieRobot item SCENE 6</t>
  </si>
  <si>
    <t>$.rideSummary.scenes[5].events[?(@.id === 'Pickup.pickupLoot.lootCookieRobot')].stats[?(@.id === 'hits')].value</t>
  </si>
  <si>
    <t>{
        "resort": "$.resort",
        "park": "$.park",
        "land": "$.land",
        "publisher": "$.publisher",
        "timestamp": "$.timestamp",
        "playerId": "$.playerId",
        "items": [
                {
                        "id": "lootCookieRobot",
                        "count": "$.rideSummary.scenes[5].events[?(@.id === 'Pickup.pickupLoot.lootCookieRobot')].stats[?(@.id === 'hits')].value@other()",
                        "customData": [
                                {
                                        "key": "state",
                                        "value": 2
                                },
                                {
                                        "key": "category",
                                        "value": "inside"
                                },
                                {
                                        "key": "session",
                                        "value": "$.rideSummary.sessionId"
                                },
                                {
                                        "key": "scene",
                                        "value": "$.rideSummary.scenes[5].number@other()"
                                }
                        ]
                }
        ]
}</t>
  </si>
  <si>
    <t>for every Pickup.pickupLoot.lootCookieRobot, grant lootCookieRobot item SCENE 7</t>
  </si>
  <si>
    <t>$.rideSummary.scenes[6].events[?(@.id === 'Pickup.pickupLoot.lootCookieRobot')].stats[?(@.id === 'hits')].value</t>
  </si>
  <si>
    <t>{
        "resort": "$.resort",
        "park": "$.park",
        "land": "$.land",
        "publisher": "$.publisher",
        "timestamp": "$.timestamp",
        "playerId": "$.playerId",
        "items": [
                {
                        "id": "lootCookieRobot",
                        "count": "$.rideSummary.scenes[6].events[?(@.id === 'Pickup.pickupLoot.lootCookieRobot')].stats[?(@.id === 'hits')].value@other()",
                        "customData": [
                                {
                                        "key": "state",
                                        "value": 2
                                },
                                {
                                        "key": "category",
                                        "value": "inside"
                                },
                                {
                                        "key": "session",
                                        "value": "$.rideSummary.sessionId"
                                },
                                {
                                        "key": "scene",
                                        "value": "$.rideSummary.scenes[6].number@other()"
                                }
                        ]
                }
        ]
}</t>
  </si>
  <si>
    <t>for every Pickup.pickupLoot.lootDrawingGruToilet, grant lootGirlsDrawing item SCENE 1</t>
  </si>
  <si>
    <t>$.rideSummary.scenes[0].events[?(@.id === 'Pickup.pickupLoot.lootDrawingGruToilet')].stats[?(@.id === 'hits')].value</t>
  </si>
  <si>
    <t>{
        "resort": "$.resort",
        "park": "$.park",
        "land": "$.land",
        "publisher": "$.publisher",
        "timestamp": "$.timestamp",
        "playerId": "$.playerId",
        "items": [
                {
                        "id": "lootGirlsDrawing",
                        "count": "$.rideSummary.scenes[0].events[?(@.id === 'Pickup.pickupLoot.lootDrawingGruToilet')].stats[?(@.id === 'hits')].value@other()",
                        "customData": [
                                {
                                        "key": "state",
                                        "value": 2
                                },
                                {
                                        "key": "category",
                                        "value": "inside"
                                },
                                {
                                        "key": "session",
                                        "value": "$.rideSummary.sessionId"
                                },
                                {
                                        "key": "scene",
                                        "value": "$.rideSummary.scenes[1].number@other()"
                                }
                        ]
                }
        ]
}</t>
  </si>
  <si>
    <t>for every Pickup.pickupLoot.lootDrawingGruToilet, grant lootGirlsDrawing item SCENE 2</t>
  </si>
  <si>
    <t>$.rideSummary.scenes[1].events[?(@.id === 'Pickup.pickupLoot.lootDrawingGruToilet')].stats[?(@.id === 'hits')].value</t>
  </si>
  <si>
    <t>{
        "resort": "$.resort",
        "park": "$.park",
        "land": "$.land",
        "publisher": "$.publisher",
        "timestamp": "$.timestamp",
        "playerId": "$.playerId",
        "items": [
                {
                        "id": "lootGirlsDrawing",
                        "count": "$.rideSummary.scenes[1].events[?(@.id === 'Pickup.pickupLoot.lootDrawingGruToilet')].stats[?(@.id === 'hits')].value@other()",
                        "customData": [
                                {
                                        "key": "state",
                                        "value": 2
                                },
                                {
                                        "key": "category",
                                        "value": "inside"
                                },
                                {
                                        "key": "session",
                                        "value": "$.rideSummary.sessionId"
                                },
                                {
                                        "key": "scene",
                                        "value": "$.rideSummary.scenes[1].number@other()"
                                }
                        ]
                }
        ]
}</t>
  </si>
  <si>
    <t>for every Pickup.pickupLoot.lootDrawingGruToilet, grant lootGirlsDrawing item SCENE 3</t>
  </si>
  <si>
    <t>$.rideSummary.scenes[2].events[?(@.id === 'Pickup.pickupLoot.lootDrawingGruToilet')].stats[?(@.id === 'hits')].value</t>
  </si>
  <si>
    <t>{
        "resort": "$.resort",
        "park": "$.park",
        "land": "$.land",
        "publisher": "$.publisher",
        "timestamp": "$.timestamp",
        "playerId": "$.playerId",
        "items": [
                {
                        "id": "lootGirlsDrawing",
                        "count": "$.rideSummary.scenes[2].events[?(@.id === 'Pickup.pickupLoot.lootDrawingGruToilet')].stats[?(@.id === 'hits')].value@other()",
                        "customData": [
                                {
                                        "key": "state",
                                        "value": 2
                                },
                                {
                                        "key": "category",
                                        "value": "inside"
                                },
                                {
                                        "key": "session",
                                        "value": "$.rideSummary.sessionId"
                                },
                                {
                                        "key": "scene",
                                        "value": "$.rideSummary.scenes[2].number@other()"
                                }
                        ]
                }
        ]
}</t>
  </si>
  <si>
    <t>for every Pickup.pickupLoot.lootDrawingGruToilet, grant lootGirlsDrawing item SCENE 4</t>
  </si>
  <si>
    <t>$.rideSummary.scenes[3].events[?(@.id === 'Pickup.pickupLoot.lootDrawingGruToilet')].stats[?(@.id === 'hits')].value</t>
  </si>
  <si>
    <t>{
        "resort": "$.resort",
        "park": "$.park",
        "land": "$.land",
        "publisher": "$.publisher",
        "timestamp": "$.timestamp",
        "playerId": "$.playerId",
        "items": [
                {
                        "id": "lootGirlsDrawing",
                        "count": "$.rideSummary.scenes[3].events[?(@.id === 'Pickup.pickupLoot.lootDrawingGruToilet')].stats[?(@.id === 'hits')].value@other()",
                        "customData": [
                                {
                                        "key": "state",
                                        "value": 2
                                },
                                {
                                        "key": "category",
                                        "value": "inside"
                                },
                                {
                                        "key": "session",
                                        "value": "$.rideSummary.sessionId"
                                },
                                {
                                        "key": "scene",
                                        "value": "$.rideSummary.scenes[3].number@other()"
                                }
                        ]
                }
        ]
}</t>
  </si>
  <si>
    <t>for every Pickup.pickupLoot.lootDrawingGruToilet, grant lootGirlsDrawing item SCENE 5</t>
  </si>
  <si>
    <t>$.rideSummary.scenes[4].events[?(@.id === 'Pickup.pickupLoot.lootDrawingGruToilet')].stats[?(@.id === 'hits')].value</t>
  </si>
  <si>
    <t>{
        "resort": "$.resort",
        "park": "$.park",
        "land": "$.land",
        "publisher": "$.publisher",
        "timestamp": "$.timestamp",
        "playerId": "$.playerId",
        "items": [
                {
                        "id": "lootGirlsDrawing",
                        "count": "$.rideSummary.scenes[4].events[?(@.id === 'Pickup.pickupLoot.lootDrawingGruToilet')].stats[?(@.id === 'hits')].value@other()",
                        "customData": [
                                {
                                        "key": "state",
                                        "value": 2
                                },
                                {
                                        "key": "category",
                                        "value": "inside"
                                },
                                {
                                        "key": "session",
                                        "value": "$.rideSummary.sessionId"
                                },
                                {
                                        "key": "scene",
                                        "value": "$.rideSummary.scenes[4].number@other()"
                                }
                        ]
                }
        ]
}</t>
  </si>
  <si>
    <t>for every Pickup.pickupLoot.lootDrawingGruToilet, grant lootGirlsDrawing item SCENE 6</t>
  </si>
  <si>
    <t>$.rideSummary.scenes[5].events[?(@.id === 'Pickup.pickupLoot.lootDrawingGruToilet')].stats[?(@.id === 'hits')].value</t>
  </si>
  <si>
    <t>{
        "resort": "$.resort",
        "park": "$.park",
        "land": "$.land",
        "publisher": "$.publisher",
        "timestamp": "$.timestamp",
        "playerId": "$.playerId",
        "items": [
                {
                        "id": "lootGirlsDrawing",
                        "count": "$.rideSummary.scenes[5].events[?(@.id === 'Pickup.pickupLoot.lootDrawingGruToilet')].stats[?(@.id === 'hits')].value@other()",
                        "customData": [
                                {
                                        "key": "state",
                                        "value": 2
                                },
                                {
                                        "key": "category",
                                        "value": "inside"
                                },
                                {
                                        "key": "session",
                                        "value": "$.rideSummary.sessionId"
                                },
                                {
                                        "key": "scene",
                                        "value": "$.rideSummary.scenes[5].number@other()"
                                }
                        ]
                }
        ]
}</t>
  </si>
  <si>
    <t>for every Pickup.pickupLoot.lootDrawingGruToilet, grant lootGirlsDrawing item SCENE 7</t>
  </si>
  <si>
    <t>$.rideSummary.scenes[6].events[?(@.id === 'Pickup.pickupLoot.lootDrawingGruToilet')].stats[?(@.id === 'hits')].value</t>
  </si>
  <si>
    <t>{
        "resort": "$.resort",
        "park": "$.park",
        "land": "$.land",
        "publisher": "$.publisher",
        "timestamp": "$.timestamp",
        "playerId": "$.playerId",
        "items": [
                {
                        "id": "lootGirlsDrawing",
                        "count": "$.rideSummary.scenes[6].events[?(@.id === 'Pickup.pickupLoot.lootDrawingGruToilet')].stats[?(@.id === 'hits')].value@other()",
                        "customData": [
                                {
                                        "key": "state",
                                        "value": 2
                                },
                                {
                                        "key": "category",
                                        "value": "inside"
                                },
                                {
                                        "key": "session",
                                        "value": "$.rideSummary.sessionId"
                                },
                                {
                                        "key": "scene",
                                        "value": "$.rideSummary.scenes[6].number@other()"
                                }
                        ]
                }
        ]
}</t>
  </si>
  <si>
    <t>for every Pickup.pickupLoot.lootDrawingGruV6, grant lootGrusV6Drawing item SCENE 1</t>
  </si>
  <si>
    <t>$.rideSummary.scenes[0].events[?(@.id === 'Pickup.pickupLoot.lootDrawingGruV6')].stats[?(@.id === 'hits')].value</t>
  </si>
  <si>
    <t>{
        "resort": "$.resort",
        "park": "$.park",
        "land": "$.land",
        "publisher": "$.publisher",
        "timestamp": "$.timestamp",
        "playerId": "$.playerId",
        "items": [
                {
                        "id": "lootGrusV6Drawing",
                        "count": "$.rideSummary.scenes[0].events[?(@.id === 'Pickup.pickupLoot.lootDrawingGruV6')].stats[?(@.id === 'hits')].value@other()",
                        "customData": [
                                {
                                        "key": "state",
                                        "value": 2
                                },
                                {
                                        "key": "category",
                                        "value": "inside"
                                },
                                {
                                        "key": "session",
                                        "value": "$.rideSummary.sessionId"
                                },
                                {
                                        "key": "scene",
                                        "value": "$.rideSummary.scenes[1].number@other()"
                                }
                        ]
                }
        ]
}</t>
  </si>
  <si>
    <t>for every Pickup.pickupLoot.lootDrawingGruV6, grant lootGrusV6Drawing item SCENE 2</t>
  </si>
  <si>
    <t>$.rideSummary.scenes[1].events[?(@.id === 'Pickup.pickupLoot.lootDrawingGruV6')].stats[?(@.id === 'hits')].value</t>
  </si>
  <si>
    <t>{
        "resort": "$.resort",
        "park": "$.park",
        "land": "$.land",
        "publisher": "$.publisher",
        "timestamp": "$.timestamp",
        "playerId": "$.playerId",
        "items": [
                {
                        "id": "lootGrusV6Drawing",
                        "count": "$.rideSummary.scenes[1].events[?(@.id === 'Pickup.pickupLoot.lootDrawingGruV6')].stats[?(@.id === 'hits')].value@other()",
                        "customData": [
                                {
                                        "key": "state",
                                        "value": 2
                                },
                                {
                                        "key": "category",
                                        "value": "inside"
                                },
                                {
                                        "key": "session",
                                        "value": "$.rideSummary.sessionId"
                                },
                                {
                                        "key": "scene",
                                        "value": "$.rideSummary.scenes[1].number@other()"
                                }
                        ]
                }
        ]
}</t>
  </si>
  <si>
    <t>for every Pickup.pickupLoot.lootDrawingGruV6, grant lootGrusV6Drawing item SCENE 3</t>
  </si>
  <si>
    <t>$.rideSummary.scenes[2].events[?(@.id === 'Pickup.pickupLoot.lootDrawingGruV6')].stats[?(@.id === 'hits')].value</t>
  </si>
  <si>
    <t>{
        "resort": "$.resort",
        "park": "$.park",
        "land": "$.land",
        "publisher": "$.publisher",
        "timestamp": "$.timestamp",
        "playerId": "$.playerId",
        "items": [
                {
                        "id": "lootGrusV6Drawing",
                        "count": "$.rideSummary.scenes[2].events[?(@.id === 'Pickup.pickupLoot.lootDrawingGruV6')].stats[?(@.id === 'hits')].value@other()",
                        "customData": [
                                {
                                        "key": "state",
                                        "value": 2
                                },
                                {
                                        "key": "category",
                                        "value": "inside"
                                },
                                {
                                        "key": "session",
                                        "value": "$.rideSummary.sessionId"
                                },
                                {
                                        "key": "scene",
                                        "value": "$.rideSummary.scenes[2].number@other()"
                                }
                        ]
                }
        ]
}</t>
  </si>
  <si>
    <t>for every Pickup.pickupLoot.lootDrawingGruV6, grant lootGrusV6Drawing item SCENE 4</t>
  </si>
  <si>
    <t>$.rideSummary.scenes[3].events[?(@.id === 'Pickup.pickupLoot.lootDrawingGruV6')].stats[?(@.id === 'hits')].value</t>
  </si>
  <si>
    <t>{
        "resort": "$.resort",
        "park": "$.park",
        "land": "$.land",
        "publisher": "$.publisher",
        "timestamp": "$.timestamp",
        "playerId": "$.playerId",
        "items": [
                {
                        "id": "lootGrusV6Drawing",
                        "count": "$.rideSummary.scenes[3].events[?(@.id === 'Pickup.pickupLoot.lootDrawingGruV6')].stats[?(@.id === 'hits')].value@other()",
                        "customData": [
                                {
                                        "key": "state",
                                        "value": 2
                                },
                                {
                                        "key": "category",
                                        "value": "inside"
                                },
                                {
                                        "key": "session",
                                        "value": "$.rideSummary.sessionId"
                                },
                                {
                                        "key": "scene",
                                        "value": "$.rideSummary.scenes[3].number@other()"
                                }
                        ]
                }
        ]
}</t>
  </si>
  <si>
    <t>for every Pickup.pickupLoot.lootDrawingGruV6, grant lootGrusV6Drawing item SCENE 5</t>
  </si>
  <si>
    <t>$.rideSummary.scenes[4].events[?(@.id === 'Pickup.pickupLoot.lootDrawingGruV6')].stats[?(@.id === 'hits')].value</t>
  </si>
  <si>
    <t>{
        "resort": "$.resort",
        "park": "$.park",
        "land": "$.land",
        "publisher": "$.publisher",
        "timestamp": "$.timestamp",
        "playerId": "$.playerId",
        "items": [
                {
                        "id": "lootGrusV6Drawing",
                        "count": "$.rideSummary.scenes[4].events[?(@.id === 'Pickup.pickupLoot.lootDrawingGruV6')].stats[?(@.id === 'hits')].value@other()",
                        "customData": [
                                {
                                        "key": "state",
                                        "value": 2
                                },
                                {
                                        "key": "category",
                                        "value": "inside"
                                },
                                {
                                        "key": "session",
                                        "value": "$.rideSummary.sessionId"
                                },
                                {
                                        "key": "scene",
                                        "value": "$.rideSummary.scenes[4].number@other()"
                                }
                        ]
                }
        ]
}</t>
  </si>
  <si>
    <t>for every Pickup.pickupLoot.lootDrawingGruV6, grant lootGrusV6Drawing item SCENE 6</t>
  </si>
  <si>
    <t>$.rideSummary.scenes[5].events[?(@.id === 'Pickup.pickupLoot.lootDrawingGruV6')].stats[?(@.id === 'hits')].value</t>
  </si>
  <si>
    <t>{
        "resort": "$.resort",
        "park": "$.park",
        "land": "$.land",
        "publisher": "$.publisher",
        "timestamp": "$.timestamp",
        "playerId": "$.playerId",
        "items": [
                {
                        "id": "lootGrusV6Drawing",
                        "count": "$.rideSummary.scenes[5].events[?(@.id === 'Pickup.pickupLoot.lootDrawingGruV6')].stats[?(@.id === 'hits')].value@other()",
                        "customData": [
                                {
                                        "key": "state",
                                        "value": 2
                                },
                                {
                                        "key": "category",
                                        "value": "inside"
                                },
                                {
                                        "key": "session",
                                        "value": "$.rideSummary.sessionId"
                                },
                                {
                                        "key": "scene",
                                        "value": "$.rideSummary.scenes[5].number@other()"
                                }
                        ]
                }
        ]
}</t>
  </si>
  <si>
    <t>for every Pickup.pickupLoot.lootDrawingGruV6, grant lootGrusV6Drawing item SCENE 7</t>
  </si>
  <si>
    <t>$.rideSummary.scenes[6].events[?(@.id === 'Pickup.pickupLoot.lootDrawingGruV6')].stats[?(@.id === 'hits')].value</t>
  </si>
  <si>
    <t>{
        "resort": "$.resort",
        "park": "$.park",
        "land": "$.land",
        "publisher": "$.publisher",
        "timestamp": "$.timestamp",
        "playerId": "$.playerId",
        "items": [
                {
                        "id": "lootGrusV6Drawing",
                        "count": "$.rideSummary.scenes[6].events[?(@.id === 'Pickup.pickupLoot.lootDrawingGruV6')].stats[?(@.id === 'hits')].value@other()",
                        "customData": [
                                {
                                        "key": "state",
                                        "value": 2
                                },
                                {
                                        "key": "category",
                                        "value": "inside"
                                },
                                {
                                        "key": "session",
                                        "value": "$.rideSummary.sessionId"
                                },
                                {
                                        "key": "scene",
                                        "value": "$.rideSummary.scenes[6].number@other()"
                                }
                        ]
                }
        ]
}</t>
  </si>
  <si>
    <t>for every Pickup.pickupLoot.lootDrusScarf, grant lootDrusScarf item SCENE 1</t>
  </si>
  <si>
    <t>$.rideSummary.scenes[0].events[?(@.id === 'Pickup.pickupLoot.lootDrusScarf')].stats[?(@.id === 'hits')].value</t>
  </si>
  <si>
    <t>{
        "resort": "$.resort",
        "park": "$.park",
        "land": "$.land",
        "publisher": "$.publisher",
        "timestamp": "$.timestamp",
        "playerId": "$.playerId",
        "items": [
                {
                        "id": "lootDrusScarf",
                        "count": "$.rideSummary.scenes[0].events[?(@.id === 'Pickup.pickupLoot.lootDrusScarf')].stats[?(@.id === 'hits')].value@other()",
                        "customData": [
                                {
                                        "key": "state",
                                        "value": 2
                                },
                                {
                                        "key": "category",
                                        "value": "inside"
                                },
                                {
                                        "key": "session",
                                        "value": "$.rideSummary.sessionId"
                                },
                                {
                                        "key": "scene",
                                        "value": "$.rideSummary.scenes[1].number@other()"
                                }
                        ]
                }
        ]
}</t>
  </si>
  <si>
    <t>for every Pickup.pickupLoot.lootDrusScarf, grant lootDrusScarf item SCENE 2</t>
  </si>
  <si>
    <t>$.rideSummary.scenes[1].events[?(@.id === 'Pickup.pickupLoot.lootDrusScarf')].stats[?(@.id === 'hits')].value</t>
  </si>
  <si>
    <t>{
        "resort": "$.resort",
        "park": "$.park",
        "land": "$.land",
        "publisher": "$.publisher",
        "timestamp": "$.timestamp",
        "playerId": "$.playerId",
        "items": [
                {
                        "id": "lootDrusScarf",
                        "count": "$.rideSummary.scenes[1].events[?(@.id === 'Pickup.pickupLoot.lootDrusScarf')].stats[?(@.id === 'hits')].value@other()",
                        "customData": [
                                {
                                        "key": "state",
                                        "value": 2
                                },
                                {
                                        "key": "category",
                                        "value": "inside"
                                },
                                {
                                        "key": "session",
                                        "value": "$.rideSummary.sessionId"
                                },
                                {
                                        "key": "scene",
                                        "value": "$.rideSummary.scenes[1].number@other()"
                                }
                        ]
                }
        ]
}</t>
  </si>
  <si>
    <t>for every Pickup.pickupLoot.lootDrusScarf, grant lootDrusScarf item SCENE 3</t>
  </si>
  <si>
    <t>$.rideSummary.scenes[2].events[?(@.id === 'Pickup.pickupLoot.lootDrusScarf')].stats[?(@.id === 'hits')].value</t>
  </si>
  <si>
    <t>{
        "resort": "$.resort",
        "park": "$.park",
        "land": "$.land",
        "publisher": "$.publisher",
        "timestamp": "$.timestamp",
        "playerId": "$.playerId",
        "items": [
                {
                        "id": "lootDrusScarf",
                        "count": "$.rideSummary.scenes[2].events[?(@.id === 'Pickup.pickupLoot.lootDrusScarf')].stats[?(@.id === 'hits')].value@other()",
                        "customData": [
                                {
                                        "key": "state",
                                        "value": 2
                                },
                                {
                                        "key": "category",
                                        "value": "inside"
                                },
                                {
                                        "key": "session",
                                        "value": "$.rideSummary.sessionId"
                                },
                                {
                                        "key": "scene",
                                        "value": "$.rideSummary.scenes[2].number@other()"
                                }
                        ]
                }
        ]
}</t>
  </si>
  <si>
    <t>for every Pickup.pickupLoot.lootDrusScarf, grant lootDrusScarf item SCENE 4</t>
  </si>
  <si>
    <t>$.rideSummary.scenes[3].events[?(@.id === 'Pickup.pickupLoot.lootDrusScarf')].stats[?(@.id === 'hits')].value</t>
  </si>
  <si>
    <t>{
        "resort": "$.resort",
        "park": "$.park",
        "land": "$.land",
        "publisher": "$.publisher",
        "timestamp": "$.timestamp",
        "playerId": "$.playerId",
        "items": [
                {
                        "id": "lootDrusScarf",
                        "count": "$.rideSummary.scenes[3].events[?(@.id === 'Pickup.pickupLoot.lootDrusScarf')].stats[?(@.id === 'hits')].value@other()",
                        "customData": [
                                {
                                        "key": "state",
                                        "value": 2
                                },
                                {
                                        "key": "category",
                                        "value": "inside"
                                },
                                {
                                        "key": "session",
                                        "value": "$.rideSummary.sessionId"
                                },
                                {
                                        "key": "scene",
                                        "value": "$.rideSummary.scenes[3].number@other()"
                                }
                        ]
                }
        ]
}</t>
  </si>
  <si>
    <t>for every Pickup.pickupLoot.lootDrusScarf, grant lootDrusScarf item SCENE 5</t>
  </si>
  <si>
    <t>$.rideSummary.scenes[4].events[?(@.id === 'Pickup.pickupLoot.lootDrusScarf')].stats[?(@.id === 'hits')].value</t>
  </si>
  <si>
    <t>{
        "resort": "$.resort",
        "park": "$.park",
        "land": "$.land",
        "publisher": "$.publisher",
        "timestamp": "$.timestamp",
        "playerId": "$.playerId",
        "items": [
                {
                        "id": "lootDrusScarf",
                        "count": "$.rideSummary.scenes[4].events[?(@.id === 'Pickup.pickupLoot.lootDrusScarf')].stats[?(@.id === 'hits')].value@other()",
                        "customData": [
                                {
                                        "key": "state",
                                        "value": 2
                                },
                                {
                                        "key": "category",
                                        "value": "inside"
                                },
                                {
                                        "key": "session",
                                        "value": "$.rideSummary.sessionId"
                                },
                                {
                                        "key": "scene",
                                        "value": "$.rideSummary.scenes[4].number@other()"
                                }
                        ]
                }
        ]
}</t>
  </si>
  <si>
    <t>for every Pickup.pickupLoot.lootDrusScarf, grant lootDrusScarf item SCENE 6</t>
  </si>
  <si>
    <t>$.rideSummary.scenes[5].events[?(@.id === 'Pickup.pickupLoot.lootDrusScarf')].stats[?(@.id === 'hits')].value</t>
  </si>
  <si>
    <t>{
        "resort": "$.resort",
        "park": "$.park",
        "land": "$.land",
        "publisher": "$.publisher",
        "timestamp": "$.timestamp",
        "playerId": "$.playerId",
        "items": [
                {
                        "id": "lootDrusScarf",
                        "count": "$.rideSummary.scenes[5].events[?(@.id === 'Pickup.pickupLoot.lootDrusScarf')].stats[?(@.id === 'hits')].value@other()",
                        "customData": [
                                {
                                        "key": "state",
                                        "value": 2
                                },
                                {
                                        "key": "category",
                                        "value": "inside"
                                },
                                {
                                        "key": "session",
                                        "value": "$.rideSummary.sessionId"
                                },
                                {
                                        "key": "scene",
                                        "value": "$.rideSummary.scenes[5].number@other()"
                                }
                        ]
                }
        ]
}</t>
  </si>
  <si>
    <t>for every Pickup.pickupLoot.lootDrusScarf, grant lootDrusScarf item SCENE 7</t>
  </si>
  <si>
    <t>$.rideSummary.scenes[6].events[?(@.id === 'Pickup.pickupLoot.lootDrusScarf')].stats[?(@.id === 'hits')].value</t>
  </si>
  <si>
    <t>{
        "resort": "$.resort",
        "park": "$.park",
        "land": "$.land",
        "publisher": "$.publisher",
        "timestamp": "$.timestamp",
        "playerId": "$.playerId",
        "items": [
                {
                        "id": "lootDrusScarf",
                        "count": "$.rideSummary.scenes[6].events[?(@.id === 'Pickup.pickupLoot.lootDrusScarf')].stats[?(@.id === 'hits')].value@other()",
                        "customData": [
                                {
                                        "key": "state",
                                        "value": 2
                                },
                                {
                                        "key": "category",
                                        "value": "inside"
                                },
                                {
                                        "key": "session",
                                        "value": "$.rideSummary.sessionId"
                                },
                                {
                                        "key": "scene",
                                        "value": "$.rideSummary.scenes[6].number@other()"
                                }
                        ]
                }
        ]
}</t>
  </si>
  <si>
    <t>for every Pickup.pickupLoot.lootElMachoMask, grant lootElMachoMask item SCENE 1</t>
  </si>
  <si>
    <t>$.rideSummary.scenes[0].events[?(@.id === 'Pickup.pickupLoot.lootElMachoMask')].stats[?(@.id === 'hits')].value</t>
  </si>
  <si>
    <t>{
        "resort": "$.resort",
        "park": "$.park",
        "land": "$.land",
        "publisher": "$.publisher",
        "timestamp": "$.timestamp",
        "playerId": "$.playerId",
        "items": [
                {
                        "id": "lootElMachoMask",
                        "count": "$.rideSummary.scenes[0].events[?(@.id === 'Pickup.pickupLoot.lootElMachoMask')].stats[?(@.id === 'hits')].value@other()",
                        "customData": [
                                {
                                        "key": "state",
                                        "value": 2
                                },
                                {
                                        "key": "category",
                                        "value": "inside"
                                },
                                {
                                        "key": "session",
                                        "value": "$.rideSummary.sessionId"
                                },
                                {
                                        "key": "scene",
                                        "value": "$.rideSummary.scenes[1].number@other()"
                                }
                        ]
                }
        ]
}</t>
  </si>
  <si>
    <t>for every Pickup.pickupLoot.lootElMachoMask, grant lootElMachoMask item SCENE 2</t>
  </si>
  <si>
    <t>$.rideSummary.scenes[1].events[?(@.id === 'Pickup.pickupLoot.lootElMachoMask')].stats[?(@.id === 'hits')].value</t>
  </si>
  <si>
    <t>{
        "resort": "$.resort",
        "park": "$.park",
        "land": "$.land",
        "publisher": "$.publisher",
        "timestamp": "$.timestamp",
        "playerId": "$.playerId",
        "items": [
                {
                        "id": "lootElMachoMask",
                        "count": "$.rideSummary.scenes[1].events[?(@.id === 'Pickup.pickupLoot.lootElMachoMask')].stats[?(@.id === 'hits')].value@other()",
                        "customData": [
                                {
                                        "key": "state",
                                        "value": 2
                                },
                                {
                                        "key": "category",
                                        "value": "inside"
                                },
                                {
                                        "key": "session",
                                        "value": "$.rideSummary.sessionId"
                                },
                                {
                                        "key": "scene",
                                        "value": "$.rideSummary.scenes[1].number@other()"
                                }
                        ]
                }
        ]
}</t>
  </si>
  <si>
    <t>for every Pickup.pickupLoot.lootElMachoMask, grant lootElMachoMask item SCENE 3</t>
  </si>
  <si>
    <t>$.rideSummary.scenes[2].events[?(@.id === 'Pickup.pickupLoot.lootElMachoMask')].stats[?(@.id === 'hits')].value</t>
  </si>
  <si>
    <t>{
        "resort": "$.resort",
        "park": "$.park",
        "land": "$.land",
        "publisher": "$.publisher",
        "timestamp": "$.timestamp",
        "playerId": "$.playerId",
        "items": [
                {
                        "id": "lootElMachoMask",
                        "count": "$.rideSummary.scenes[2].events[?(@.id === 'Pickup.pickupLoot.lootElMachoMask')].stats[?(@.id === 'hits')].value@other()",
                        "customData": [
                                {
                                        "key": "state",
                                        "value": 2
                                },
                                {
                                        "key": "category",
                                        "value": "inside"
                                },
                                {
                                        "key": "session",
                                        "value": "$.rideSummary.sessionId"
                                },
                                {
                                        "key": "scene",
                                        "value": "$.rideSummary.scenes[2].number@other()"
                                }
                        ]
                }
        ]
}</t>
  </si>
  <si>
    <t>for every Pickup.pickupLoot.lootElMachoMask, grant lootElMachoMask item SCENE 4</t>
  </si>
  <si>
    <t>$.rideSummary.scenes[3].events[?(@.id === 'Pickup.pickupLoot.lootElMachoMask')].stats[?(@.id === 'hits')].value</t>
  </si>
  <si>
    <t>{
        "resort": "$.resort",
        "park": "$.park",
        "land": "$.land",
        "publisher": "$.publisher",
        "timestamp": "$.timestamp",
        "playerId": "$.playerId",
        "items": [
                {
                        "id": "lootElMachoMask",
                        "count": "$.rideSummary.scenes[3].events[?(@.id === 'Pickup.pickupLoot.lootElMachoMask')].stats[?(@.id === 'hits')].value@other()",
                        "customData": [
                                {
                                        "key": "state",
                                        "value": 2
                                },
                                {
                                        "key": "category",
                                        "value": "inside"
                                },
                                {
                                        "key": "session",
                                        "value": "$.rideSummary.sessionId"
                                },
                                {
                                        "key": "scene",
                                        "value": "$.rideSummary.scenes[3].number@other()"
                                }
                        ]
                }
        ]
}</t>
  </si>
  <si>
    <t>for every Pickup.pickupLoot.lootElMachoMask, grant lootElMachoMask item SCENE 5</t>
  </si>
  <si>
    <t>$.rideSummary.scenes[4].events[?(@.id === 'Pickup.pickupLoot.lootElMachoMask')].stats[?(@.id === 'hits')].value</t>
  </si>
  <si>
    <t>{
        "resort": "$.resort",
        "park": "$.park",
        "land": "$.land",
        "publisher": "$.publisher",
        "timestamp": "$.timestamp",
        "playerId": "$.playerId",
        "items": [
                {
                        "id": "lootElMachoMask",
                        "count": "$.rideSummary.scenes[4].events[?(@.id === 'Pickup.pickupLoot.lootElMachoMask')].stats[?(@.id === 'hits')].value@other()",
                        "customData": [
                                {
                                        "key": "state",
                                        "value": 2
                                },
                                {
                                        "key": "category",
                                        "value": "inside"
                                },
                                {
                                        "key": "session",
                                        "value": "$.rideSummary.sessionId"
                                },
                                {
                                        "key": "scene",
                                        "value": "$.rideSummary.scenes[4].number@other()"
                                }
                        ]
                }
        ]
}</t>
  </si>
  <si>
    <t>for every Pickup.pickupLoot.lootElMachoMask, grant lootElMachoMask item SCENE 6</t>
  </si>
  <si>
    <t>$.rideSummary.scenes[5].events[?(@.id === 'Pickup.pickupLoot.lootElMachoMask')].stats[?(@.id === 'hits')].value</t>
  </si>
  <si>
    <t>{
        "resort": "$.resort",
        "park": "$.park",
        "land": "$.land",
        "publisher": "$.publisher",
        "timestamp": "$.timestamp",
        "playerId": "$.playerId",
        "items": [
                {
                        "id": "lootElMachoMask",
                        "count": "$.rideSummary.scenes[5].events[?(@.id === 'Pickup.pickupLoot.lootElMachoMask')].stats[?(@.id === 'hits')].value@other()",
                        "customData": [
                                {
                                        "key": "state",
                                        "value": 2
                                },
                                {
                                        "key": "category",
                                        "value": "inside"
                                },
                                {
                                        "key": "session",
                                        "value": "$.rideSummary.sessionId"
                                },
                                {
                                        "key": "scene",
                                        "value": "$.rideSummary.scenes[5].number@other()"
                                }
                        ]
                }
        ]
}</t>
  </si>
  <si>
    <t>for every Pickup.pickupLoot.lootElMachoMask, grant lootElMachoMask item SCENE 7</t>
  </si>
  <si>
    <t>$.rideSummary.scenes[6].events[?(@.id === 'Pickup.pickupLoot.lootElMachoMask')].stats[?(@.id === 'hits')].value</t>
  </si>
  <si>
    <t>{
        "resort": "$.resort",
        "park": "$.park",
        "land": "$.land",
        "publisher": "$.publisher",
        "timestamp": "$.timestamp",
        "playerId": "$.playerId",
        "items": [
                {
                        "id": "lootElMachoMask",
                        "count": "$.rideSummary.scenes[6].events[?(@.id === 'Pickup.pickupLoot.lootElMachoMask')].stats[?(@.id === 'hits')].value@other()",
                        "customData": [
                                {
                                        "key": "state",
                                        "value": 2
                                },
                                {
                                        "key": "category",
                                        "value": "inside"
                                },
                                {
                                        "key": "session",
                                        "value": "$.rideSummary.sessionId"
                                },
                                {
                                        "key": "scene",
                                        "value": "$.rideSummary.scenes[6].number@other()"
                                }
                        ]
                }
        ]
}</t>
  </si>
  <si>
    <t>for every Pickup.pickupLoot.lootGrusJelly, grant lootGrusJelly item SCENE 1</t>
  </si>
  <si>
    <t>$.rideSummary.scenes[0].events[?(@.id === 'Pickup.pickupLoot.lootGrusJelly')].stats[?(@.id === 'hits')].value</t>
  </si>
  <si>
    <t>{
        "resort": "$.resort",
        "park": "$.park",
        "land": "$.land",
        "publisher": "$.publisher",
        "timestamp": "$.timestamp",
        "playerId": "$.playerId",
        "items": [
                {
                        "id": "lootGrusJelly",
                        "count": "$.rideSummary.scenes[0].events[?(@.id === 'Pickup.pickupLoot.lootGrusJelly')].stats[?(@.id === 'hits')].value@other()",
                        "customData": [
                                {
                                        "key": "state",
                                        "value": 2
                                },
                                {
                                        "key": "category",
                                        "value": "inside"
                                },
                                {
                                        "key": "session",
                                        "value": "$.rideSummary.sessionId"
                                },
                                {
                                        "key": "scene",
                                        "value": "$.rideSummary.scenes[1].number@other()"
                                }
                        ]
                }
        ]
}</t>
  </si>
  <si>
    <t>for every Pickup.pickupLoot.lootGrusJelly, grant lootGrusJelly item SCENE 2</t>
  </si>
  <si>
    <t>$.rideSummary.scenes[1].events[?(@.id === 'Pickup.pickupLoot.lootGrusJelly')].stats[?(@.id === 'hits')].value</t>
  </si>
  <si>
    <t>{
        "resort": "$.resort",
        "park": "$.park",
        "land": "$.land",
        "publisher": "$.publisher",
        "timestamp": "$.timestamp",
        "playerId": "$.playerId",
        "items": [
                {
                        "id": "lootGrusJelly",
                        "count": "$.rideSummary.scenes[1].events[?(@.id === 'Pickup.pickupLoot.lootGrusJelly')].stats[?(@.id === 'hits')].value@other()",
                        "customData": [
                                {
                                        "key": "state",
                                        "value": 2
                                },
                                {
                                        "key": "category",
                                        "value": "inside"
                                },
                                {
                                        "key": "session",
                                        "value": "$.rideSummary.sessionId"
                                },
                                {
                                        "key": "scene",
                                        "value": "$.rideSummary.scenes[1].number@other()"
                                }
                        ]
                }
        ]
}</t>
  </si>
  <si>
    <t>for every Pickup.pickupLoot.lootGrusJelly, grant lootGrusJelly item SCENE 3</t>
  </si>
  <si>
    <t>$.rideSummary.scenes[2].events[?(@.id === 'Pickup.pickupLoot.lootGrusJelly')].stats[?(@.id === 'hits')].value</t>
  </si>
  <si>
    <t>{
        "resort": "$.resort",
        "park": "$.park",
        "land": "$.land",
        "publisher": "$.publisher",
        "timestamp": "$.timestamp",
        "playerId": "$.playerId",
        "items": [
                {
                        "id": "lootGrusJelly",
                        "count": "$.rideSummary.scenes[2].events[?(@.id === 'Pickup.pickupLoot.lootGrusJelly')].stats[?(@.id === 'hits')].value@other()",
                        "customData": [
                                {
                                        "key": "state",
                                        "value": 2
                                },
                                {
                                        "key": "category",
                                        "value": "inside"
                                },
                                {
                                        "key": "session",
                                        "value": "$.rideSummary.sessionId"
                                },
                                {
                                        "key": "scene",
                                        "value": "$.rideSummary.scenes[2].number@other()"
                                }
                        ]
                }
        ]
}</t>
  </si>
  <si>
    <t>for every Pickup.pickupLoot.lootGrusJelly, grant lootGrusJelly item SCENE 4</t>
  </si>
  <si>
    <t>$.rideSummary.scenes[3].events[?(@.id === 'Pickup.pickupLoot.lootGrusJelly')].stats[?(@.id === 'hits')].value</t>
  </si>
  <si>
    <t>{
        "resort": "$.resort",
        "park": "$.park",
        "land": "$.land",
        "publisher": "$.publisher",
        "timestamp": "$.timestamp",
        "playerId": "$.playerId",
        "items": [
                {
                        "id": "lootGrusJelly",
                        "count": "$.rideSummary.scenes[3].events[?(@.id === 'Pickup.pickupLoot.lootGrusJelly')].stats[?(@.id === 'hits')].value@other()",
                        "customData": [
                                {
                                        "key": "state",
                                        "value": 2
                                },
                                {
                                        "key": "category",
                                        "value": "inside"
                                },
                                {
                                        "key": "session",
                                        "value": "$.rideSummary.sessionId"
                                },
                                {
                                        "key": "scene",
                                        "value": "$.rideSummary.scenes[3].number@other()"
                                }
                        ]
                }
        ]
}</t>
  </si>
  <si>
    <t>for every Pickup.pickupLoot.lootGrusJelly, grant lootGrusJelly item SCENE 5</t>
  </si>
  <si>
    <t>$.rideSummary.scenes[4].events[?(@.id === 'Pickup.pickupLoot.lootGrusJelly')].stats[?(@.id === 'hits')].value</t>
  </si>
  <si>
    <t>{
        "resort": "$.resort",
        "park": "$.park",
        "land": "$.land",
        "publisher": "$.publisher",
        "timestamp": "$.timestamp",
        "playerId": "$.playerId",
        "items": [
                {
                        "id": "lootGrusJelly",
                        "count": "$.rideSummary.scenes[4].events[?(@.id === 'Pickup.pickupLoot.lootGrusJelly')].stats[?(@.id === 'hits')].value@other()",
                        "customData": [
                                {
                                        "key": "state",
                                        "value": 2
                                },
                                {
                                        "key": "category",
                                        "value": "inside"
                                },
                                {
                                        "key": "session",
                                        "value": "$.rideSummary.sessionId"
                                },
                                {
                                        "key": "scene",
                                        "value": "$.rideSummary.scenes[4].number@other()"
                                }
                        ]
                }
        ]
}</t>
  </si>
  <si>
    <t>for every Pickup.pickupLoot.lootGrusJelly, grant lootGrusJelly item SCENE 6</t>
  </si>
  <si>
    <t>$.rideSummary.scenes[5].events[?(@.id === 'Pickup.pickupLoot.lootGrusJelly')].stats[?(@.id === 'hits')].value</t>
  </si>
  <si>
    <t>{
        "resort": "$.resort",
        "park": "$.park",
        "land": "$.land",
        "publisher": "$.publisher",
        "timestamp": "$.timestamp",
        "playerId": "$.playerId",
        "items": [
                {
                        "id": "lootGrusJelly",
                        "count": "$.rideSummary.scenes[5].events[?(@.id === 'Pickup.pickupLoot.lootGrusJelly')].stats[?(@.id === 'hits')].value@other()",
                        "customData": [
                                {
                                        "key": "state",
                                        "value": 2
                                },
                                {
                                        "key": "category",
                                        "value": "inside"
                                },
                                {
                                        "key": "session",
                                        "value": "$.rideSummary.sessionId"
                                },
                                {
                                        "key": "scene",
                                        "value": "$.rideSummary.scenes[5].number@other()"
                                }
                        ]
                }
        ]
}</t>
  </si>
  <si>
    <t>for every Pickup.pickupLoot.lootGrusJelly, grant lootGrusJelly item SCENE 7</t>
  </si>
  <si>
    <t>$.rideSummary.scenes[6].events[?(@.id === 'Pickup.pickupLoot.lootGrusJelly')].stats[?(@.id === 'hits')].value</t>
  </si>
  <si>
    <t>{
        "resort": "$.resort",
        "park": "$.park",
        "land": "$.land",
        "publisher": "$.publisher",
        "timestamp": "$.timestamp",
        "playerId": "$.playerId",
        "items": [
                {
                        "id": "lootGrusJelly",
                        "count": "$.rideSummary.scenes[6].events[?(@.id === 'Pickup.pickupLoot.lootGrusJelly')].stats[?(@.id === 'hits')].value@other()",
                        "customData": [
                                {
                                        "key": "state",
                                        "value": 2
                                },
                                {
                                        "key": "category",
                                        "value": "inside"
                                },
                                {
                                        "key": "session",
                                        "value": "$.rideSummary.sessionId"
                                },
                                {
                                        "key": "scene",
                                        "value": "$.rideSummary.scenes[6].number@other()"
                                }
                        ]
                }
        ]
}</t>
  </si>
  <si>
    <t>for every Pickup.pickupLoot.lootGrusScarf, grant lootGrusScarf item SCENE 1</t>
  </si>
  <si>
    <t>$.rideSummary.scenes[0].events[?(@.id === 'Pickup.pickupLoot.lootGrusScarf')].stats[?(@.id === 'hits')].value</t>
  </si>
  <si>
    <t>{
        "resort": "$.resort",
        "park": "$.park",
        "land": "$.land",
        "publisher": "$.publisher",
        "timestamp": "$.timestamp",
        "playerId": "$.playerId",
        "items": [
                {
                        "id": "lootGrusScarf",
                        "count": "$.rideSummary.scenes[0].events[?(@.id === 'Pickup.pickupLoot.lootGrusScarf')].stats[?(@.id === 'hits')].value@other()",
                        "customData": [
                                {
                                        "key": "state",
                                        "value": 2
                                },
                                {
                                        "key": "category",
                                        "value": "inside"
                                },
                                {
                                        "key": "session",
                                        "value": "$.rideSummary.sessionId"
                                },
                                {
                                        "key": "scene",
                                        "value": "$.rideSummary.scenes[1].number@other()"
                                }
                        ]
                }
        ]
}</t>
  </si>
  <si>
    <t>for every Pickup.pickupLoot.lootGrusScarf, grant lootGrusScarf item SCENE 2</t>
  </si>
  <si>
    <t>$.rideSummary.scenes[1].events[?(@.id === 'Pickup.pickupLoot.lootGrusScarf')].stats[?(@.id === 'hits')].value</t>
  </si>
  <si>
    <t>{
        "resort": "$.resort",
        "park": "$.park",
        "land": "$.land",
        "publisher": "$.publisher",
        "timestamp": "$.timestamp",
        "playerId": "$.playerId",
        "items": [
                {
                        "id": "lootGrusScarf",
                        "count": "$.rideSummary.scenes[1].events[?(@.id === 'Pickup.pickupLoot.lootGrusScarf')].stats[?(@.id === 'hits')].value@other()",
                        "customData": [
                                {
                                        "key": "state",
                                        "value": 2
                                },
                                {
                                        "key": "category",
                                        "value": "inside"
                                },
                                {
                                        "key": "session",
                                        "value": "$.rideSummary.sessionId"
                                },
                                {
                                        "key": "scene",
                                        "value": "$.rideSummary.scenes[1].number@other()"
                                }
                        ]
                }
        ]
}</t>
  </si>
  <si>
    <t>for every Pickup.pickupLoot.lootGrusScarf, grant lootGrusScarf item SCENE 3</t>
  </si>
  <si>
    <t>$.rideSummary.scenes[2].events[?(@.id === 'Pickup.pickupLoot.lootGrusScarf')].stats[?(@.id === 'hits')].value</t>
  </si>
  <si>
    <t>{
        "resort": "$.resort",
        "park": "$.park",
        "land": "$.land",
        "publisher": "$.publisher",
        "timestamp": "$.timestamp",
        "playerId": "$.playerId",
        "items": [
                {
                        "id": "lootGrusScarf",
                        "count": "$.rideSummary.scenes[2].events[?(@.id === 'Pickup.pickupLoot.lootGrusScarf')].stats[?(@.id === 'hits')].value@other()",
                        "customData": [
                                {
                                        "key": "state",
                                        "value": 2
                                },
                                {
                                        "key": "category",
                                        "value": "inside"
                                },
                                {
                                        "key": "session",
                                        "value": "$.rideSummary.sessionId"
                                },
                                {
                                        "key": "scene",
                                        "value": "$.rideSummary.scenes[2].number@other()"
                                }
                        ]
                }
        ]
}</t>
  </si>
  <si>
    <t>for every Pickup.pickupLoot.lootGrusScarf, grant lootGrusScarf item SCENE 4</t>
  </si>
  <si>
    <t>$.rideSummary.scenes[3].events[?(@.id === 'Pickup.pickupLoot.lootGrusScarf')].stats[?(@.id === 'hits')].value</t>
  </si>
  <si>
    <t>{
        "resort": "$.resort",
        "park": "$.park",
        "land": "$.land",
        "publisher": "$.publisher",
        "timestamp": "$.timestamp",
        "playerId": "$.playerId",
        "items": [
                {
                        "id": "lootGrusScarf",
                        "count": "$.rideSummary.scenes[3].events[?(@.id === 'Pickup.pickupLoot.lootGrusScarf')].stats[?(@.id === 'hits')].value@other()",
                        "customData": [
                                {
                                        "key": "state",
                                        "value": 2
                                },
                                {
                                        "key": "category",
                                        "value": "inside"
                                },
                                {
                                        "key": "session",
                                        "value": "$.rideSummary.sessionId"
                                },
                                {
                                        "key": "scene",
                                        "value": "$.rideSummary.scenes[3].number@other()"
                                }
                        ]
                }
        ]
}</t>
  </si>
  <si>
    <t>for every Pickup.pickupLoot.lootGrusScarf, grant lootGrusScarf item SCENE 5</t>
  </si>
  <si>
    <t>$.rideSummary.scenes[4].events[?(@.id === 'Pickup.pickupLoot.lootGrusScarf')].stats[?(@.id === 'hits')].value</t>
  </si>
  <si>
    <t>{
        "resort": "$.resort",
        "park": "$.park",
        "land": "$.land",
        "publisher": "$.publisher",
        "timestamp": "$.timestamp",
        "playerId": "$.playerId",
        "items": [
                {
                        "id": "lootGrusScarf",
                        "count": "$.rideSummary.scenes[4].events[?(@.id === 'Pickup.pickupLoot.lootGrusScarf')].stats[?(@.id === 'hits')].value@other()",
                        "customData": [
                                {
                                        "key": "state",
                                        "value": 2
                                },
                                {
                                        "key": "category",
                                        "value": "inside"
                                },
                                {
                                        "key": "session",
                                        "value": "$.rideSummary.sessionId"
                                },
                                {
                                        "key": "scene",
                                        "value": "$.rideSummary.scenes[4].number@other()"
                                }
                        ]
                }
        ]
}</t>
  </si>
  <si>
    <t>for every Pickup.pickupLoot.lootGrusScarf, grant lootGrusScarf item SCENE 6</t>
  </si>
  <si>
    <t>$.rideSummary.scenes[5].events[?(@.id === 'Pickup.pickupLoot.lootGrusScarf')].stats[?(@.id === 'hits')].value</t>
  </si>
  <si>
    <t>{
        "resort": "$.resort",
        "park": "$.park",
        "land": "$.land",
        "publisher": "$.publisher",
        "timestamp": "$.timestamp",
        "playerId": "$.playerId",
        "items": [
                {
                        "id": "lootGrusScarf",
                        "count": "$.rideSummary.scenes[5].events[?(@.id === 'Pickup.pickupLoot.lootGrusScarf')].stats[?(@.id === 'hits')].value@other()",
                        "customData": [
                                {
                                        "key": "state",
                                        "value": 2
                                },
                                {
                                        "key": "category",
                                        "value": "inside"
                                },
                                {
                                        "key": "session",
                                        "value": "$.rideSummary.sessionId"
                                },
                                {
                                        "key": "scene",
                                        "value": "$.rideSummary.scenes[5].number@other()"
                                }
                        ]
                }
        ]
}</t>
  </si>
  <si>
    <t>for every Pickup.pickupLoot.lootGrusScarf, grant lootGrusScarf item SCENE 7</t>
  </si>
  <si>
    <t>$.rideSummary.scenes[6].events[?(@.id === 'Pickup.pickupLoot.lootGrusScarf')].stats[?(@.id === 'hits')].value</t>
  </si>
  <si>
    <t>{
        "resort": "$.resort",
        "park": "$.park",
        "land": "$.land",
        "publisher": "$.publisher",
        "timestamp": "$.timestamp",
        "playerId": "$.playerId",
        "items": [
                {
                        "id": "lootGrusScarf",
                        "count": "$.rideSummary.scenes[6].events[?(@.id === 'Pickup.pickupLoot.lootGrusScarf')].stats[?(@.id === 'hits')].value@other()",
                        "customData": [
                                {
                                        "key": "state",
                                        "value": 2
                                },
                                {
                                        "key": "category",
                                        "value": "inside"
                                },
                                {
                                        "key": "session",
                                        "value": "$.rideSummary.sessionId"
                                },
                                {
                                        "key": "scene",
                                        "value": "$.rideSummary.scenes[6].number@other()"
                                }
                        ]
                }
        ]
}</t>
  </si>
  <si>
    <t>for every Pickup.pickupLoot.lootHypnoHat, grant lootHypnoHat item SCENE 1</t>
  </si>
  <si>
    <t>$.rideSummary.scenes[0].events[?(@.id === 'Pickup.pickupLoot.lootHypnoHat')].stats[?(@.id === 'hits')].value</t>
  </si>
  <si>
    <t>{
        "resort": "$.resort",
        "park": "$.park",
        "land": "$.land",
        "publisher": "$.publisher",
        "timestamp": "$.timestamp",
        "playerId": "$.playerId",
        "items": [
                {
                        "id": "lootHypnoHat",
                        "count": "$.rideSummary.scenes[0].events[?(@.id === 'Pickup.pickupLoot.lootHypnoHat')].stats[?(@.id === 'hits')].value@other()",
                        "customData": [
                                {
                                        "key": "state",
                                        "value": 2
                                },
                                {
                                        "key": "category",
                                        "value": "inside"
                                },
                                {
                                        "key": "session",
                                        "value": "$.rideSummary.sessionId"
                                },
                                {
                                        "key": "scene",
                                        "value": "$.rideSummary.scenes[1].number@other()"
                                }
                        ]
                }
        ]
}</t>
  </si>
  <si>
    <t>for every Pickup.pickupLoot.lootHypnoHat, grant lootHypnoHat item SCENE 2</t>
  </si>
  <si>
    <t>$.rideSummary.scenes[1].events[?(@.id === 'Pickup.pickupLoot.lootHypnoHat')].stats[?(@.id === 'hits')].value</t>
  </si>
  <si>
    <t>{
        "resort": "$.resort",
        "park": "$.park",
        "land": "$.land",
        "publisher": "$.publisher",
        "timestamp": "$.timestamp",
        "playerId": "$.playerId",
        "items": [
                {
                        "id": "lootHypnoHat",
                        "count": "$.rideSummary.scenes[1].events[?(@.id === 'Pickup.pickupLoot.lootHypnoHat')].stats[?(@.id === 'hits')].value@other()",
                        "customData": [
                                {
                                        "key": "state",
                                        "value": 2
                                },
                                {
                                        "key": "category",
                                        "value": "inside"
                                },
                                {
                                        "key": "session",
                                        "value": "$.rideSummary.sessionId"
                                },
                                {
                                        "key": "scene",
                                        "value": "$.rideSummary.scenes[1].number@other()"
                                }
                        ]
                }
        ]
}</t>
  </si>
  <si>
    <t>for every Pickup.pickupLoot.lootHypnoHat, grant lootHypnoHat item SCENE 3</t>
  </si>
  <si>
    <t>$.rideSummary.scenes[2].events[?(@.id === 'Pickup.pickupLoot.lootHypnoHat')].stats[?(@.id === 'hits')].value</t>
  </si>
  <si>
    <t>{
        "resort": "$.resort",
        "park": "$.park",
        "land": "$.land",
        "publisher": "$.publisher",
        "timestamp": "$.timestamp",
        "playerId": "$.playerId",
        "items": [
                {
                        "id": "lootHypnoHat",
                        "count": "$.rideSummary.scenes[2].events[?(@.id === 'Pickup.pickupLoot.lootHypnoHat')].stats[?(@.id === 'hits')].value@other()",
                        "customData": [
                                {
                                        "key": "state",
                                        "value": 2
                                },
                                {
                                        "key": "category",
                                        "value": "inside"
                                },
                                {
                                        "key": "session",
                                        "value": "$.rideSummary.sessionId"
                                },
                                {
                                        "key": "scene",
                                        "value": "$.rideSummary.scenes[2].number@other()"
                                }
                        ]
                }
        ]
}</t>
  </si>
  <si>
    <t>for every Pickup.pickupLoot.lootHypnoHat, grant lootHypnoHat item SCENE 4</t>
  </si>
  <si>
    <t>$.rideSummary.scenes[3].events[?(@.id === 'Pickup.pickupLoot.lootHypnoHat')].stats[?(@.id === 'hits')].value</t>
  </si>
  <si>
    <t>{
        "resort": "$.resort",
        "park": "$.park",
        "land": "$.land",
        "publisher": "$.publisher",
        "timestamp": "$.timestamp",
        "playerId": "$.playerId",
        "items": [
                {
                        "id": "lootHypnoHat",
                        "count": "$.rideSummary.scenes[3].events[?(@.id === 'Pickup.pickupLoot.lootHypnoHat')].stats[?(@.id === 'hits')].value@other()",
                        "customData": [
                                {
                                        "key": "state",
                                        "value": 2
                                },
                                {
                                        "key": "category",
                                        "value": "inside"
                                },
                                {
                                        "key": "session",
                                        "value": "$.rideSummary.sessionId"
                                },
                                {
                                        "key": "scene",
                                        "value": "$.rideSummary.scenes[3].number@other()"
                                }
                        ]
                }
        ]
}</t>
  </si>
  <si>
    <t>for every Pickup.pickupLoot.lootHypnoHat, grant lootHypnoHat item SCENE 5</t>
  </si>
  <si>
    <t>$.rideSummary.scenes[4].events[?(@.id === 'Pickup.pickupLoot.lootHypnoHat')].stats[?(@.id === 'hits')].value</t>
  </si>
  <si>
    <t>{
        "resort": "$.resort",
        "park": "$.park",
        "land": "$.land",
        "publisher": "$.publisher",
        "timestamp": "$.timestamp",
        "playerId": "$.playerId",
        "items": [
                {
                        "id": "lootHypnoHat",
                        "count": "$.rideSummary.scenes[4].events[?(@.id === 'Pickup.pickupLoot.lootHypnoHat')].stats[?(@.id === 'hits')].value@other()",
                        "customData": [
                                {
                                        "key": "state",
                                        "value": 2
                                },
                                {
                                        "key": "category",
                                        "value": "inside"
                                },
                                {
                                        "key": "session",
                                        "value": "$.rideSummary.sessionId"
                                },
                                {
                                        "key": "scene",
                                        "value": "$.rideSummary.scenes[4].number@other()"
                                }
                        ]
                }
        ]
}</t>
  </si>
  <si>
    <t>for every Pickup.pickupLoot.lootHypnoHat, grant lootHypnoHat item SCENE 6</t>
  </si>
  <si>
    <t>$.rideSummary.scenes[5].events[?(@.id === 'Pickup.pickupLoot.lootHypnoHat')].stats[?(@.id === 'hits')].value</t>
  </si>
  <si>
    <t>{
        "resort": "$.resort",
        "park": "$.park",
        "land": "$.land",
        "publisher": "$.publisher",
        "timestamp": "$.timestamp",
        "playerId": "$.playerId",
        "items": [
                {
                        "id": "lootHypnoHat",
                        "count": "$.rideSummary.scenes[5].events[?(@.id === 'Pickup.pickupLoot.lootHypnoHat')].stats[?(@.id === 'hits')].value@other()",
                        "customData": [
                                {
                                        "key": "state",
                                        "value": 2
                                },
                                {
                                        "key": "category",
                                        "value": "inside"
                                },
                                {
                                        "key": "session",
                                        "value": "$.rideSummary.sessionId"
                                },
                                {
                                        "key": "scene",
                                        "value": "$.rideSummary.scenes[5].number@other()"
                                }
                        ]
                }
        ]
}</t>
  </si>
  <si>
    <t>for every Pickup.pickupLoot.lootHypnoHat, grant lootHypnoHat item SCENE 7</t>
  </si>
  <si>
    <t>$.rideSummary.scenes[6].events[?(@.id === 'Pickup.pickupLoot.lootHypnoHat')].stats[?(@.id === 'hits')].value</t>
  </si>
  <si>
    <t>{
        "resort": "$.resort",
        "park": "$.park",
        "land": "$.land",
        "publisher": "$.publisher",
        "timestamp": "$.timestamp",
        "playerId": "$.playerId",
        "items": [
                {
                        "id": "lootHypnoHat",
                        "count": "$.rideSummary.scenes[6].events[?(@.id === 'Pickup.pickupLoot.lootHypnoHat')].stats[?(@.id === 'hits')].value@other()",
                        "customData": [
                                {
                                        "key": "state",
                                        "value": 2
                                },
                                {
                                        "key": "category",
                                        "value": "inside"
                                },
                                {
                                        "key": "session",
                                        "value": "$.rideSummary.sessionId"
                                },
                                {
                                        "key": "scene",
                                        "value": "$.rideSummary.scenes[6].number@other()"
                                }
                        ]
                }
        ]
}</t>
  </si>
  <si>
    <t>for every Pickup.pickupLoot.lootLipstickTaser, grant lootLipstickTaser item SCENE 1</t>
  </si>
  <si>
    <t>$.rideSummary.scenes[0].events[?(@.id === 'Pickup.pickupLoot.lootLipstickTaser')].stats[?(@.id === 'hits')].value</t>
  </si>
  <si>
    <t>{
        "resort": "$.resort",
        "park": "$.park",
        "land": "$.land",
        "publisher": "$.publisher",
        "timestamp": "$.timestamp",
        "playerId": "$.playerId",
        "items": [
                {
                        "id": "lootLipstickTaser",
                        "count": "$.rideSummary.scenes[0].events[?(@.id === 'Pickup.pickupLoot.lootLipstickTaser')].stats[?(@.id === 'hits')].value@other()",
                        "customData": [
                                {
                                        "key": "state",
                                        "value": 2
                                },
                                {
                                        "key": "category",
                                        "value": "inside"
                                },
                                {
                                        "key": "session",
                                        "value": "$.rideSummary.sessionId"
                                },
                                {
                                        "key": "scene",
                                        "value": "$.rideSummary.scenes[1].number@other()"
                                }
                        ]
                }
        ]
}</t>
  </si>
  <si>
    <t>for every Pickup.pickupLoot.lootLipstickTaser, grant lootLipstickTaser item SCENE 2</t>
  </si>
  <si>
    <t>$.rideSummary.scenes[1].events[?(@.id === 'Pickup.pickupLoot.lootLipstickTaser')].stats[?(@.id === 'hits')].value</t>
  </si>
  <si>
    <t>{
        "resort": "$.resort",
        "park": "$.park",
        "land": "$.land",
        "publisher": "$.publisher",
        "timestamp": "$.timestamp",
        "playerId": "$.playerId",
        "items": [
                {
                        "id": "lootLipstickTaser",
                        "count": "$.rideSummary.scenes[1].events[?(@.id === 'Pickup.pickupLoot.lootLipstickTaser')].stats[?(@.id === 'hits')].value@other()",
                        "customData": [
                                {
                                        "key": "state",
                                        "value": 2
                                },
                                {
                                        "key": "category",
                                        "value": "inside"
                                },
                                {
                                        "key": "session",
                                        "value": "$.rideSummary.sessionId"
                                },
                                {
                                        "key": "scene",
                                        "value": "$.rideSummary.scenes[1].number@other()"
                                }
                        ]
                }
        ]
}</t>
  </si>
  <si>
    <t>for every Pickup.pickupLoot.lootLipstickTaser, grant lootLipstickTaser item SCENE 3</t>
  </si>
  <si>
    <t>$.rideSummary.scenes[2].events[?(@.id === 'Pickup.pickupLoot.lootLipstickTaser')].stats[?(@.id === 'hits')].value</t>
  </si>
  <si>
    <t>{
        "resort": "$.resort",
        "park": "$.park",
        "land": "$.land",
        "publisher": "$.publisher",
        "timestamp": "$.timestamp",
        "playerId": "$.playerId",
        "items": [
                {
                        "id": "lootLipstickTaser",
                        "count": "$.rideSummary.scenes[2].events[?(@.id === 'Pickup.pickupLoot.lootLipstickTaser')].stats[?(@.id === 'hits')].value@other()",
                        "customData": [
                                {
                                        "key": "state",
                                        "value": 2
                                },
                                {
                                        "key": "category",
                                        "value": "inside"
                                },
                                {
                                        "key": "session",
                                        "value": "$.rideSummary.sessionId"
                                },
                                {
                                        "key": "scene",
                                        "value": "$.rideSummary.scenes[2].number@other()"
                                }
                        ]
                }
        ]
}</t>
  </si>
  <si>
    <t>for every Pickup.pickupLoot.lootLipstickTaser, grant lootLipstickTaser item SCENE 4</t>
  </si>
  <si>
    <t>$.rideSummary.scenes[3].events[?(@.id === 'Pickup.pickupLoot.lootLipstickTaser')].stats[?(@.id === 'hits')].value</t>
  </si>
  <si>
    <t>{
        "resort": "$.resort",
        "park": "$.park",
        "land": "$.land",
        "publisher": "$.publisher",
        "timestamp": "$.timestamp",
        "playerId": "$.playerId",
        "items": [
                {
                        "id": "lootLipstickTaser",
                        "count": "$.rideSummary.scenes[3].events[?(@.id === 'Pickup.pickupLoot.lootLipstickTaser')].stats[?(@.id === 'hits')].value@other()",
                        "customData": [
                                {
                                        "key": "state",
                                        "value": 2
                                },
                                {
                                        "key": "category",
                                        "value": "inside"
                                },
                                {
                                        "key": "session",
                                        "value": "$.rideSummary.sessionId"
                                },
                                {
                                        "key": "scene",
                                        "value": "$.rideSummary.scenes[3].number@other()"
                                }
                        ]
                }
        ]
}</t>
  </si>
  <si>
    <t>for every Pickup.pickupLoot.lootLipstickTaser, grant lootLipstickTaser item SCENE 5</t>
  </si>
  <si>
    <t>$.rideSummary.scenes[4].events[?(@.id === 'Pickup.pickupLoot.lootLipstickTaser')].stats[?(@.id === 'hits')].value</t>
  </si>
  <si>
    <t>{
        "resort": "$.resort",
        "park": "$.park",
        "land": "$.land",
        "publisher": "$.publisher",
        "timestamp": "$.timestamp",
        "playerId": "$.playerId",
        "items": [
                {
                        "id": "lootLipstickTaser",
                        "count": "$.rideSummary.scenes[4].events[?(@.id === 'Pickup.pickupLoot.lootLipstickTaser')].stats[?(@.id === 'hits')].value@other()",
                        "customData": [
                                {
                                        "key": "state",
                                        "value": 2
                                },
                                {
                                        "key": "category",
                                        "value": "inside"
                                },
                                {
                                        "key": "session",
                                        "value": "$.rideSummary.sessionId"
                                },
                                {
                                        "key": "scene",
                                        "value": "$.rideSummary.scenes[4].number@other()"
                                }
                        ]
                }
        ]
}</t>
  </si>
  <si>
    <t>for every Pickup.pickupLoot.lootLipstickTaser, grant lootLipstickTaser item SCENE 6</t>
  </si>
  <si>
    <t>$.rideSummary.scenes[5].events[?(@.id === 'Pickup.pickupLoot.lootLipstickTaser')].stats[?(@.id === 'hits')].value</t>
  </si>
  <si>
    <t>{
        "resort": "$.resort",
        "park": "$.park",
        "land": "$.land",
        "publisher": "$.publisher",
        "timestamp": "$.timestamp",
        "playerId": "$.playerId",
        "items": [
                {
                        "id": "lootLipstickTaser",
                        "count": "$.rideSummary.scenes[5].events[?(@.id === 'Pickup.pickupLoot.lootLipstickTaser')].stats[?(@.id === 'hits')].value@other()",
                        "customData": [
                                {
                                        "key": "state",
                                        "value": 2
                                },
                                {
                                        "key": "category",
                                        "value": "inside"
                                },
                                {
                                        "key": "session",
                                        "value": "$.rideSummary.sessionId"
                                },
                                {
                                        "key": "scene",
                                        "value": "$.rideSummary.scenes[5].number@other()"
                                }
                        ]
                }
        ]
}</t>
  </si>
  <si>
    <t>for every Pickup.pickupLoot.lootLipstickTaser, grant lootLipstickTaser item SCENE 7</t>
  </si>
  <si>
    <t>$.rideSummary.scenes[6].events[?(@.id === 'Pickup.pickupLoot.lootLipstickTaser')].stats[?(@.id === 'hits')].value</t>
  </si>
  <si>
    <t>{
        "resort": "$.resort",
        "park": "$.park",
        "land": "$.land",
        "publisher": "$.publisher",
        "timestamp": "$.timestamp",
        "playerId": "$.playerId",
        "items": [
                {
                        "id": "lootLipstickTaser",
                        "count": "$.rideSummary.scenes[6].events[?(@.id === 'Pickup.pickupLoot.lootLipstickTaser')].stats[?(@.id === 'hits')].value@other()",
                        "customData": [
                                {
                                        "key": "state",
                                        "value": 2
                                },
                                {
                                        "key": "category",
                                        "value": "inside"
                                },
                                {
                                        "key": "session",
                                        "value": "$.rideSummary.sessionId"
                                },
                                {
                                        "key": "scene",
                                        "value": "$.rideSummary.scenes[6].number@other()"
                                }
                        ]
                }
        ]
}</t>
  </si>
  <si>
    <t>for every Pickup.pickupLoot.lootQueensCrown, grant lootQueensCrown item SCENE 1</t>
  </si>
  <si>
    <t>$.rideSummary.scenes[0].events[?(@.id === 'Pickup.pickupLoot.lootQueensCrown')].stats[?(@.id === 'hits')].value</t>
  </si>
  <si>
    <t>{
        "resort": "$.resort",
        "park": "$.park",
        "land": "$.land",
        "publisher": "$.publisher",
        "timestamp": "$.timestamp",
        "playerId": "$.playerId",
        "items": [
                {
                        "id": "lootQueensCrown",
                        "count": "$.rideSummary.scenes[0].events[?(@.id === 'Pickup.pickupLoot.lootQueensCrown')].stats[?(@.id === 'hits')].value@other()",
                        "customData": [
                                {
                                        "key": "state",
                                        "value": 2
                                },
                                {
                                        "key": "category",
                                        "value": "inside"
                                },
                                {
                                        "key": "session",
                                        "value": "$.rideSummary.sessionId"
                                },
                                {
                                        "key": "scene",
                                        "value": "$.rideSummary.scenes[1].number@other()"
                                }
                        ]
                }
        ]
}</t>
  </si>
  <si>
    <t>for every Pickup.pickupLoot.lootQueensCrown, grant lootQueensCrown item SCENE 2</t>
  </si>
  <si>
    <t>$.rideSummary.scenes[1].events[?(@.id === 'Pickup.pickupLoot.lootQueensCrown')].stats[?(@.id === 'hits')].value</t>
  </si>
  <si>
    <t>{
        "resort": "$.resort",
        "park": "$.park",
        "land": "$.land",
        "publisher": "$.publisher",
        "timestamp": "$.timestamp",
        "playerId": "$.playerId",
        "items": [
                {
                        "id": "lootQueensCrown",
                        "count": "$.rideSummary.scenes[1].events[?(@.id === 'Pickup.pickupLoot.lootQueensCrown')].stats[?(@.id === 'hits')].value@other()",
                        "customData": [
                                {
                                        "key": "state",
                                        "value": 2
                                },
                                {
                                        "key": "category",
                                        "value": "inside"
                                },
                                {
                                        "key": "session",
                                        "value": "$.rideSummary.sessionId"
                                },
                                {
                                        "key": "scene",
                                        "value": "$.rideSummary.scenes[1].number@other()"
                                }
                        ]
                }
        ]
}</t>
  </si>
  <si>
    <t>for every Pickup.pickupLoot.lootQueensCrown, grant lootQueensCrown item SCENE 3</t>
  </si>
  <si>
    <t>$.rideSummary.scenes[2].events[?(@.id === 'Pickup.pickupLoot.lootQueensCrown')].stats[?(@.id === 'hits')].value</t>
  </si>
  <si>
    <t>{
        "resort": "$.resort",
        "park": "$.park",
        "land": "$.land",
        "publisher": "$.publisher",
        "timestamp": "$.timestamp",
        "playerId": "$.playerId",
        "items": [
                {
                        "id": "lootQueensCrown",
                        "count": "$.rideSummary.scenes[2].events[?(@.id === 'Pickup.pickupLoot.lootQueensCrown')].stats[?(@.id === 'hits')].value@other()",
                        "customData": [
                                {
                                        "key": "state",
                                        "value": 2
                                },
                                {
                                        "key": "category",
                                        "value": "inside"
                                },
                                {
                                        "key": "session",
                                        "value": "$.rideSummary.sessionId"
                                },
                                {
                                        "key": "scene",
                                        "value": "$.rideSummary.scenes[2].number@other()"
                                }
                        ]
                }
        ]
}</t>
  </si>
  <si>
    <t>for every Pickup.pickupLoot.lootQueensCrown, grant lootQueensCrown item SCENE 4</t>
  </si>
  <si>
    <t>$.rideSummary.scenes[3].events[?(@.id === 'Pickup.pickupLoot.lootQueensCrown')].stats[?(@.id === 'hits')].value</t>
  </si>
  <si>
    <t>{
        "resort": "$.resort",
        "park": "$.park",
        "land": "$.land",
        "publisher": "$.publisher",
        "timestamp": "$.timestamp",
        "playerId": "$.playerId",
        "items": [
                {
                        "id": "lootQueensCrown",
                        "count": "$.rideSummary.scenes[3].events[?(@.id === 'Pickup.pickupLoot.lootQueensCrown')].stats[?(@.id === 'hits')].value@other()",
                        "customData": [
                                {
                                        "key": "state",
                                        "value": 2
                                },
                                {
                                        "key": "category",
                                        "value": "inside"
                                },
                                {
                                        "key": "session",
                                        "value": "$.rideSummary.sessionId"
                                },
                                {
                                        "key": "scene",
                                        "value": "$.rideSummary.scenes[3].number@other()"
                                }
                        ]
                }
        ]
}</t>
  </si>
  <si>
    <t>for every Pickup.pickupLoot.lootQueensCrown, grant lootQueensCrown item SCENE 5</t>
  </si>
  <si>
    <t>$.rideSummary.scenes[4].events[?(@.id === 'Pickup.pickupLoot.lootQueensCrown')].stats[?(@.id === 'hits')].value</t>
  </si>
  <si>
    <t>{
        "resort": "$.resort",
        "park": "$.park",
        "land": "$.land",
        "publisher": "$.publisher",
        "timestamp": "$.timestamp",
        "playerId": "$.playerId",
        "items": [
                {
                        "id": "lootQueensCrown",
                        "count": "$.rideSummary.scenes[4].events[?(@.id === 'Pickup.pickupLoot.lootQueensCrown')].stats[?(@.id === 'hits')].value@other()",
                        "customData": [
                                {
                                        "key": "state",
                                        "value": 2
                                },
                                {
                                        "key": "category",
                                        "value": "inside"
                                },
                                {
                                        "key": "session",
                                        "value": "$.rideSummary.sessionId"
                                },
                                {
                                        "key": "scene",
                                        "value": "$.rideSummary.scenes[4].number@other()"
                                }
                        ]
                }
        ]
}</t>
  </si>
  <si>
    <t>for every Pickup.pickupLoot.lootQueensCrown, grant lootQueensCrown item SCENE 6</t>
  </si>
  <si>
    <t>$.rideSummary.scenes[5].events[?(@.id === 'Pickup.pickupLoot.lootQueensCrown')].stats[?(@.id === 'hits')].value</t>
  </si>
  <si>
    <t>{
        "resort": "$.resort",
        "park": "$.park",
        "land": "$.land",
        "publisher": "$.publisher",
        "timestamp": "$.timestamp",
        "playerId": "$.playerId",
        "items": [
                {
                        "id": "lootQueensCrown",
                        "count": "$.rideSummary.scenes[5].events[?(@.id === 'Pickup.pickupLoot.lootQueensCrown')].stats[?(@.id === 'hits')].value@other()",
                        "customData": [
                                {
                                        "key": "state",
                                        "value": 2
                                },
                                {
                                        "key": "category",
                                        "value": "inside"
                                },
                                {
                                        "key": "session",
                                        "value": "$.rideSummary.sessionId"
                                },
                                {
                                        "key": "scene",
                                        "value": "$.rideSummary.scenes[5].number@other()"
                                }
                        ]
                }
        ]
}</t>
  </si>
  <si>
    <t>for every Pickup.pickupLoot.lootQueensCrown, grant lootQueensCrown item SCENE 7</t>
  </si>
  <si>
    <t>$.rideSummary.scenes[6].events[?(@.id === 'Pickup.pickupLoot.lootQueensCrown')].stats[?(@.id === 'hits')].value</t>
  </si>
  <si>
    <t>{
        "resort": "$.resort",
        "park": "$.park",
        "land": "$.land",
        "publisher": "$.publisher",
        "timestamp": "$.timestamp",
        "playerId": "$.playerId",
        "items": [
                {
                        "id": "lootQueensCrown",
                        "count": "$.rideSummary.scenes[6].events[?(@.id === 'Pickup.pickupLoot.lootQueensCrown')].stats[?(@.id === 'hits')].value@other()",
                        "customData": [
                                {
                                        "key": "state",
                                        "value": 2
                                },
                                {
                                        "key": "category",
                                        "value": "inside"
                                },
                                {
                                        "key": "session",
                                        "value": "$.rideSummary.sessionId"
                                },
                                {
                                        "key": "scene",
                                        "value": "$.rideSummary.scenes[6].number@other()"
                                }
                        ]
                }
        ]
}</t>
  </si>
  <si>
    <t>for every Pickup.pickupLoot.lootStickyFingers, grant lootStickyFingers item SCENE 1</t>
  </si>
  <si>
    <t>$.rideSummary.scenes[0].events[?(@.id === 'Pickup.pickupLoot.lootStickyFingers')].stats[?(@.id === 'hits')].value</t>
  </si>
  <si>
    <t>{
        "resort": "$.resort",
        "park": "$.park",
        "land": "$.land",
        "publisher": "$.publisher",
        "timestamp": "$.timestamp",
        "playerId": "$.playerId",
        "items": [
                {
                        "id": "lootStickyFingers",
                        "count": "$.rideSummary.scenes[0].events[?(@.id === 'Pickup.pickupLoot.lootStickyFingers')].stats[?(@.id === 'hits')].value@other()",
                        "customData": [
                                {
                                        "key": "state",
                                        "value": 2
                                },
                                {
                                        "key": "category",
                                        "value": "inside"
                                },
                                {
                                        "key": "session",
                                        "value": "$.rideSummary.sessionId"
                                },
                                {
                                        "key": "scene",
                                        "value": "$.rideSummary.scenes[1].number@other()"
                                }
                        ]
                }
        ]
}</t>
  </si>
  <si>
    <t>for every Pickup.pickupLoot.lootStickyFingers, grant lootStickyFingers item SCENE 2</t>
  </si>
  <si>
    <t>$.rideSummary.scenes[1].events[?(@.id === 'Pickup.pickupLoot.lootStickyFingers')].stats[?(@.id === 'hits')].value</t>
  </si>
  <si>
    <t>{
        "resort": "$.resort",
        "park": "$.park",
        "land": "$.land",
        "publisher": "$.publisher",
        "timestamp": "$.timestamp",
        "playerId": "$.playerId",
        "items": [
                {
                        "id": "lootStickyFingers",
                        "count": "$.rideSummary.scenes[1].events[?(@.id === 'Pickup.pickupLoot.lootStickyFingers')].stats[?(@.id === 'hits')].value@other()",
                        "customData": [
                                {
                                        "key": "state",
                                        "value": 2
                                },
                                {
                                        "key": "category",
                                        "value": "inside"
                                },
                                {
                                        "key": "session",
                                        "value": "$.rideSummary.sessionId"
                                },
                                {
                                        "key": "scene",
                                        "value": "$.rideSummary.scenes[1].number@other()"
                                }
                        ]
                }
        ]
}</t>
  </si>
  <si>
    <t>for every Pickup.pickupLoot.lootStickyFingers, grant lootStickyFingers item SCENE 3</t>
  </si>
  <si>
    <t>$.rideSummary.scenes[2].events[?(@.id === 'Pickup.pickupLoot.lootStickyFingers')].stats[?(@.id === 'hits')].value</t>
  </si>
  <si>
    <t>{
        "resort": "$.resort",
        "park": "$.park",
        "land": "$.land",
        "publisher": "$.publisher",
        "timestamp": "$.timestamp",
        "playerId": "$.playerId",
        "items": [
                {
                        "id": "lootStickyFingers",
                        "count": "$.rideSummary.scenes[2].events[?(@.id === 'Pickup.pickupLoot.lootStickyFingers')].stats[?(@.id === 'hits')].value@other()",
                        "customData": [
                                {
                                        "key": "state",
                                        "value": 2
                                },
                                {
                                        "key": "category",
                                        "value": "inside"
                                },
                                {
                                        "key": "session",
                                        "value": "$.rideSummary.sessionId"
                                },
                                {
                                        "key": "scene",
                                        "value": "$.rideSummary.scenes[2].number@other()"
                                }
                        ]
                }
        ]
}</t>
  </si>
  <si>
    <t>for every Pickup.pickupLoot.lootStickyFingers, grant lootStickyFingers item SCENE 4</t>
  </si>
  <si>
    <t>$.rideSummary.scenes[3].events[?(@.id === 'Pickup.pickupLoot.lootStickyFingers')].stats[?(@.id === 'hits')].value</t>
  </si>
  <si>
    <t>{
        "resort": "$.resort",
        "park": "$.park",
        "land": "$.land",
        "publisher": "$.publisher",
        "timestamp": "$.timestamp",
        "playerId": "$.playerId",
        "items": [
                {
                        "id": "lootStickyFingers",
                        "count": "$.rideSummary.scenes[3].events[?(@.id === 'Pickup.pickupLoot.lootStickyFingers')].stats[?(@.id === 'hits')].value@other()",
                        "customData": [
                                {
                                        "key": "state",
                                        "value": 2
                                },
                                {
                                        "key": "category",
                                        "value": "inside"
                                },
                                {
                                        "key": "session",
                                        "value": "$.rideSummary.sessionId"
                                },
                                {
                                        "key": "scene",
                                        "value": "$.rideSummary.scenes[3].number@other()"
                                }
                        ]
                }
        ]
}</t>
  </si>
  <si>
    <t>for every Pickup.pickupLoot.lootStickyFingers, grant lootStickyFingers item SCENE 5</t>
  </si>
  <si>
    <t>$.rideSummary.scenes[4].events[?(@.id === 'Pickup.pickupLoot.lootStickyFingers')].stats[?(@.id === 'hits')].value</t>
  </si>
  <si>
    <t>{
        "resort": "$.resort",
        "park": "$.park",
        "land": "$.land",
        "publisher": "$.publisher",
        "timestamp": "$.timestamp",
        "playerId": "$.playerId",
        "items": [
                {
                        "id": "lootStickyFingers",
                        "count": "$.rideSummary.scenes[4].events[?(@.id === 'Pickup.pickupLoot.lootStickyFingers')].stats[?(@.id === 'hits')].value@other()",
                        "customData": [
                                {
                                        "key": "state",
                                        "value": 2
                                },
                                {
                                        "key": "category",
                                        "value": "inside"
                                },
                                {
                                        "key": "session",
                                        "value": "$.rideSummary.sessionId"
                                },
                                {
                                        "key": "scene",
                                        "value": "$.rideSummary.scenes[4].number@other()"
                                }
                        ]
                }
        ]
}</t>
  </si>
  <si>
    <t>for every Pickup.pickupLoot.lootStickyFingers, grant lootStickyFingers item SCENE 6</t>
  </si>
  <si>
    <t>$.rideSummary.scenes[5].events[?(@.id === 'Pickup.pickupLoot.lootStickyFingers')].stats[?(@.id === 'hits')].value</t>
  </si>
  <si>
    <t>{
        "resort": "$.resort",
        "park": "$.park",
        "land": "$.land",
        "publisher": "$.publisher",
        "timestamp": "$.timestamp",
        "playerId": "$.playerId",
        "items": [
                {
                        "id": "lootStickyFingers",
                        "count": "$.rideSummary.scenes[5].events[?(@.id === 'Pickup.pickupLoot.lootStickyFingers')].stats[?(@.id === 'hits')].value@other()",
                        "customData": [
                                {
                                        "key": "state",
                                        "value": 2
                                },
                                {
                                        "key": "category",
                                        "value": "inside"
                                },
                                {
                                        "key": "session",
                                        "value": "$.rideSummary.sessionId"
                                },
                                {
                                        "key": "scene",
                                        "value": "$.rideSummary.scenes[5].number@other()"
                                }
                        ]
                }
        ]
}</t>
  </si>
  <si>
    <t>for every Pickup.pickupLoot.lootStickyFingers, grant lootStickyFingers item SCENE 7</t>
  </si>
  <si>
    <t>$.rideSummary.scenes[6].events[?(@.id === 'Pickup.pickupLoot.lootStickyFingers')].stats[?(@.id === 'hits')].value</t>
  </si>
  <si>
    <t>{
        "resort": "$.resort",
        "park": "$.park",
        "land": "$.land",
        "publisher": "$.publisher",
        "timestamp": "$.timestamp",
        "playerId": "$.playerId",
        "items": [
                {
                        "id": "lootStickyFingers",
                        "count": "$.rideSummary.scenes[6].events[?(@.id === 'Pickup.pickupLoot.lootStickyFingers')].stats[?(@.id === 'hits')].value@other()",
                        "customData": [
                                {
                                        "key": "state",
                                        "value": 2
                                },
                                {
                                        "key": "category",
                                        "value": "inside"
                                },
                                {
                                        "key": "session",
                                        "value": "$.rideSummary.sessionId"
                                },
                                {
                                        "key": "scene",
                                        "value": "$.rideSummary.scenes[6].number@other()"
                                }
                        ]
                }
        ]
}</t>
  </si>
  <si>
    <t>for every Pickup.pickupLoot.lootStretchSuit, grant lootStretchSuit item SCENE 1</t>
  </si>
  <si>
    <t>lootStretchSuit</t>
  </si>
  <si>
    <t>$.rideSummary.scenes[0].events[?(@.id === 'Pickup.pickupLoot.lootStretchSuit')].stats[?(@.id === 'hits')].value</t>
  </si>
  <si>
    <t>{
        "resort": "$.resort",
        "park": "$.park",
        "land": "$.land",
        "publisher": "$.publisher",
        "timestamp": "$.timestamp",
        "playerId": "$.playerId",
        "items": [
                {
                        "id": "lootStretchSuit",
                        "count": "$.rideSummary.scenes[0].events[?(@.id === 'Pickup.pickupLoot.lootStretchSuit')].stats[?(@.id === 'hits')].value@other()",
                        "customData": [
                                {
                                        "key": "state",
                                        "value": 2
                                },
                                {
                                        "key": "category",
                                        "value": "inside"
                                },
                                {
                                        "key": "session",
                                        "value": "$.rideSummary.sessionId"
                                },
                                {
                                        "key": "scene",
                                        "value": "$.rideSummary.scenes[1].number@other()"
                                }
                        ]
                }
        ]
}</t>
  </si>
  <si>
    <t>for every Pickup.pickupLoot.lootStretchSuit, grant lootStretchSuit item SCENE 2</t>
  </si>
  <si>
    <t>$.rideSummary.scenes[1].events[?(@.id === 'Pickup.pickupLoot.lootStretchSuit')].stats[?(@.id === 'hits')].value</t>
  </si>
  <si>
    <t>{
        "resort": "$.resort",
        "park": "$.park",
        "land": "$.land",
        "publisher": "$.publisher",
        "timestamp": "$.timestamp",
        "playerId": "$.playerId",
        "items": [
                {
                        "id": "lootStretchSuit",
                        "count": "$.rideSummary.scenes[1].events[?(@.id === 'Pickup.pickupLoot.lootStretchSuit')].stats[?(@.id === 'hits')].value@other()",
                        "customData": [
                                {
                                        "key": "state",
                                        "value": 2
                                },
                                {
                                        "key": "category",
                                        "value": "inside"
                                },
                                {
                                        "key": "session",
                                        "value": "$.rideSummary.sessionId"
                                },
                                {
                                        "key": "scene",
                                        "value": "$.rideSummary.scenes[1].number@other()"
                                }
                        ]
                }
        ]
}</t>
  </si>
  <si>
    <t>for every Pickup.pickupLoot.lootStretchSuit, grant lootStretchSuit item SCENE 3</t>
  </si>
  <si>
    <t>$.rideSummary.scenes[2].events[?(@.id === 'Pickup.pickupLoot.lootStretchSuit')].stats[?(@.id === 'hits')].value</t>
  </si>
  <si>
    <t>{
        "resort": "$.resort",
        "park": "$.park",
        "land": "$.land",
        "publisher": "$.publisher",
        "timestamp": "$.timestamp",
        "playerId": "$.playerId",
        "items": [
                {
                        "id": "lootStretchSuit",
                        "count": "$.rideSummary.scenes[2].events[?(@.id === 'Pickup.pickupLoot.lootStretchSuit')].stats[?(@.id === 'hits')].value@other()",
                        "customData": [
                                {
                                        "key": "state",
                                        "value": 2
                                },
                                {
                                        "key": "category",
                                        "value": "inside"
                                },
                                {
                                        "key": "session",
                                        "value": "$.rideSummary.sessionId"
                                },
                                {
                                        "key": "scene",
                                        "value": "$.rideSummary.scenes[2].number@other()"
                                }
                        ]
                }
        ]
}</t>
  </si>
  <si>
    <t>for every Pickup.pickupLoot.lootStretchSuit, grant lootStretchSuit item SCENE 4</t>
  </si>
  <si>
    <t>$.rideSummary.scenes[3].events[?(@.id === 'Pickup.pickupLoot.lootStretchSuit')].stats[?(@.id === 'hits')].value</t>
  </si>
  <si>
    <t>{
        "resort": "$.resort",
        "park": "$.park",
        "land": "$.land",
        "publisher": "$.publisher",
        "timestamp": "$.timestamp",
        "playerId": "$.playerId",
        "items": [
                {
                        "id": "lootStretchSuit",
                        "count": "$.rideSummary.scenes[3].events[?(@.id === 'Pickup.pickupLoot.lootStretchSuit')].stats[?(@.id === 'hits')].value@other()",
                        "customData": [
                                {
                                        "key": "state",
                                        "value": 2
                                },
                                {
                                        "key": "category",
                                        "value": "inside"
                                },
                                {
                                        "key": "session",
                                        "value": "$.rideSummary.sessionId"
                                },
                                {
                                        "key": "scene",
                                        "value": "$.rideSummary.scenes[3].number@other()"
                                }
                        ]
                }
        ]
}</t>
  </si>
  <si>
    <t>for every Pickup.pickupLoot.lootStretchSuit, grant lootStretchSuit item SCENE 5</t>
  </si>
  <si>
    <t>$.rideSummary.scenes[4].events[?(@.id === 'Pickup.pickupLoot.lootStretchSuit')].stats[?(@.id === 'hits')].value</t>
  </si>
  <si>
    <t>{
        "resort": "$.resort",
        "park": "$.park",
        "land": "$.land",
        "publisher": "$.publisher",
        "timestamp": "$.timestamp",
        "playerId": "$.playerId",
        "items": [
                {
                        "id": "lootStretchSuit",
                        "count": "$.rideSummary.scenes[4].events[?(@.id === 'Pickup.pickupLoot.lootStretchSuit')].stats[?(@.id === 'hits')].value@other()",
                        "customData": [
                                {
                                        "key": "state",
                                        "value": 2
                                },
                                {
                                        "key": "category",
                                        "value": "inside"
                                },
                                {
                                        "key": "session",
                                        "value": "$.rideSummary.sessionId"
                                },
                                {
                                        "key": "scene",
                                        "value": "$.rideSummary.scenes[4].number@other()"
                                }
                        ]
                }
        ]
}</t>
  </si>
  <si>
    <t>for every Pickup.pickupLoot.lootStretchSuit, grant lootStretchSuit item SCENE 6</t>
  </si>
  <si>
    <t>$.rideSummary.scenes[5].events[?(@.id === 'Pickup.pickupLoot.lootStretchSuit')].stats[?(@.id === 'hits')].value</t>
  </si>
  <si>
    <t>{
        "resort": "$.resort",
        "park": "$.park",
        "land": "$.land",
        "publisher": "$.publisher",
        "timestamp": "$.timestamp",
        "playerId": "$.playerId",
        "items": [
                {
                        "id": "lootStretchSuit",
                        "count": "$.rideSummary.scenes[5].events[?(@.id === 'Pickup.pickupLoot.lootStretchSuit')].stats[?(@.id === 'hits')].value@other()",
                        "customData": [
                                {
                                        "key": "state",
                                        "value": 2
                                },
                                {
                                        "key": "category",
                                        "value": "inside"
                                },
                                {
                                        "key": "session",
                                        "value": "$.rideSummary.sessionId"
                                },
                                {
                                        "key": "scene",
                                        "value": "$.rideSummary.scenes[5].number@other()"
                                }
                        ]
                }
        ]
}</t>
  </si>
  <si>
    <t>for every Pickup.pickupLoot.lootStretchSuit, grant lootStretchSuit item SCENE 7</t>
  </si>
  <si>
    <t>$.rideSummary.scenes[6].events[?(@.id === 'Pickup.pickupLoot.lootStretchSuit')].stats[?(@.id === 'hits')].value</t>
  </si>
  <si>
    <t>{
        "resort": "$.resort",
        "park": "$.park",
        "land": "$.land",
        "publisher": "$.publisher",
        "timestamp": "$.timestamp",
        "playerId": "$.playerId",
        "items": [
                {
                        "id": "lootStretchSuit",
                        "count": "$.rideSummary.scenes[6].events[?(@.id === 'Pickup.pickupLoot.lootStretchSuit')].stats[?(@.id === 'hits')].value@other()",
                        "customData": [
                                {
                                        "key": "state",
                                        "value": 2
                                },
                                {
                                        "key": "category",
                                        "value": "inside"
                                },
                                {
                                        "key": "session",
                                        "value": "$.rideSummary.sessionId"
                                },
                                {
                                        "key": "scene",
                                        "value": "$.rideSummary.scenes[6].number@other()"
                                }
                        ]
                }
        ]
}</t>
  </si>
  <si>
    <t>for every Pickup.pickupLoot.lootTinyMoon, grant lootTinyMoon item SCENE 1</t>
  </si>
  <si>
    <t>$.rideSummary.scenes[0].events[?(@.id === 'Pickup.pickupLoot.lootTinyMoon')].stats[?(@.id === 'hits')].value</t>
  </si>
  <si>
    <t>{
        "resort": "$.resort",
        "park": "$.park",
        "land": "$.land",
        "publisher": "$.publisher",
        "timestamp": "$.timestamp",
        "playerId": "$.playerId",
        "items": [
                {
                        "id": "lootTinyMoon",
                        "count": "$.rideSummary.scenes[0].events[?(@.id === 'Pickup.pickupLoot.lootTinyMoon')].stats[?(@.id === 'hits')].value@other()",
                        "customData": [
                                {
                                        "key": "state",
                                        "value": 2
                                },
                                {
                                        "key": "category",
                                        "value": "inside"
                                },
                                {
                                        "key": "session",
                                        "value": "$.rideSummary.sessionId"
                                },
                                {
                                        "key": "scene",
                                        "value": "$.rideSummary.scenes[1].number@other()"
                                }
                        ]
                }
        ]
}</t>
  </si>
  <si>
    <t>for every Pickup.pickupLoot.lootTinyMoon, grant lootTinyMoon item SCENE 2</t>
  </si>
  <si>
    <t>$.rideSummary.scenes[1].events[?(@.id === 'Pickup.pickupLoot.lootTinyMoon')].stats[?(@.id === 'hits')].value</t>
  </si>
  <si>
    <t>{
        "resort": "$.resort",
        "park": "$.park",
        "land": "$.land",
        "publisher": "$.publisher",
        "timestamp": "$.timestamp",
        "playerId": "$.playerId",
        "items": [
                {
                        "id": "lootTinyMoon",
                        "count": "$.rideSummary.scenes[1].events[?(@.id === 'Pickup.pickupLoot.lootTinyMoon')].stats[?(@.id === 'hits')].value@other()",
                        "customData": [
                                {
                                        "key": "state",
                                        "value": 2
                                },
                                {
                                        "key": "category",
                                        "value": "inside"
                                },
                                {
                                        "key": "session",
                                        "value": "$.rideSummary.sessionId"
                                },
                                {
                                        "key": "scene",
                                        "value": "$.rideSummary.scenes[1].number@other()"
                                }
                        ]
                }
        ]
}</t>
  </si>
  <si>
    <t>for every Pickup.pickupLoot.lootTinyMoon, grant lootTinyMoon item SCENE 3</t>
  </si>
  <si>
    <t>$.rideSummary.scenes[2].events[?(@.id === 'Pickup.pickupLoot.lootTinyMoon')].stats[?(@.id === 'hits')].value</t>
  </si>
  <si>
    <t>{
        "resort": "$.resort",
        "park": "$.park",
        "land": "$.land",
        "publisher": "$.publisher",
        "timestamp": "$.timestamp",
        "playerId": "$.playerId",
        "items": [
                {
                        "id": "lootTinyMoon",
                        "count": "$.rideSummary.scenes[2].events[?(@.id === 'Pickup.pickupLoot.lootTinyMoon')].stats[?(@.id === 'hits')].value@other()",
                        "customData": [
                                {
                                        "key": "state",
                                        "value": 2
                                },
                                {
                                        "key": "category",
                                        "value": "inside"
                                },
                                {
                                        "key": "session",
                                        "value": "$.rideSummary.sessionId"
                                },
                                {
                                        "key": "scene",
                                        "value": "$.rideSummary.scenes[2].number@other()"
                                }
                        ]
                }
        ]
}</t>
  </si>
  <si>
    <t>for every Pickup.pickupLoot.lootTinyMoon, grant lootTinyMoon item SCENE 4</t>
  </si>
  <si>
    <t>$.rideSummary.scenes[3].events[?(@.id === 'Pickup.pickupLoot.lootTinyMoon')].stats[?(@.id === 'hits')].value</t>
  </si>
  <si>
    <t>{
        "resort": "$.resort",
        "park": "$.park",
        "land": "$.land",
        "publisher": "$.publisher",
        "timestamp": "$.timestamp",
        "playerId": "$.playerId",
        "items": [
                {
                        "id": "lootTinyMoon",
                        "count": "$.rideSummary.scenes[3].events[?(@.id === 'Pickup.pickupLoot.lootTinyMoon')].stats[?(@.id === 'hits')].value@other()",
                        "customData": [
                                {
                                        "key": "state",
                                        "value": 2
                                },
                                {
                                        "key": "category",
                                        "value": "inside"
                                },
                                {
                                        "key": "session",
                                        "value": "$.rideSummary.sessionId"
                                },
                                {
                                        "key": "scene",
                                        "value": "$.rideSummary.scenes[3].number@other()"
                                }
                        ]
                }
        ]
}</t>
  </si>
  <si>
    <t>for every Pickup.pickupLoot.lootTinyMoon, grant lootTinyMoon item SCENE 5</t>
  </si>
  <si>
    <t>$.rideSummary.scenes[4].events[?(@.id === 'Pickup.pickupLoot.lootTinyMoon')].stats[?(@.id === 'hits')].value</t>
  </si>
  <si>
    <t>{
        "resort": "$.resort",
        "park": "$.park",
        "land": "$.land",
        "publisher": "$.publisher",
        "timestamp": "$.timestamp",
        "playerId": "$.playerId",
        "items": [
                {
                        "id": "lootTinyMoon",
                        "count": "$.rideSummary.scenes[4].events[?(@.id === 'Pickup.pickupLoot.lootTinyMoon')].stats[?(@.id === 'hits')].value@other()",
                        "customData": [
                                {
                                        "key": "state",
                                        "value": 2
                                },
                                {
                                        "key": "category",
                                        "value": "inside"
                                },
                                {
                                        "key": "session",
                                        "value": "$.rideSummary.sessionId"
                                },
                                {
                                        "key": "scene",
                                        "value": "$.rideSummary.scenes[4].number@other()"
                                }
                        ]
                }
        ]
}</t>
  </si>
  <si>
    <t>for every Pickup.pickupLoot.lootTinyMoon, grant lootTinyMoon item SCENE 6</t>
  </si>
  <si>
    <t>$.rideSummary.scenes[5].events[?(@.id === 'Pickup.pickupLoot.lootTinyMoon')].stats[?(@.id === 'hits')].value</t>
  </si>
  <si>
    <t>{
        "resort": "$.resort",
        "park": "$.park",
        "land": "$.land",
        "publisher": "$.publisher",
        "timestamp": "$.timestamp",
        "playerId": "$.playerId",
        "items": [
                {
                        "id": "lootTinyMoon",
                        "count": "$.rideSummary.scenes[5].events[?(@.id === 'Pickup.pickupLoot.lootTinyMoon')].stats[?(@.id === 'hits')].value@other()",
                        "customData": [
                                {
                                        "key": "state",
                                        "value": 2
                                },
                                {
                                        "key": "category",
                                        "value": "inside"
                                },
                                {
                                        "key": "session",
                                        "value": "$.rideSummary.sessionId"
                                },
                                {
                                        "key": "scene",
                                        "value": "$.rideSummary.scenes[5].number@other()"
                                }
                        ]
                }
        ]
}</t>
  </si>
  <si>
    <t>for every Pickup.pickupLoot.lootTinyMoon, grant lootTinyMoon item SCENE 7</t>
  </si>
  <si>
    <t>$.rideSummary.scenes[6].events[?(@.id === 'Pickup.pickupLoot.lootTinyMoon')].stats[?(@.id === 'hits')].value</t>
  </si>
  <si>
    <t>{
        "resort": "$.resort",
        "park": "$.park",
        "land": "$.land",
        "publisher": "$.publisher",
        "timestamp": "$.timestamp",
        "playerId": "$.playerId",
        "items": [
                {
                        "id": "lootTinyMoon",
                        "count": "$.rideSummary.scenes[6].events[?(@.id === 'Pickup.pickupLoot.lootTinyMoon')].stats[?(@.id === 'hits')].value@other()",
                        "customData": [
                                {
                                        "key": "state",
                                        "value": 2
                                },
                                {
                                        "key": "category",
                                        "value": "inside"
                                },
                                {
                                        "key": "session",
                                        "value": "$.rideSummary.sessionId"
                                },
                                {
                                        "key": "scene",
                                        "value": "$.rideSummary.scenes[6].number@other()"
                                }
                        ]
                }
        ]
}</t>
  </si>
  <si>
    <t>for every Pickup.pickupLoot.lootDumontDiamond, grant lootDiamond item SCENE 1</t>
  </si>
  <si>
    <t>$.rideSummary.scenes[0].events[?(@.id === 'Pickup.pickupLoot.lootDumontDiamond')].stats[?(@.id === 'hits')].value</t>
  </si>
  <si>
    <t>{
        "resort": "$.resort",
        "park": "$.park",
        "land": "$.land",
        "publisher": "$.publisher",
        "timestamp": "$.timestamp",
        "playerId": "$.playerId",
        "items": [
                {
                        "id": "lootDiamond",
                        "count": "$.rideSummary.scenes[0].events[?(@.id === 'Pickup.pickupLoot.lootDumontDiamond')].stats[?(@.id === 'hits')].value@other()",
                        "customData": [
                                {
                                        "key": "state",
                                        "value": 2
                                },
                                {
                                        "key": "category",
                                        "value": "inside"
                                },
                                {
                                        "key": "session",
                                        "value": "$.rideSummary.sessionId"
                                },
                                {
                                        "key": "scene",
                                        "value": "$.rideSummary.scenes[1].number@other()"
                                }
                        ]
                }
        ]
}</t>
  </si>
  <si>
    <t>for every Pickup.pickupLoot.lootDumontDiamond, grant lootDiamond item SCENE 2</t>
  </si>
  <si>
    <t>$.rideSummary.scenes[1].events[?(@.id === 'Pickup.pickupLoot.lootDumontDiamond')].stats[?(@.id === 'hits')].value</t>
  </si>
  <si>
    <t>{
        "resort": "$.resort",
        "park": "$.park",
        "land": "$.land",
        "publisher": "$.publisher",
        "timestamp": "$.timestamp",
        "playerId": "$.playerId",
        "items": [
                {
                        "id": "lootDiamond",
                        "count": "$.rideSummary.scenes[1].events[?(@.id === 'Pickup.pickupLoot.lootDumontDiamond')].stats[?(@.id === 'hits')].value@other()",
                        "customData": [
                                {
                                        "key": "state",
                                        "value": 2
                                },
                                {
                                        "key": "category",
                                        "value": "inside"
                                },
                                {
                                        "key": "session",
                                        "value": "$.rideSummary.sessionId"
                                },
                                {
                                        "key": "scene",
                                        "value": "$.rideSummary.scenes[1].number@other()"
                                }
                        ]
                }
        ]
}</t>
  </si>
  <si>
    <t>for every Pickup.pickupLoot.lootDumontDiamond, grant lootDiamond item SCENE 3</t>
  </si>
  <si>
    <t>$.rideSummary.scenes[2].events[?(@.id === 'Pickup.pickupLoot.lootDumontDiamond')].stats[?(@.id === 'hits')].value</t>
  </si>
  <si>
    <t>{
        "resort": "$.resort",
        "park": "$.park",
        "land": "$.land",
        "publisher": "$.publisher",
        "timestamp": "$.timestamp",
        "playerId": "$.playerId",
        "items": [
                {
                        "id": "lootDiamond",
                        "count": "$.rideSummary.scenes[2].events[?(@.id === 'Pickup.pickupLoot.lootDumontDiamond')].stats[?(@.id === 'hits')].value@other()",
                        "customData": [
                                {
                                        "key": "state",
                                        "value": 2
                                },
                                {
                                        "key": "category",
                                        "value": "inside"
                                },
                                {
                                        "key": "session",
                                        "value": "$.rideSummary.sessionId"
                                },
                                {
                                        "key": "scene",
                                        "value": "$.rideSummary.scenes[2].number@other()"
                                }
                        ]
                }
        ]
}</t>
  </si>
  <si>
    <t>for every Pickup.pickupLoot.lootDumontDiamond, grant lootDiamond item SCENE 4</t>
  </si>
  <si>
    <t>$.rideSummary.scenes[3].events[?(@.id === 'Pickup.pickupLoot.lootDumontDiamond')].stats[?(@.id === 'hits')].value</t>
  </si>
  <si>
    <t>{
        "resort": "$.resort",
        "park": "$.park",
        "land": "$.land",
        "publisher": "$.publisher",
        "timestamp": "$.timestamp",
        "playerId": "$.playerId",
        "items": [
                {
                        "id": "lootDiamond",
                        "count": "$.rideSummary.scenes[3].events[?(@.id === 'Pickup.pickupLoot.lootDumontDiamond')].stats[?(@.id === 'hits')].value@other()",
                        "customData": [
                                {
                                        "key": "state",
                                        "value": 2
                                },
                                {
                                        "key": "category",
                                        "value": "inside"
                                },
                                {
                                        "key": "session",
                                        "value": "$.rideSummary.sessionId"
                                },
                                {
                                        "key": "scene",
                                        "value": "$.rideSummary.scenes[3].number@other()"
                                }
                        ]
                }
        ]
}</t>
  </si>
  <si>
    <t>for every Pickup.pickupLoot.lootDumontDiamond, grant lootDiamond item SCENE 5</t>
  </si>
  <si>
    <t>$.rideSummary.scenes[4].events[?(@.id === 'Pickup.pickupLoot.lootDumontDiamond')].stats[?(@.id === 'hits')].value</t>
  </si>
  <si>
    <t>{
        "resort": "$.resort",
        "park": "$.park",
        "land": "$.land",
        "publisher": "$.publisher",
        "timestamp": "$.timestamp",
        "playerId": "$.playerId",
        "items": [
                {
                        "id": "lootDiamond",
                        "count": "$.rideSummary.scenes[4].events[?(@.id === 'Pickup.pickupLoot.lootDumontDiamond')].stats[?(@.id === 'hits')].value@other()",
                        "customData": [
                                {
                                        "key": "state",
                                        "value": 2
                                },
                                {
                                        "key": "category",
                                        "value": "inside"
                                },
                                {
                                        "key": "session",
                                        "value": "$.rideSummary.sessionId"
                                },
                                {
                                        "key": "scene",
                                        "value": "$.rideSummary.scenes[4].number@other()"
                                }
                        ]
                }
        ]
}</t>
  </si>
  <si>
    <t>for every Pickup.pickupLoot.lootDumontDiamond, grant lootDiamond item SCENE 6</t>
  </si>
  <si>
    <t>$.rideSummary.scenes[5].events[?(@.id === 'Pickup.pickupLoot.lootDumontDiamond')].stats[?(@.id === 'hits')].value</t>
  </si>
  <si>
    <t>{
        "resort": "$.resort",
        "park": "$.park",
        "land": "$.land",
        "publisher": "$.publisher",
        "timestamp": "$.timestamp",
        "playerId": "$.playerId",
        "items": [
                {
                        "id": "lootDiamond",
                        "count": "$.rideSummary.scenes[5].events[?(@.id === 'Pickup.pickupLoot.lootDumontDiamond')].stats[?(@.id === 'hits')].value@other()",
                        "customData": [
                                {
                                        "key": "state",
                                        "value": 2
                                },
                                {
                                        "key": "category",
                                        "value": "inside"
                                },
                                {
                                        "key": "session",
                                        "value": "$.rideSummary.sessionId"
                                },
                                {
                                        "key": "scene",
                                        "value": "$.rideSummary.scenes[5].number@other()"
                                }
                        ]
                }
        ]
}</t>
  </si>
  <si>
    <t>for every Pickup.pickupLoot.lootDumontDiamond, grant lootDiamond item SCENE 7</t>
  </si>
  <si>
    <t>$.rideSummary.scenes[6].events[?(@.id === 'Pickup.pickupLoot.lootDumontDiamond')].stats[?(@.id === 'hits')].value</t>
  </si>
  <si>
    <t>{
        "resort": "$.resort",
        "park": "$.park",
        "land": "$.land",
        "publisher": "$.publisher",
        "timestamp": "$.timestamp",
        "playerId": "$.playerId",
        "items": [
                {
                        "id": "lootDiamond",
                        "count": "$.rideSummary.scenes[6].events[?(@.id === 'Pickup.pickupLoot.lootDumontDiamond')].stats[?(@.id === 'hits')].value@other()",
                        "customData": [
                                {
                                        "key": "state",
                                        "value": 2
                                },
                                {
                                        "key": "category",
                                        "value": "inside"
                                },
                                {
                                        "key": "session",
                                        "value": "$.rideSummary.sessionId"
                                },
                                {
                                        "key": "scene",
                                        "value": "$.rideSummary.scenes[6].number@other()"
                                }
                        ]
                }
        ]
}</t>
  </si>
  <si>
    <t>for every Pickup.pickupLoot.lootGoldenGuardian, grant lootGoldenGuardianRobot item SCENE 1</t>
  </si>
  <si>
    <t>$.rideSummary.scenes[0].events[?(@.id === 'Pickup.pickupLoot.lootGoldenGuardian')].stats[?(@.id === 'hits')].value</t>
  </si>
  <si>
    <t>{
        "resort": "$.resort",
        "park": "$.park",
        "land": "$.land",
        "publisher": "$.publisher",
        "timestamp": "$.timestamp",
        "playerId": "$.playerId",
        "items": [
                {
                        "id": "lootGoldenGuardianRobot",
                        "count": "$.rideSummary.scenes[0].events[?(@.id === 'Pickup.pickupLoot.lootGoldenGuardian')].stats[?(@.id === 'hits')].value@other()",
                        "customData": [
                                {
                                        "key": "state",
                                        "value": 2
                                },
                                {
                                        "key": "category",
                                        "value": "inside"
                                },
                                {
                                        "key": "session",
                                        "value": "$.rideSummary.sessionId"
                                },
                                {
                                        "key": "scene",
                                        "value": "$.rideSummary.scenes[1].number@other()"
                                }
                        ]
                }
        ]
}</t>
  </si>
  <si>
    <t>for every Pickup.pickupLoot.lootGoldenGuardian, grant lootGoldenGuardianRobot item SCENE 2</t>
  </si>
  <si>
    <t>$.rideSummary.scenes[1].events[?(@.id === 'Pickup.pickupLoot.lootGoldenGuardian')].stats[?(@.id === 'hits')].value</t>
  </si>
  <si>
    <t>{
        "resort": "$.resort",
        "park": "$.park",
        "land": "$.land",
        "publisher": "$.publisher",
        "timestamp": "$.timestamp",
        "playerId": "$.playerId",
        "items": [
                {
                        "id": "lootGoldenGuardianRobot",
                        "count": "$.rideSummary.scenes[1].events[?(@.id === 'Pickup.pickupLoot.lootGoldenGuardian')].stats[?(@.id === 'hits')].value@other()",
                        "customData": [
                                {
                                        "key": "state",
                                        "value": 2
                                },
                                {
                                        "key": "category",
                                        "value": "inside"
                                },
                                {
                                        "key": "session",
                                        "value": "$.rideSummary.sessionId"
                                },
                                {
                                        "key": "scene",
                                        "value": "$.rideSummary.scenes[1].number@other()"
                                }
                        ]
                }
        ]
}</t>
  </si>
  <si>
    <t>for every Pickup.pickupLoot.lootGoldenGuardian, grant lootGoldenGuardianRobot item SCENE 3</t>
  </si>
  <si>
    <t>$.rideSummary.scenes[2].events[?(@.id === 'Pickup.pickupLoot.lootGoldenGuardian')].stats[?(@.id === 'hits')].value</t>
  </si>
  <si>
    <t>{
        "resort": "$.resort",
        "park": "$.park",
        "land": "$.land",
        "publisher": "$.publisher",
        "timestamp": "$.timestamp",
        "playerId": "$.playerId",
        "items": [
                {
                        "id": "lootGoldenGuardianRobot",
                        "count": "$.rideSummary.scenes[2].events[?(@.id === 'Pickup.pickupLoot.lootGoldenGuardian')].stats[?(@.id === 'hits')].value@other()",
                        "customData": [
                                {
                                        "key": "state",
                                        "value": 2
                                },
                                {
                                        "key": "category",
                                        "value": "inside"
                                },
                                {
                                        "key": "session",
                                        "value": "$.rideSummary.sessionId"
                                },
                                {
                                        "key": "scene",
                                        "value": "$.rideSummary.scenes[2].number@other()"
                                }
                        ]
                }
        ]
}</t>
  </si>
  <si>
    <t>for every Pickup.pickupLoot.lootGoldenGuardian, grant lootGoldenGuardianRobot item SCENE 4</t>
  </si>
  <si>
    <t>$.rideSummary.scenes[3].events[?(@.id === 'Pickup.pickupLoot.lootGoldenGuardian')].stats[?(@.id === 'hits')].value</t>
  </si>
  <si>
    <t>{
        "resort": "$.resort",
        "park": "$.park",
        "land": "$.land",
        "publisher": "$.publisher",
        "timestamp": "$.timestamp",
        "playerId": "$.playerId",
        "items": [
                {
                        "id": "lootGoldenGuardianRobot",
                        "count": "$.rideSummary.scenes[3].events[?(@.id === 'Pickup.pickupLoot.lootGoldenGuardian')].stats[?(@.id === 'hits')].value@other()",
                        "customData": [
                                {
                                        "key": "state",
                                        "value": 2
                                },
                                {
                                        "key": "category",
                                        "value": "inside"
                                },
                                {
                                        "key": "session",
                                        "value": "$.rideSummary.sessionId"
                                },
                                {
                                        "key": "scene",
                                        "value": "$.rideSummary.scenes[3].number@other()"
                                }
                        ]
                }
        ]
}</t>
  </si>
  <si>
    <t>for every Pickup.pickupLoot.lootGoldenGuardian, grant lootGoldenGuardianRobot item SCENE 5</t>
  </si>
  <si>
    <t>$.rideSummary.scenes[4].events[?(@.id === 'Pickup.pickupLoot.lootGoldenGuardian')].stats[?(@.id === 'hits')].value</t>
  </si>
  <si>
    <t>{
        "resort": "$.resort",
        "park": "$.park",
        "land": "$.land",
        "publisher": "$.publisher",
        "timestamp": "$.timestamp",
        "playerId": "$.playerId",
        "items": [
                {
                        "id": "lootGoldenGuardianRobot",
                        "count": "$.rideSummary.scenes[4].events[?(@.id === 'Pickup.pickupLoot.lootGoldenGuardian')].stats[?(@.id === 'hits')].value@other()",
                        "customData": [
                                {
                                        "key": "state",
                                        "value": 2
                                },
                                {
                                        "key": "category",
                                        "value": "inside"
                                },
                                {
                                        "key": "session",
                                        "value": "$.rideSummary.sessionId"
                                },
                                {
                                        "key": "scene",
                                        "value": "$.rideSummary.scenes[4].number@other()"
                                }
                        ]
                }
        ]
}</t>
  </si>
  <si>
    <t>for every Pickup.pickupLoot.lootGoldenGuardian, grant lootGoldenGuardianRobot item SCENE 6</t>
  </si>
  <si>
    <t>$.rideSummary.scenes[5].events[?(@.id === 'Pickup.pickupLoot.lootGoldenGuardian')].stats[?(@.id === 'hits')].value</t>
  </si>
  <si>
    <t>{
        "resort": "$.resort",
        "park": "$.park",
        "land": "$.land",
        "publisher": "$.publisher",
        "timestamp": "$.timestamp",
        "playerId": "$.playerId",
        "items": [
                {
                        "id": "lootGoldenGuardianRobot",
                        "count": "$.rideSummary.scenes[5].events[?(@.id === 'Pickup.pickupLoot.lootGoldenGuardian')].stats[?(@.id === 'hits')].value@other()",
                        "customData": [
                                {
                                        "key": "state",
                                        "value": 2
                                },
                                {
                                        "key": "category",
                                        "value": "inside"
                                },
                                {
                                        "key": "session",
                                        "value": "$.rideSummary.sessionId"
                                },
                                {
                                        "key": "scene",
                                        "value": "$.rideSummary.scenes[5].number@other()"
                                }
                        ]
                }
        ]
}</t>
  </si>
  <si>
    <t>for every Pickup.pickupLoot.lootGoldenGuardian, grant lootGoldenGuardianRobot item SCENE 7</t>
  </si>
  <si>
    <t>$.rideSummary.scenes[6].events[?(@.id === 'Pickup.pickupLoot.lootGoldenGuardian')].stats[?(@.id === 'hits')].value</t>
  </si>
  <si>
    <t>{
        "resort": "$.resort",
        "park": "$.park",
        "land": "$.land",
        "publisher": "$.publisher",
        "timestamp": "$.timestamp",
        "playerId": "$.playerId",
        "items": [
                {
                        "id": "lootGoldenGuardianRobot",
                        "count": "$.rideSummary.scenes[6].events[?(@.id === 'Pickup.pickupLoot.lootGoldenGuardian')].stats[?(@.id === 'hits')].value@other()",
                        "customData": [
                                {
                                        "key": "state",
                                        "value": 2
                                },
                                {
                                        "key": "category",
                                        "value": "inside"
                                },
                                {
                                        "key": "session",
                                        "value": "$.rideSummary.sessionId"
                                },
                                {
                                        "key": "scene",
                                        "value": "$.rideSummary.scenes[6].number@other()"
                                }
                        ]
                }
        ]
}</t>
  </si>
  <si>
    <t>for every Pickup.pickupLoot.lootGruPinkSpacesuit, grant lootPinkSpacesuit item SCENE 1</t>
  </si>
  <si>
    <t>$.rideSummary.scenes[0].events[?(@.id === 'Pickup.pickupLoot.lootGruPinkSpacesuit')].stats[?(@.id === 'hits')].value</t>
  </si>
  <si>
    <t>{
        "resort": "$.resort",
        "park": "$.park",
        "land": "$.land",
        "publisher": "$.publisher",
        "timestamp": "$.timestamp",
        "playerId": "$.playerId",
        "items": [
                {
                        "id": "lootPinkSpacesuit",
                        "count": "$.rideSummary.scenes[0].events[?(@.id === 'Pickup.pickupLoot.lootGruPinkSpacesuit')].stats[?(@.id === 'hits')].value@other()",
                        "customData": [
                                {
                                        "key": "state",
                                        "value": 2
                                },
                                {
                                        "key": "category",
                                        "value": "inside"
                                },
                                {
                                        "key": "session",
                                        "value": "$.rideSummary.sessionId"
                                },
                                {
                                        "key": "scene",
                                        "value": "$.rideSummary.scenes[1].number@other()"
                                }
                        ]
                }
        ]
}</t>
  </si>
  <si>
    <t>for every Pickup.pickupLoot.lootGruPinkSpacesuit, grant lootPinkSpacesuit item SCENE 2</t>
  </si>
  <si>
    <t>$.rideSummary.scenes[1].events[?(@.id === 'Pickup.pickupLoot.lootGruPinkSpacesuit')].stats[?(@.id === 'hits')].value</t>
  </si>
  <si>
    <t>{
        "resort": "$.resort",
        "park": "$.park",
        "land": "$.land",
        "publisher": "$.publisher",
        "timestamp": "$.timestamp",
        "playerId": "$.playerId",
        "items": [
                {
                        "id": "lootPinkSpacesuit",
                        "count": "$.rideSummary.scenes[1].events[?(@.id === 'Pickup.pickupLoot.lootGruPinkSpacesuit')].stats[?(@.id === 'hits')].value@other()",
                        "customData": [
                                {
                                        "key": "state",
                                        "value": 2
                                },
                                {
                                        "key": "category",
                                        "value": "inside"
                                },
                                {
                                        "key": "session",
                                        "value": "$.rideSummary.sessionId"
                                },
                                {
                                        "key": "scene",
                                        "value": "$.rideSummary.scenes[1].number@other()"
                                }
                        ]
                }
        ]
}</t>
  </si>
  <si>
    <t>for every Pickup.pickupLoot.lootGruPinkSpacesuit, grant lootPinkSpacesuit item SCENE 3</t>
  </si>
  <si>
    <t>$.rideSummary.scenes[2].events[?(@.id === 'Pickup.pickupLoot.lootGruPinkSpacesuit')].stats[?(@.id === 'hits')].value</t>
  </si>
  <si>
    <t>{
        "resort": "$.resort",
        "park": "$.park",
        "land": "$.land",
        "publisher": "$.publisher",
        "timestamp": "$.timestamp",
        "playerId": "$.playerId",
        "items": [
                {
                        "id": "lootPinkSpacesuit",
                        "count": "$.rideSummary.scenes[2].events[?(@.id === 'Pickup.pickupLoot.lootGruPinkSpacesuit')].stats[?(@.id === 'hits')].value@other()",
                        "customData": [
                                {
                                        "key": "state",
                                        "value": 2
                                },
                                {
                                        "key": "category",
                                        "value": "inside"
                                },
                                {
                                        "key": "session",
                                        "value": "$.rideSummary.sessionId"
                                },
                                {
                                        "key": "scene",
                                        "value": "$.rideSummary.scenes[2].number@other()"
                                }
                        ]
                }
        ]
}</t>
  </si>
  <si>
    <t>for every Pickup.pickupLoot.lootGruPinkSpacesuit, grant lootPinkSpacesuit item SCENE 4</t>
  </si>
  <si>
    <t>$.rideSummary.scenes[3].events[?(@.id === 'Pickup.pickupLoot.lootGruPinkSpacesuit')].stats[?(@.id === 'hits')].value</t>
  </si>
  <si>
    <t>{
        "resort": "$.resort",
        "park": "$.park",
        "land": "$.land",
        "publisher": "$.publisher",
        "timestamp": "$.timestamp",
        "playerId": "$.playerId",
        "items": [
                {
                        "id": "lootPinkSpacesuit",
                        "count": "$.rideSummary.scenes[3].events[?(@.id === 'Pickup.pickupLoot.lootGruPinkSpacesuit')].stats[?(@.id === 'hits')].value@other()",
                        "customData": [
                                {
                                        "key": "state",
                                        "value": 2
                                },
                                {
                                        "key": "category",
                                        "value": "inside"
                                },
                                {
                                        "key": "session",
                                        "value": "$.rideSummary.sessionId"
                                },
                                {
                                        "key": "scene",
                                        "value": "$.rideSummary.scenes[3].number@other()"
                                }
                        ]
                }
        ]
}</t>
  </si>
  <si>
    <t>for every Pickup.pickupLoot.lootGruPinkSpacesuit, grant lootPinkSpacesuit item SCENE 5</t>
  </si>
  <si>
    <t>$.rideSummary.scenes[4].events[?(@.id === 'Pickup.pickupLoot.lootGruPinkSpacesuit')].stats[?(@.id === 'hits')].value</t>
  </si>
  <si>
    <t>{
        "resort": "$.resort",
        "park": "$.park",
        "land": "$.land",
        "publisher": "$.publisher",
        "timestamp": "$.timestamp",
        "playerId": "$.playerId",
        "items": [
                {
                        "id": "lootPinkSpacesuit",
                        "count": "$.rideSummary.scenes[4].events[?(@.id === 'Pickup.pickupLoot.lootGruPinkSpacesuit')].stats[?(@.id === 'hits')].value@other()",
                        "customData": [
                                {
                                        "key": "state",
                                        "value": 2
                                },
                                {
                                        "key": "category",
                                        "value": "inside"
                                },
                                {
                                        "key": "session",
                                        "value": "$.rideSummary.sessionId"
                                },
                                {
                                        "key": "scene",
                                        "value": "$.rideSummary.scenes[4].number@other()"
                                }
                        ]
                }
        ]
}</t>
  </si>
  <si>
    <t>for every Pickup.pickupLoot.lootGruPinkSpacesuit, grant lootPinkSpacesuit item SCENE 6</t>
  </si>
  <si>
    <t>$.rideSummary.scenes[5].events[?(@.id === 'Pickup.pickupLoot.lootGruPinkSpacesuit')].stats[?(@.id === 'hits')].value</t>
  </si>
  <si>
    <t>{
        "resort": "$.resort",
        "park": "$.park",
        "land": "$.land",
        "publisher": "$.publisher",
        "timestamp": "$.timestamp",
        "playerId": "$.playerId",
        "items": [
                {
                        "id": "lootPinkSpacesuit",
                        "count": "$.rideSummary.scenes[5].events[?(@.id === 'Pickup.pickupLoot.lootGruPinkSpacesuit')].stats[?(@.id === 'hits')].value@other()",
                        "customData": [
                                {
                                        "key": "state",
                                        "value": 2
                                },
                                {
                                        "key": "category",
                                        "value": "inside"
                                },
                                {
                                        "key": "session",
                                        "value": "$.rideSummary.sessionId"
                                },
                                {
                                        "key": "scene",
                                        "value": "$.rideSummary.scenes[5].number@other()"
                                }
                        ]
                }
        ]
}</t>
  </si>
  <si>
    <t>for every Pickup.pickupLoot.lootGruPinkSpacesuit, grant lootPinkSpacesuit item SCENE 7</t>
  </si>
  <si>
    <t>$.rideSummary.scenes[6].events[?(@.id === 'Pickup.pickupLoot.lootGruPinkSpacesuit')].stats[?(@.id === 'hits')].value</t>
  </si>
  <si>
    <t>{
        "resort": "$.resort",
        "park": "$.park",
        "land": "$.land",
        "publisher": "$.publisher",
        "timestamp": "$.timestamp",
        "playerId": "$.playerId",
        "items": [
                {
                        "id": "lootPinkSpacesuit",
                        "count": "$.rideSummary.scenes[6].events[?(@.id === 'Pickup.pickupLoot.lootGruPinkSpacesuit')].stats[?(@.id === 'hits')].value@other()",
                        "customData": [
                                {
                                        "key": "state",
                                        "value": 2
                                },
                                {
                                        "key": "category",
                                        "value": "inside"
                                },
                                {
                                        "key": "session",
                                        "value": "$.rideSummary.sessionId"
                                },
                                {
                                        "key": "scene",
                                        "value": "$.rideSummary.scenes[6].number@other()"
                                }
                        ]
                }
        ]
}</t>
  </si>
  <si>
    <t>for every Pickup.pickupLoot.lootGuacamoleSombrero, grant lootGuacSombrero item SCENE 1</t>
  </si>
  <si>
    <t>$.rideSummary.scenes[0].events[?(@.id === 'Pickup.pickupLoot.lootGuacamoleSombrero')].stats[?(@.id === 'hits')].value</t>
  </si>
  <si>
    <t>{
        "resort": "$.resort",
        "park": "$.park",
        "land": "$.land",
        "publisher": "$.publisher",
        "timestamp": "$.timestamp",
        "playerId": "$.playerId",
        "items": [
                {
                        "id": "lootGuacSombrero",
                        "count": "$.rideSummary.scenes[0].events[?(@.id === 'Pickup.pickupLoot.lootGuacamoleSombrero')].stats[?(@.id === 'hits')].value@other()",
                        "customData": [
                                {
                                        "key": "state",
                                        "value": 2
                                },
                                {
                                        "key": "category",
                                        "value": "inside"
                                },
                                {
                                        "key": "session",
                                        "value": "$.rideSummary.sessionId"
                                },
                                {
                                        "key": "scene",
                                        "value": "$.rideSummary.scenes[1].number@other()"
                                }
                        ]
                }
        ]
}</t>
  </si>
  <si>
    <t>for every Pickup.pickupLoot.lootGuacamoleSombrero, grant lootGuacSombrero item SCENE 2</t>
  </si>
  <si>
    <t>$.rideSummary.scenes[1].events[?(@.id === 'Pickup.pickupLoot.lootGuacamoleSombrero')].stats[?(@.id === 'hits')].value</t>
  </si>
  <si>
    <t>{
        "resort": "$.resort",
        "park": "$.park",
        "land": "$.land",
        "publisher": "$.publisher",
        "timestamp": "$.timestamp",
        "playerId": "$.playerId",
        "items": [
                {
                        "id": "lootGuacSombrero",
                        "count": "$.rideSummary.scenes[1].events[?(@.id === 'Pickup.pickupLoot.lootGuacamoleSombrero')].stats[?(@.id === 'hits')].value@other()",
                        "customData": [
                                {
                                        "key": "state",
                                        "value": 2
                                },
                                {
                                        "key": "category",
                                        "value": "inside"
                                },
                                {
                                        "key": "session",
                                        "value": "$.rideSummary.sessionId"
                                },
                                {
                                        "key": "scene",
                                        "value": "$.rideSummary.scenes[1].number@other()"
                                }
                        ]
                }
        ]
}</t>
  </si>
  <si>
    <t>for every Pickup.pickupLoot.lootGuacamoleSombrero, grant lootGuacSombrero item SCENE 3</t>
  </si>
  <si>
    <t>$.rideSummary.scenes[2].events[?(@.id === 'Pickup.pickupLoot.lootGuacamoleSombrero')].stats[?(@.id === 'hits')].value</t>
  </si>
  <si>
    <t>{
        "resort": "$.resort",
        "park": "$.park",
        "land": "$.land",
        "publisher": "$.publisher",
        "timestamp": "$.timestamp",
        "playerId": "$.playerId",
        "items": [
                {
                        "id": "lootGuacSombrero",
                        "count": "$.rideSummary.scenes[2].events[?(@.id === 'Pickup.pickupLoot.lootGuacamoleSombrero')].stats[?(@.id === 'hits')].value@other()",
                        "customData": [
                                {
                                        "key": "state",
                                        "value": 2
                                },
                                {
                                        "key": "category",
                                        "value": "inside"
                                },
                                {
                                        "key": "session",
                                        "value": "$.rideSummary.sessionId"
                                },
                                {
                                        "key": "scene",
                                        "value": "$.rideSummary.scenes[2].number@other()"
                                }
                        ]
                }
        ]
}</t>
  </si>
  <si>
    <t>for every Pickup.pickupLoot.lootGuacamoleSombrero, grant lootGuacSombrero item SCENE 4</t>
  </si>
  <si>
    <t>$.rideSummary.scenes[3].events[?(@.id === 'Pickup.pickupLoot.lootGuacamoleSombrero')].stats[?(@.id === 'hits')].value</t>
  </si>
  <si>
    <t>{
        "resort": "$.resort",
        "park": "$.park",
        "land": "$.land",
        "publisher": "$.publisher",
        "timestamp": "$.timestamp",
        "playerId": "$.playerId",
        "items": [
                {
                        "id": "lootGuacSombrero",
                        "count": "$.rideSummary.scenes[3].events[?(@.id === 'Pickup.pickupLoot.lootGuacamoleSombrero')].stats[?(@.id === 'hits')].value@other()",
                        "customData": [
                                {
                                        "key": "state",
                                        "value": 2
                                },
                                {
                                        "key": "category",
                                        "value": "inside"
                                },
                                {
                                        "key": "session",
                                        "value": "$.rideSummary.sessionId"
                                },
                                {
                                        "key": "scene",
                                        "value": "$.rideSummary.scenes[3].number@other()"
                                }
                        ]
                }
        ]
}</t>
  </si>
  <si>
    <t>for every Pickup.pickupLoot.lootGuacamoleSombrero, grant lootGuacSombrero item SCENE 5</t>
  </si>
  <si>
    <t>$.rideSummary.scenes[4].events[?(@.id === 'Pickup.pickupLoot.lootGuacamoleSombrero')].stats[?(@.id === 'hits')].value</t>
  </si>
  <si>
    <t>{
        "resort": "$.resort",
        "park": "$.park",
        "land": "$.land",
        "publisher": "$.publisher",
        "timestamp": "$.timestamp",
        "playerId": "$.playerId",
        "items": [
                {
                        "id": "lootGuacSombrero",
                        "count": "$.rideSummary.scenes[4].events[?(@.id === 'Pickup.pickupLoot.lootGuacamoleSombrero')].stats[?(@.id === 'hits')].value@other()",
                        "customData": [
                                {
                                        "key": "state",
                                        "value": 2
                                },
                                {
                                        "key": "category",
                                        "value": "inside"
                                },
                                {
                                        "key": "session",
                                        "value": "$.rideSummary.sessionId"
                                },
                                {
                                        "key": "scene",
                                        "value": "$.rideSummary.scenes[4].number@other()"
                                }
                        ]
                }
        ]
}</t>
  </si>
  <si>
    <t>for every Pickup.pickupLoot.lootGuacamoleSombrero, grant lootGuacSombrero item SCENE 6</t>
  </si>
  <si>
    <t>$.rideSummary.scenes[5].events[?(@.id === 'Pickup.pickupLoot.lootGuacamoleSombrero')].stats[?(@.id === 'hits')].value</t>
  </si>
  <si>
    <t>{
        "resort": "$.resort",
        "park": "$.park",
        "land": "$.land",
        "publisher": "$.publisher",
        "timestamp": "$.timestamp",
        "playerId": "$.playerId",
        "items": [
                {
                        "id": "lootGuacSombrero",
                        "count": "$.rideSummary.scenes[5].events[?(@.id === 'Pickup.pickupLoot.lootGuacamoleSombrero')].stats[?(@.id === 'hits')].value@other()",
                        "customData": [
                                {
                                        "key": "state",
                                        "value": 2
                                },
                                {
                                        "key": "category",
                                        "value": "inside"
                                },
                                {
                                        "key": "session",
                                        "value": "$.rideSummary.sessionId"
                                },
                                {
                                        "key": "scene",
                                        "value": "$.rideSummary.scenes[5].number@other()"
                                }
                        ]
                }
        ]
}</t>
  </si>
  <si>
    <t>for every Pickup.pickupLoot.lootGuacamoleSombrero, grant lootGuacSombrero item SCENE 7</t>
  </si>
  <si>
    <t>$.rideSummary.scenes[6].events[?(@.id === 'Pickup.pickupLoot.lootGuacamoleSombrero')].stats[?(@.id === 'hits')].value</t>
  </si>
  <si>
    <t>{
        "resort": "$.resort",
        "park": "$.park",
        "land": "$.land",
        "publisher": "$.publisher",
        "timestamp": "$.timestamp",
        "playerId": "$.playerId",
        "items": [
                {
                        "id": "lootGuacSombrero",
                        "count": "$.rideSummary.scenes[6].events[?(@.id === 'Pickup.pickupLoot.lootGuacamoleSombrero')].stats[?(@.id === 'hits')].value@other()",
                        "customData": [
                                {
                                        "key": "state",
                                        "value": 2
                                },
                                {
                                        "key": "category",
                                        "value": "inside"
                                },
                                {
                                        "key": "session",
                                        "value": "$.rideSummary.sessionId"
                                },
                                {
                                        "key": "scene",
                                        "value": "$.rideSummary.scenes[6].number@other()"
                                }
                        ]
                }
        ]
}</t>
  </si>
  <si>
    <t>for every Pickup.pickupLoot.lootHattieBoxShame, grant lootBoxOfShame item SCENE 1</t>
  </si>
  <si>
    <t>$.rideSummary.scenes[0].events[?(@.id === 'Pickup.pickupLoot.lootHattieBoxShame')].stats[?(@.id === 'hits')].value</t>
  </si>
  <si>
    <t>{
        "resort": "$.resort",
        "park": "$.park",
        "land": "$.land",
        "publisher": "$.publisher",
        "timestamp": "$.timestamp",
        "playerId": "$.playerId",
        "items": [
                {
                        "id": "lootBoxOfShame",
                        "count": "$.rideSummary.scenes[0].events[?(@.id === 'Pickup.pickupLoot.lootHattieBoxShame')].stats[?(@.id === 'hits')].value@other()",
                        "customData": [
                                {
                                        "key": "state",
                                        "value": 2
                                },
                                {
                                        "key": "category",
                                        "value": "inside"
                                },
                                {
                                        "key": "session",
                                        "value": "$.rideSummary.sessionId"
                                },
                                {
                                        "key": "scene",
                                        "value": "$.rideSummary.scenes[1].number@other()"
                                }
                        ]
                }
        ]
}</t>
  </si>
  <si>
    <t>for every Pickup.pickupLoot.lootHattieBoxShame, grant lootBoxOfShame item SCENE 2</t>
  </si>
  <si>
    <t>$.rideSummary.scenes[1].events[?(@.id === 'Pickup.pickupLoot.lootHattieBoxShame')].stats[?(@.id === 'hits')].value</t>
  </si>
  <si>
    <t>{
        "resort": "$.resort",
        "park": "$.park",
        "land": "$.land",
        "publisher": "$.publisher",
        "timestamp": "$.timestamp",
        "playerId": "$.playerId",
        "items": [
                {
                        "id": "lootBoxOfShame",
                        "count": "$.rideSummary.scenes[1].events[?(@.id === 'Pickup.pickupLoot.lootHattieBoxShame')].stats[?(@.id === 'hits')].value@other()",
                        "customData": [
                                {
                                        "key": "state",
                                        "value": 2
                                },
                                {
                                        "key": "category",
                                        "value": "inside"
                                },
                                {
                                        "key": "session",
                                        "value": "$.rideSummary.sessionId"
                                },
                                {
                                        "key": "scene",
                                        "value": "$.rideSummary.scenes[1].number@other()"
                                }
                        ]
                }
        ]
}</t>
  </si>
  <si>
    <t>for every Pickup.pickupLoot.lootHattieBoxShame, grant lootBoxOfShame item SCENE 3</t>
  </si>
  <si>
    <t>$.rideSummary.scenes[2].events[?(@.id === 'Pickup.pickupLoot.lootHattieBoxShame')].stats[?(@.id === 'hits')].value</t>
  </si>
  <si>
    <t>{
        "resort": "$.resort",
        "park": "$.park",
        "land": "$.land",
        "publisher": "$.publisher",
        "timestamp": "$.timestamp",
        "playerId": "$.playerId",
        "items": [
                {
                        "id": "lootBoxOfShame",
                        "count": "$.rideSummary.scenes[2].events[?(@.id === 'Pickup.pickupLoot.lootHattieBoxShame')].stats[?(@.id === 'hits')].value@other()",
                        "customData": [
                                {
                                        "key": "state",
                                        "value": 2
                                },
                                {
                                        "key": "category",
                                        "value": "inside"
                                },
                                {
                                        "key": "session",
                                        "value": "$.rideSummary.sessionId"
                                },
                                {
                                        "key": "scene",
                                        "value": "$.rideSummary.scenes[2].number@other()"
                                }
                        ]
                }
        ]
}</t>
  </si>
  <si>
    <t>for every Pickup.pickupLoot.lootHattieBoxShame, grant lootBoxOfShame item SCENE 4</t>
  </si>
  <si>
    <t>$.rideSummary.scenes[3].events[?(@.id === 'Pickup.pickupLoot.lootHattieBoxShame')].stats[?(@.id === 'hits')].value</t>
  </si>
  <si>
    <t>{
        "resort": "$.resort",
        "park": "$.park",
        "land": "$.land",
        "publisher": "$.publisher",
        "timestamp": "$.timestamp",
        "playerId": "$.playerId",
        "items": [
                {
                        "id": "lootBoxOfShame",
                        "count": "$.rideSummary.scenes[3].events[?(@.id === 'Pickup.pickupLoot.lootHattieBoxShame')].stats[?(@.id === 'hits')].value@other()",
                        "customData": [
                                {
                                        "key": "state",
                                        "value": 2
                                },
                                {
                                        "key": "category",
                                        "value": "inside"
                                },
                                {
                                        "key": "session",
                                        "value": "$.rideSummary.sessionId"
                                },
                                {
                                        "key": "scene",
                                        "value": "$.rideSummary.scenes[3].number@other()"
                                }
                        ]
                }
        ]
}</t>
  </si>
  <si>
    <t>for every Pickup.pickupLoot.lootHattieBoxShame, grant lootBoxOfShame item SCENE 5</t>
  </si>
  <si>
    <t>$.rideSummary.scenes[4].events[?(@.id === 'Pickup.pickupLoot.lootHattieBoxShame')].stats[?(@.id === 'hits')].value</t>
  </si>
  <si>
    <t>{
        "resort": "$.resort",
        "park": "$.park",
        "land": "$.land",
        "publisher": "$.publisher",
        "timestamp": "$.timestamp",
        "playerId": "$.playerId",
        "items": [
                {
                        "id": "lootBoxOfShame",
                        "count": "$.rideSummary.scenes[4].events[?(@.id === 'Pickup.pickupLoot.lootHattieBoxShame')].stats[?(@.id === 'hits')].value@other()",
                        "customData": [
                                {
                                        "key": "state",
                                        "value": 2
                                },
                                {
                                        "key": "category",
                                        "value": "inside"
                                },
                                {
                                        "key": "session",
                                        "value": "$.rideSummary.sessionId"
                                },
                                {
                                        "key": "scene",
                                        "value": "$.rideSummary.scenes[4].number@other()"
                                }
                        ]
                }
        ]
}</t>
  </si>
  <si>
    <t>for every Pickup.pickupLoot.lootHattieBoxShame, grant lootBoxOfShame item SCENE 6</t>
  </si>
  <si>
    <t>$.rideSummary.scenes[5].events[?(@.id === 'Pickup.pickupLoot.lootHattieBoxShame')].stats[?(@.id === 'hits')].value</t>
  </si>
  <si>
    <t>{
        "resort": "$.resort",
        "park": "$.park",
        "land": "$.land",
        "publisher": "$.publisher",
        "timestamp": "$.timestamp",
        "playerId": "$.playerId",
        "items": [
                {
                        "id": "lootBoxOfShame",
                        "count": "$.rideSummary.scenes[5].events[?(@.id === 'Pickup.pickupLoot.lootHattieBoxShame')].stats[?(@.id === 'hits')].value@other()",
                        "customData": [
                                {
                                        "key": "state",
                                        "value": 2
                                },
                                {
                                        "key": "category",
                                        "value": "inside"
                                },
                                {
                                        "key": "session",
                                        "value": "$.rideSummary.sessionId"
                                },
                                {
                                        "key": "scene",
                                        "value": "$.rideSummary.scenes[5].number@other()"
                                }
                        ]
                }
        ]
}</t>
  </si>
  <si>
    <t>for every Pickup.pickupLoot.lootHattieBoxShame, grant lootBoxOfShame item SCENE 7</t>
  </si>
  <si>
    <t>$.rideSummary.scenes[6].events[?(@.id === 'Pickup.pickupLoot.lootHattieBoxShame')].stats[?(@.id === 'hits')].value</t>
  </si>
  <si>
    <t>{
        "resort": "$.resort",
        "park": "$.park",
        "land": "$.land",
        "publisher": "$.publisher",
        "timestamp": "$.timestamp",
        "playerId": "$.playerId",
        "items": [
                {
                        "id": "lootBoxOfShame",
                        "count": "$.rideSummary.scenes[6].events[?(@.id === 'Pickup.pickupLoot.lootHattieBoxShame')].stats[?(@.id === 'hits')].value@other()",
                        "customData": [
                                {
                                        "key": "state",
                                        "value": 2
                                },
                                {
                                        "key": "category",
                                        "value": "inside"
                                },
                                {
                                        "key": "session",
                                        "value": "$.rideSummary.sessionId"
                                },
                                {
                                        "key": "scene",
                                        "value": "$.rideSummary.scenes[6].number@other()"
                                }
                        ]
                }
        ]
}</t>
  </si>
  <si>
    <t>for every Pickup.pickupLoot.lootJuniorKungFuBadge, grant lootKungFuBadge item SCENE 1</t>
  </si>
  <si>
    <t>$.rideSummary.scenes[0].events[?(@.id === 'Pickup.pickupLoot.lootJuniorKungFuBadge')].stats[?(@.id === 'hits')].value</t>
  </si>
  <si>
    <t>{
        "resort": "$.resort",
        "park": "$.park",
        "land": "$.land",
        "publisher": "$.publisher",
        "timestamp": "$.timestamp",
        "playerId": "$.playerId",
        "items": [
                {
                        "id": "lootKungFuBadge",
                        "count": "$.rideSummary.scenes[0].events[?(@.id === 'Pickup.pickupLoot.lootJuniorKungFuBadge')].stats[?(@.id === 'hits')].value@other()",
                        "customData": [
                                {
                                        "key": "state",
                                        "value": 2
                                },
                                {
                                        "key": "category",
                                        "value": "inside"
                                },
                                {
                                        "key": "session",
                                        "value": "$.rideSummary.sessionId"
                                },
                                {
                                        "key": "scene",
                                        "value": "$.rideSummary.scenes[1].number@other()"
                                }
                        ]
                }
        ]
}</t>
  </si>
  <si>
    <t>for every Pickup.pickupLoot.lootJuniorKungFuBadge, grant lootKungFuBadge item SCENE 2</t>
  </si>
  <si>
    <t>$.rideSummary.scenes[1].events[?(@.id === 'Pickup.pickupLoot.lootJuniorKungFuBadge')].stats[?(@.id === 'hits')].value</t>
  </si>
  <si>
    <t>{
        "resort": "$.resort",
        "park": "$.park",
        "land": "$.land",
        "publisher": "$.publisher",
        "timestamp": "$.timestamp",
        "playerId": "$.playerId",
        "items": [
                {
                        "id": "lootKungFuBadge",
                        "count": "$.rideSummary.scenes[1].events[?(@.id === 'Pickup.pickupLoot.lootJuniorKungFuBadge')].stats[?(@.id === 'hits')].value@other()",
                        "customData": [
                                {
                                        "key": "state",
                                        "value": 2
                                },
                                {
                                        "key": "category",
                                        "value": "inside"
                                },
                                {
                                        "key": "session",
                                        "value": "$.rideSummary.sessionId"
                                },
                                {
                                        "key": "scene",
                                        "value": "$.rideSummary.scenes[1].number@other()"
                                }
                        ]
                }
        ]
}</t>
  </si>
  <si>
    <t>for every Pickup.pickupLoot.lootJuniorKungFuBadge, grant lootKungFuBadge item SCENE 3</t>
  </si>
  <si>
    <t>$.rideSummary.scenes[2].events[?(@.id === 'Pickup.pickupLoot.lootJuniorKungFuBadge')].stats[?(@.id === 'hits')].value</t>
  </si>
  <si>
    <t>{
        "resort": "$.resort",
        "park": "$.park",
        "land": "$.land",
        "publisher": "$.publisher",
        "timestamp": "$.timestamp",
        "playerId": "$.playerId",
        "items": [
                {
                        "id": "lootKungFuBadge",
                        "count": "$.rideSummary.scenes[2].events[?(@.id === 'Pickup.pickupLoot.lootJuniorKungFuBadge')].stats[?(@.id === 'hits')].value@other()",
                        "customData": [
                                {
                                        "key": "state",
                                        "value": 2
                                },
                                {
                                        "key": "category",
                                        "value": "inside"
                                },
                                {
                                        "key": "session",
                                        "value": "$.rideSummary.sessionId"
                                },
                                {
                                        "key": "scene",
                                        "value": "$.rideSummary.scenes[2].number@other()"
                                }
                        ]
                }
        ]
}</t>
  </si>
  <si>
    <t>for every Pickup.pickupLoot.lootJuniorKungFuBadge, grant lootKungFuBadge item SCENE 4</t>
  </si>
  <si>
    <t>$.rideSummary.scenes[3].events[?(@.id === 'Pickup.pickupLoot.lootJuniorKungFuBadge')].stats[?(@.id === 'hits')].value</t>
  </si>
  <si>
    <t>{
        "resort": "$.resort",
        "park": "$.park",
        "land": "$.land",
        "publisher": "$.publisher",
        "timestamp": "$.timestamp",
        "playerId": "$.playerId",
        "items": [
                {
                        "id": "lootKungFuBadge",
                        "count": "$.rideSummary.scenes[3].events[?(@.id === 'Pickup.pickupLoot.lootJuniorKungFuBadge')].stats[?(@.id === 'hits')].value@other()",
                        "customData": [
                                {
                                        "key": "state",
                                        "value": 2
                                },
                                {
                                        "key": "category",
                                        "value": "inside"
                                },
                                {
                                        "key": "session",
                                        "value": "$.rideSummary.sessionId"
                                },
                                {
                                        "key": "scene",
                                        "value": "$.rideSummary.scenes[3].number@other()"
                                }
                        ]
                }
        ]
}</t>
  </si>
  <si>
    <t>for every Pickup.pickupLoot.lootJuniorKungFuBadge, grant lootKungFuBadge item SCENE 5</t>
  </si>
  <si>
    <t>$.rideSummary.scenes[4].events[?(@.id === 'Pickup.pickupLoot.lootJuniorKungFuBadge')].stats[?(@.id === 'hits')].value</t>
  </si>
  <si>
    <t>{
        "resort": "$.resort",
        "park": "$.park",
        "land": "$.land",
        "publisher": "$.publisher",
        "timestamp": "$.timestamp",
        "playerId": "$.playerId",
        "items": [
                {
                        "id": "lootKungFuBadge",
                        "count": "$.rideSummary.scenes[4].events[?(@.id === 'Pickup.pickupLoot.lootJuniorKungFuBadge')].stats[?(@.id === 'hits')].value@other()",
                        "customData": [
                                {
                                        "key": "state",
                                        "value": 2
                                },
                                {
                                        "key": "category",
                                        "value": "inside"
                                },
                                {
                                        "key": "session",
                                        "value": "$.rideSummary.sessionId"
                                },
                                {
                                        "key": "scene",
                                        "value": "$.rideSummary.scenes[4].number@other()"
                                }
                        ]
                }
        ]
}</t>
  </si>
  <si>
    <t>for every Pickup.pickupLoot.lootJuniorKungFuBadge, grant lootKungFuBadge item SCENE 6</t>
  </si>
  <si>
    <t>$.rideSummary.scenes[5].events[?(@.id === 'Pickup.pickupLoot.lootJuniorKungFuBadge')].stats[?(@.id === 'hits')].value</t>
  </si>
  <si>
    <t>{
        "resort": "$.resort",
        "park": "$.park",
        "land": "$.land",
        "publisher": "$.publisher",
        "timestamp": "$.timestamp",
        "playerId": "$.playerId",
        "items": [
                {
                        "id": "lootKungFuBadge",
                        "count": "$.rideSummary.scenes[5].events[?(@.id === 'Pickup.pickupLoot.lootJuniorKungFuBadge')].stats[?(@.id === 'hits')].value@other()",
                        "customData": [
                                {
                                        "key": "state",
                                        "value": 2
                                },
                                {
                                        "key": "category",
                                        "value": "inside"
                                },
                                {
                                        "key": "session",
                                        "value": "$.rideSummary.sessionId"
                                },
                                {
                                        "key": "scene",
                                        "value": "$.rideSummary.scenes[5].number@other()"
                                }
                        ]
                }
        ]
}</t>
  </si>
  <si>
    <t>for every Pickup.pickupLoot.lootJuniorKungFuBadge, grant lootKungFuBadge item SCENE 7</t>
  </si>
  <si>
    <t>$.rideSummary.scenes[6].events[?(@.id === 'Pickup.pickupLoot.lootJuniorKungFuBadge')].stats[?(@.id === 'hits')].value</t>
  </si>
  <si>
    <t>{
        "resort": "$.resort",
        "park": "$.park",
        "land": "$.land",
        "publisher": "$.publisher",
        "timestamp": "$.timestamp",
        "playerId": "$.playerId",
        "items": [
                {
                        "id": "lootKungFuBadge",
                        "count": "$.rideSummary.scenes[6].events[?(@.id === 'Pickup.pickupLoot.lootJuniorKungFuBadge')].stats[?(@.id === 'hits')].value@other()",
                        "customData": [
                                {
                                        "key": "state",
                                        "value": 2
                                },
                                {
                                        "key": "category",
                                        "value": "inside"
                                },
                                {
                                        "key": "session",
                                        "value": "$.rideSummary.sessionId"
                                },
                                {
                                        "key": "scene",
                                        "value": "$.rideSummary.scenes[6].number@other()"
                                }
                        ]
                }
        ]
}</t>
  </si>
  <si>
    <t>for every Pickup.pickupLoot.lootManicEnergyDrink, grant lootManicEnergy item SCENE 1</t>
  </si>
  <si>
    <t>$.rideSummary.scenes[0].events[?(@.id === 'Pickup.pickupLoot.lootManicEnergyDrink')].stats[?(@.id === 'hits')].value</t>
  </si>
  <si>
    <t>{
        "resort": "$.resort",
        "park": "$.park",
        "land": "$.land",
        "publisher": "$.publisher",
        "timestamp": "$.timestamp",
        "playerId": "$.playerId",
        "items": [
                {
                        "id": "lootManicEnergy",
                        "count": "$.rideSummary.scenes[0].events[?(@.id === 'Pickup.pickupLoot.lootManicEnergyDrink')].stats[?(@.id === 'hits')].value@other()",
                        "customData": [
                                {
                                        "key": "state",
                                        "value": 2
                                },
                                {
                                        "key": "category",
                                        "value": "inside"
                                },
                                {
                                        "key": "session",
                                        "value": "$.rideSummary.sessionId"
                                },
                                {
                                        "key": "scene",
                                        "value": "$.rideSummary.scenes[1].number@other()"
                                }
                        ]
                }
        ]
}</t>
  </si>
  <si>
    <t>for every Pickup.pickupLoot.lootManicEnergyDrink, grant lootManicEnergy item SCENE 2</t>
  </si>
  <si>
    <t>$.rideSummary.scenes[1].events[?(@.id === 'Pickup.pickupLoot.lootManicEnergyDrink')].stats[?(@.id === 'hits')].value</t>
  </si>
  <si>
    <t>{
        "resort": "$.resort",
        "park": "$.park",
        "land": "$.land",
        "publisher": "$.publisher",
        "timestamp": "$.timestamp",
        "playerId": "$.playerId",
        "items": [
                {
                        "id": "lootManicEnergy",
                        "count": "$.rideSummary.scenes[1].events[?(@.id === 'Pickup.pickupLoot.lootManicEnergyDrink')].stats[?(@.id === 'hits')].value@other()",
                        "customData": [
                                {
                                        "key": "state",
                                        "value": 2
                                },
                                {
                                        "key": "category",
                                        "value": "inside"
                                },
                                {
                                        "key": "session",
                                        "value": "$.rideSummary.sessionId"
                                },
                                {
                                        "key": "scene",
                                        "value": "$.rideSummary.scenes[1].number@other()"
                                }
                        ]
                }
        ]
}</t>
  </si>
  <si>
    <t>for every Pickup.pickupLoot.lootManicEnergyDrink, grant lootManicEnergy item SCENE 3</t>
  </si>
  <si>
    <t>$.rideSummary.scenes[2].events[?(@.id === 'Pickup.pickupLoot.lootManicEnergyDrink')].stats[?(@.id === 'hits')].value</t>
  </si>
  <si>
    <t>{
        "resort": "$.resort",
        "park": "$.park",
        "land": "$.land",
        "publisher": "$.publisher",
        "timestamp": "$.timestamp",
        "playerId": "$.playerId",
        "items": [
                {
                        "id": "lootManicEnergy",
                        "count": "$.rideSummary.scenes[2].events[?(@.id === 'Pickup.pickupLoot.lootManicEnergyDrink')].stats[?(@.id === 'hits')].value@other()",
                        "customData": [
                                {
                                        "key": "state",
                                        "value": 2
                                },
                                {
                                        "key": "category",
                                        "value": "inside"
                                },
                                {
                                        "key": "session",
                                        "value": "$.rideSummary.sessionId"
                                },
                                {
                                        "key": "scene",
                                        "value": "$.rideSummary.scenes[2].number@other()"
                                }
                        ]
                }
        ]
}</t>
  </si>
  <si>
    <t>for every Pickup.pickupLoot.lootManicEnergyDrink, grant lootManicEnergy item SCENE 4</t>
  </si>
  <si>
    <t>$.rideSummary.scenes[3].events[?(@.id === 'Pickup.pickupLoot.lootManicEnergyDrink')].stats[?(@.id === 'hits')].value</t>
  </si>
  <si>
    <t>{
        "resort": "$.resort",
        "park": "$.park",
        "land": "$.land",
        "publisher": "$.publisher",
        "timestamp": "$.timestamp",
        "playerId": "$.playerId",
        "items": [
                {
                        "id": "lootManicEnergy",
                        "count": "$.rideSummary.scenes[3].events[?(@.id === 'Pickup.pickupLoot.lootManicEnergyDrink')].stats[?(@.id === 'hits')].value@other()",
                        "customData": [
                                {
                                        "key": "state",
                                        "value": 2
                                },
                                {
                                        "key": "category",
                                        "value": "inside"
                                },
                                {
                                        "key": "session",
                                        "value": "$.rideSummary.sessionId"
                                },
                                {
                                        "key": "scene",
                                        "value": "$.rideSummary.scenes[3].number@other()"
                                }
                        ]
                }
        ]
}</t>
  </si>
  <si>
    <t>for every Pickup.pickupLoot.lootManicEnergyDrink, grant lootManicEnergy item SCENE 5</t>
  </si>
  <si>
    <t>$.rideSummary.scenes[4].events[?(@.id === 'Pickup.pickupLoot.lootManicEnergyDrink')].stats[?(@.id === 'hits')].value</t>
  </si>
  <si>
    <t>{
        "resort": "$.resort",
        "park": "$.park",
        "land": "$.land",
        "publisher": "$.publisher",
        "timestamp": "$.timestamp",
        "playerId": "$.playerId",
        "items": [
                {
                        "id": "lootManicEnergy",
                        "count": "$.rideSummary.scenes[4].events[?(@.id === 'Pickup.pickupLoot.lootManicEnergyDrink')].stats[?(@.id === 'hits')].value@other()",
                        "customData": [
                                {
                                        "key": "state",
                                        "value": 2
                                },
                                {
                                        "key": "category",
                                        "value": "inside"
                                },
                                {
                                        "key": "session",
                                        "value": "$.rideSummary.sessionId"
                                },
                                {
                                        "key": "scene",
                                        "value": "$.rideSummary.scenes[4].number@other()"
                                }
                        ]
                }
        ]
}</t>
  </si>
  <si>
    <t>for every Pickup.pickupLoot.lootManicEnergyDrink, grant lootManicEnergy item SCENE 6</t>
  </si>
  <si>
    <t>$.rideSummary.scenes[5].events[?(@.id === 'Pickup.pickupLoot.lootManicEnergyDrink')].stats[?(@.id === 'hits')].value</t>
  </si>
  <si>
    <t>{
        "resort": "$.resort",
        "park": "$.park",
        "land": "$.land",
        "publisher": "$.publisher",
        "timestamp": "$.timestamp",
        "playerId": "$.playerId",
        "items": [
                {
                        "id": "lootManicEnergy",
                        "count": "$.rideSummary.scenes[5].events[?(@.id === 'Pickup.pickupLoot.lootManicEnergyDrink')].stats[?(@.id === 'hits')].value@other()",
                        "customData": [
                                {
                                        "key": "state",
                                        "value": 2
                                },
                                {
                                        "key": "category",
                                        "value": "inside"
                                },
                                {
                                        "key": "session",
                                        "value": "$.rideSummary.sessionId"
                                },
                                {
                                        "key": "scene",
                                        "value": "$.rideSummary.scenes[5].number@other()"
                                }
                        ]
                }
        ]
}</t>
  </si>
  <si>
    <t>for every Pickup.pickupLoot.lootManicEnergyDrink, grant lootManicEnergy item SCENE 7</t>
  </si>
  <si>
    <t>$.rideSummary.scenes[6].events[?(@.id === 'Pickup.pickupLoot.lootManicEnergyDrink')].stats[?(@.id === 'hits')].value</t>
  </si>
  <si>
    <t>{
        "resort": "$.resort",
        "park": "$.park",
        "land": "$.land",
        "publisher": "$.publisher",
        "timestamp": "$.timestamp",
        "playerId": "$.playerId",
        "items": [
                {
                        "id": "lootManicEnergy",
                        "count": "$.rideSummary.scenes[6].events[?(@.id === 'Pickup.pickupLoot.lootManicEnergyDrink')].stats[?(@.id === 'hits')].value@other()",
                        "customData": [
                                {
                                        "key": "state",
                                        "value": 2
                                },
                                {
                                        "key": "category",
                                        "value": "inside"
                                },
                                {
                                        "key": "session",
                                        "value": "$.rideSummary.sessionId"
                                },
                                {
                                        "key": "scene",
                                        "value": "$.rideSummary.scenes[6].number@other()"
                                }
                        ]
                }
        ]
}</t>
  </si>
  <si>
    <t>for every Pickup.pickupLoot.lootOttoPetRock, grant lootPetRock item SCENE 1</t>
  </si>
  <si>
    <t>$.rideSummary.scenes[0].events[?(@.id === 'Pickup.pickupLoot.lootOttoPetRock')].stats[?(@.id === 'hits')].value</t>
  </si>
  <si>
    <t>{
        "resort": "$.resort",
        "park": "$.park",
        "land": "$.land",
        "publisher": "$.publisher",
        "timestamp": "$.timestamp",
        "playerId": "$.playerId",
        "items": [
                {
                        "id": "lootPetRock",
                        "count": "$.rideSummary.scenes[0].events[?(@.id === 'Pickup.pickupLoot.lootOttoPetRock')].stats[?(@.id === 'hits')].value@other()",
                        "customData": [
                                {
                                        "key": "state",
                                        "value": 2
                                },
                                {
                                        "key": "category",
                                        "value": "inside"
                                },
                                {
                                        "key": "session",
                                        "value": "$.rideSummary.sessionId"
                                },
                                {
                                        "key": "scene",
                                        "value": "$.rideSummary.scenes[1].number@other()"
                                }
                        ]
                }
        ]
}</t>
  </si>
  <si>
    <t>for every Pickup.pickupLoot.lootOttoPetRock, grant lootPetRock item SCENE 2</t>
  </si>
  <si>
    <t>$.rideSummary.scenes[1].events[?(@.id === 'Pickup.pickupLoot.lootOttoPetRock')].stats[?(@.id === 'hits')].value</t>
  </si>
  <si>
    <t>{
        "resort": "$.resort",
        "park": "$.park",
        "land": "$.land",
        "publisher": "$.publisher",
        "timestamp": "$.timestamp",
        "playerId": "$.playerId",
        "items": [
                {
                        "id": "lootPetRock",
                        "count": "$.rideSummary.scenes[1].events[?(@.id === 'Pickup.pickupLoot.lootOttoPetRock')].stats[?(@.id === 'hits')].value@other()",
                        "customData": [
                                {
                                        "key": "state",
                                        "value": 2
                                },
                                {
                                        "key": "category",
                                        "value": "inside"
                                },
                                {
                                        "key": "session",
                                        "value": "$.rideSummary.sessionId"
                                },
                                {
                                        "key": "scene",
                                        "value": "$.rideSummary.scenes[1].number@other()"
                                }
                        ]
                }
        ]
}</t>
  </si>
  <si>
    <t>for every Pickup.pickupLoot.lootOttoPetRock, grant lootPetRock item SCENE 3</t>
  </si>
  <si>
    <t>$.rideSummary.scenes[2].events[?(@.id === 'Pickup.pickupLoot.lootOttoPetRock')].stats[?(@.id === 'hits')].value</t>
  </si>
  <si>
    <t>{
        "resort": "$.resort",
        "park": "$.park",
        "land": "$.land",
        "publisher": "$.publisher",
        "timestamp": "$.timestamp",
        "playerId": "$.playerId",
        "items": [
                {
                        "id": "lootPetRock",
                        "count": "$.rideSummary.scenes[2].events[?(@.id === 'Pickup.pickupLoot.lootOttoPetRock')].stats[?(@.id === 'hits')].value@other()",
                        "customData": [
                                {
                                        "key": "state",
                                        "value": 2
                                },
                                {
                                        "key": "category",
                                        "value": "inside"
                                },
                                {
                                        "key": "session",
                                        "value": "$.rideSummary.sessionId"
                                },
                                {
                                        "key": "scene",
                                        "value": "$.rideSummary.scenes[2].number@other()"
                                }
                        ]
                }
        ]
}</t>
  </si>
  <si>
    <t>for every Pickup.pickupLoot.lootOttoPetRock, grant lootPetRock item SCENE 4</t>
  </si>
  <si>
    <t>$.rideSummary.scenes[3].events[?(@.id === 'Pickup.pickupLoot.lootOttoPetRock')].stats[?(@.id === 'hits')].value</t>
  </si>
  <si>
    <t>{
        "resort": "$.resort",
        "park": "$.park",
        "land": "$.land",
        "publisher": "$.publisher",
        "timestamp": "$.timestamp",
        "playerId": "$.playerId",
        "items": [
                {
                        "id": "lootPetRock",
                        "count": "$.rideSummary.scenes[3].events[?(@.id === 'Pickup.pickupLoot.lootOttoPetRock')].stats[?(@.id === 'hits')].value@other()",
                        "customData": [
                                {
                                        "key": "state",
                                        "value": 2
                                },
                                {
                                        "key": "category",
                                        "value": "inside"
                                },
                                {
                                        "key": "session",
                                        "value": "$.rideSummary.sessionId"
                                },
                                {
                                        "key": "scene",
                                        "value": "$.rideSummary.scenes[3].number@other()"
                                }
                        ]
                }
        ]
}</t>
  </si>
  <si>
    <t>for every Pickup.pickupLoot.lootOttoPetRock, grant lootPetRock item SCENE 5</t>
  </si>
  <si>
    <t>$.rideSummary.scenes[4].events[?(@.id === 'Pickup.pickupLoot.lootOttoPetRock')].stats[?(@.id === 'hits')].value</t>
  </si>
  <si>
    <t>{
        "resort": "$.resort",
        "park": "$.park",
        "land": "$.land",
        "publisher": "$.publisher",
        "timestamp": "$.timestamp",
        "playerId": "$.playerId",
        "items": [
                {
                        "id": "lootPetRock",
                        "count": "$.rideSummary.scenes[4].events[?(@.id === 'Pickup.pickupLoot.lootOttoPetRock')].stats[?(@.id === 'hits')].value@other()",
                        "customData": [
                                {
                                        "key": "state",
                                        "value": 2
                                },
                                {
                                        "key": "category",
                                        "value": "inside"
                                },
                                {
                                        "key": "session",
                                        "value": "$.rideSummary.sessionId"
                                },
                                {
                                        "key": "scene",
                                        "value": "$.rideSummary.scenes[4].number@other()"
                                }
                        ]
                }
        ]
}</t>
  </si>
  <si>
    <t>for every Pickup.pickupLoot.lootOttoPetRock, grant lootPetRock item SCENE 6</t>
  </si>
  <si>
    <t>$.rideSummary.scenes[5].events[?(@.id === 'Pickup.pickupLoot.lootOttoPetRock')].stats[?(@.id === 'hits')].value</t>
  </si>
  <si>
    <t>{
        "resort": "$.resort",
        "park": "$.park",
        "land": "$.land",
        "publisher": "$.publisher",
        "timestamp": "$.timestamp",
        "playerId": "$.playerId",
        "items": [
                {
                        "id": "lootPetRock",
                        "count": "$.rideSummary.scenes[5].events[?(@.id === 'Pickup.pickupLoot.lootOttoPetRock')].stats[?(@.id === 'hits')].value@other()",
                        "customData": [
                                {
                                        "key": "state",
                                        "value": 2
                                },
                                {
                                        "key": "category",
                                        "value": "inside"
                                },
                                {
                                        "key": "session",
                                        "value": "$.rideSummary.sessionId"
                                },
                                {
                                        "key": "scene",
                                        "value": "$.rideSummary.scenes[5].number@other()"
                                }
                        ]
                }
        ]
}</t>
  </si>
  <si>
    <t>for every Pickup.pickupLoot.lootOttoPetRock, grant lootPetRock item SCENE 7</t>
  </si>
  <si>
    <t>$.rideSummary.scenes[6].events[?(@.id === 'Pickup.pickupLoot.lootOttoPetRock')].stats[?(@.id === 'hits')].value</t>
  </si>
  <si>
    <t>{
        "resort": "$.resort",
        "park": "$.park",
        "land": "$.land",
        "publisher": "$.publisher",
        "timestamp": "$.timestamp",
        "playerId": "$.playerId",
        "items": [
                {
                        "id": "lootPetRock",
                        "count": "$.rideSummary.scenes[6].events[?(@.id === 'Pickup.pickupLoot.lootOttoPetRock')].stats[?(@.id === 'hits')].value@other()",
                        "customData": [
                                {
                                        "key": "state",
                                        "value": 2
                                },
                                {
                                        "key": "category",
                                        "value": "inside"
                                },
                                {
                                        "key": "session",
                                        "value": "$.rideSummary.sessionId"
                                },
                                {
                                        "key": "scene",
                                        "value": "$.rideSummary.scenes[6].number@other()"
                                }
                        ]
                }
        ]
}</t>
  </si>
  <si>
    <t>for every Pickup.pickupLoot.lootOttoTricycle, grant lootTricycle item SCENE 1</t>
  </si>
  <si>
    <t>$.rideSummary.scenes[0].events[?(@.id === 'Pickup.pickupLoot.lootOttoTricycle')].stats[?(@.id === 'hits')].value</t>
  </si>
  <si>
    <t>{
        "resort": "$.resort",
        "park": "$.park",
        "land": "$.land",
        "publisher": "$.publisher",
        "timestamp": "$.timestamp",
        "playerId": "$.playerId",
        "items": [
                {
                        "id": "lootTricycle",
                        "count": "$.rideSummary.scenes[0].events[?(@.id === 'Pickup.pickupLoot.lootOttoTricycle')].stats[?(@.id === 'hits')].value@other()",
                        "customData": [
                                {
                                        "key": "state",
                                        "value": 2
                                },
                                {
                                        "key": "category",
                                        "value": "inside"
                                },
                                {
                                        "key": "session",
                                        "value": "$.rideSummary.sessionId"
                                },
                                {
                                        "key": "scene",
                                        "value": "$.rideSummary.scenes[1].number@other()"
                                }
                        ]
                }
        ]
}</t>
  </si>
  <si>
    <t>for every Pickup.pickupLoot.lootOttoTricycle, grant lootTricycle item SCENE 2</t>
  </si>
  <si>
    <t>$.rideSummary.scenes[1].events[?(@.id === 'Pickup.pickupLoot.lootOttoTricycle')].stats[?(@.id === 'hits')].value</t>
  </si>
  <si>
    <t>{
        "resort": "$.resort",
        "park": "$.park",
        "land": "$.land",
        "publisher": "$.publisher",
        "timestamp": "$.timestamp",
        "playerId": "$.playerId",
        "items": [
                {
                        "id": "lootTricycle",
                        "count": "$.rideSummary.scenes[1].events[?(@.id === 'Pickup.pickupLoot.lootOttoTricycle')].stats[?(@.id === 'hits')].value@other()",
                        "customData": [
                                {
                                        "key": "state",
                                        "value": 2
                                },
                                {
                                        "key": "category",
                                        "value": "inside"
                                },
                                {
                                        "key": "session",
                                        "value": "$.rideSummary.sessionId"
                                },
                                {
                                        "key": "scene",
                                        "value": "$.rideSummary.scenes[1].number@other()"
                                }
                        ]
                }
        ]
}</t>
  </si>
  <si>
    <t>for every Pickup.pickupLoot.lootOttoTricycle, grant lootTricycle item SCENE 3</t>
  </si>
  <si>
    <t>$.rideSummary.scenes[2].events[?(@.id === 'Pickup.pickupLoot.lootOttoTricycle')].stats[?(@.id === 'hits')].value</t>
  </si>
  <si>
    <t>{
        "resort": "$.resort",
        "park": "$.park",
        "land": "$.land",
        "publisher": "$.publisher",
        "timestamp": "$.timestamp",
        "playerId": "$.playerId",
        "items": [
                {
                        "id": "lootTricycle",
                        "count": "$.rideSummary.scenes[2].events[?(@.id === 'Pickup.pickupLoot.lootOttoTricycle')].stats[?(@.id === 'hits')].value@other()",
                        "customData": [
                                {
                                        "key": "state",
                                        "value": 2
                                },
                                {
                                        "key": "category",
                                        "value": "inside"
                                },
                                {
                                        "key": "session",
                                        "value": "$.rideSummary.sessionId"
                                },
                                {
                                        "key": "scene",
                                        "value": "$.rideSummary.scenes[2].number@other()"
                                }
                        ]
                }
        ]
}</t>
  </si>
  <si>
    <t>for every Pickup.pickupLoot.lootOttoTricycle, grant lootTricycle item SCENE 4</t>
  </si>
  <si>
    <t>$.rideSummary.scenes[3].events[?(@.id === 'Pickup.pickupLoot.lootOttoTricycle')].stats[?(@.id === 'hits')].value</t>
  </si>
  <si>
    <t>{
        "resort": "$.resort",
        "park": "$.park",
        "land": "$.land",
        "publisher": "$.publisher",
        "timestamp": "$.timestamp",
        "playerId": "$.playerId",
        "items": [
                {
                        "id": "lootTricycle",
                        "count": "$.rideSummary.scenes[3].events[?(@.id === 'Pickup.pickupLoot.lootOttoTricycle')].stats[?(@.id === 'hits')].value@other()",
                        "customData": [
                                {
                                        "key": "state",
                                        "value": 2
                                },
                                {
                                        "key": "category",
                                        "value": "inside"
                                },
                                {
                                        "key": "session",
                                        "value": "$.rideSummary.sessionId"
                                },
                                {
                                        "key": "scene",
                                        "value": "$.rideSummary.scenes[3].number@other()"
                                }
                        ]
                }
        ]
}</t>
  </si>
  <si>
    <t>for every Pickup.pickupLoot.lootOttoTricycle, grant lootTricycle item SCENE 5</t>
  </si>
  <si>
    <t>$.rideSummary.scenes[4].events[?(@.id === 'Pickup.pickupLoot.lootOttoTricycle')].stats[?(@.id === 'hits')].value</t>
  </si>
  <si>
    <t>{
        "resort": "$.resort",
        "park": "$.park",
        "land": "$.land",
        "publisher": "$.publisher",
        "timestamp": "$.timestamp",
        "playerId": "$.playerId",
        "items": [
                {
                        "id": "lootTricycle",
                        "count": "$.rideSummary.scenes[4].events[?(@.id === 'Pickup.pickupLoot.lootOttoTricycle')].stats[?(@.id === 'hits')].value@other()",
                        "customData": [
                                {
                                        "key": "state",
                                        "value": 2
                                },
                                {
                                        "key": "category",
                                        "value": "inside"
                                },
                                {
                                        "key": "session",
                                        "value": "$.rideSummary.sessionId"
                                },
                                {
                                        "key": "scene",
                                        "value": "$.rideSummary.scenes[4].number@other()"
                                }
                        ]
                }
        ]
}</t>
  </si>
  <si>
    <t>for every Pickup.pickupLoot.lootOttoTricycle, grant lootTricycle item SCENE 6</t>
  </si>
  <si>
    <t>$.rideSummary.scenes[5].events[?(@.id === 'Pickup.pickupLoot.lootOttoTricycle')].stats[?(@.id === 'hits')].value</t>
  </si>
  <si>
    <t>{
        "resort": "$.resort",
        "park": "$.park",
        "land": "$.land",
        "publisher": "$.publisher",
        "timestamp": "$.timestamp",
        "playerId": "$.playerId",
        "items": [
                {
                        "id": "lootTricycle",
                        "count": "$.rideSummary.scenes[5].events[?(@.id === 'Pickup.pickupLoot.lootOttoTricycle')].stats[?(@.id === 'hits')].value@other()",
                        "customData": [
                                {
                                        "key": "state",
                                        "value": 2
                                },
                                {
                                        "key": "category",
                                        "value": "inside"
                                },
                                {
                                        "key": "session",
                                        "value": "$.rideSummary.sessionId"
                                },
                                {
                                        "key": "scene",
                                        "value": "$.rideSummary.scenes[5].number@other()"
                                }
                        ]
                }
        ]
}</t>
  </si>
  <si>
    <t>for every Pickup.pickupLoot.lootOttoTricycle, grant lootTricycle item SCENE 7</t>
  </si>
  <si>
    <t>$.rideSummary.scenes[6].events[?(@.id === 'Pickup.pickupLoot.lootOttoTricycle')].stats[?(@.id === 'hits')].value</t>
  </si>
  <si>
    <t>{
        "resort": "$.resort",
        "park": "$.park",
        "land": "$.land",
        "publisher": "$.publisher",
        "timestamp": "$.timestamp",
        "playerId": "$.playerId",
        "items": [
                {
                        "id": "lootTricycle",
                        "count": "$.rideSummary.scenes[6].events[?(@.id === 'Pickup.pickupLoot.lootOttoTricycle')].stats[?(@.id === 'hits')].value@other()",
                        "customData": [
                                {
                                        "key": "state",
                                        "value": 2
                                },
                                {
                                        "key": "category",
                                        "value": "inside"
                                },
                                {
                                        "key": "session",
                                        "value": "$.rideSummary.sessionId"
                                },
                                {
                                        "key": "scene",
                                        "value": "$.rideSummary.scenes[6].number@other()"
                                }
                        ]
                }
        ]
}</t>
  </si>
  <si>
    <t>for every Pickup.pickupLoot.lootSleepyKittensBook, grant lootSleepyKittens item SCENE 1</t>
  </si>
  <si>
    <t>$.rideSummary.scenes[0].events[?(@.id === 'Pickup.pickupLoot.lootSleepyKittensBook')].stats[?(@.id === 'hits')].value</t>
  </si>
  <si>
    <t>{
        "resort": "$.resort",
        "park": "$.park",
        "land": "$.land",
        "publisher": "$.publisher",
        "timestamp": "$.timestamp",
        "playerId": "$.playerId",
        "items": [
                {
                        "id": "lootSleepyKittens",
                        "count": "$.rideSummary.scenes[0].events[?(@.id === 'Pickup.pickupLoot.lootSleepyKittensBook')].stats[?(@.id === 'hits')].value@other()",
                        "customData": [
                                {
                                        "key": "state",
                                        "value": 2
                                },
                                {
                                        "key": "category",
                                        "value": "inside"
                                },
                                {
                                        "key": "session",
                                        "value": "$.rideSummary.sessionId"
                                },
                                {
                                        "key": "scene",
                                        "value": "$.rideSummary.scenes[1].number@other()"
                                }
                        ]
                }
        ]
}</t>
  </si>
  <si>
    <t>for every Pickup.pickupLoot.lootSleepyKittensBook, grant lootSleepyKittens item SCENE 2</t>
  </si>
  <si>
    <t>$.rideSummary.scenes[1].events[?(@.id === 'Pickup.pickupLoot.lootSleepyKittensBook')].stats[?(@.id === 'hits')].value</t>
  </si>
  <si>
    <t>{
        "resort": "$.resort",
        "park": "$.park",
        "land": "$.land",
        "publisher": "$.publisher",
        "timestamp": "$.timestamp",
        "playerId": "$.playerId",
        "items": [
                {
                        "id": "lootSleepyKittens",
                        "count": "$.rideSummary.scenes[1].events[?(@.id === 'Pickup.pickupLoot.lootSleepyKittensBook')].stats[?(@.id === 'hits')].value@other()",
                        "customData": [
                                {
                                        "key": "state",
                                        "value": 2
                                },
                                {
                                        "key": "category",
                                        "value": "inside"
                                },
                                {
                                        "key": "session",
                                        "value": "$.rideSummary.sessionId"
                                },
                                {
                                        "key": "scene",
                                        "value": "$.rideSummary.scenes[1].number@other()"
                                }
                        ]
                }
        ]
}</t>
  </si>
  <si>
    <t>for every Pickup.pickupLoot.lootSleepyKittensBook, grant lootSleepyKittens item SCENE 3</t>
  </si>
  <si>
    <t>$.rideSummary.scenes[2].events[?(@.id === 'Pickup.pickupLoot.lootSleepyKittensBook')].stats[?(@.id === 'hits')].value</t>
  </si>
  <si>
    <t>{
        "resort": "$.resort",
        "park": "$.park",
        "land": "$.land",
        "publisher": "$.publisher",
        "timestamp": "$.timestamp",
        "playerId": "$.playerId",
        "items": [
                {
                        "id": "lootSleepyKittens",
                        "count": "$.rideSummary.scenes[2].events[?(@.id === 'Pickup.pickupLoot.lootSleepyKittensBook')].stats[?(@.id === 'hits')].value@other()",
                        "customData": [
                                {
                                        "key": "state",
                                        "value": 2
                                },
                                {
                                        "key": "category",
                                        "value": "inside"
                                },
                                {
                                        "key": "session",
                                        "value": "$.rideSummary.sessionId"
                                },
                                {
                                        "key": "scene",
                                        "value": "$.rideSummary.scenes[2].number@other()"
                                }
                        ]
                }
        ]
}</t>
  </si>
  <si>
    <t>for every Pickup.pickupLoot.lootSleepyKittensBook, grant lootSleepyKittens item SCENE 4</t>
  </si>
  <si>
    <t>$.rideSummary.scenes[3].events[?(@.id === 'Pickup.pickupLoot.lootSleepyKittensBook')].stats[?(@.id === 'hits')].value</t>
  </si>
  <si>
    <t>{
        "resort": "$.resort",
        "park": "$.park",
        "land": "$.land",
        "publisher": "$.publisher",
        "timestamp": "$.timestamp",
        "playerId": "$.playerId",
        "items": [
                {
                        "id": "lootSleepyKittens",
                        "count": "$.rideSummary.scenes[3].events[?(@.id === 'Pickup.pickupLoot.lootSleepyKittensBook')].stats[?(@.id === 'hits')].value@other()",
                        "customData": [
                                {
                                        "key": "state",
                                        "value": 2
                                },
                                {
                                        "key": "category",
                                        "value": "inside"
                                },
                                {
                                        "key": "session",
                                        "value": "$.rideSummary.sessionId"
                                },
                                {
                                        "key": "scene",
                                        "value": "$.rideSummary.scenes[3].number@other()"
                                }
                        ]
                }
        ]
}</t>
  </si>
  <si>
    <t>for every Pickup.pickupLoot.lootSleepyKittensBook, grant lootSleepyKittens item SCENE 5</t>
  </si>
  <si>
    <t>$.rideSummary.scenes[4].events[?(@.id === 'Pickup.pickupLoot.lootSleepyKittensBook')].stats[?(@.id === 'hits')].value</t>
  </si>
  <si>
    <t>{
        "resort": "$.resort",
        "park": "$.park",
        "land": "$.land",
        "publisher": "$.publisher",
        "timestamp": "$.timestamp",
        "playerId": "$.playerId",
        "items": [
                {
                        "id": "lootSleepyKittens",
                        "count": "$.rideSummary.scenes[4].events[?(@.id === 'Pickup.pickupLoot.lootSleepyKittensBook')].stats[?(@.id === 'hits')].value@other()",
                        "customData": [
                                {
                                        "key": "state",
                                        "value": 2
                                },
                                {
                                        "key": "category",
                                        "value": "inside"
                                },
                                {
                                        "key": "session",
                                        "value": "$.rideSummary.sessionId"
                                },
                                {
                                        "key": "scene",
                                        "value": "$.rideSummary.scenes[4].number@other()"
                                }
                        ]
                }
        ]
}</t>
  </si>
  <si>
    <t>for every Pickup.pickupLoot.lootSleepyKittensBook, grant lootSleepyKittens item SCENE 6</t>
  </si>
  <si>
    <t>$.rideSummary.scenes[5].events[?(@.id === 'Pickup.pickupLoot.lootSleepyKittensBook')].stats[?(@.id === 'hits')].value</t>
  </si>
  <si>
    <t>{
        "resort": "$.resort",
        "park": "$.park",
        "land": "$.land",
        "publisher": "$.publisher",
        "timestamp": "$.timestamp",
        "playerId": "$.playerId",
        "items": [
                {
                        "id": "lootSleepyKittens",
                        "count": "$.rideSummary.scenes[5].events[?(@.id === 'Pickup.pickupLoot.lootSleepyKittensBook')].stats[?(@.id === 'hits')].value@other()",
                        "customData": [
                                {
                                        "key": "state",
                                        "value": 2
                                },
                                {
                                        "key": "category",
                                        "value": "inside"
                                },
                                {
                                        "key": "session",
                                        "value": "$.rideSummary.sessionId"
                                },
                                {
                                        "key": "scene",
                                        "value": "$.rideSummary.scenes[5].number@other()"
                                }
                        ]
                }
        ]
}</t>
  </si>
  <si>
    <t>for every Pickup.pickupLoot.lootSleepyKittensBook, grant lootSleepyKittens item SCENE 7</t>
  </si>
  <si>
    <t>$.rideSummary.scenes[6].events[?(@.id === 'Pickup.pickupLoot.lootSleepyKittensBook')].stats[?(@.id === 'hits')].value</t>
  </si>
  <si>
    <t>{
        "resort": "$.resort",
        "park": "$.park",
        "land": "$.land",
        "publisher": "$.publisher",
        "timestamp": "$.timestamp",
        "playerId": "$.playerId",
        "items": [
                {
                        "id": "lootSleepyKittens",
                        "count": "$.rideSummary.scenes[6].events[?(@.id === 'Pickup.pickupLoot.lootSleepyKittensBook')].stats[?(@.id === 'hits')].value@other()",
                        "customData": [
                                {
                                        "key": "state",
                                        "value": 2
                                },
                                {
                                        "key": "category",
                                        "value": "inside"
                                },
                                {
                                        "key": "session",
                                        "value": "$.rideSummary.sessionId"
                                },
                                {
                                        "key": "scene",
                                        "value": "$.rideSummary.scenes[6].number@other()"
                                }
                        ]
                }
        ]
}</t>
  </si>
  <si>
    <t>for every Pickup.pickupLoot.lootSwordExcalibur, grant lootExcalibur item SCENE 1</t>
  </si>
  <si>
    <t>$.rideSummary.scenes[0].events[?(@.id === 'Pickup.pickupLoot.lootSwordExcalibur')].stats[?(@.id === 'hits')].value</t>
  </si>
  <si>
    <t>{
        "resort": "$.resort",
        "park": "$.park",
        "land": "$.land",
        "publisher": "$.publisher",
        "timestamp": "$.timestamp",
        "playerId": "$.playerId",
        "items": [
                {
                        "id": "lootExcalibur",
                        "count": "$.rideSummary.scenes[0].events[?(@.id === 'Pickup.pickupLoot.lootSwordExcalibur')].stats[?(@.id === 'hits')].value@other()",
                        "customData": [
                                {
                                        "key": "state",
                                        "value": 2
                                },
                                {
                                        "key": "category",
                                        "value": "inside"
                                },
                                {
                                        "key": "session",
                                        "value": "$.rideSummary.sessionId"
                                },
                                {
                                        "key": "scene",
                                        "value": "$.rideSummary.scenes[1].number@other()"
                                }
                        ]
                }
        ]
}</t>
  </si>
  <si>
    <t>for every Pickup.pickupLoot.lootSwordExcalibur, grant lootExcalibur item SCENE 2</t>
  </si>
  <si>
    <t>$.rideSummary.scenes[1].events[?(@.id === 'Pickup.pickupLoot.lootSwordExcalibur')].stats[?(@.id === 'hits')].value</t>
  </si>
  <si>
    <t>{
        "resort": "$.resort",
        "park": "$.park",
        "land": "$.land",
        "publisher": "$.publisher",
        "timestamp": "$.timestamp",
        "playerId": "$.playerId",
        "items": [
                {
                        "id": "lootExcalibur",
                        "count": "$.rideSummary.scenes[1].events[?(@.id === 'Pickup.pickupLoot.lootSwordExcalibur')].stats[?(@.id === 'hits')].value@other()",
                        "customData": [
                                {
                                        "key": "state",
                                        "value": 2
                                },
                                {
                                        "key": "category",
                                        "value": "inside"
                                },
                                {
                                        "key": "session",
                                        "value": "$.rideSummary.sessionId"
                                },
                                {
                                        "key": "scene",
                                        "value": "$.rideSummary.scenes[1].number@other()"
                                }
                        ]
                }
        ]
}</t>
  </si>
  <si>
    <t>for every Pickup.pickupLoot.lootSwordExcalibur, grant lootExcalibur item SCENE 3</t>
  </si>
  <si>
    <t>$.rideSummary.scenes[2].events[?(@.id === 'Pickup.pickupLoot.lootSwordExcalibur')].stats[?(@.id === 'hits')].value</t>
  </si>
  <si>
    <t>{
        "resort": "$.resort",
        "park": "$.park",
        "land": "$.land",
        "publisher": "$.publisher",
        "timestamp": "$.timestamp",
        "playerId": "$.playerId",
        "items": [
                {
                        "id": "lootExcalibur",
                        "count": "$.rideSummary.scenes[2].events[?(@.id === 'Pickup.pickupLoot.lootSwordExcalibur')].stats[?(@.id === 'hits')].value@other()",
                        "customData": [
                                {
                                        "key": "state",
                                        "value": 2
                                },
                                {
                                        "key": "category",
                                        "value": "inside"
                                },
                                {
                                        "key": "session",
                                        "value": "$.rideSummary.sessionId"
                                },
                                {
                                        "key": "scene",
                                        "value": "$.rideSummary.scenes[2].number@other()"
                                }
                        ]
                }
        ]
}</t>
  </si>
  <si>
    <t>for every Pickup.pickupLoot.lootSwordExcalibur, grant lootExcalibur item SCENE 4</t>
  </si>
  <si>
    <t>$.rideSummary.scenes[3].events[?(@.id === 'Pickup.pickupLoot.lootSwordExcalibur')].stats[?(@.id === 'hits')].value</t>
  </si>
  <si>
    <t>{
        "resort": "$.resort",
        "park": "$.park",
        "land": "$.land",
        "publisher": "$.publisher",
        "timestamp": "$.timestamp",
        "playerId": "$.playerId",
        "items": [
                {
                        "id": "lootExcalibur",
                        "count": "$.rideSummary.scenes[3].events[?(@.id === 'Pickup.pickupLoot.lootSwordExcalibur')].stats[?(@.id === 'hits')].value@other()",
                        "customData": [
                                {
                                        "key": "state",
                                        "value": 2
                                },
                                {
                                        "key": "category",
                                        "value": "inside"
                                },
                                {
                                        "key": "session",
                                        "value": "$.rideSummary.sessionId"
                                },
                                {
                                        "key": "scene",
                                        "value": "$.rideSummary.scenes[3].number@other()"
                                }
                        ]
                }
        ]
}</t>
  </si>
  <si>
    <t>for every Pickup.pickupLoot.lootSwordExcalibur, grant lootExcalibur item SCENE 5</t>
  </si>
  <si>
    <t>$.rideSummary.scenes[4].events[?(@.id === 'Pickup.pickupLoot.lootSwordExcalibur')].stats[?(@.id === 'hits')].value</t>
  </si>
  <si>
    <t>{
        "resort": "$.resort",
        "park": "$.park",
        "land": "$.land",
        "publisher": "$.publisher",
        "timestamp": "$.timestamp",
        "playerId": "$.playerId",
        "items": [
                {
                        "id": "lootExcalibur",
                        "count": "$.rideSummary.scenes[4].events[?(@.id === 'Pickup.pickupLoot.lootSwordExcalibur')].stats[?(@.id === 'hits')].value@other()",
                        "customData": [
                                {
                                        "key": "state",
                                        "value": 2
                                },
                                {
                                        "key": "category",
                                        "value": "inside"
                                },
                                {
                                        "key": "session",
                                        "value": "$.rideSummary.sessionId"
                                },
                                {
                                        "key": "scene",
                                        "value": "$.rideSummary.scenes[4].number@other()"
                                }
                        ]
                }
        ]
}</t>
  </si>
  <si>
    <t>for every Pickup.pickupLoot.lootSwordExcalibur, grant lootExcalibur item SCENE 6</t>
  </si>
  <si>
    <t>$.rideSummary.scenes[5].events[?(@.id === 'Pickup.pickupLoot.lootSwordExcalibur')].stats[?(@.id === 'hits')].value</t>
  </si>
  <si>
    <t>{
        "resort": "$.resort",
        "park": "$.park",
        "land": "$.land",
        "publisher": "$.publisher",
        "timestamp": "$.timestamp",
        "playerId": "$.playerId",
        "items": [
                {
                        "id": "lootExcalibur",
                        "count": "$.rideSummary.scenes[5].events[?(@.id === 'Pickup.pickupLoot.lootSwordExcalibur')].stats[?(@.id === 'hits')].value@other()",
                        "customData": [
                                {
                                        "key": "state",
                                        "value": 2
                                },
                                {
                                        "key": "category",
                                        "value": "inside"
                                },
                                {
                                        "key": "session",
                                        "value": "$.rideSummary.sessionId"
                                },
                                {
                                        "key": "scene",
                                        "value": "$.rideSummary.scenes[5].number@other()"
                                }
                        ]
                }
        ]
}</t>
  </si>
  <si>
    <t>for every Pickup.pickupLoot.lootSwordExcalibur, grant lootExcalibur item SCENE 7</t>
  </si>
  <si>
    <t>$.rideSummary.scenes[6].events[?(@.id === 'Pickup.pickupLoot.lootSwordExcalibur')].stats[?(@.id === 'hits')].value</t>
  </si>
  <si>
    <t>{
        "resort": "$.resort",
        "park": "$.park",
        "land": "$.land",
        "publisher": "$.publisher",
        "timestamp": "$.timestamp",
        "playerId": "$.playerId",
        "items": [
                {
                        "id": "lootExcalibur",
                        "count": "$.rideSummary.scenes[6].events[?(@.id === 'Pickup.pickupLoot.lootSwordExcalibur')].stats[?(@.id === 'hits')].value@other()",
                        "customData": [
                                {
                                        "key": "state",
                                        "value": 2
                                },
                                {
                                        "key": "category",
                                        "value": "inside"
                                },
                                {
                                        "key": "session",
                                        "value": "$.rideSummary.sessionId"
                                },
                                {
                                        "key": "scene",
                                        "value": "$.rideSummary.scenes[6].number@other()"
                                }
                        ]
                }
        ]
}</t>
  </si>
  <si>
    <t>for every Pickup.pickupLoot.lootTimTeddyBear, grant lootTeddyBear item SCENE 1</t>
  </si>
  <si>
    <t>$.rideSummary.scenes[0].events[?(@.id === 'Pickup.pickupLoot.lootTimTeddyBear')].stats[?(@.id === 'hits')].value</t>
  </si>
  <si>
    <t>{
        "resort": "$.resort",
        "park": "$.park",
        "land": "$.land",
        "publisher": "$.publisher",
        "timestamp": "$.timestamp",
        "playerId": "$.playerId",
        "items": [
                {
                        "id": "lootTeddyBear",
                        "count": "$.rideSummary.scenes[0].events[?(@.id === 'Pickup.pickupLoot.lootTimTeddyBear')].stats[?(@.id === 'hits')].value@other()",
                        "customData": [
                                {
                                        "key": "state",
                                        "value": 2
                                },
                                {
                                        "key": "category",
                                        "value": "inside"
                                },
                                {
                                        "key": "session",
                                        "value": "$.rideSummary.sessionId"
                                },
                                {
                                        "key": "scene",
                                        "value": "$.rideSummary.scenes[1].number@other()"
                                }
                        ]
                }
        ]
}</t>
  </si>
  <si>
    <t>for every Pickup.pickupLoot.lootTimTeddyBear, grant lootTeddyBear item SCENE 2</t>
  </si>
  <si>
    <t>$.rideSummary.scenes[1].events[?(@.id === 'Pickup.pickupLoot.lootTimTeddyBear')].stats[?(@.id === 'hits')].value</t>
  </si>
  <si>
    <t>{
        "resort": "$.resort",
        "park": "$.park",
        "land": "$.land",
        "publisher": "$.publisher",
        "timestamp": "$.timestamp",
        "playerId": "$.playerId",
        "items": [
                {
                        "id": "lootTeddyBear",
                        "count": "$.rideSummary.scenes[1].events[?(@.id === 'Pickup.pickupLoot.lootTimTeddyBear')].stats[?(@.id === 'hits')].value@other()",
                        "customData": [
                                {
                                        "key": "state",
                                        "value": 2
                                },
                                {
                                        "key": "category",
                                        "value": "inside"
                                },
                                {
                                        "key": "session",
                                        "value": "$.rideSummary.sessionId"
                                },
                                {
                                        "key": "scene",
                                        "value": "$.rideSummary.scenes[1].number@other()"
                                }
                        ]
                }
        ]
}</t>
  </si>
  <si>
    <t>for every Pickup.pickupLoot.lootTimTeddyBear, grant lootTeddyBear item SCENE 3</t>
  </si>
  <si>
    <t>$.rideSummary.scenes[2].events[?(@.id === 'Pickup.pickupLoot.lootTimTeddyBear')].stats[?(@.id === 'hits')].value</t>
  </si>
  <si>
    <t>{
        "resort": "$.resort",
        "park": "$.park",
        "land": "$.land",
        "publisher": "$.publisher",
        "timestamp": "$.timestamp",
        "playerId": "$.playerId",
        "items": [
                {
                        "id": "lootTeddyBear",
                        "count": "$.rideSummary.scenes[2].events[?(@.id === 'Pickup.pickupLoot.lootTimTeddyBear')].stats[?(@.id === 'hits')].value@other()",
                        "customData": [
                                {
                                        "key": "state",
                                        "value": 2
                                },
                                {
                                        "key": "category",
                                        "value": "inside"
                                },
                                {
                                        "key": "session",
                                        "value": "$.rideSummary.sessionId"
                                },
                                {
                                        "key": "scene",
                                        "value": "$.rideSummary.scenes[2].number@other()"
                                }
                        ]
                }
        ]
}</t>
  </si>
  <si>
    <t>for every Pickup.pickupLoot.lootTimTeddyBear, grant lootTeddyBear item SCENE 4</t>
  </si>
  <si>
    <t>$.rideSummary.scenes[3].events[?(@.id === 'Pickup.pickupLoot.lootTimTeddyBear')].stats[?(@.id === 'hits')].value</t>
  </si>
  <si>
    <t>{
        "resort": "$.resort",
        "park": "$.park",
        "land": "$.land",
        "publisher": "$.publisher",
        "timestamp": "$.timestamp",
        "playerId": "$.playerId",
        "items": [
                {
                        "id": "lootTeddyBear",
                        "count": "$.rideSummary.scenes[3].events[?(@.id === 'Pickup.pickupLoot.lootTimTeddyBear')].stats[?(@.id === 'hits')].value@other()",
                        "customData": [
                                {
                                        "key": "state",
                                        "value": 2
                                },
                                {
                                        "key": "category",
                                        "value": "inside"
                                },
                                {
                                        "key": "session",
                                        "value": "$.rideSummary.sessionId"
                                },
                                {
                                        "key": "scene",
                                        "value": "$.rideSummary.scenes[3].number@other()"
                                }
                        ]
                }
        ]
}</t>
  </si>
  <si>
    <t>for every Pickup.pickupLoot.lootTimTeddyBear, grant lootTeddyBear item SCENE 5</t>
  </si>
  <si>
    <t>$.rideSummary.scenes[4].events[?(@.id === 'Pickup.pickupLoot.lootTimTeddyBear')].stats[?(@.id === 'hits')].value</t>
  </si>
  <si>
    <t>{
        "resort": "$.resort",
        "park": "$.park",
        "land": "$.land",
        "publisher": "$.publisher",
        "timestamp": "$.timestamp",
        "playerId": "$.playerId",
        "items": [
                {
                        "id": "lootTeddyBear",
                        "count": "$.rideSummary.scenes[4].events[?(@.id === 'Pickup.pickupLoot.lootTimTeddyBear')].stats[?(@.id === 'hits')].value@other()",
                        "customData": [
                                {
                                        "key": "state",
                                        "value": 2
                                },
                                {
                                        "key": "category",
                                        "value": "inside"
                                },
                                {
                                        "key": "session",
                                        "value": "$.rideSummary.sessionId"
                                },
                                {
                                        "key": "scene",
                                        "value": "$.rideSummary.scenes[4].number@other()"
                                }
                        ]
                }
        ]
}</t>
  </si>
  <si>
    <t>for every Pickup.pickupLoot.lootTimTeddyBear, grant lootTeddyBear item SCENE 6</t>
  </si>
  <si>
    <t>$.rideSummary.scenes[5].events[?(@.id === 'Pickup.pickupLoot.lootTimTeddyBear')].stats[?(@.id === 'hits')].value</t>
  </si>
  <si>
    <t>{
        "resort": "$.resort",
        "park": "$.park",
        "land": "$.land",
        "publisher": "$.publisher",
        "timestamp": "$.timestamp",
        "playerId": "$.playerId",
        "items": [
                {
                        "id": "lootTeddyBear",
                        "count": "$.rideSummary.scenes[5].events[?(@.id === 'Pickup.pickupLoot.lootTimTeddyBear')].stats[?(@.id === 'hits')].value@other()",
                        "customData": [
                                {
                                        "key": "state",
                                        "value": 2
                                },
                                {
                                        "key": "category",
                                        "value": "inside"
                                },
                                {
                                        "key": "session",
                                        "value": "$.rideSummary.sessionId"
                                },
                                {
                                        "key": "scene",
                                        "value": "$.rideSummary.scenes[5].number@other()"
                                }
                        ]
                }
        ]
}</t>
  </si>
  <si>
    <t>for every Pickup.pickupLoot.lootTimTeddyBear, grant lootTeddyBear item SCENE 7</t>
  </si>
  <si>
    <t>$.rideSummary.scenes[6].events[?(@.id === 'Pickup.pickupLoot.lootTimTeddyBear')].stats[?(@.id === 'hits')].value</t>
  </si>
  <si>
    <t>{
        "resort": "$.resort",
        "park": "$.park",
        "land": "$.land",
        "publisher": "$.publisher",
        "timestamp": "$.timestamp",
        "playerId": "$.playerId",
        "items": [
                {
                        "id": "lootTeddyBear",
                        "count": "$.rideSummary.scenes[6].events[?(@.id === 'Pickup.pickupLoot.lootTimTeddyBear')].stats[?(@.id === 'hits')].value@other()",
                        "customData": [
                                {
                                        "key": "state",
                                        "value": 2
                                },
                                {
                                        "key": "category",
                                        "value": "inside"
                                },
                                {
                                        "key": "session",
                                        "value": "$.rideSummary.sessionId"
                                },
                                {
                                        "key": "scene",
                                        "value": "$.rideSummary.scenes[6].number@other()"
                                }
                        ]
                }
        ]
}</t>
  </si>
  <si>
    <t>for every Pickup.pickupLoot.lootV6ActionFigures, grant lootV6Figures item SCENE 1</t>
  </si>
  <si>
    <t>$.rideSummary.scenes[0].events[?(@.id === 'Pickup.pickupLoot.lootV6ActionFigures')].stats[?(@.id === 'hits')].value</t>
  </si>
  <si>
    <t>{
        "resort": "$.resort",
        "park": "$.park",
        "land": "$.land",
        "publisher": "$.publisher",
        "timestamp": "$.timestamp",
        "playerId": "$.playerId",
        "items": [
                {
                        "id": "lootV6Figures",
                        "count": "$.rideSummary.scenes[0].events[?(@.id === 'Pickup.pickupLoot.lootV6ActionFigures')].stats[?(@.id === 'hits')].value@other()",
                        "customData": [
                                {
                                        "key": "state",
                                        "value": 2
                                },
                                {
                                        "key": "category",
                                        "value": "inside"
                                },
                                {
                                        "key": "session",
                                        "value": "$.rideSummary.sessionId"
                                },
                                {
                                        "key": "scene",
                                        "value": "$.rideSummary.scenes[1].number@other()"
                                }
                        ]
                }
        ]
}</t>
  </si>
  <si>
    <t>for every Pickup.pickupLoot.lootV6ActionFigures, grant lootV6Figures item SCENE 2</t>
  </si>
  <si>
    <t>$.rideSummary.scenes[1].events[?(@.id === 'Pickup.pickupLoot.lootV6ActionFigures')].stats[?(@.id === 'hits')].value</t>
  </si>
  <si>
    <t>{
        "resort": "$.resort",
        "park": "$.park",
        "land": "$.land",
        "publisher": "$.publisher",
        "timestamp": "$.timestamp",
        "playerId": "$.playerId",
        "items": [
                {
                        "id": "lootV6Figures",
                        "count": "$.rideSummary.scenes[1].events[?(@.id === 'Pickup.pickupLoot.lootV6ActionFigures')].stats[?(@.id === 'hits')].value@other()",
                        "customData": [
                                {
                                        "key": "state",
                                        "value": 2
                                },
                                {
                                        "key": "category",
                                        "value": "inside"
                                },
                                {
                                        "key": "session",
                                        "value": "$.rideSummary.sessionId"
                                },
                                {
                                        "key": "scene",
                                        "value": "$.rideSummary.scenes[1].number@other()"
                                }
                        ]
                }
        ]
}</t>
  </si>
  <si>
    <t>for every Pickup.pickupLoot.lootV6ActionFigures, grant lootV6Figures item SCENE 3</t>
  </si>
  <si>
    <t>$.rideSummary.scenes[2].events[?(@.id === 'Pickup.pickupLoot.lootV6ActionFigures')].stats[?(@.id === 'hits')].value</t>
  </si>
  <si>
    <t>{
        "resort": "$.resort",
        "park": "$.park",
        "land": "$.land",
        "publisher": "$.publisher",
        "timestamp": "$.timestamp",
        "playerId": "$.playerId",
        "items": [
                {
                        "id": "lootV6Figures",
                        "count": "$.rideSummary.scenes[2].events[?(@.id === 'Pickup.pickupLoot.lootV6ActionFigures')].stats[?(@.id === 'hits')].value@other()",
                        "customData": [
                                {
                                        "key": "state",
                                        "value": 2
                                },
                                {
                                        "key": "category",
                                        "value": "inside"
                                },
                                {
                                        "key": "session",
                                        "value": "$.rideSummary.sessionId"
                                },
                                {
                                        "key": "scene",
                                        "value": "$.rideSummary.scenes[2].number@other()"
                                }
                        ]
                }
        ]
}</t>
  </si>
  <si>
    <t>for every Pickup.pickupLoot.lootV6ActionFigures, grant lootV6Figures item SCENE 4</t>
  </si>
  <si>
    <t>$.rideSummary.scenes[3].events[?(@.id === 'Pickup.pickupLoot.lootV6ActionFigures')].stats[?(@.id === 'hits')].value</t>
  </si>
  <si>
    <t>{
        "resort": "$.resort",
        "park": "$.park",
        "land": "$.land",
        "publisher": "$.publisher",
        "timestamp": "$.timestamp",
        "playerId": "$.playerId",
        "items": [
                {
                        "id": "lootV6Figures",
                        "count": "$.rideSummary.scenes[3].events[?(@.id === 'Pickup.pickupLoot.lootV6ActionFigures')].stats[?(@.id === 'hits')].value@other()",
                        "customData": [
                                {
                                        "key": "state",
                                        "value": 2
                                },
                                {
                                        "key": "category",
                                        "value": "inside"
                                },
                                {
                                        "key": "session",
                                        "value": "$.rideSummary.sessionId"
                                },
                                {
                                        "key": "scene",
                                        "value": "$.rideSummary.scenes[3].number@other()"
                                }
                        ]
                }
        ]
}</t>
  </si>
  <si>
    <t>for every Pickup.pickupLoot.lootV6ActionFigures, grant lootV6Figures item SCENE 5</t>
  </si>
  <si>
    <t>$.rideSummary.scenes[4].events[?(@.id === 'Pickup.pickupLoot.lootV6ActionFigures')].stats[?(@.id === 'hits')].value</t>
  </si>
  <si>
    <t>{
        "resort": "$.resort",
        "park": "$.park",
        "land": "$.land",
        "publisher": "$.publisher",
        "timestamp": "$.timestamp",
        "playerId": "$.playerId",
        "items": [
                {
                        "id": "lootV6Figures",
                        "count": "$.rideSummary.scenes[4].events[?(@.id === 'Pickup.pickupLoot.lootV6ActionFigures')].stats[?(@.id === 'hits')].value@other()",
                        "customData": [
                                {
                                        "key": "state",
                                        "value": 2
                                },
                                {
                                        "key": "category",
                                        "value": "inside"
                                },
                                {
                                        "key": "session",
                                        "value": "$.rideSummary.sessionId"
                                },
                                {
                                        "key": "scene",
                                        "value": "$.rideSummary.scenes[4].number@other()"
                                }
                        ]
                }
        ]
}</t>
  </si>
  <si>
    <t>for every Pickup.pickupLoot.lootV6ActionFigures, grant lootV6Figures item SCENE 6</t>
  </si>
  <si>
    <t>$.rideSummary.scenes[5].events[?(@.id === 'Pickup.pickupLoot.lootV6ActionFigures')].stats[?(@.id === 'hits')].value</t>
  </si>
  <si>
    <t>{
        "resort": "$.resort",
        "park": "$.park",
        "land": "$.land",
        "publisher": "$.publisher",
        "timestamp": "$.timestamp",
        "playerId": "$.playerId",
        "items": [
                {
                        "id": "lootV6Figures",
                        "count": "$.rideSummary.scenes[5].events[?(@.id === 'Pickup.pickupLoot.lootV6ActionFigures')].stats[?(@.id === 'hits')].value@other()",
                        "customData": [
                                {
                                        "key": "state",
                                        "value": 2
                                },
                                {
                                        "key": "category",
                                        "value": "inside"
                                },
                                {
                                        "key": "session",
                                        "value": "$.rideSummary.sessionId"
                                },
                                {
                                        "key": "scene",
                                        "value": "$.rideSummary.scenes[5].number@other()"
                                }
                        ]
                }
        ]
}</t>
  </si>
  <si>
    <t>for every Pickup.pickupLoot.lootV6ActionFigures, grant lootV6Figures item SCENE 7</t>
  </si>
  <si>
    <t>$.rideSummary.scenes[6].events[?(@.id === 'Pickup.pickupLoot.lootV6ActionFigures')].stats[?(@.id === 'hits')].value</t>
  </si>
  <si>
    <t>{
        "resort": "$.resort",
        "park": "$.park",
        "land": "$.land",
        "publisher": "$.publisher",
        "timestamp": "$.timestamp",
        "playerId": "$.playerId",
        "items": [
                {
                        "id": "lootV6Figures",
                        "count": "$.rideSummary.scenes[6].events[?(@.id === 'Pickup.pickupLoot.lootV6ActionFigures')].stats[?(@.id === 'hits')].value@other()",
                        "customData": [
                                {
                                        "key": "state",
                                        "value": 2
                                },
                                {
                                        "key": "category",
                                        "value": "inside"
                                },
                                {
                                        "key": "session",
                                        "value": "$.rideSummary.sessionId"
                                },
                                {
                                        "key": "scene",
                                        "value": "$.rideSummary.scenes[6].number@other()"
                                }
                        ]
                }
        ]
}</t>
  </si>
  <si>
    <t>for every Pickup.pickupLoot.lootVillainConHat, grant lootVCHat item SCENE 1</t>
  </si>
  <si>
    <t>$.rideSummary.scenes[0].events[?(@.id === 'Pickup.pickupLoot.lootVillainConHat')].stats[?(@.id === 'hits')].value</t>
  </si>
  <si>
    <t>{
        "resort": "$.resort",
        "park": "$.park",
        "land": "$.land",
        "publisher": "$.publisher",
        "timestamp": "$.timestamp",
        "playerId": "$.playerId",
        "items": [
                {
                        "id": "lootVCHat",
                        "count": "$.rideSummary.scenes[0].events[?(@.id === 'Pickup.pickupLoot.lootVillainConHat')].stats[?(@.id === 'hits')].value@other()",
                        "customData": [
                                {
                                        "key": "state",
                                        "value": 2
                                },
                                {
                                        "key": "category",
                                        "value": "inside"
                                },
                                {
                                        "key": "session",
                                        "value": "$.rideSummary.sessionId"
                                },
                                {
                                        "key": "scene",
                                        "value": "$.rideSummary.scenes[1].number@other()"
                                }
                        ]
                }
        ]
}</t>
  </si>
  <si>
    <t>for every Pickup.pickupLoot.lootVillainConHat, grant lootVCHat item SCENE 2</t>
  </si>
  <si>
    <t>$.rideSummary.scenes[1].events[?(@.id === 'Pickup.pickupLoot.lootVillainConHat')].stats[?(@.id === 'hits')].value</t>
  </si>
  <si>
    <t>{
        "resort": "$.resort",
        "park": "$.park",
        "land": "$.land",
        "publisher": "$.publisher",
        "timestamp": "$.timestamp",
        "playerId": "$.playerId",
        "items": [
                {
                        "id": "lootVCHat",
                        "count": "$.rideSummary.scenes[1].events[?(@.id === 'Pickup.pickupLoot.lootVillainConHat')].stats[?(@.id === 'hits')].value@other()",
                        "customData": [
                                {
                                        "key": "state",
                                        "value": 2
                                },
                                {
                                        "key": "category",
                                        "value": "inside"
                                },
                                {
                                        "key": "session",
                                        "value": "$.rideSummary.sessionId"
                                },
                                {
                                        "key": "scene",
                                        "value": "$.rideSummary.scenes[1].number@other()"
                                }
                        ]
                }
        ]
}</t>
  </si>
  <si>
    <t>for every Pickup.pickupLoot.lootVillainConHat, grant lootVCHat item SCENE 3</t>
  </si>
  <si>
    <t>$.rideSummary.scenes[2].events[?(@.id === 'Pickup.pickupLoot.lootVillainConHat')].stats[?(@.id === 'hits')].value</t>
  </si>
  <si>
    <t>{
        "resort": "$.resort",
        "park": "$.park",
        "land": "$.land",
        "publisher": "$.publisher",
        "timestamp": "$.timestamp",
        "playerId": "$.playerId",
        "items": [
                {
                        "id": "lootVCHat",
                        "count": "$.rideSummary.scenes[2].events[?(@.id === 'Pickup.pickupLoot.lootVillainConHat')].stats[?(@.id === 'hits')].value@other()",
                        "customData": [
                                {
                                        "key": "state",
                                        "value": 2
                                },
                                {
                                        "key": "category",
                                        "value": "inside"
                                },
                                {
                                        "key": "session",
                                        "value": "$.rideSummary.sessionId"
                                },
                                {
                                        "key": "scene",
                                        "value": "$.rideSummary.scenes[2].number@other()"
                                }
                        ]
                }
        ]
}</t>
  </si>
  <si>
    <t>for every Pickup.pickupLoot.lootVillainConHat, grant lootVCHat item SCENE 4</t>
  </si>
  <si>
    <t>$.rideSummary.scenes[3].events[?(@.id === 'Pickup.pickupLoot.lootVillainConHat')].stats[?(@.id === 'hits')].value</t>
  </si>
  <si>
    <t>{
        "resort": "$.resort",
        "park": "$.park",
        "land": "$.land",
        "publisher": "$.publisher",
        "timestamp": "$.timestamp",
        "playerId": "$.playerId",
        "items": [
                {
                        "id": "lootVCHat",
                        "count": "$.rideSummary.scenes[3].events[?(@.id === 'Pickup.pickupLoot.lootVillainConHat')].stats[?(@.id === 'hits')].value@other()",
                        "customData": [
                                {
                                        "key": "state",
                                        "value": 2
                                },
                                {
                                        "key": "category",
                                        "value": "inside"
                                },
                                {
                                        "key": "session",
                                        "value": "$.rideSummary.sessionId"
                                },
                                {
                                        "key": "scene",
                                        "value": "$.rideSummary.scenes[3].number@other()"
                                }
                        ]
                }
        ]
}</t>
  </si>
  <si>
    <t>for every Pickup.pickupLoot.lootVillainConHat, grant lootVCHat item SCENE 5</t>
  </si>
  <si>
    <t>$.rideSummary.scenes[4].events[?(@.id === 'Pickup.pickupLoot.lootVillainConHat')].stats[?(@.id === 'hits')].value</t>
  </si>
  <si>
    <t>{
        "resort": "$.resort",
        "park": "$.park",
        "land": "$.land",
        "publisher": "$.publisher",
        "timestamp": "$.timestamp",
        "playerId": "$.playerId",
        "items": [
                {
                        "id": "lootVCHat",
                        "count": "$.rideSummary.scenes[4].events[?(@.id === 'Pickup.pickupLoot.lootVillainConHat')].stats[?(@.id === 'hits')].value@other()",
                        "customData": [
                                {
                                        "key": "state",
                                        "value": 2
                                },
                                {
                                        "key": "category",
                                        "value": "inside"
                                },
                                {
                                        "key": "session",
                                        "value": "$.rideSummary.sessionId"
                                },
                                {
                                        "key": "scene",
                                        "value": "$.rideSummary.scenes[4].number@other()"
                                }
                        ]
                }
        ]
}</t>
  </si>
  <si>
    <t>for every Pickup.pickupLoot.lootVillainConHat, grant lootVCHat item SCENE 6</t>
  </si>
  <si>
    <t>$.rideSummary.scenes[5].events[?(@.id === 'Pickup.pickupLoot.lootVillainConHat')].stats[?(@.id === 'hits')].value</t>
  </si>
  <si>
    <t>{
        "resort": "$.resort",
        "park": "$.park",
        "land": "$.land",
        "publisher": "$.publisher",
        "timestamp": "$.timestamp",
        "playerId": "$.playerId",
        "items": [
                {
                        "id": "lootVCHat",
                        "count": "$.rideSummary.scenes[5].events[?(@.id === 'Pickup.pickupLoot.lootVillainConHat')].stats[?(@.id === 'hits')].value@other()",
                        "customData": [
                                {
                                        "key": "state",
                                        "value": 2
                                },
                                {
                                        "key": "category",
                                        "value": "inside"
                                },
                                {
                                        "key": "session",
                                        "value": "$.rideSummary.sessionId"
                                },
                                {
                                        "key": "scene",
                                        "value": "$.rideSummary.scenes[5].number@other()"
                                }
                        ]
                }
        ]
}</t>
  </si>
  <si>
    <t>for every Pickup.pickupLoot.lootVillainConHat, grant lootVCHat item SCENE 7</t>
  </si>
  <si>
    <t>$.rideSummary.scenes[6].events[?(@.id === 'Pickup.pickupLoot.lootVillainConHat')].stats[?(@.id === 'hits')].value</t>
  </si>
  <si>
    <t>{
        "resort": "$.resort",
        "park": "$.park",
        "land": "$.land",
        "publisher": "$.publisher",
        "timestamp": "$.timestamp",
        "playerId": "$.playerId",
        "items": [
                {
                        "id": "lootVCHat",
                        "count": "$.rideSummary.scenes[6].events[?(@.id === 'Pickup.pickupLoot.lootVillainConHat')].stats[?(@.id === 'hits')].value@other()",
                        "customData": [
                                {
                                        "key": "state",
                                        "value": 2
                                },
                                {
                                        "key": "category",
                                        "value": "inside"
                                },
                                {
                                        "key": "session",
                                        "value": "$.rideSummary.sessionId"
                                },
                                {
                                        "key": "scene",
                                        "value": "$.rideSummary.scenes[6].number@other()"
                                }
                        ]
                }
        ]
}</t>
  </si>
  <si>
    <t>for every Pickup.pickupLoot.lootVillainConShirt, grant lootVCShirt item SCENE 1</t>
  </si>
  <si>
    <t>$.rideSummary.scenes[0].events[?(@.id === 'Pickup.pickupLoot.lootVillainConShirt')].stats[?(@.id === 'hits')].value</t>
  </si>
  <si>
    <t>{
        "resort": "$.resort",
        "park": "$.park",
        "land": "$.land",
        "publisher": "$.publisher",
        "timestamp": "$.timestamp",
        "playerId": "$.playerId",
        "items": [
                {
                        "id": "lootVCShirt",
                        "count": "$.rideSummary.scenes[0].events[?(@.id === 'Pickup.pickupLoot.lootVillainConShirt')].stats[?(@.id === 'hits')].value@other()",
                        "customData": [
                                {
                                        "key": "state",
                                        "value": 2
                                },
                                {
                                        "key": "category",
                                        "value": "inside"
                                },
                                {
                                        "key": "session",
                                        "value": "$.rideSummary.sessionId"
                                },
                                {
                                        "key": "scene",
                                        "value": "$.rideSummary.scenes[1].number@other()"
                                }
                        ]
                }
        ]
}</t>
  </si>
  <si>
    <t>for every Pickup.pickupLoot.lootVillainConShirt, grant lootVCShirt item SCENE 2</t>
  </si>
  <si>
    <t>$.rideSummary.scenes[1].events[?(@.id === 'Pickup.pickupLoot.lootVillainConShirt')].stats[?(@.id === 'hits')].value</t>
  </si>
  <si>
    <t>{
        "resort": "$.resort",
        "park": "$.park",
        "land": "$.land",
        "publisher": "$.publisher",
        "timestamp": "$.timestamp",
        "playerId": "$.playerId",
        "items": [
                {
                        "id": "lootVCShirt",
                        "count": "$.rideSummary.scenes[1].events[?(@.id === 'Pickup.pickupLoot.lootVillainConShirt')].stats[?(@.id === 'hits')].value@other()",
                        "customData": [
                                {
                                        "key": "state",
                                        "value": 2
                                },
                                {
                                        "key": "category",
                                        "value": "inside"
                                },
                                {
                                        "key": "session",
                                        "value": "$.rideSummary.sessionId"
                                },
                                {
                                        "key": "scene",
                                        "value": "$.rideSummary.scenes[1].number@other()"
                                }
                        ]
                }
        ]
}</t>
  </si>
  <si>
    <t>for every Pickup.pickupLoot.lootVillainConShirt, grant lootVCShirt item SCENE 3</t>
  </si>
  <si>
    <t>$.rideSummary.scenes[2].events[?(@.id === 'Pickup.pickupLoot.lootVillainConShirt')].stats[?(@.id === 'hits')].value</t>
  </si>
  <si>
    <t>{
        "resort": "$.resort",
        "park": "$.park",
        "land": "$.land",
        "publisher": "$.publisher",
        "timestamp": "$.timestamp",
        "playerId": "$.playerId",
        "items": [
                {
                        "id": "lootVCShirt",
                        "count": "$.rideSummary.scenes[2].events[?(@.id === 'Pickup.pickupLoot.lootVillainConShirt')].stats[?(@.id === 'hits')].value@other()",
                        "customData": [
                                {
                                        "key": "state",
                                        "value": 2
                                },
                                {
                                        "key": "category",
                                        "value": "inside"
                                },
                                {
                                        "key": "session",
                                        "value": "$.rideSummary.sessionId"
                                },
                                {
                                        "key": "scene",
                                        "value": "$.rideSummary.scenes[2].number@other()"
                                }
                        ]
                }
        ]
}</t>
  </si>
  <si>
    <t>for every Pickup.pickupLoot.lootVillainConShirt, grant lootVCShirt item SCENE 4</t>
  </si>
  <si>
    <t>$.rideSummary.scenes[3].events[?(@.id === 'Pickup.pickupLoot.lootVillainConShirt')].stats[?(@.id === 'hits')].value</t>
  </si>
  <si>
    <t>{
        "resort": "$.resort",
        "park": "$.park",
        "land": "$.land",
        "publisher": "$.publisher",
        "timestamp": "$.timestamp",
        "playerId": "$.playerId",
        "items": [
                {
                        "id": "lootVCShirt",
                        "count": "$.rideSummary.scenes[3].events[?(@.id === 'Pickup.pickupLoot.lootVillainConShirt')].stats[?(@.id === 'hits')].value@other()",
                        "customData": [
                                {
                                        "key": "state",
                                        "value": 2
                                },
                                {
                                        "key": "category",
                                        "value": "inside"
                                },
                                {
                                        "key": "session",
                                        "value": "$.rideSummary.sessionId"
                                },
                                {
                                        "key": "scene",
                                        "value": "$.rideSummary.scenes[3].number@other()"
                                }
                        ]
                }
        ]
}</t>
  </si>
  <si>
    <t>for every Pickup.pickupLoot.lootVillainConShirt, grant lootVCShirt item SCENE 5</t>
  </si>
  <si>
    <t>$.rideSummary.scenes[4].events[?(@.id === 'Pickup.pickupLoot.lootVillainConShirt')].stats[?(@.id === 'hits')].value</t>
  </si>
  <si>
    <t>{
        "resort": "$.resort",
        "park": "$.park",
        "land": "$.land",
        "publisher": "$.publisher",
        "timestamp": "$.timestamp",
        "playerId": "$.playerId",
        "items": [
                {
                        "id": "lootVCShirt",
                        "count": "$.rideSummary.scenes[4].events[?(@.id === 'Pickup.pickupLoot.lootVillainConShirt')].stats[?(@.id === 'hits')].value@other()",
                        "customData": [
                                {
                                        "key": "state",
                                        "value": 2
                                },
                                {
                                        "key": "category",
                                        "value": "inside"
                                },
                                {
                                        "key": "session",
                                        "value": "$.rideSummary.sessionId"
                                },
                                {
                                        "key": "scene",
                                        "value": "$.rideSummary.scenes[4].number@other()"
                                }
                        ]
                }
        ]
}</t>
  </si>
  <si>
    <t>for every Pickup.pickupLoot.lootVillainConShirt, grant lootVCShirt item SCENE 6</t>
  </si>
  <si>
    <t>$.rideSummary.scenes[5].events[?(@.id === 'Pickup.pickupLoot.lootVillainConShirt')].stats[?(@.id === 'hits')].value</t>
  </si>
  <si>
    <t>{
        "resort": "$.resort",
        "park": "$.park",
        "land": "$.land",
        "publisher": "$.publisher",
        "timestamp": "$.timestamp",
        "playerId": "$.playerId",
        "items": [
                {
                        "id": "lootVCShirt",
                        "count": "$.rideSummary.scenes[5].events[?(@.id === 'Pickup.pickupLoot.lootVillainConShirt')].stats[?(@.id === 'hits')].value@other()",
                        "customData": [
                                {
                                        "key": "state",
                                        "value": 2
                                },
                                {
                                        "key": "category",
                                        "value": "inside"
                                },
                                {
                                        "key": "session",
                                        "value": "$.rideSummary.sessionId"
                                },
                                {
                                        "key": "scene",
                                        "value": "$.rideSummary.scenes[5].number@other()"
                                }
                        ]
                }
        ]
}</t>
  </si>
  <si>
    <t>for every Pickup.pickupLoot.lootVillainConShirt, grant lootVCShirt item SCENE 7</t>
  </si>
  <si>
    <t>$.rideSummary.scenes[6].events[?(@.id === 'Pickup.pickupLoot.lootVillainConShirt')].stats[?(@.id === 'hits')].value</t>
  </si>
  <si>
    <t>{
        "resort": "$.resort",
        "park": "$.park",
        "land": "$.land",
        "publisher": "$.publisher",
        "timestamp": "$.timestamp",
        "playerId": "$.playerId",
        "items": [
                {
                        "id": "lootVCShirt",
                        "count": "$.rideSummary.scenes[6].events[?(@.id === 'Pickup.pickupLoot.lootVillainConShirt')].stats[?(@.id === 'hits')].value@other()",
                        "customData": [
                                {
                                        "key": "state",
                                        "value": 2
                                },
                                {
                                        "key": "category",
                                        "value": "inside"
                                },
                                {
                                        "key": "session",
                                        "value": "$.rideSummary.sessionId"
                                },
                                {
                                        "key": "scene",
                                        "value": "$.rideSummary.scenes[6].number@other()"
                                }
                        ]
                }
        ]
}</t>
  </si>
  <si>
    <t>for every Pickup.pickupLoot.lootZodiacStones, grant lootZodiacStone item SCENE 1</t>
  </si>
  <si>
    <t>$.rideSummary.scenes[0].events[?(@.id === 'Pickup.pickupLoot.lootZodiacStones')].stats[?(@.id === 'hits')].value</t>
  </si>
  <si>
    <t>{
        "resort": "$.resort",
        "park": "$.park",
        "land": "$.land",
        "publisher": "$.publisher",
        "timestamp": "$.timestamp",
        "playerId": "$.playerId",
        "items": [
                {
                        "id": "lootZodiacStone",
                        "count": "$.rideSummary.scenes[0].events[?(@.id === 'Pickup.pickupLoot.lootZodiacStones')].stats[?(@.id === 'hits')].value@other()",
                        "customData": [
                                {
                                        "key": "state",
                                        "value": 2
                                },
                                {
                                        "key": "category",
                                        "value": "inside"
                                },
                                {
                                        "key": "session",
                                        "value": "$.rideSummary.sessionId"
                                },
                                {
                                        "key": "scene",
                                        "value": "$.rideSummary.scenes[1].number@other()"
                                }
                        ]
                }
        ]
}</t>
  </si>
  <si>
    <t>for every Pickup.pickupLoot.lootZodiacStones, grant lootZodiacStone item SCENE 2</t>
  </si>
  <si>
    <t>$.rideSummary.scenes[1].events[?(@.id === 'Pickup.pickupLoot.lootZodiacStones')].stats[?(@.id === 'hits')].value</t>
  </si>
  <si>
    <t>{
        "resort": "$.resort",
        "park": "$.park",
        "land": "$.land",
        "publisher": "$.publisher",
        "timestamp": "$.timestamp",
        "playerId": "$.playerId",
        "items": [
                {
                        "id": "lootZodiacStone",
                        "count": "$.rideSummary.scenes[1].events[?(@.id === 'Pickup.pickupLoot.lootZodiacStones')].stats[?(@.id === 'hits')].value@other()",
                        "customData": [
                                {
                                        "key": "state",
                                        "value": 2
                                },
                                {
                                        "key": "category",
                                        "value": "inside"
                                },
                                {
                                        "key": "session",
                                        "value": "$.rideSummary.sessionId"
                                },
                                {
                                        "key": "scene",
                                        "value": "$.rideSummary.scenes[1].number@other()"
                                }
                        ]
                }
        ]
}</t>
  </si>
  <si>
    <t>for every Pickup.pickupLoot.lootZodiacStones, grant lootZodiacStone item SCENE 3</t>
  </si>
  <si>
    <t>$.rideSummary.scenes[2].events[?(@.id === 'Pickup.pickupLoot.lootZodiacStones')].stats[?(@.id === 'hits')].value</t>
  </si>
  <si>
    <t>{
        "resort": "$.resort",
        "park": "$.park",
        "land": "$.land",
        "publisher": "$.publisher",
        "timestamp": "$.timestamp",
        "playerId": "$.playerId",
        "items": [
                {
                        "id": "lootZodiacStone",
                        "count": "$.rideSummary.scenes[2].events[?(@.id === 'Pickup.pickupLoot.lootZodiacStones')].stats[?(@.id === 'hits')].value@other()",
                        "customData": [
                                {
                                        "key": "state",
                                        "value": 2
                                },
                                {
                                        "key": "category",
                                        "value": "inside"
                                },
                                {
                                        "key": "session",
                                        "value": "$.rideSummary.sessionId"
                                },
                                {
                                        "key": "scene",
                                        "value": "$.rideSummary.scenes[2].number@other()"
                                }
                        ]
                }
        ]
}</t>
  </si>
  <si>
    <t>for every Pickup.pickupLoot.lootZodiacStones, grant lootZodiacStone item SCENE 4</t>
  </si>
  <si>
    <t>$.rideSummary.scenes[3].events[?(@.id === 'Pickup.pickupLoot.lootZodiacStones')].stats[?(@.id === 'hits')].value</t>
  </si>
  <si>
    <t>{
        "resort": "$.resort",
        "park": "$.park",
        "land": "$.land",
        "publisher": "$.publisher",
        "timestamp": "$.timestamp",
        "playerId": "$.playerId",
        "items": [
                {
                        "id": "lootZodiacStone",
                        "count": "$.rideSummary.scenes[3].events[?(@.id === 'Pickup.pickupLoot.lootZodiacStones')].stats[?(@.id === 'hits')].value@other()",
                        "customData": [
                                {
                                        "key": "state",
                                        "value": 2
                                },
                                {
                                        "key": "category",
                                        "value": "inside"
                                },
                                {
                                        "key": "session",
                                        "value": "$.rideSummary.sessionId"
                                },
                                {
                                        "key": "scene",
                                        "value": "$.rideSummary.scenes[3].number@other()"
                                }
                        ]
                }
        ]
}</t>
  </si>
  <si>
    <t>for every Pickup.pickupLoot.lootZodiacStones, grant lootZodiacStone item SCENE 5</t>
  </si>
  <si>
    <t>$.rideSummary.scenes[4].events[?(@.id === 'Pickup.pickupLoot.lootZodiacStones')].stats[?(@.id === 'hits')].value</t>
  </si>
  <si>
    <t>{
        "resort": "$.resort",
        "park": "$.park",
        "land": "$.land",
        "publisher": "$.publisher",
        "timestamp": "$.timestamp",
        "playerId": "$.playerId",
        "items": [
                {
                        "id": "lootZodiacStone",
                        "count": "$.rideSummary.scenes[4].events[?(@.id === 'Pickup.pickupLoot.lootZodiacStones')].stats[?(@.id === 'hits')].value@other()",
                        "customData": [
                                {
                                        "key": "state",
                                        "value": 2
                                },
                                {
                                        "key": "category",
                                        "value": "inside"
                                },
                                {
                                        "key": "session",
                                        "value": "$.rideSummary.sessionId"
                                },
                                {
                                        "key": "scene",
                                        "value": "$.rideSummary.scenes[4].number@other()"
                                }
                        ]
                }
        ]
}</t>
  </si>
  <si>
    <t>for every Pickup.pickupLoot.lootZodiacStones, grant lootZodiacStone item SCENE 6</t>
  </si>
  <si>
    <t>$.rideSummary.scenes[5].events[?(@.id === 'Pickup.pickupLoot.lootZodiacStones')].stats[?(@.id === 'hits')].value</t>
  </si>
  <si>
    <t>{
        "resort": "$.resort",
        "park": "$.park",
        "land": "$.land",
        "publisher": "$.publisher",
        "timestamp": "$.timestamp",
        "playerId": "$.playerId",
        "items": [
                {
                        "id": "lootZodiacStone",
                        "count": "$.rideSummary.scenes[5].events[?(@.id === 'Pickup.pickupLoot.lootZodiacStones')].stats[?(@.id === 'hits')].value@other()",
                        "customData": [
                                {
                                        "key": "state",
                                        "value": 2
                                },
                                {
                                        "key": "category",
                                        "value": "inside"
                                },
                                {
                                        "key": "session",
                                        "value": "$.rideSummary.sessionId"
                                },
                                {
                                        "key": "scene",
                                        "value": "$.rideSummary.scenes[5].number@other()"
                                }
                        ]
                }
        ]
}</t>
  </si>
  <si>
    <t>for every Pickup.pickupLoot.lootZodiacStones, grant lootZodiacStone item SCENE 7</t>
  </si>
  <si>
    <t>$.rideSummary.scenes[6].events[?(@.id === 'Pickup.pickupLoot.lootZodiacStones')].stats[?(@.id === 'hits')].value</t>
  </si>
  <si>
    <t>{
        "resort": "$.resort",
        "park": "$.park",
        "land": "$.land",
        "publisher": "$.publisher",
        "timestamp": "$.timestamp",
        "playerId": "$.playerId",
        "items": [
                {
                        "id": "lootZodiacStone",
                        "count": "$.rideSummary.scenes[6].events[?(@.id === 'Pickup.pickupLoot.lootZodiacStones')].stats[?(@.id === 'hits')].value@other()",
                        "customData": [
                                {
                                        "key": "state",
                                        "value": 2
                                },
                                {
                                        "key": "category",
                                        "value": "inside"
                                },
                                {
                                        "key": "session",
                                        "value": "$.rideSummary.sessionId"
                                },
                                {
                                        "key": "scene",
                                        "value": "$.rideSummary.scenes[6].number@other()"
                                }
                        ]
                }
        ]
}</t>
  </si>
  <si>
    <t>P331 Title Data: Lands</t>
  </si>
  <si>
    <t>TBD if needed, some lands may have multiple parks?</t>
  </si>
  <si>
    <t>Default</t>
  </si>
  <si>
    <t>Park</t>
  </si>
  <si>
    <t>Texts - 0 - Locale</t>
  </si>
  <si>
    <t>Texts - 0 - Name</t>
  </si>
  <si>
    <t>Texts - 1 - Locale</t>
  </si>
  <si>
    <t>Texts - 1 - Name</t>
  </si>
  <si>
    <t>Texts - 2 - Locale</t>
  </si>
  <si>
    <t>Texts - 2 - Name</t>
  </si>
  <si>
    <t>isDefault</t>
  </si>
  <si>
    <t>ML</t>
  </si>
  <si>
    <t>Minion Land</t>
  </si>
  <si>
    <t>es-MX</t>
  </si>
  <si>
    <t>TitleData: Leaderboards</t>
  </si>
  <si>
    <t>list of active leaderboards and localized names</t>
  </si>
  <si>
    <t>PULLED from Statistics sheet</t>
  </si>
  <si>
    <t>Statistic</t>
  </si>
  <si>
    <t>Is Primary?</t>
  </si>
  <si>
    <t>Is Displayed?</t>
  </si>
  <si>
    <t>Texts - 0 - Aggregation Method</t>
  </si>
  <si>
    <t>Texts - 0 - Category</t>
  </si>
  <si>
    <t>Texts - 0 - Time Range</t>
  </si>
  <si>
    <t>category</t>
  </si>
  <si>
    <t>isPrimary</t>
  </si>
  <si>
    <t>isDisplayed</t>
  </si>
  <si>
    <t>timeRange</t>
  </si>
  <si>
    <t>aggregationMethod</t>
  </si>
  <si>
    <t>texts.0.aggregationMethod</t>
  </si>
  <si>
    <t>texts.0.category</t>
  </si>
  <si>
    <t>texts.0.timeRange</t>
  </si>
  <si>
    <t>TitleData: Levels (total_points)</t>
  </si>
  <si>
    <t>used as player level</t>
  </si>
  <si>
    <t>AUTO-COPIED to 'TitleData: rewards'</t>
  </si>
  <si>
    <t>Is Deprecated</t>
  </si>
  <si>
    <t xml:space="preserve">Texts - 0 - Locale </t>
  </si>
  <si>
    <t xml:space="preserve">Texts - 0 - Name </t>
  </si>
  <si>
    <t xml:space="preserve">Texts - 1 - Locale </t>
  </si>
  <si>
    <t xml:space="preserve">Texts - 1 - Name </t>
  </si>
  <si>
    <t>Min Statistic Amount</t>
  </si>
  <si>
    <t>REWARD FOR GETTING THIS LEVEL - 0</t>
  </si>
  <si>
    <t>REWARD FOR GETTING THIS LEVEL - 1</t>
  </si>
  <si>
    <t>REWARD FOR GETTING THIS LEVEL - 2</t>
  </si>
  <si>
    <t>Granted As / Reward Type</t>
  </si>
  <si>
    <t>Reward - playerData - 0 - key</t>
  </si>
  <si>
    <t>Reward - playerData - 0 - value</t>
  </si>
  <si>
    <t>Reward - playerData - 0 - updateType</t>
  </si>
  <si>
    <t>Reward - playerData - 1 - key</t>
  </si>
  <si>
    <t>Reward - playerData - 1 - value</t>
  </si>
  <si>
    <t>Reward - playerData - 1 - updateType</t>
  </si>
  <si>
    <t>Required Type</t>
  </si>
  <si>
    <t>Required - statistics - 0 - id</t>
  </si>
  <si>
    <t>Required - statistics - 0 - minAmount</t>
  </si>
  <si>
    <t>min statistic value needed to achieve level</t>
  </si>
  <si>
    <t>how to update the player data value</t>
  </si>
  <si>
    <t>minAmount</t>
  </si>
  <si>
    <t>rewards.0</t>
  </si>
  <si>
    <t>rewards.1</t>
  </si>
  <si>
    <t>rewards.2</t>
  </si>
  <si>
    <t>level and valueNeededForNextLevel in ONE JSON</t>
  </si>
  <si>
    <t>rewardForStatisticValue</t>
  </si>
  <si>
    <t>levels</t>
  </si>
  <si>
    <t>setEntryById</t>
  </si>
  <si>
    <t>all</t>
  </si>
  <si>
    <t>Novice</t>
  </si>
  <si>
    <t>Novice in Portuguese</t>
  </si>
  <si>
    <t>levels.total_points.level</t>
  </si>
  <si>
    <t>levels.total_points.valueNeededForNextLevel</t>
  </si>
  <si>
    <t>Beginner</t>
  </si>
  <si>
    <t>Advanced Beginner</t>
  </si>
  <si>
    <t>perks allowed for player min level of 0</t>
  </si>
  <si>
    <t>min level required to get 1 perk</t>
  </si>
  <si>
    <t>Players Per Mobile Device</t>
  </si>
  <si>
    <t>Perks Per Player Level</t>
  </si>
  <si>
    <t>Blaster Sync TTL (time to live - in seconds)</t>
  </si>
  <si>
    <t>Limit</t>
  </si>
  <si>
    <t>Min Level</t>
  </si>
  <si>
    <t>playersPerMobileDevice</t>
  </si>
  <si>
    <t>perksPerPlayerLevel.0.limit</t>
  </si>
  <si>
    <t>perksPerPlayerLevel.0.minLevel</t>
  </si>
  <si>
    <t>perksPerPlayerLevel.1.limit</t>
  </si>
  <si>
    <t>perksPerPlayerLevel.1.minLevel</t>
  </si>
  <si>
    <t>perksPerPlayerLevel.2.limit</t>
  </si>
  <si>
    <t>perksPerPlayerLevel.2.minLevel</t>
  </si>
  <si>
    <t>perksPerPlayerLevel.3.limit</t>
  </si>
  <si>
    <t>perksPerPlayerLevel.3.minLevel</t>
  </si>
  <si>
    <t>artifactSyncTTL</t>
  </si>
  <si>
    <t>P331 Title Data: Parks</t>
  </si>
  <si>
    <t>TBD if needed, some parks may have multiple resorts?</t>
  </si>
  <si>
    <t>Resort</t>
  </si>
  <si>
    <t>Universal Studios Florida</t>
  </si>
  <si>
    <t>P331 Title Data: Resorts</t>
  </si>
  <si>
    <t>Default?</t>
  </si>
  <si>
    <t>Universal Orlando Resort</t>
  </si>
  <si>
    <t>TitleData: rewards.items</t>
  </si>
  <si>
    <t>TODO: clear active quest after mission completes</t>
  </si>
  <si>
    <r>
      <rPr>
        <strike/>
        <sz val="18"/>
        <color rgb="FFEA4335"/>
        <rFont val="Arial"/>
        <family val="2"/>
      </rPr>
      <t xml:space="preserve">TODO: add points for inside loot.  </t>
    </r>
    <r>
      <rPr>
        <sz val="18"/>
        <color rgb="FFEA4335"/>
        <rFont val="Arial"/>
        <family val="2"/>
      </rPr>
      <t>not needed, part of points in ridesummary</t>
    </r>
  </si>
  <si>
    <t>AUTO-PULLS from Catalog</t>
  </si>
  <si>
    <t>USED IN TitleData: levels</t>
  </si>
  <si>
    <t>IS MISSING REQUIREMENTS</t>
  </si>
  <si>
    <t>Reward Id</t>
  </si>
  <si>
    <t>Item Repeats?</t>
  </si>
  <si>
    <t>Points Also Awared</t>
  </si>
  <si>
    <t>Reward Type</t>
  </si>
  <si>
    <t>Class</t>
  </si>
  <si>
    <t>State</t>
  </si>
  <si>
    <t>Reward - Items - 0 - Id</t>
  </si>
  <si>
    <t>Reward - Items - 0 - Amount</t>
  </si>
  <si>
    <t>Reward - Items - 0 - Custom Data - 0 - Key</t>
  </si>
  <si>
    <t>Reward - Items - 0 - Custom Data - 0 - Value</t>
  </si>
  <si>
    <t>Reward - Items - 0 - Custom Data - 0 - Update Type</t>
  </si>
  <si>
    <t>Reward - Items - 0 - Custom Data - 1 - Key</t>
  </si>
  <si>
    <t>Reward - Items - 0 - Custom Data - 1 - Value</t>
  </si>
  <si>
    <t>Reward - Items - 0 - Custom Data - 1 - Update Type</t>
  </si>
  <si>
    <t>Reward - Items - 0 - Repeat</t>
  </si>
  <si>
    <t>Reward - Items - 1 - Id</t>
  </si>
  <si>
    <t>Reward - Items - 1 - Amount</t>
  </si>
  <si>
    <t>Reward - Items - 1 - Custom Data - 0 - Key</t>
  </si>
  <si>
    <t>Reward - Items - 1 - Custom Data - 0 - Value</t>
  </si>
  <si>
    <t>Reward - Items - 1 - Custom Data - 0 - Update Type</t>
  </si>
  <si>
    <t>Reward - Items - 1 - Custom Data - 1 - Key</t>
  </si>
  <si>
    <t>Reward - Items - 1 - Custom Data - 1 - Value</t>
  </si>
  <si>
    <t>Reward - Items - 1 - Custom Data - 1 - Update Type</t>
  </si>
  <si>
    <t>Reward - Items - 1 - Repeat</t>
  </si>
  <si>
    <t>Reward - statistics - 0 - id</t>
  </si>
  <si>
    <t>Reward - statistics - 0 - amount</t>
  </si>
  <si>
    <t>Reward - statistics - 0 - repeat</t>
  </si>
  <si>
    <t>Reward - statistics - 0 - repeatCriteria - type</t>
  </si>
  <si>
    <t>Reward - statistics - 0 - repeatCriteria - itemIds - 0</t>
  </si>
  <si>
    <t>Reward - statistics - 0 - repeatCriteria - itemIds - 1</t>
  </si>
  <si>
    <t>Reward - statistics - 1 - id</t>
  </si>
  <si>
    <t>Reward - statistics - 1 - amount</t>
  </si>
  <si>
    <t>Reward - statistics - 1 - repeat</t>
  </si>
  <si>
    <t>Reward - statistics - 1 - repeatCriteria - type</t>
  </si>
  <si>
    <t>Reward - statistics - 1 - repeatCriteria - itemIds - 0</t>
  </si>
  <si>
    <t>Reward - statistics - 1 - repeatCriteria - itemIds - 1</t>
  </si>
  <si>
    <t>Reward - currencies - 0 - id</t>
  </si>
  <si>
    <t>Reward - currencies - 0 - amount</t>
  </si>
  <si>
    <t>Reward - currencies - 0 - repeat</t>
  </si>
  <si>
    <t>Reward - currencies - 0 - repeatCriteria - type</t>
  </si>
  <si>
    <t>Reward - currencies - 0 - repeatCriteria - itemIds - 0</t>
  </si>
  <si>
    <t>Reward - currencies - 0 - repeatCriteria - itemIds - 1</t>
  </si>
  <si>
    <t>Reward - currencies - 1 - id</t>
  </si>
  <si>
    <t>Reward - currencies - 1 - amount</t>
  </si>
  <si>
    <t>Reward - currencies - 1 - repeat</t>
  </si>
  <si>
    <t>Reward - currencies - 1 - repeatCriteria - type</t>
  </si>
  <si>
    <t>Reward - currencies - 1 - repeatCriteria - itemIds - 0</t>
  </si>
  <si>
    <t>Reward - currencies - 1 - repeatCriteria - itemIds - 1</t>
  </si>
  <si>
    <t>Required - type</t>
  </si>
  <si>
    <t>Required - items - 0 - id</t>
  </si>
  <si>
    <t>Required - items - 0 - minAmount</t>
  </si>
  <si>
    <t>Required - items - 0 - customData - 0 - key</t>
  </si>
  <si>
    <t>Required - items - 0 - customData - 0 - value</t>
  </si>
  <si>
    <t>Required - items - 0 - customData - 0 - comparisonType</t>
  </si>
  <si>
    <t>Required - items - 0 - customData - 1 - key</t>
  </si>
  <si>
    <t>Required - items - 0 - customData - 1 - value</t>
  </si>
  <si>
    <t>Required - items - 0 - customData - 1 - comparisonType</t>
  </si>
  <si>
    <t>Required - items - 0 - dateTime - key</t>
  </si>
  <si>
    <t>Required - items - 0 - dateTime - value</t>
  </si>
  <si>
    <t>Required - items - 0 - dateTime - comparisonType</t>
  </si>
  <si>
    <t>Required - items - 0 - dateTime - updateType</t>
  </si>
  <si>
    <t>Required - items - 0 - withinSame</t>
  </si>
  <si>
    <t>Required - items - 1 - id</t>
  </si>
  <si>
    <t>Required - items - 1 - minAmount</t>
  </si>
  <si>
    <t>Required - items - 1 - customData - 0 - key</t>
  </si>
  <si>
    <t>Required - items - 1 - customData - 0 - value</t>
  </si>
  <si>
    <t>Required - items - 1 - customData - 0 - comparisonType</t>
  </si>
  <si>
    <t>Required - items - 1 - customData - 1 - key</t>
  </si>
  <si>
    <t>Required - items - 1 - customData - 1 - value</t>
  </si>
  <si>
    <t>Required - items - 1 - customData - 1 - comparisonType</t>
  </si>
  <si>
    <t>Required - items - 1 - dateTime - key</t>
  </si>
  <si>
    <t>Required - items - 1 - dateTime - value</t>
  </si>
  <si>
    <t>Required - items - 1 - dateTime - comparisonType</t>
  </si>
  <si>
    <t>Required - items - 1 - dateTime - updateType</t>
  </si>
  <si>
    <t>Required - items - 1 - withinSame</t>
  </si>
  <si>
    <t>Required - items - 2 - id</t>
  </si>
  <si>
    <t>Required - items - 2 - minAmount</t>
  </si>
  <si>
    <t>Required - items - 2 - customData - 0 - key</t>
  </si>
  <si>
    <t>Required - items - 2 - customData - 0 - value</t>
  </si>
  <si>
    <t>Required - items - 2 - customData - 0 - comparisonType</t>
  </si>
  <si>
    <t>Required - items - 2 - customData - 1 - key</t>
  </si>
  <si>
    <t>Required - items - 2 - customData - 1 - value</t>
  </si>
  <si>
    <t>Required - items - 2 - customData - 1 - comparisonType</t>
  </si>
  <si>
    <t>Required - items - 2 - dateTime - key</t>
  </si>
  <si>
    <t>Required - items - 2 - dateTime - value</t>
  </si>
  <si>
    <t>Required - items - 2 - dateTime - comparisonType</t>
  </si>
  <si>
    <t>Required - items - 2 - dateTime - updateType</t>
  </si>
  <si>
    <t>Required - items - 2 - withinSame</t>
  </si>
  <si>
    <t>Required - items - 3 - id</t>
  </si>
  <si>
    <t>Required - items - 3 - minAmount</t>
  </si>
  <si>
    <t>Required - items - 3 - customData - 0 - key</t>
  </si>
  <si>
    <t>Required - items - 3 - customData - 0 - value</t>
  </si>
  <si>
    <t>Required - items - 3 - customData - 0 - comparisonType</t>
  </si>
  <si>
    <t>Required - items - 3 - customData - 1 - key</t>
  </si>
  <si>
    <t>Required - items - 3 - customData - 1 - value</t>
  </si>
  <si>
    <t>Required - items - 3 - customData - 1 - comparisonType</t>
  </si>
  <si>
    <t>Required - items - 3 - dateTime - key</t>
  </si>
  <si>
    <t>Required - items - 3 - dateTime - value</t>
  </si>
  <si>
    <t>Required - items - 3 - dateTime - comparisonType</t>
  </si>
  <si>
    <t>Required - items - 3 - dateTime - updateType</t>
  </si>
  <si>
    <t>Required - items - 3 - withinSame</t>
  </si>
  <si>
    <t>Required - items - 4 - id</t>
  </si>
  <si>
    <t>Required - items - 4 - minAmount</t>
  </si>
  <si>
    <t>Required - items - 4 - customData - 0 - key</t>
  </si>
  <si>
    <t>Required - items - 4 - customData - 0 - value</t>
  </si>
  <si>
    <t>Required - items - 4 - customData - 0 - comparisonType</t>
  </si>
  <si>
    <t>Required - items - 4 - customData - 1 - key</t>
  </si>
  <si>
    <t>Required - items - 4 - customData - 1 - value</t>
  </si>
  <si>
    <t>Required - items - 4 - customData - 1 - comparisonType</t>
  </si>
  <si>
    <t>Required - items - 4 - dateTime - key</t>
  </si>
  <si>
    <t>Required - items - 4 - dateTime - value</t>
  </si>
  <si>
    <t>Required - items - 4 - dateTime - comparisonType</t>
  </si>
  <si>
    <t>Required - items - 4 - dateTime - updateType</t>
  </si>
  <si>
    <t>Required - items - 4 - withinSame</t>
  </si>
  <si>
    <t>Required - itemClasses - 0 - id</t>
  </si>
  <si>
    <t>Required - itemClasses - 0 - minAmount</t>
  </si>
  <si>
    <t>Required - itemClasses - 0 - customData - 0 - key</t>
  </si>
  <si>
    <t>Required - itemClasses - 0 - customData - 0 - value</t>
  </si>
  <si>
    <t>Required - itemClasses - 0 - customData - 0 - comparisonType</t>
  </si>
  <si>
    <t>Required - itemClasses - 0 - customData - 1 - key</t>
  </si>
  <si>
    <t>Required - itemClasses - 0 - customData - 1 - value</t>
  </si>
  <si>
    <t>Required - itemClasses - 0 - customData - 1 - comparisonType</t>
  </si>
  <si>
    <t>Required - itemClasses - 0 - countMethod</t>
  </si>
  <si>
    <t>Required - itemClasses - 0 - dateTime - key</t>
  </si>
  <si>
    <t>Required - itemClasses - 0 - dateTime - value</t>
  </si>
  <si>
    <t>Required - itemClasses - 0 - dateTime - comparisonType</t>
  </si>
  <si>
    <t>Required - itemClasses - 0 - dateTime - updateType</t>
  </si>
  <si>
    <t>Required - itemClasses - 0 - withinSame</t>
  </si>
  <si>
    <t>Required - itemClasses - 1 - id</t>
  </si>
  <si>
    <t>Required - itemClasses - 1 - minAmount</t>
  </si>
  <si>
    <t>Required - itemClasses - 1 - customData - 0 - key</t>
  </si>
  <si>
    <t>Required - itemClasses - 1 - customData - 0 - value</t>
  </si>
  <si>
    <t>Required - itemClasses - 1 - customData - 0 - comparisonType</t>
  </si>
  <si>
    <t>Required - itemClasses - 1 - customData - 1 - key</t>
  </si>
  <si>
    <t>Required - itemClasses - 1 - customData - 1 - value</t>
  </si>
  <si>
    <t>Required - itemClasses - 1 - customData - 1 - comparisonType</t>
  </si>
  <si>
    <t>Required - itemClasses - 1 - countMethod</t>
  </si>
  <si>
    <t>Required - itemClasses - 1 - dateTime - key</t>
  </si>
  <si>
    <t>Required - itemClasses - 1 - dateTime - value</t>
  </si>
  <si>
    <t>Required - itemClasses - 1 - dateTime - comparisonType</t>
  </si>
  <si>
    <t>Required - itemClasses - 1 - dateTime - updateType</t>
  </si>
  <si>
    <t>Required - itemClasses - 1 - withinSame</t>
  </si>
  <si>
    <t>Required - itemList - 0 - ids - 0</t>
  </si>
  <si>
    <t>Required - itemList - 0 - ids - 1</t>
  </si>
  <si>
    <t>Required - itemList - 0 - ids - 2</t>
  </si>
  <si>
    <t>Required - itemList - 0 - minAmount</t>
  </si>
  <si>
    <t>Required - itemList - 0 - customData - 0 - key</t>
  </si>
  <si>
    <t>Required - itemList - 0 - customData - 0 - value</t>
  </si>
  <si>
    <t>Required - itemList - 0 - customData - 0 - comparisonType</t>
  </si>
  <si>
    <t>Required - itemList - 0 - customData - 1 - key</t>
  </si>
  <si>
    <t>Required - itemList - 0 - customData - 1 - value</t>
  </si>
  <si>
    <t>Required - itemList - 0 - customData - 1 - comparisonType</t>
  </si>
  <si>
    <t>Required - itemList - 0 - countMethod</t>
  </si>
  <si>
    <t>Required - itemList - 0 - dateTime - key</t>
  </si>
  <si>
    <t>Required - itemList - 0 - dateTime - value</t>
  </si>
  <si>
    <t>Required - itemList - 0 - dateTime - comparisonType</t>
  </si>
  <si>
    <t>Required - itemList - 0 - dateTime - updateType</t>
  </si>
  <si>
    <t>Required - itemList - 0 - withinSame</t>
  </si>
  <si>
    <r>
      <rPr>
        <sz val="11"/>
        <color theme="0"/>
        <rFont val="Arial"/>
        <family val="2"/>
      </rPr>
      <t xml:space="preserve">Required - itemList - 1 - ids </t>
    </r>
    <r>
      <rPr>
        <sz val="11"/>
        <color theme="0"/>
        <rFont val="Arial"/>
        <family val="2"/>
      </rPr>
      <t>- 0</t>
    </r>
  </si>
  <si>
    <t>Required - itemList - 1 - ids - 1</t>
  </si>
  <si>
    <t>Required - itemList - 1 - ids - 2</t>
  </si>
  <si>
    <t>Required - itemList - 1 - minAmount</t>
  </si>
  <si>
    <t>Required - itemList - 1 - customData - 0 - key</t>
  </si>
  <si>
    <t>Required - itemList - 1 - customData - 0 - value</t>
  </si>
  <si>
    <t>Required - itemList - 1 - customData - 0 - comparisonType</t>
  </si>
  <si>
    <t>Required - itemList - 1 - customData - 1 - key</t>
  </si>
  <si>
    <t>Required - itemList - 1 - customData - 1 - value</t>
  </si>
  <si>
    <t>Required - itemList - 1 - customData - 1 - comparisonType</t>
  </si>
  <si>
    <t>Required - itemList - 1 - countMethod</t>
  </si>
  <si>
    <t>Required - itemList - 1 - dateTime - key</t>
  </si>
  <si>
    <t>Required - itemList - 1 - dateTime - value</t>
  </si>
  <si>
    <t>Required - itemList - 1 - dateTime - comparisonType</t>
  </si>
  <si>
    <t>Required - itemList - 1 - dateTime - updateType</t>
  </si>
  <si>
    <t>Required - itemList - 1 - withinSame</t>
  </si>
  <si>
    <t>Required - currencies - 0 - id</t>
  </si>
  <si>
    <t>Required - currencies - 0 - minAmount</t>
  </si>
  <si>
    <t>Required - currencies - 1 - id</t>
  </si>
  <si>
    <t>Required - currencies - 1 - minAmount</t>
  </si>
  <si>
    <t>Required - statistics - 1 - id</t>
  </si>
  <si>
    <t>Required - statistics - 1 - minAmount</t>
  </si>
  <si>
    <t>Required - playerData - 0 - key</t>
  </si>
  <si>
    <t>Required - playerData - 0 - value</t>
  </si>
  <si>
    <t>Required - playerData - 0 - comparisonType</t>
  </si>
  <si>
    <t>VLookup Helper</t>
  </si>
  <si>
    <t>Required - playerData - 1 - key</t>
  </si>
  <si>
    <t>Required - playerData - 1 - value</t>
  </si>
  <si>
    <t>Required - playerData - 1 - comparisonType</t>
  </si>
  <si>
    <t>Column Description</t>
  </si>
  <si>
    <t>id of first item to reward</t>
  </si>
  <si>
    <t>how to update the custom data value</t>
  </si>
  <si>
    <t>time frame for which granting this item again is allowed</t>
  </si>
  <si>
    <t>id of second item to reward</t>
  </si>
  <si>
    <t>id of first statistic to reward</t>
  </si>
  <si>
    <t>whether we count all or any of the itemIds for the repeat</t>
  </si>
  <si>
    <t>item id that player must NOT have if repeat is never</t>
  </si>
  <si>
    <t>id of second statistic to reward</t>
  </si>
  <si>
    <t>item id that player must not have if repeat is never</t>
  </si>
  <si>
    <t>id of first currency to reward</t>
  </si>
  <si>
    <t>id of second currency to reward</t>
  </si>
  <si>
    <t>type of validation to do on all the data provided as "required"</t>
  </si>
  <si>
    <t>item id</t>
  </si>
  <si>
    <t>only needed if required type is ANY.  
1 is used if the required type is ALL.</t>
  </si>
  <si>
    <t>additional restriction on min amount value.  within same day would mean the min amount has to have been earned within the same day</t>
  </si>
  <si>
    <t>item class</t>
  </si>
  <si>
    <t>how items should be counted:
- 'items' counts unique items under the class
- 'instances' allows for multiple of the same item to count toward minAmount</t>
  </si>
  <si>
    <t>item.id</t>
  </si>
  <si>
    <t>reward.items.0.id</t>
  </si>
  <si>
    <t>reward.items.0.amount</t>
  </si>
  <si>
    <t>reward.items.0.customData.0.key</t>
  </si>
  <si>
    <t>reward.items.0.customData.0.value</t>
  </si>
  <si>
    <t>reward.items.0.customData.0.updateType</t>
  </si>
  <si>
    <t>reward.items.0.customData.1.key</t>
  </si>
  <si>
    <t>reward.items.0.customData.1.value</t>
  </si>
  <si>
    <t>reward.items.0.customData.1.updateType</t>
  </si>
  <si>
    <t>reward.items.0.repeat</t>
  </si>
  <si>
    <t>reward.items.1.id</t>
  </si>
  <si>
    <t>reward.items.1.amount</t>
  </si>
  <si>
    <t>reward.items.1.customData.0.key</t>
  </si>
  <si>
    <t>reward.items.1.customData.0.value</t>
  </si>
  <si>
    <t>reward.items.1.customData.0.updateType</t>
  </si>
  <si>
    <t>reward.items.1.customData.1.key</t>
  </si>
  <si>
    <t>reward.items.1.customData.1.value</t>
  </si>
  <si>
    <t>reward.items.1.customData.1.updateType</t>
  </si>
  <si>
    <t>reward.items.1.repeat</t>
  </si>
  <si>
    <t>reward.statistics.0.id</t>
  </si>
  <si>
    <t>reward.statistics.0.amount</t>
  </si>
  <si>
    <t>reward.statistics.0.repeat</t>
  </si>
  <si>
    <t>reward.statistics.0.repeatCriteria.type</t>
  </si>
  <si>
    <t>reward.statistics.0.repeatCriteria.itemIds.0</t>
  </si>
  <si>
    <t>reward.statistics.0.repeatCriteria.itemIds.1</t>
  </si>
  <si>
    <t>reward.statistics.1.id</t>
  </si>
  <si>
    <t>reward.statistics.1.amount</t>
  </si>
  <si>
    <t>reward.statistics.1.repeat</t>
  </si>
  <si>
    <t>reward.statistics.1.repeatCriteria.type</t>
  </si>
  <si>
    <t>reward.statistics.1.repeatCriteria.itemIds.0</t>
  </si>
  <si>
    <t>reward.statistics.1.repeatCriteria.itemIds.1</t>
  </si>
  <si>
    <t>reward.currencies.0.id</t>
  </si>
  <si>
    <t>reward.currencies.0.amount</t>
  </si>
  <si>
    <t>reward.currencies.0.repeat</t>
  </si>
  <si>
    <t>reward.currencies.0.repeatCriteria.type</t>
  </si>
  <si>
    <t>reward.currencies.0.repeatCriteria.itemIds.0</t>
  </si>
  <si>
    <t>reward.currencies.0.repeatCriteria.itemIds.1</t>
  </si>
  <si>
    <t>reward.currencies.1.id</t>
  </si>
  <si>
    <t>reward.currencies.1.amount</t>
  </si>
  <si>
    <t>reward.currencies.1.repeat</t>
  </si>
  <si>
    <t>reward.currencies.1.repeatCriteria.type</t>
  </si>
  <si>
    <t>reward.currencies.1.repeatCriteria.itemIds.0</t>
  </si>
  <si>
    <t>reward.currencies.1.repeatCriteria.itemIds.1</t>
  </si>
  <si>
    <t>reward.playerData.0.key</t>
  </si>
  <si>
    <t>reward.playerData.0.value</t>
  </si>
  <si>
    <t>reward.playerData.0.updateType</t>
  </si>
  <si>
    <t>reward.playerData.1.key</t>
  </si>
  <si>
    <t>reward.playerData.1.value</t>
  </si>
  <si>
    <t>reward.playerData.1.updateType</t>
  </si>
  <si>
    <t>required.type</t>
  </si>
  <si>
    <t>required.items.0.id</t>
  </si>
  <si>
    <t>required.items.0.minAmount</t>
  </si>
  <si>
    <t>required.items.0.customData.0.key</t>
  </si>
  <si>
    <t>required.items.0.customData.0.value</t>
  </si>
  <si>
    <t>required.items.0.customData.0.comparisonType</t>
  </si>
  <si>
    <t>required.items.0.customData.1.key</t>
  </si>
  <si>
    <t>required.items.0.customData.1.value</t>
  </si>
  <si>
    <t>required.items.0.customData.1.comparisonType</t>
  </si>
  <si>
    <t>required.items.0.dateTime.key</t>
  </si>
  <si>
    <t>required.items.0.dateTime.value</t>
  </si>
  <si>
    <t>required.items.0.dateTime.comparisonType</t>
  </si>
  <si>
    <t>required.items.0.dateTime.updateType</t>
  </si>
  <si>
    <t>required.items.0.withinSame</t>
  </si>
  <si>
    <t>required.items.1.id</t>
  </si>
  <si>
    <t>required.items.1.minAmount</t>
  </si>
  <si>
    <t>required.items.1.customData.0.key</t>
  </si>
  <si>
    <t>required.items.1.customData.0.value</t>
  </si>
  <si>
    <t>required.items.1.customData.0.comparisonType</t>
  </si>
  <si>
    <t>required.items.1.customData.1.key</t>
  </si>
  <si>
    <t>required.items.1.customData.1.value</t>
  </si>
  <si>
    <t>required.items.1.customData.1.comparisonType</t>
  </si>
  <si>
    <t>required.items.1.dateTime.key</t>
  </si>
  <si>
    <t>required.items.1.dateTime.value</t>
  </si>
  <si>
    <t>required.items.1.dateTime.comparisonType</t>
  </si>
  <si>
    <t>required.items.1.dateTime.updateType</t>
  </si>
  <si>
    <t>required.items.1.withinSame</t>
  </si>
  <si>
    <t>required.items.2.id</t>
  </si>
  <si>
    <t>required.items.2.minAmount</t>
  </si>
  <si>
    <t>required.items.2.customData.0.key</t>
  </si>
  <si>
    <t>required.items.2.customData.0.value</t>
  </si>
  <si>
    <t>required.items.2.customData.0.comparisonType</t>
  </si>
  <si>
    <t>required.items.2.customData.1.key</t>
  </si>
  <si>
    <t>required.items.2.customData.1.value</t>
  </si>
  <si>
    <t>required.items.2.customData.1.comparisonType</t>
  </si>
  <si>
    <t>required.items.2.dateTime.key</t>
  </si>
  <si>
    <t>required.items.2.dateTime.value</t>
  </si>
  <si>
    <t>required.items.2.dateTime.comparisonType</t>
  </si>
  <si>
    <t>required.items.2.dateTime.updateType</t>
  </si>
  <si>
    <t>required.items.2.withinSame</t>
  </si>
  <si>
    <t>required.items.3.id</t>
  </si>
  <si>
    <t>required.items.3.minAmount</t>
  </si>
  <si>
    <t>required.items.3.customData.0.key</t>
  </si>
  <si>
    <t>required.items.3.customData.0.value</t>
  </si>
  <si>
    <t>required.items.3.customData.0.comparisonType</t>
  </si>
  <si>
    <t>required.items.3.customData.1.key</t>
  </si>
  <si>
    <t>required.items.3.customData.1.value</t>
  </si>
  <si>
    <t>required.items.3.customData.1.comparisonType</t>
  </si>
  <si>
    <t>required.items.3.dateTime.key</t>
  </si>
  <si>
    <t>required.items.3.dateTime.value</t>
  </si>
  <si>
    <t>required.items.3.dateTime.comparisonType</t>
  </si>
  <si>
    <t>required.items.3.dateTime.updateType</t>
  </si>
  <si>
    <t>required.items.3.withinSame</t>
  </si>
  <si>
    <t>required.items.4.id</t>
  </si>
  <si>
    <t>required.items.4.minAmount</t>
  </si>
  <si>
    <t>required.items.4.customData.0.key</t>
  </si>
  <si>
    <t>required.items.4.customData.0.value</t>
  </si>
  <si>
    <t>required.items.4.customData.0.comparisonType</t>
  </si>
  <si>
    <t>required.items.4.customData.1.key</t>
  </si>
  <si>
    <t>required.items.4.customData.1.value</t>
  </si>
  <si>
    <t>required.items.4.customData.1.comparisonType</t>
  </si>
  <si>
    <t>required.items.4.dateTime.key</t>
  </si>
  <si>
    <t>required.items.4.dateTime.value</t>
  </si>
  <si>
    <t>required.items.4.dateTime.comparisonType</t>
  </si>
  <si>
    <t>required.items.4.dateTime.updateType</t>
  </si>
  <si>
    <t>required.items.4.withinSame</t>
  </si>
  <si>
    <t>required.itemClasses.0.id</t>
  </si>
  <si>
    <t>required.itemClasses.0.minAmount</t>
  </si>
  <si>
    <t>required.itemClasses.0.customData.0.key</t>
  </si>
  <si>
    <t>required.itemClasses.0.customData.0.value</t>
  </si>
  <si>
    <t>required.itemClasses.0.customData.0.comparisonType</t>
  </si>
  <si>
    <t>required.itemClasses.0.customData.1.key</t>
  </si>
  <si>
    <t>required.itemClasses.0.customData.1.value</t>
  </si>
  <si>
    <t>required.itemClasses.0.customData.1.comparisonType</t>
  </si>
  <si>
    <t>required.itemClasses.0.countMethod</t>
  </si>
  <si>
    <t>required.itemClasses.0.dateTime.key</t>
  </si>
  <si>
    <t>required.itemClasses.0.dateTime.value</t>
  </si>
  <si>
    <t>required.itemClasses.0.dateTime.comparisonType</t>
  </si>
  <si>
    <t>required.itemClasses.0.dateTime.updateType</t>
  </si>
  <si>
    <t>required.itemClasses.0.withinSame</t>
  </si>
  <si>
    <t>required.itemClasses.1.id</t>
  </si>
  <si>
    <t>required.itemClasses.1.minAmount</t>
  </si>
  <si>
    <t>required.itemClasses.1.customData.0.key</t>
  </si>
  <si>
    <t>required.itemClasses.1.customData.0.value</t>
  </si>
  <si>
    <t>required.itemClasses.1.customData.0.comparisonType</t>
  </si>
  <si>
    <t>required.itemClasses.1.customData.1.key</t>
  </si>
  <si>
    <t>required.itemClasses.1.customData.1.value</t>
  </si>
  <si>
    <t>required.itemClasses.1.customData.1.comparisonType</t>
  </si>
  <si>
    <t>required.itemClasses.1.countMethod</t>
  </si>
  <si>
    <t>required.itemClasses.1.dateTime.key</t>
  </si>
  <si>
    <t>required.itemClasses.1.dateTime.value</t>
  </si>
  <si>
    <t>required.itemClasses.1.dateTime.comparisonType</t>
  </si>
  <si>
    <t>required.itemClasses.1.dateTime.updateType</t>
  </si>
  <si>
    <t>required.itemClasses.1.withinSame</t>
  </si>
  <si>
    <t>required.itemList.0.ids.0</t>
  </si>
  <si>
    <t>required.itemList.0.ids.1</t>
  </si>
  <si>
    <t>required.itemList.0.ids.2</t>
  </si>
  <si>
    <t>required.itemList.0.minAmount</t>
  </si>
  <si>
    <t>required.itemList.0.customData.0.key</t>
  </si>
  <si>
    <t>required.itemList.0.customData.0.value</t>
  </si>
  <si>
    <t>required.itemList.0.customData.0.comparisonType</t>
  </si>
  <si>
    <t>required.itemList.0.customData.1.key</t>
  </si>
  <si>
    <t>required.itemList.0.customData.1.value</t>
  </si>
  <si>
    <t>required.itemList.0.customData.1.comparisonType</t>
  </si>
  <si>
    <t>required.itemList.0.countMethod</t>
  </si>
  <si>
    <t>required.itemList.0.dateTime.key</t>
  </si>
  <si>
    <t>required.itemList.0.dateTime.value</t>
  </si>
  <si>
    <t>required.itemList.0.dateTime.comparisonType</t>
  </si>
  <si>
    <t>required.itemList.0.dateTime.updateType</t>
  </si>
  <si>
    <t>required.itemList.0.withinSame</t>
  </si>
  <si>
    <r>
      <rPr>
        <sz val="11"/>
        <color rgb="FF000000"/>
        <rFont val="Arial"/>
        <family val="2"/>
      </rPr>
      <t>required.itemList.1.id</t>
    </r>
    <r>
      <rPr>
        <sz val="11"/>
        <color rgb="FF000000"/>
        <rFont val="Arial"/>
        <family val="2"/>
      </rPr>
      <t>s.0</t>
    </r>
  </si>
  <si>
    <t>required.itemList.1.ids.1</t>
  </si>
  <si>
    <t>required.itemList.1.ids.2</t>
  </si>
  <si>
    <t>required.itemList.1.minAmount</t>
  </si>
  <si>
    <t>required.itemList.1.customData.0.key</t>
  </si>
  <si>
    <t>required.itemList.1.customData.0.value</t>
  </si>
  <si>
    <t>required.itemList.1.customData.0.comparisonType</t>
  </si>
  <si>
    <t>required.itemList.1.customData.1.key</t>
  </si>
  <si>
    <t>required.itemList.1.customData.1.value</t>
  </si>
  <si>
    <t>required.itemList.1.customData.1.comparisonType</t>
  </si>
  <si>
    <t>required.itemList.1.countMethod</t>
  </si>
  <si>
    <t>required.itemList.1.dateTime.key</t>
  </si>
  <si>
    <t>required.itemList.1.dateTime.value</t>
  </si>
  <si>
    <t>required.itemList.1.dateTime.comparisonType</t>
  </si>
  <si>
    <t>required.itemList.1.dateTime.updateType</t>
  </si>
  <si>
    <t>required.itemList.1.withinSame</t>
  </si>
  <si>
    <t>required.currencies.0.id</t>
  </si>
  <si>
    <t>required.currencies.0.minAmount</t>
  </si>
  <si>
    <t>required.currencies.1.id</t>
  </si>
  <si>
    <t>required.currencies.1.minAmount</t>
  </si>
  <si>
    <t>required.statistics.0.id</t>
  </si>
  <si>
    <t>required.statistics.0.minAmount</t>
  </si>
  <si>
    <t>required.statistics.1.id</t>
  </si>
  <si>
    <t>required.statistics.1.minAmount</t>
  </si>
  <si>
    <t>required.playerData.0.key</t>
  </si>
  <si>
    <t>required.playerData.0.value</t>
  </si>
  <si>
    <t>required.playerData.0.comparisonType</t>
  </si>
  <si>
    <t>required.playerData.1.key</t>
  </si>
  <si>
    <t>required.playerData.1.value</t>
  </si>
  <si>
    <t>required.playerData.1.comparisonType</t>
  </si>
  <si>
    <t>january</t>
  </si>
  <si>
    <t>february</t>
  </si>
  <si>
    <t>march</t>
  </si>
  <si>
    <t>april</t>
  </si>
  <si>
    <t>may</t>
  </si>
  <si>
    <t>june</t>
  </si>
  <si>
    <t>july</t>
  </si>
  <si>
    <t>august</t>
  </si>
  <si>
    <t>september</t>
  </si>
  <si>
    <t>october</t>
  </si>
  <si>
    <t>november</t>
  </si>
  <si>
    <t>december</t>
  </si>
  <si>
    <t>&gt;=</t>
  </si>
  <si>
    <t>items.active.mission</t>
  </si>
  <si>
    <t>null</t>
  </si>
  <si>
    <t>unset</t>
  </si>
  <si>
    <t>=</t>
  </si>
  <si>
    <t>time</t>
  </si>
  <si>
    <t>11:00</t>
  </si>
  <si>
    <t>&lt;</t>
  </si>
  <si>
    <t>19:00</t>
  </si>
  <si>
    <t>&gt;</t>
  </si>
  <si>
    <t>TitleData: rewards.playerData.levels.total_points</t>
  </si>
  <si>
    <t>AUTO-PULLS from TitleData: levels</t>
  </si>
  <si>
    <t>AUTO-PULLS from Catalog / TitleData: levels</t>
  </si>
  <si>
    <t>AUTO-PULLS fron TitleData: levels</t>
  </si>
  <si>
    <r>
      <rPr>
        <sz val="11"/>
        <color theme="0"/>
        <rFont val="Arial"/>
        <family val="2"/>
      </rPr>
      <t xml:space="preserve">Required - itemList - 1 - ids </t>
    </r>
    <r>
      <rPr>
        <sz val="11"/>
        <color theme="0"/>
        <rFont val="Arial"/>
        <family val="2"/>
      </rPr>
      <t>- 0</t>
    </r>
  </si>
  <si>
    <r>
      <rPr>
        <sz val="11"/>
        <color rgb="FF000000"/>
        <rFont val="Arial"/>
        <family val="2"/>
      </rPr>
      <t>required.itemList.1.id</t>
    </r>
    <r>
      <rPr>
        <sz val="11"/>
        <color rgb="FF000000"/>
        <rFont val="Arial"/>
        <family val="2"/>
      </rPr>
      <t>s.0</t>
    </r>
  </si>
  <si>
    <t>internal, non-user-facing</t>
  </si>
  <si>
    <t>only needed if seasons overlap</t>
  </si>
  <si>
    <t>Dates</t>
  </si>
  <si>
    <t>Priority</t>
  </si>
  <si>
    <t>Start</t>
  </si>
  <si>
    <t>End</t>
  </si>
  <si>
    <t>Month</t>
  </si>
  <si>
    <t>Day</t>
  </si>
  <si>
    <t>season id -- lowercase or camelcase, no spaces</t>
  </si>
  <si>
    <t>languageCode-countryCode for this section</t>
  </si>
  <si>
    <t>season display name for the season in given locale -- can have spaces</t>
  </si>
  <si>
    <t>season display name for the locale -- can have spaces</t>
  </si>
  <si>
    <t>date type - "start" or "end"</t>
  </si>
  <si>
    <t>month number</t>
  </si>
  <si>
    <t>day number</t>
  </si>
  <si>
    <r>
      <rPr>
        <i/>
        <sz val="11"/>
        <color theme="1"/>
        <rFont val="Arial"/>
        <family val="2"/>
      </rPr>
      <t xml:space="preserve">in case overlapping date ranges, but </t>
    </r>
    <r>
      <rPr>
        <i/>
        <sz val="11"/>
        <color rgb="FFEA4335"/>
        <rFont val="Arial"/>
        <family val="2"/>
      </rPr>
      <t>how would this work when resetting seasonal leaderboards?</t>
    </r>
  </si>
  <si>
    <t>dates.0.type</t>
  </si>
  <si>
    <t>dates.0.month</t>
  </si>
  <si>
    <t>dates.0.day</t>
  </si>
  <si>
    <t>dates.1.type</t>
  </si>
  <si>
    <t>dates.1.month</t>
  </si>
  <si>
    <t>dates.1.day</t>
  </si>
  <si>
    <t>priority</t>
  </si>
  <si>
    <t>January</t>
  </si>
  <si>
    <t>start</t>
  </si>
  <si>
    <t>end</t>
  </si>
  <si>
    <t>February</t>
  </si>
  <si>
    <t>March</t>
  </si>
  <si>
    <t>April</t>
  </si>
  <si>
    <t>May</t>
  </si>
  <si>
    <t>June</t>
  </si>
  <si>
    <t>July</t>
  </si>
  <si>
    <t>August</t>
  </si>
  <si>
    <t>September</t>
  </si>
  <si>
    <t>October</t>
  </si>
  <si>
    <t>November</t>
  </si>
  <si>
    <t>December</t>
  </si>
  <si>
    <t>test value -- not needed?</t>
  </si>
  <si>
    <t>christmas</t>
  </si>
  <si>
    <t>Christmas</t>
  </si>
  <si>
    <t>CONFIGURED FROM: https://docs.google.com/spreadsheets/d/1DYCNsHvTPo5wEc5HWJSudzZO9MBpmucg3VRRgClnOro/edit#gid=0</t>
  </si>
  <si>
    <t>ANY CHANGES TO THIS SHOULD BE COPIED TO WIKI: https://wiki.inbcu.com/display/UCP331/Blaster+NFC+String+Definition</t>
  </si>
  <si>
    <t>Component</t>
  </si>
  <si>
    <t>Start Index</t>
  </si>
  <si>
    <t>Length</t>
  </si>
  <si>
    <t>Values - 0 - Id</t>
  </si>
  <si>
    <t>Values - 0 - Value</t>
  </si>
  <si>
    <t>Values - 1 - Id</t>
  </si>
  <si>
    <t>Values - 1 - Value</t>
  </si>
  <si>
    <t>Values - 2 - Id</t>
  </si>
  <si>
    <t>Values - 2 - Value</t>
  </si>
  <si>
    <t>Values - 3 - Id</t>
  </si>
  <si>
    <t>Values - 3 - Value</t>
  </si>
  <si>
    <t>Values - 4 - Id</t>
  </si>
  <si>
    <t>Values - 4 - Value</t>
  </si>
  <si>
    <t>Values - 5 - Id</t>
  </si>
  <si>
    <t>Values - 5 - Value</t>
  </si>
  <si>
    <t>Values - 6 - Id</t>
  </si>
  <si>
    <t>Values - 6 - Value</t>
  </si>
  <si>
    <t>Values - 7 - Id</t>
  </si>
  <si>
    <t>Values - 7 - Value</t>
  </si>
  <si>
    <t>Values - 8 - Id</t>
  </si>
  <si>
    <t>Values - 8 - Value</t>
  </si>
  <si>
    <t>Values - 9 - Id</t>
  </si>
  <si>
    <t>Values - 9 - Value</t>
  </si>
  <si>
    <t>Values - 10 - Id</t>
  </si>
  <si>
    <t>Values - 10 - Value</t>
  </si>
  <si>
    <t>Values - 11 - Id</t>
  </si>
  <si>
    <t>Values - 11 - Value</t>
  </si>
  <si>
    <t>Values - 12 - Id</t>
  </si>
  <si>
    <t>Values - 12 - Value</t>
  </si>
  <si>
    <t>Values - 13 - Id</t>
  </si>
  <si>
    <t>Values - 13 - Value</t>
  </si>
  <si>
    <t>Values - 14 - Id</t>
  </si>
  <si>
    <t>Values - 14 - Value</t>
  </si>
  <si>
    <t>Values - 15 - Id</t>
  </si>
  <si>
    <t>Values - 15 - Value</t>
  </si>
  <si>
    <t>Values - 16 - Id</t>
  </si>
  <si>
    <t>Values - 16 - Value</t>
  </si>
  <si>
    <t>Values - 17 - Id</t>
  </si>
  <si>
    <t>Values - 17 - Value</t>
  </si>
  <si>
    <t>component</t>
  </si>
  <si>
    <t>startIndex</t>
  </si>
  <si>
    <t>length</t>
  </si>
  <si>
    <t>values.0.id</t>
  </si>
  <si>
    <t>values.0.value</t>
  </si>
  <si>
    <t>values.1.id</t>
  </si>
  <si>
    <t>values.1.value</t>
  </si>
  <si>
    <t>values.2.id</t>
  </si>
  <si>
    <t>values.2.value</t>
  </si>
  <si>
    <t>values.3.id</t>
  </si>
  <si>
    <t>values.3.value</t>
  </si>
  <si>
    <t>values.4.id</t>
  </si>
  <si>
    <t>values.4.value</t>
  </si>
  <si>
    <t>values.5.id</t>
  </si>
  <si>
    <t>values.5.value</t>
  </si>
  <si>
    <t>values.6.id</t>
  </si>
  <si>
    <t>values.6.value</t>
  </si>
  <si>
    <t>values.7.id</t>
  </si>
  <si>
    <t>values.7.value</t>
  </si>
  <si>
    <t>values.8.id</t>
  </si>
  <si>
    <t>values.8.value</t>
  </si>
  <si>
    <t>values.9.id</t>
  </si>
  <si>
    <t>values.9.value</t>
  </si>
  <si>
    <t>values.10.id</t>
  </si>
  <si>
    <t>values.10.value</t>
  </si>
  <si>
    <t>values.11.id</t>
  </si>
  <si>
    <t>values.11.value</t>
  </si>
  <si>
    <t>values.12.id</t>
  </si>
  <si>
    <t>values.12.value</t>
  </si>
  <si>
    <t>values.13.id</t>
  </si>
  <si>
    <t>values.13.value</t>
  </si>
  <si>
    <t>values.14.id</t>
  </si>
  <si>
    <t>values.14.value</t>
  </si>
  <si>
    <t>values.15.id</t>
  </si>
  <si>
    <t>values.15.value</t>
  </si>
  <si>
    <t>values.16.id</t>
  </si>
  <si>
    <t>values.16.value</t>
  </si>
  <si>
    <t>values.17.id</t>
  </si>
  <si>
    <t>values.17.value</t>
  </si>
  <si>
    <t>NOT A REAL HEX:  possible values are 0-9 and A-Z</t>
  </si>
  <si>
    <t>system</t>
  </si>
  <si>
    <t>0X</t>
  </si>
  <si>
    <t>hexadecimal</t>
  </si>
  <si>
    <t>runDebugMode</t>
  </si>
  <si>
    <t>F0</t>
  </si>
  <si>
    <t>run</t>
  </si>
  <si>
    <t>mobile app sends playerId instead?</t>
  </si>
  <si>
    <t>artifactId</t>
  </si>
  <si>
    <t>launcherGeneralSkin</t>
  </si>
  <si>
    <t xml:space="preserve">skinNovember </t>
  </si>
  <si>
    <t xml:space="preserve">skinDecember </t>
  </si>
  <si>
    <t>launcherFartSkin</t>
  </si>
  <si>
    <t>launcherPinballSkin</t>
  </si>
  <si>
    <t>perk1</t>
  </si>
  <si>
    <t>perkAutoForce</t>
  </si>
  <si>
    <t>perkAutoFreeze</t>
  </si>
  <si>
    <t>perkAutoFire</t>
  </si>
  <si>
    <t>perkAutoLightning</t>
  </si>
  <si>
    <t>A</t>
  </si>
  <si>
    <t>B</t>
  </si>
  <si>
    <t>C</t>
  </si>
  <si>
    <t>D</t>
  </si>
  <si>
    <t>E</t>
  </si>
  <si>
    <t>F</t>
  </si>
  <si>
    <t>G</t>
  </si>
  <si>
    <t>perk2</t>
  </si>
  <si>
    <t>perk3</t>
  </si>
  <si>
    <t>perk4</t>
  </si>
  <si>
    <t>page.section.element.name</t>
  </si>
  <si>
    <t xml:space="preserve"> Id</t>
  </si>
  <si>
    <t>Localization</t>
  </si>
  <si>
    <t>texts.0.localization</t>
  </si>
  <si>
    <t>texts.2.localization</t>
  </si>
  <si>
    <t>actions.cancel</t>
  </si>
  <si>
    <t>Cancel</t>
  </si>
  <si>
    <t>actions.close</t>
  </si>
  <si>
    <t>Close</t>
  </si>
  <si>
    <t>actions.complete</t>
  </si>
  <si>
    <t>Complete</t>
  </si>
  <si>
    <t>actions.grant</t>
  </si>
  <si>
    <t>Grant</t>
  </si>
  <si>
    <t>actions.save</t>
  </si>
  <si>
    <t>Save</t>
  </si>
  <si>
    <t>actions.search</t>
  </si>
  <si>
    <t>Search</t>
  </si>
  <si>
    <t>actions.unlock</t>
  </si>
  <si>
    <t>Unlock</t>
  </si>
  <si>
    <t>navigation.history</t>
  </si>
  <si>
    <t>History</t>
  </si>
  <si>
    <t>navigation.exit</t>
  </si>
  <si>
    <t>Exit</t>
  </si>
  <si>
    <t>leaderboards</t>
  </si>
  <si>
    <t>leaderboards.team</t>
  </si>
  <si>
    <t>Team</t>
  </si>
  <si>
    <t>leaderboards.range.allTime</t>
  </si>
  <si>
    <t>All-Time</t>
  </si>
  <si>
    <t>leaderboards.range.day</t>
  </si>
  <si>
    <t>Daily</t>
  </si>
  <si>
    <t>leaderboards.range.hour</t>
  </si>
  <si>
    <t>Hourly</t>
  </si>
  <si>
    <t>leaderboards.range.season</t>
  </si>
  <si>
    <t>Seasonal</t>
  </si>
  <si>
    <t>catalog.collectibles</t>
  </si>
  <si>
    <t>catalog.quests</t>
  </si>
  <si>
    <t>catalog.available.true</t>
  </si>
  <si>
    <t>catalog.available.false</t>
  </si>
  <si>
    <t>Not Available</t>
  </si>
  <si>
    <t>player.find</t>
  </si>
  <si>
    <t>Find Player</t>
  </si>
  <si>
    <t>player</t>
  </si>
  <si>
    <t>Player</t>
  </si>
  <si>
    <t>player.manage</t>
  </si>
  <si>
    <t>Manage</t>
  </si>
  <si>
    <t>player.manage.title</t>
  </si>
  <si>
    <t>Manage Player</t>
  </si>
  <si>
    <t>?</t>
  </si>
  <si>
    <t>player.manage.owned.link</t>
  </si>
  <si>
    <t>Link Item</t>
  </si>
  <si>
    <t>player.manage.owned.unlink</t>
  </si>
  <si>
    <t>Unlink Item</t>
  </si>
  <si>
    <t>player.manage.owned.overrideName</t>
  </si>
  <si>
    <t>Override Name Flag</t>
  </si>
  <si>
    <t>player.manage.owned.reset</t>
  </si>
  <si>
    <t>Reset All Stats</t>
  </si>
  <si>
    <t>player.manage.borrowed.sync</t>
  </si>
  <si>
    <t>Sync Item</t>
  </si>
  <si>
    <t>player.manage.borrowed.unsync</t>
  </si>
  <si>
    <t>Unsync Item</t>
  </si>
  <si>
    <t>player.manage.borrowed.overrideName</t>
  </si>
  <si>
    <t>player.config</t>
  </si>
  <si>
    <t>Config</t>
  </si>
  <si>
    <t>player.config.title</t>
  </si>
  <si>
    <t>Blaster Configuration</t>
  </si>
  <si>
    <t>player.config.available</t>
  </si>
  <si>
    <t>player.config.locked</t>
  </si>
  <si>
    <t>Locked</t>
  </si>
  <si>
    <t>player.following</t>
  </si>
  <si>
    <t>Following</t>
  </si>
  <si>
    <t>player.following.title</t>
  </si>
  <si>
    <t>Follow Player</t>
  </si>
  <si>
    <t>player.collectibles</t>
  </si>
  <si>
    <t>player.collectibles.found</t>
  </si>
  <si>
    <t>Found</t>
  </si>
  <si>
    <t>player.collectibles.notFound</t>
  </si>
  <si>
    <t>Not Found</t>
  </si>
  <si>
    <t>player.achievements</t>
  </si>
  <si>
    <t>player.achievements.earned</t>
  </si>
  <si>
    <t>Earned</t>
  </si>
  <si>
    <t>player.achievements.notEarned</t>
  </si>
  <si>
    <t>Not Earned</t>
  </si>
  <si>
    <t>player.quests</t>
  </si>
  <si>
    <t>player.quests.current</t>
  </si>
  <si>
    <t>Current</t>
  </si>
  <si>
    <t>player.quests.unlocked</t>
  </si>
  <si>
    <t>Unlocked</t>
  </si>
  <si>
    <t>player.quests.locked</t>
  </si>
  <si>
    <t>texts.1.localization</t>
  </si>
  <si>
    <t>achievements.main.header.achievements</t>
  </si>
  <si>
    <t>ACHIEVEMENTS</t>
  </si>
  <si>
    <t>achievements.main.header.badges</t>
  </si>
  <si>
    <t>TROPHIES</t>
  </si>
  <si>
    <t>achievements.main.header.description</t>
  </si>
  <si>
    <t>Earn special Villain-Con trophies!</t>
  </si>
  <si>
    <t>achievements.main.msg.help</t>
  </si>
  <si>
    <t>COMPLETE EACH TASK
To earn a trophy.
ACCUMULATE TROPHIES
Unless specifically noted, you can complete these tasks over multiple Villain-Con visits!</t>
  </si>
  <si>
    <t>achievements.main.pop.earned</t>
  </si>
  <si>
    <t>${achievementName}
${achievementDescription}
Earned on: ${date}</t>
  </si>
  <si>
    <t>achievements.main.pop.need</t>
  </si>
  <si>
    <t>${achievementName}
${howToEarn}</t>
  </si>
  <si>
    <t>all.main.button.player</t>
  </si>
  <si>
    <t>${playerId}</t>
  </si>
  <si>
    <t>all.misc.button.cancel</t>
  </si>
  <si>
    <t>all.misc.button.close</t>
  </si>
  <si>
    <t>all.misc.pop.reward</t>
  </si>
  <si>
    <t>Reward:
${reward}</t>
  </si>
  <si>
    <t>all.player.button.switchPlayer</t>
  </si>
  <si>
    <t>all.player.pop.switchPlayer</t>
  </si>
  <si>
    <t>Welcome ${playerId}! 
Switch to another player:</t>
  </si>
  <si>
    <t>all.scan.button.cancel</t>
  </si>
  <si>
    <t>blaster.beacon.button.alreadyHaveBlaster</t>
  </si>
  <si>
    <t>I already have my blaster!</t>
  </si>
  <si>
    <t>blaster.beacon.header.blasterSync</t>
  </si>
  <si>
    <t>BLASTER SYNC</t>
  </si>
  <si>
    <t>blaster.beacon.msg.blasterSync</t>
  </si>
  <si>
    <t>When you enter Villain-Con and grab your blaster, you'll need to sync your customizations from your phone. Check back when you have your blaster in your hand!
Until then...
HAVE A BLAST!</t>
  </si>
  <si>
    <t>blaster.sync.button.newPlayer</t>
  </si>
  <si>
    <t>New Player (Quick Add)</t>
  </si>
  <si>
    <t>blaster.sync.button.player</t>
  </si>
  <si>
    <t>blaster.sync.header.syncBlaster</t>
  </si>
  <si>
    <t>SYNC BLASTER</t>
  </si>
  <si>
    <t>blaster.sync.step1.txt</t>
  </si>
  <si>
    <t>STEP 1: PICK UP YOUR BLASTER</t>
  </si>
  <si>
    <t>blaster.sync.step2.txt</t>
  </si>
  <si>
    <t>STEP 2: CLICK THE BUTTON TO CHOOSE A PLAYER TO SYNC</t>
  </si>
  <si>
    <t>blaster.sync.step3.txt</t>
  </si>
  <si>
    <t>STEP 3: SELECT OR ADD A PLAYER</t>
  </si>
  <si>
    <t>blaster.sync.step4.txt</t>
  </si>
  <si>
    <t>STEP 4: TAP YOUR PHONE TO THE SYMBOL ON YOUR BLASTER</t>
  </si>
  <si>
    <t>blaster.sync.step5.txt</t>
  </si>
  <si>
    <t>STEP 5: WHEN YOU GET THE CONFIRMATION, YOU ARE READY TO PLAY!</t>
  </si>
  <si>
    <t>blaster.sync.msg.howTo</t>
  </si>
  <si>
    <t>SYNC YOUR BLASTER
When you get inside Villain-Con and grab your blaster, you'll need to sync your customizations from your phone. Come back here when you have your blaster in your hand!
Here's how you do the sync:</t>
  </si>
  <si>
    <t>home.main.msg.firstVisit</t>
  </si>
  <si>
    <t>Impress the Vicious 6 by blasting your way through the various challenges they created!
- Create a unique profile for each member of your party! Click the circular icon at the top of your screen.
- Customize your blaster!
- When you enter the challenge, sync your blaster with this app to track your score!</t>
  </si>
  <si>
    <t>home.main.pop.firstVisit</t>
  </si>
  <si>
    <t>Click here to customize your player and to add more players to your device!</t>
  </si>
  <si>
    <t>blaster.sync.header.welcome</t>
  </si>
  <si>
    <t>SYNC YOUR BLASTER!</t>
  </si>
  <si>
    <t>blaster.sync.button.syncPlayer</t>
  </si>
  <si>
    <t>Sync Blaster</t>
  </si>
  <si>
    <t>blaster.sync.pop.readyToScan</t>
  </si>
  <si>
    <t>Ready to scan
Hold your device near the blaster.</t>
  </si>
  <si>
    <t>blaster.sync.pop.synced</t>
  </si>
  <si>
    <t>Wicked! Blaster synced to ${playerId}!</t>
  </si>
  <si>
    <t>blaster.sync.button.doneSyncing</t>
  </si>
  <si>
    <t>Done Syncing</t>
  </si>
  <si>
    <t>blaster.sync.header.timeout</t>
  </si>
  <si>
    <t>WAIT A MINUTE...</t>
  </si>
  <si>
    <t>blaster.sync.txt.timeout</t>
  </si>
  <si>
    <t>Do you have a blaster?</t>
  </si>
  <si>
    <t>blaster.sync.button.haveBlaster</t>
  </si>
  <si>
    <t>Yes, I have one!</t>
  </si>
  <si>
    <t>blaster.sync.button.no</t>
  </si>
  <si>
    <t>No</t>
  </si>
  <si>
    <t>blaster.wait.header.wait</t>
  </si>
  <si>
    <t>EVIL INCOMING!</t>
  </si>
  <si>
    <t>blaster.wait.txt.wait</t>
  </si>
  <si>
    <t>One of our henchmen will give you a blaster later.
While you wait, add players or customize your blaster for the Villain-Con challenge!</t>
  </si>
  <si>
    <t>blaster.wait.button.customize</t>
  </si>
  <si>
    <t>Customize Now!</t>
  </si>
  <si>
    <t>button.home.but_home_highscore_alltime</t>
  </si>
  <si>
    <t>(link to leaderboard)</t>
  </si>
  <si>
    <t>button.home.but_home_highscore_seasonal</t>
  </si>
  <si>
    <t>button.home.but_home_highscore_today</t>
  </si>
  <si>
    <t>footer.main.button.achievements</t>
  </si>
  <si>
    <t>footer.main.button.home</t>
  </si>
  <si>
    <t>HOME</t>
  </si>
  <si>
    <t>footer.main.button.options</t>
  </si>
  <si>
    <t>OPTIONS</t>
  </si>
  <si>
    <t>footer.main.button.rank</t>
  </si>
  <si>
    <t>RANK</t>
  </si>
  <si>
    <t>home.highScore.pop.myScore</t>
  </si>
  <si>
    <t>Last Play ${num}
Overall ${num} 
Today's Best ${num}
You'll earn a new score every time you attend Villain-Con.
Customize your blaster and see how high you can score every time you take the challenge!</t>
  </si>
  <si>
    <t>home.level.pop.playerLevel</t>
  </si>
  <si>
    <t>PLAYER LEVEL 
Current Level
${num}
Points to next level: ${num} / ${num}
Next level unlocks:
${reward}
Every time you play, you earn points towards your next level!</t>
  </si>
  <si>
    <t>home.loading.msg.loading</t>
  </si>
  <si>
    <t>Welcome to Villain-Con!
Universal Studios Florida</t>
  </si>
  <si>
    <t>home.main.button.blasterSync</t>
  </si>
  <si>
    <t>Inside Villain-Con?
Sync blaster now!</t>
  </si>
  <si>
    <t>home.main.button.highScore</t>
  </si>
  <si>
    <t>High Score ${highScore}</t>
  </si>
  <si>
    <t>home.main.button.lab</t>
  </si>
  <si>
    <t>LAB
Elemental: ${activeElemental}</t>
  </si>
  <si>
    <t>home.main.button.level</t>
  </si>
  <si>
    <t>Level ${level}</t>
  </si>
  <si>
    <t>home.main.button.loot</t>
  </si>
  <si>
    <t>LOOT
${numberOfLoot}/${totalLoot}</t>
  </si>
  <si>
    <t>home.main.button.mission</t>
  </si>
  <si>
    <t>MISSION
${currentMission}</t>
  </si>
  <si>
    <t>home.all.pop.maxPlayers</t>
  </si>
  <si>
    <t>CANNOT ADD NEW PLAYER
You have reached the maximum number of players on this device.</t>
  </si>
  <si>
    <t>home.main.button.notifications</t>
  </si>
  <si>
    <t>(bell icon)</t>
  </si>
  <si>
    <t>home.main.button.returnToUniversal</t>
  </si>
  <si>
    <t>(redirect to universal home menu)</t>
  </si>
  <si>
    <t>home.main.msg.attractionMode</t>
  </si>
  <si>
    <t>Hey! Keep your eyes on the targets!
${playerId}
${playerId}
I'm counting on you, and counting your score...
— Belle Bottom</t>
  </si>
  <si>
    <t>home.notifications.button.achievement</t>
  </si>
  <si>
    <t>${achievement}
${date} ${time}</t>
  </si>
  <si>
    <t>home.notifications.button.elementalGrade</t>
  </si>
  <si>
    <t>${elemental} Grade increased to ${num}!
${date} ${time}</t>
  </si>
  <si>
    <t>home.notifications.button.launcher</t>
  </si>
  <si>
    <t>${standardLauncher} unlocked!
${date} ${time}</t>
  </si>
  <si>
    <t>home.notifications.button.loot</t>
  </si>
  <si>
    <t>New Loot collected! ${loot}
${date} ${time}</t>
  </si>
  <si>
    <t>home.notifications.button.missionComplete</t>
  </si>
  <si>
    <t>${mission} complete!
${date} ${time}</t>
  </si>
  <si>
    <t>home.notifications.button.missionUnlocked</t>
  </si>
  <si>
    <t>New mission unlocked: ${mission}!
${date} ${time}</t>
  </si>
  <si>
    <t>home.notifications.button.newAllTimeBest</t>
  </si>
  <si>
    <t>New high score! ${score}
${date} ${time}</t>
  </si>
  <si>
    <t>home.notifications.button.newScore</t>
  </si>
  <si>
    <t>New score! ${score}
${date} ${time}</t>
  </si>
  <si>
    <t>home.notifications.button.newSeason</t>
  </si>
  <si>
    <t>Welcome to ${seasonalEvent}!
${date} ${time}</t>
  </si>
  <si>
    <t>home.notifications.button.perk</t>
  </si>
  <si>
    <t>Earned ${perk} Perk
${date} ${time}</t>
  </si>
  <si>
    <t>home.notifications.button.perkSlot</t>
  </si>
  <si>
    <t>New Perk Slot Available!
${date} ${time}</t>
  </si>
  <si>
    <t>home.notifications.button.playerLevelUp</t>
  </si>
  <si>
    <t>Leveled up! ${level}
${date} ${time}</t>
  </si>
  <si>
    <t>home.notifications.button.ultimate</t>
  </si>
  <si>
    <t>${ultimateLauncher} unlocked!
${date} ${time}</t>
  </si>
  <si>
    <t>home.player.button.addPlayer</t>
  </si>
  <si>
    <t>Add player</t>
  </si>
  <si>
    <t>home.player.button.loading</t>
  </si>
  <si>
    <t>Loading...</t>
  </si>
  <si>
    <t>lab.all.button.setDefault</t>
  </si>
  <si>
    <t>Select</t>
  </si>
  <si>
    <t>lab.elemental.button.deselectSkin</t>
  </si>
  <si>
    <t>DESELECT SKIN</t>
  </si>
  <si>
    <t>lab.elemental.button.selectSkin</t>
  </si>
  <si>
    <t>SELECT SKIN</t>
  </si>
  <si>
    <t>lab.elemental.header.elementals</t>
  </si>
  <si>
    <t>ELEMENTAL BLASTS</t>
  </si>
  <si>
    <t>lab.elemental.header.description</t>
  </si>
  <si>
    <t>Select your primary blast!</t>
  </si>
  <si>
    <t>lab.elemental.msg.help</t>
  </si>
  <si>
    <t>BLAST AWAY
Your primary blast has unlimited ammo!</t>
  </si>
  <si>
    <t>lab.elemental.pop.details</t>
  </si>
  <si>
    <t>${elementalBlast}
${elementalBlastDescription}</t>
  </si>
  <si>
    <t>lab.elemental.pop.skin</t>
  </si>
  <si>
    <t>${skinTitle}
${skinDescription}</t>
  </si>
  <si>
    <t>lab.elemental.pop.skinLockedSeasonal</t>
  </si>
  <si>
    <t>${skinTitle}
Visit during ${season} to unlock!</t>
  </si>
  <si>
    <t>lab.elemental.select.elemental</t>
  </si>
  <si>
    <t>lab.elemental.select.skin</t>
  </si>
  <si>
    <t>${skin}</t>
  </si>
  <si>
    <t>lab.elemental.select.upgrade</t>
  </si>
  <si>
    <t>${upgrade}</t>
  </si>
  <si>
    <t>lab.main.button.elemental</t>
  </si>
  <si>
    <t>ELEMENTAL BLAST
${elementalBlast}</t>
  </si>
  <si>
    <t>lab.main.button.launcher</t>
  </si>
  <si>
    <t>STANDARD LAUNCHER
${standardLauncher}</t>
  </si>
  <si>
    <t>lab.main.button.perks</t>
  </si>
  <si>
    <t>PERKS
${perk}, ${perk}</t>
  </si>
  <si>
    <t>lab.main.button.ultimate</t>
  </si>
  <si>
    <t>ULTIMATE BLAST
${ultimateLauncher}</t>
  </si>
  <si>
    <t>lab.main.header.lab</t>
  </si>
  <si>
    <t>THE LAB</t>
  </si>
  <si>
    <t>lab.main.header.description</t>
  </si>
  <si>
    <t>Customize your blaster!</t>
  </si>
  <si>
    <t>lab.main.msg.help</t>
  </si>
  <si>
    <t>Customize your blaster before entering the challenge! Select your:
- Elemental Blast
- Standard Launcher
- Ultimate Blaster
- Perks and Skins to make your blaster unique!</t>
  </si>
  <si>
    <t>lab.perks.button.activate</t>
  </si>
  <si>
    <t>Activate Perk</t>
  </si>
  <si>
    <t>lab.perks.button.deactivate</t>
  </si>
  <si>
    <t>Deactivate Perk</t>
  </si>
  <si>
    <t>lab.perks.header.activePerk</t>
  </si>
  <si>
    <t>MY PERKS</t>
  </si>
  <si>
    <t>lab.perks.header.perks</t>
  </si>
  <si>
    <t>PERKS</t>
  </si>
  <si>
    <t>lab.perks.header.description</t>
  </si>
  <si>
    <t>Mod your blaster to make it more powerful!</t>
  </si>
  <si>
    <t>lab.perks.msg.help</t>
  </si>
  <si>
    <t>IMPROVE
Your blaster with perks to blast through the challenge!
INCREASE PLAYER LEVEL
To unlock new perks and perk slots!</t>
  </si>
  <si>
    <t>lab.perks.msg.perkSlotAvailable</t>
  </si>
  <si>
    <t>Select a perk!</t>
  </si>
  <si>
    <t>lab.perks.msg.perkSlotLocked</t>
  </si>
  <si>
    <t>Unlock at Level ${level}</t>
  </si>
  <si>
    <t>lab.perks.pop.detail</t>
  </si>
  <si>
    <t>${perkTitle}
${perkDetailDescription}</t>
  </si>
  <si>
    <t>lab.perks.pop.locked</t>
  </si>
  <si>
    <t>lab.perks.select.perk</t>
  </si>
  <si>
    <t>${perkTitle}
${perkSummaryDescription}</t>
  </si>
  <si>
    <t>lab.standard.header.standard</t>
  </si>
  <si>
    <t>STANDARD LAUNCHER</t>
  </si>
  <si>
    <t>lab.standard.header.description</t>
  </si>
  <si>
    <t>Select one special projectile!</t>
  </si>
  <si>
    <t>lab.standard.msg.help</t>
  </si>
  <si>
    <t>USE SPARINGLY
You have a limited number of launchers until you pick up more!</t>
  </si>
  <si>
    <t>lab.standard.button.select</t>
  </si>
  <si>
    <t>Select Launcher</t>
  </si>
  <si>
    <t>lab.standard.pop.details</t>
  </si>
  <si>
    <t>${launcherTitle}
${launcherDetailDescription}</t>
  </si>
  <si>
    <t>lab.standard.pop.locked</t>
  </si>
  <si>
    <t>${launcherTitle}
${requirement}</t>
  </si>
  <si>
    <t>lab.standard.select.standard</t>
  </si>
  <si>
    <t>${launcherTitle}
${launcherSummaryDescription}</t>
  </si>
  <si>
    <t>lab.ultimate.header.ultimate</t>
  </si>
  <si>
    <t>ULTIMATE BLASTER</t>
  </si>
  <si>
    <t>lab.ultimate.header.description</t>
  </si>
  <si>
    <t>A mega-powerful one-time blast!</t>
  </si>
  <si>
    <t>lab.ultimate.msg.help</t>
  </si>
  <si>
    <t>USE WISELY
You have only one blast per charge!
RECHARGE
Your ultimate by gaining points, earning an achievement, or blasting ultimate power-ups.</t>
  </si>
  <si>
    <t>lab.ultimate.button.select</t>
  </si>
  <si>
    <t>Select Ultimate</t>
  </si>
  <si>
    <t>lab.ultimate.pop.details</t>
  </si>
  <si>
    <t>${ultimateTitle}
${ultimateDetailDescription}</t>
  </si>
  <si>
    <t>lab.ultimate.pop.locked</t>
  </si>
  <si>
    <t>${ultimateTitle}
${requirement}</t>
  </si>
  <si>
    <t>lab.ultimate.select.ultimate</t>
  </si>
  <si>
    <t>${ultimateTitle}
${ultimateSummaryDescription}</t>
  </si>
  <si>
    <t>loot.all.header.loot</t>
  </si>
  <si>
    <t>COLLECTIBLES</t>
  </si>
  <si>
    <t>loot.all.header.description</t>
  </si>
  <si>
    <t>Find collectibles in and around Villain-Con!</t>
  </si>
  <si>
    <t>loot.all.msg.help</t>
  </si>
  <si>
    <t>TAP OUTSIDE
Tap with your phone to collect loot outside the Vicious 6 Challenge and around the park!
BLAST INSIDE
Blast collectibles in the challenge to unlock launchers and more!</t>
  </si>
  <si>
    <t>loot.all.pop.alreadyFound</t>
  </si>
  <si>
    <t>Found on: ${date}</t>
  </si>
  <si>
    <t>loot.inside.header.loot</t>
  </si>
  <si>
    <t>LOOT
- INSIDE -</t>
  </si>
  <si>
    <t>loot.inside.pop.notFound</t>
  </si>
  <si>
    <t>Find the loot inside Villain-Con!
Use your blaster to hit the loot box and unlock what's inside.</t>
  </si>
  <si>
    <t>loot.outside.button.scanNow</t>
  </si>
  <si>
    <t>Scan Now</t>
  </si>
  <si>
    <t>loot.outside.header.loot</t>
  </si>
  <si>
    <t>LOOT
- OUTSIDE -</t>
  </si>
  <si>
    <t>loot.outside.pop.notFound</t>
  </si>
  <si>
    <t>Find the hidden loot at ${location}!
Use your device to scan for loot.</t>
  </si>
  <si>
    <t>loot.outside.pop.scanning</t>
  </si>
  <si>
    <t>Ready to scan
Hold your device near loot box.</t>
  </si>
  <si>
    <t>loot.outside.pop.scanSuccess</t>
  </si>
  <si>
    <t>Success! You now have ${loot}.</t>
  </si>
  <si>
    <t>missions.active.button.abandon</t>
  </si>
  <si>
    <t>Abandon Mission</t>
  </si>
  <si>
    <t>missions.active.button.mission</t>
  </si>
  <si>
    <t>${activeMissionTitle}
${activeMissionDescription}</t>
  </si>
  <si>
    <t>missions.active.header.mission</t>
  </si>
  <si>
    <t>Active Mission</t>
  </si>
  <si>
    <t>missions.active.msg.none</t>
  </si>
  <si>
    <t>No mission active!
Accept a mission below to activate.</t>
  </si>
  <si>
    <t>missions.all.pop.detail</t>
  </si>
  <si>
    <t>${activeMissionDescription}
Previous attempts: ${num}
Successful completions: ${num}</t>
  </si>
  <si>
    <t>missions.completed.button.replay</t>
  </si>
  <si>
    <t>Replay Mission</t>
  </si>
  <si>
    <t>missions.completed.pop.date</t>
  </si>
  <si>
    <t>Last completed:
${date}</t>
  </si>
  <si>
    <t>missions.locked.pop.secret</t>
  </si>
  <si>
    <t>Secret Mission
${requirement}</t>
  </si>
  <si>
    <t>missions.main.button.available</t>
  </si>
  <si>
    <t>${missionTitle}</t>
  </si>
  <si>
    <t>missions.main.button.missionLocked</t>
  </si>
  <si>
    <t>missions.main.header.missions</t>
  </si>
  <si>
    <t>MISSIONS</t>
  </si>
  <si>
    <t>missions.main.header.description</t>
  </si>
  <si>
    <t>Evil challenges from your despicable peers</t>
  </si>
  <si>
    <t>missions.main.msg.help</t>
  </si>
  <si>
    <t>CHOOSE
Your mission before getting your blaster.
COMPLETE
Your mission within one visit to Villain-Con!</t>
  </si>
  <si>
    <t>missions.new.button.accept</t>
  </si>
  <si>
    <t>Accept Mission</t>
  </si>
  <si>
    <t>options.all.button.save</t>
  </si>
  <si>
    <t>options.all.txt.addPlayer</t>
  </si>
  <si>
    <t>ADD A PLAYER</t>
  </si>
  <si>
    <t>options.all.txt.changePlayerName</t>
  </si>
  <si>
    <t>CHANGE PLAYER NAME</t>
  </si>
  <si>
    <t>options.all.txt.selectPlayerImage</t>
  </si>
  <si>
    <t>CHOOSE PLAYER ICON</t>
  </si>
  <si>
    <t>options.all.txt.selectPlayerBackground</t>
  </si>
  <si>
    <t>SELECT BACKGROUND</t>
  </si>
  <si>
    <t>options.currentPlayer.header.playerSettings</t>
  </si>
  <si>
    <t>PLAYER SETTINGS</t>
  </si>
  <si>
    <t>options.followOtherPlayers.button.unfollow</t>
  </si>
  <si>
    <t>Unfollow</t>
  </si>
  <si>
    <t>options.followOtherPlayers.header.followPlayers</t>
  </si>
  <si>
    <t>FOLLOW PLAYERS</t>
  </si>
  <si>
    <t>options.followOtherPlayers.pop.notFound</t>
  </si>
  <si>
    <t>WHODIS?
Cannot find player. Please try again!</t>
  </si>
  <si>
    <t>options.followOtherPlayers.select.player</t>
  </si>
  <si>
    <t>options.followOtherPlayers.textInput.enterPlayerName</t>
  </si>
  <si>
    <t>Enter Player Name</t>
  </si>
  <si>
    <t>options.followOtherPlayers.txt.addPlayers</t>
  </si>
  <si>
    <t>Add Players to Follow</t>
  </si>
  <si>
    <t>options.followOtherPlayers.txt.following</t>
  </si>
  <si>
    <t>Following ${num}/99</t>
  </si>
  <si>
    <t>options.main.button.currentPlayerSettings</t>
  </si>
  <si>
    <t>CURRENT PLAYER SETTINGS</t>
  </si>
  <si>
    <t>options.main.button.addNewPlayer</t>
  </si>
  <si>
    <t>ADD A NEW PLAYER</t>
  </si>
  <si>
    <t>options.main.button.followOtherPlayers</t>
  </si>
  <si>
    <t>FOLLOW OTHER PLAYERS</t>
  </si>
  <si>
    <t>options.main.button.tips</t>
  </si>
  <si>
    <t>HOW TO PLAY</t>
  </si>
  <si>
    <t>options.main.button.universalAccountSettings</t>
  </si>
  <si>
    <t>UO APP SETTINGS</t>
  </si>
  <si>
    <t>options.tips.header.tips</t>
  </si>
  <si>
    <t>TIPS &amp; FAQ</t>
  </si>
  <si>
    <t>options.tips.header.description</t>
  </si>
  <si>
    <t>Help, Gameplay Tips and More</t>
  </si>
  <si>
    <t>options.main.header.options</t>
  </si>
  <si>
    <t>options.main.header.description</t>
  </si>
  <si>
    <t>Customize your settings</t>
  </si>
  <si>
    <t>options.main.msg.help</t>
  </si>
  <si>
    <t>MANAGE PLAYERS
- Flaunt your style! Set your player avatar.
- Add new players to your device.
MAKE FRIENDS...OR ENEMIES?
- Follow other Villain-Con attendees!</t>
  </si>
  <si>
    <t>options.newPlayer.header.newPlayer</t>
  </si>
  <si>
    <t>error.400</t>
  </si>
  <si>
    <t>FOILED!
Cannot establish connection to server. Please try again later.</t>
  </si>
  <si>
    <t>error.1058</t>
  </si>
  <si>
    <t>PSYCH
Name unavailable. Please try another.</t>
  </si>
  <si>
    <t>error.1234</t>
  </si>
  <si>
    <t>NOPE
Name profane. Please try another.</t>
  </si>
  <si>
    <t>error.404</t>
  </si>
  <si>
    <t>Warning: Villain-Net connectivity issues! 
Your blaster will reflect your changes, but your personalized configuration may not be saved later.</t>
  </si>
  <si>
    <t>options.tips.msg.blasters</t>
  </si>
  <si>
    <t>Villain-Con Tip:
Customize your blaster to maximize your score, and use your ultimate blaster wisely!</t>
  </si>
  <si>
    <t>options.tips.msg.missions</t>
  </si>
  <si>
    <t>Villain-Con Tip:
Sign up for a mission to earn special items and get a score boost if you succeed!</t>
  </si>
  <si>
    <t>options.tips.msg.monthly</t>
  </si>
  <si>
    <t>Villain-Con Tip:
Visit every month to earn special limited-time items!</t>
  </si>
  <si>
    <t>options.tips.loot.title</t>
  </si>
  <si>
    <t>COLLECTING LOOT</t>
  </si>
  <si>
    <t>options.tips.loot.msg</t>
  </si>
  <si>
    <t>SEARCH OUTSIDE
Use the App to collect Villain Con swag with a tap of your phone at marked locations around the park.
BLAST INSIDE
Follow the clues to find hidden Villain Con swag and unlock abilities throughout the V6 Challenge!</t>
  </si>
  <si>
    <t>options.tips.skins.title</t>
  </si>
  <si>
    <t>UNLOCKING SKINS</t>
  </si>
  <si>
    <t>options.tips.skins.msg</t>
  </si>
  <si>
    <t>Unlock seasonal skins by visiting the attraction and using this app each month!
You can apply skins to your Launchers in the Lab.
Once unlocked, the skin is yours!</t>
  </si>
  <si>
    <t>options.tips.perks.title</t>
  </si>
  <si>
    <t>UNLOCKING PERKS</t>
  </si>
  <si>
    <t>options.tips.perks.msg</t>
  </si>
  <si>
    <t>You unlock perks and perk slots by leveling up as a player. Keep blasting through the challenge to accumulate points and level up!</t>
  </si>
  <si>
    <t>options.tips.TBD.title</t>
  </si>
  <si>
    <t>PLACEHOLDER</t>
  </si>
  <si>
    <t>options.tips.TBD.msg</t>
  </si>
  <si>
    <t>PH: Holding this spot for questions that emerge during playtesting!</t>
  </si>
  <si>
    <t>options.tips.moreHelp.title</t>
  </si>
  <si>
    <t>WHERE CAN I GET HELP?</t>
  </si>
  <si>
    <t>options.tips.moreHelp.msg</t>
  </si>
  <si>
    <t>Find a Villain-Con expert at the front of the queue where you pick up your blaster!</t>
  </si>
  <si>
    <t>rank.allTime.header.allTime</t>
  </si>
  <si>
    <t>ALL TIME</t>
  </si>
  <si>
    <t>rank.daily.header.daily</t>
  </si>
  <si>
    <t>DAILY</t>
  </si>
  <si>
    <t>rank.main.button.followPlayer</t>
  </si>
  <si>
    <t>Follow</t>
  </si>
  <si>
    <t>rank.main.button.options</t>
  </si>
  <si>
    <t>rank.main.button.player</t>
  </si>
  <si>
    <t>${rank} ${playerId} ${highScore}</t>
  </si>
  <si>
    <t>rank.main.header.following</t>
  </si>
  <si>
    <t>RANKINGS
- FOLLOWING -</t>
  </si>
  <si>
    <t>rank.main.header.rankings</t>
  </si>
  <si>
    <t>RANKINGS
- ALL -</t>
  </si>
  <si>
    <t>rank.main.header.leaderboard</t>
  </si>
  <si>
    <t>LEADERBOARD</t>
  </si>
  <si>
    <t>rank.main.header.description</t>
  </si>
  <si>
    <t>Check where you rank at the challenge!</t>
  </si>
  <si>
    <t>rank.main.msg.help</t>
  </si>
  <si>
    <t>COMPARE YOUR SCORE
To other villains today, this month, and all-time.
FOLLOW OTHER PLAYERS
And filter the leaderboards to see only your favorites!</t>
  </si>
  <si>
    <t>rank.main.pop.followingMax</t>
  </si>
  <si>
    <t>You are already following 99 other players.
If you want to follow this player, please unfollow some other players.</t>
  </si>
  <si>
    <t>error.1183</t>
  </si>
  <si>
    <t>You are already following this player!</t>
  </si>
  <si>
    <t>rank.main.pop.followPlayer</t>
  </si>
  <si>
    <t>${playerId}
Do you want to follow this player?</t>
  </si>
  <si>
    <t>rank.seasonal.header.seasonal</t>
  </si>
  <si>
    <t>${seasonal}</t>
  </si>
  <si>
    <t>artifact</t>
  </si>
  <si>
    <t>blaster</t>
  </si>
  <si>
    <t>artifacts</t>
  </si>
  <si>
    <t>blasters</t>
  </si>
  <si>
    <t>currencies.coins</t>
  </si>
  <si>
    <t>currencies.coin</t>
  </si>
  <si>
    <t>items.achievement</t>
  </si>
  <si>
    <t>badge</t>
  </si>
  <si>
    <t>items.achievements</t>
  </si>
  <si>
    <t>badges</t>
  </si>
  <si>
    <t>items.interactive</t>
  </si>
  <si>
    <t>items.interactives</t>
  </si>
  <si>
    <t>items.location</t>
  </si>
  <si>
    <t>target</t>
  </si>
  <si>
    <t>items.locations</t>
  </si>
  <si>
    <t>targets</t>
  </si>
  <si>
    <t>items.quest</t>
  </si>
  <si>
    <t>items.quests</t>
  </si>
  <si>
    <t>missions</t>
  </si>
  <si>
    <t>items.skill</t>
  </si>
  <si>
    <t>items.skills</t>
  </si>
  <si>
    <t>items.task</t>
  </si>
  <si>
    <t>items.tasks</t>
  </si>
  <si>
    <t>statistics.point</t>
  </si>
  <si>
    <t>point</t>
  </si>
  <si>
    <t>statistics.points</t>
  </si>
  <si>
    <t>tags.team</t>
  </si>
  <si>
    <t>tags.teams</t>
  </si>
  <si>
    <t>Deprecated</t>
  </si>
  <si>
    <t>Grade</t>
  </si>
  <si>
    <t>x</t>
  </si>
  <si>
    <t>Achievements</t>
  </si>
  <si>
    <t>Position in String</t>
  </si>
  <si>
    <t>23</t>
  </si>
  <si>
    <t>24</t>
  </si>
  <si>
    <t>25</t>
  </si>
  <si>
    <t>26</t>
  </si>
  <si>
    <t>27</t>
  </si>
  <si>
    <t>28</t>
  </si>
  <si>
    <t>29</t>
  </si>
  <si>
    <t>30</t>
  </si>
  <si>
    <t>31</t>
  </si>
  <si>
    <t>32</t>
  </si>
  <si>
    <t>33</t>
  </si>
  <si>
    <t>34</t>
  </si>
  <si>
    <t>35</t>
  </si>
  <si>
    <t>36</t>
  </si>
  <si>
    <t>37</t>
  </si>
  <si>
    <t>38</t>
  </si>
  <si>
    <t>39</t>
  </si>
  <si>
    <t>40</t>
  </si>
  <si>
    <t>41</t>
  </si>
  <si>
    <t>42</t>
  </si>
  <si>
    <t>43</t>
  </si>
  <si>
    <t>44</t>
  </si>
  <si>
    <t>Setting</t>
  </si>
  <si>
    <t>Player color</t>
  </si>
  <si>
    <t>Player avatar</t>
  </si>
  <si>
    <t>Elemental Default</t>
  </si>
  <si>
    <t>Force Elemental Grade</t>
  </si>
  <si>
    <t>Force Elemental Skin</t>
  </si>
  <si>
    <t>Fire Elemental Grade</t>
  </si>
  <si>
    <t>Fire Elemental Skin</t>
  </si>
  <si>
    <t>Freeze Elemental Grade</t>
  </si>
  <si>
    <t>Freeze Elemental Skin</t>
  </si>
  <si>
    <t>Lightning Elemental Grade</t>
  </si>
  <si>
    <t>Lightning Elemental Skin</t>
  </si>
  <si>
    <t>Standard Launcher Default</t>
  </si>
  <si>
    <t>Ultimate Launcher Selected</t>
  </si>
  <si>
    <t>Perk 1 name (1 value, 1-Z for name. 0 is used for no perk applied)</t>
  </si>
  <si>
    <t>Perk 1 grade (1 value, 1-3 for grade. 0 is used for no perk applied)</t>
  </si>
  <si>
    <t>Perk 2 name (1 value, 1-Z for name. 0 is used for no perk applied)</t>
  </si>
  <si>
    <t>Perk 2 grade (1 value, 1-3 for grade. 0 is used for no perk applied)</t>
  </si>
  <si>
    <t>Perk 3 name (1 value, 1-Z for name. 0 is used for no perk applied)</t>
  </si>
  <si>
    <t>Perk 3 grade (1 value, 1-3 for grade. 0 is used for no perk applied)</t>
  </si>
  <si>
    <t>Perk 4 name (1 value, 1-Z for name. 0 is used for no perk applied)</t>
  </si>
  <si>
    <t>Perk 4 grade (1 value, 1-3 for grade. 0 is used for no perk applied)</t>
  </si>
  <si>
    <t>Active Mission name (1 value, 1-Z for mission selected, 0=no mission selected)</t>
  </si>
  <si>
    <t>0</t>
  </si>
  <si>
    <t>(color 1)</t>
  </si>
  <si>
    <t>(avatar 1)</t>
  </si>
  <si>
    <t>-</t>
  </si>
  <si>
    <t>No skin selected</t>
  </si>
  <si>
    <t>1</t>
  </si>
  <si>
    <t>(color 2)</t>
  </si>
  <si>
    <t>(avatar 2)</t>
  </si>
  <si>
    <t>launcher1</t>
  </si>
  <si>
    <t>2</t>
  </si>
  <si>
    <t>(color 3)</t>
  </si>
  <si>
    <t>(avatar 3)</t>
  </si>
  <si>
    <t>Grade 2</t>
  </si>
  <si>
    <t>launcher2</t>
  </si>
  <si>
    <t>3</t>
  </si>
  <si>
    <t>(color 4)</t>
  </si>
  <si>
    <t>(avatar 4)</t>
  </si>
  <si>
    <t>Grade 3</t>
  </si>
  <si>
    <t>launcher3</t>
  </si>
  <si>
    <t>4</t>
  </si>
  <si>
    <t>(color 5)</t>
  </si>
  <si>
    <t>(avatar 5)</t>
  </si>
  <si>
    <t>ultimateLighning</t>
  </si>
  <si>
    <t>5</t>
  </si>
  <si>
    <t>(color 6)</t>
  </si>
  <si>
    <t>(avatar 6)</t>
  </si>
  <si>
    <t>6</t>
  </si>
  <si>
    <t>(color 7)</t>
  </si>
  <si>
    <t>(avatar 7)</t>
  </si>
  <si>
    <t>(skin 3)</t>
  </si>
  <si>
    <t>7</t>
  </si>
  <si>
    <t>(color 8)</t>
  </si>
  <si>
    <t>(avatar 8)</t>
  </si>
  <si>
    <t>(skin 4)</t>
  </si>
  <si>
    <t>8</t>
  </si>
  <si>
    <t>(color 9)</t>
  </si>
  <si>
    <t>(avatar 9)</t>
  </si>
  <si>
    <t>(skin 5)</t>
  </si>
  <si>
    <t>launcher8</t>
  </si>
  <si>
    <t>9</t>
  </si>
  <si>
    <t>(color 10)</t>
  </si>
  <si>
    <t>(avatar 10)</t>
  </si>
  <si>
    <t>(skin 6)</t>
  </si>
  <si>
    <t>(color 11)</t>
  </si>
  <si>
    <t>(avatar 11)</t>
  </si>
  <si>
    <t>(skin 7)</t>
  </si>
  <si>
    <t>launcherStrongholdLegendary</t>
  </si>
  <si>
    <t>(color 12)</t>
  </si>
  <si>
    <t>(avatar 12)</t>
  </si>
  <si>
    <t>(skin 8)</t>
  </si>
  <si>
    <t>(color 13)</t>
  </si>
  <si>
    <t>(avatar 13)</t>
  </si>
  <si>
    <t>(skin 9)</t>
  </si>
  <si>
    <t>launcherNunchuckLegendary</t>
  </si>
  <si>
    <t>(color 14)</t>
  </si>
  <si>
    <t>(avatar 14)</t>
  </si>
  <si>
    <t>(skin 10)</t>
  </si>
  <si>
    <t>(color 15)</t>
  </si>
  <si>
    <t>(avatar 15)</t>
  </si>
  <si>
    <t>(skin 11)</t>
  </si>
  <si>
    <t>launcherJeanClawedLegendary</t>
  </si>
  <si>
    <t>(color 16)</t>
  </si>
  <si>
    <t>(avatar 16)</t>
  </si>
  <si>
    <t>(skin 12)</t>
  </si>
  <si>
    <t>(color 17)</t>
  </si>
  <si>
    <t>(avatar 17)</t>
  </si>
  <si>
    <t>(skin 13)</t>
  </si>
  <si>
    <t>H</t>
  </si>
  <si>
    <t>(color 18)</t>
  </si>
  <si>
    <t>(avatar 18)</t>
  </si>
  <si>
    <t>(skin 14)</t>
  </si>
  <si>
    <t>I</t>
  </si>
  <si>
    <t>(color 19)</t>
  </si>
  <si>
    <t>(avatar 19)</t>
  </si>
  <si>
    <t>(skin 15)</t>
  </si>
  <si>
    <t>J</t>
  </si>
  <si>
    <t>(color 20)</t>
  </si>
  <si>
    <t>(avatar 20)</t>
  </si>
  <si>
    <t>(skin 16)</t>
  </si>
  <si>
    <t>K</t>
  </si>
  <si>
    <t>(color 21)</t>
  </si>
  <si>
    <t>(avatar 21)</t>
  </si>
  <si>
    <t>(skin 17)</t>
  </si>
  <si>
    <t>L</t>
  </si>
  <si>
    <t>(color 22)</t>
  </si>
  <si>
    <t>(avatar 22)</t>
  </si>
  <si>
    <t>(skin 18)</t>
  </si>
  <si>
    <t>M</t>
  </si>
  <si>
    <t>(color 23)</t>
  </si>
  <si>
    <t>(avatar 23)</t>
  </si>
  <si>
    <t>(skin 19)</t>
  </si>
  <si>
    <t>N</t>
  </si>
  <si>
    <t>(color 24)</t>
  </si>
  <si>
    <t>(avatar 24)</t>
  </si>
  <si>
    <t>(skin 20)</t>
  </si>
  <si>
    <t>O</t>
  </si>
  <si>
    <t>(color 25)</t>
  </si>
  <si>
    <t>(avatar 25)</t>
  </si>
  <si>
    <t>(skin 21)</t>
  </si>
  <si>
    <t>P</t>
  </si>
  <si>
    <t>(color 26)</t>
  </si>
  <si>
    <t>(avatar 26)</t>
  </si>
  <si>
    <t>(skin 22)</t>
  </si>
  <si>
    <t>Q</t>
  </si>
  <si>
    <t>(color 27)</t>
  </si>
  <si>
    <t>(avatar 27)</t>
  </si>
  <si>
    <t>(skin 23)</t>
  </si>
  <si>
    <t>R</t>
  </si>
  <si>
    <t>(color 28)</t>
  </si>
  <si>
    <t>(avatar 28)</t>
  </si>
  <si>
    <t>(skin 24)</t>
  </si>
  <si>
    <t>S</t>
  </si>
  <si>
    <t>(color 29)</t>
  </si>
  <si>
    <t>(avatar 29)</t>
  </si>
  <si>
    <t>(skin 25)</t>
  </si>
  <si>
    <t>T</t>
  </si>
  <si>
    <t>(color 30)</t>
  </si>
  <si>
    <t>(avatar 30)</t>
  </si>
  <si>
    <t>(skin 26)</t>
  </si>
  <si>
    <t>U</t>
  </si>
  <si>
    <t>(color 31)</t>
  </si>
  <si>
    <t>(avatar 31)</t>
  </si>
  <si>
    <t>(skin 27)</t>
  </si>
  <si>
    <t>V</t>
  </si>
  <si>
    <t>(color 32)</t>
  </si>
  <si>
    <t>(avatar 32)</t>
  </si>
  <si>
    <t>(skin 28)</t>
  </si>
  <si>
    <t>W</t>
  </si>
  <si>
    <t>(color 33)</t>
  </si>
  <si>
    <t>(avatar 33)</t>
  </si>
  <si>
    <t>(skin 29)</t>
  </si>
  <si>
    <t>X</t>
  </si>
  <si>
    <t>(color 34)</t>
  </si>
  <si>
    <t>(avatar 34)</t>
  </si>
  <si>
    <t>(skin 30)</t>
  </si>
  <si>
    <t>Y</t>
  </si>
  <si>
    <t>(color 35)</t>
  </si>
  <si>
    <t>(avatar 35)</t>
  </si>
  <si>
    <t>(skin 31)</t>
  </si>
  <si>
    <t>Z</t>
  </si>
  <si>
    <t>(color 36)</t>
  </si>
  <si>
    <t>(avatar 36)</t>
  </si>
  <si>
    <t>(skin 32)</t>
  </si>
  <si>
    <t>:</t>
  </si>
  <si>
    <t>Statistics Rewarded</t>
  </si>
  <si>
    <t>How to Unlock Requirements</t>
  </si>
  <si>
    <t>amount</t>
  </si>
  <si>
    <t>custom data</t>
  </si>
  <si>
    <t>repeat</t>
  </si>
  <si>
    <t>required &gt; id
(rewardsForAllInList)</t>
  </si>
  <si>
    <t>required &gt; id
(rewardsForAllOfClass)</t>
  </si>
  <si>
    <t>required &gt; ids
(rewardsForAnyInList)</t>
  </si>
  <si>
    <t>required &gt; ids
(rewardsForAnyOfClass)</t>
  </si>
  <si>
    <t>required &gt; id
(rewardsForRepeats)</t>
  </si>
  <si>
    <t>required &gt; id
(rewardsForStatisticValues)</t>
  </si>
  <si>
    <t>required &gt; id
(rewardsForWins)</t>
  </si>
  <si>
    <t>countMethod</t>
  </si>
  <si>
    <t>withinSame</t>
  </si>
  <si>
    <t>custom data &gt; grade</t>
  </si>
  <si>
    <t>custom data &gt; tier</t>
  </si>
  <si>
    <t>custom data &gt; outcome</t>
  </si>
  <si>
    <t>playerLevel
(rewardsForPlayerData)</t>
  </si>
  <si>
    <t>seasons
(rewardsForSeasonVisits)</t>
  </si>
  <si>
    <t>How many of this item is awarded?</t>
  </si>
  <si>
    <t>(previously called meta data)</t>
  </si>
  <si>
    <t>Can the guest earn this reward again?</t>
  </si>
  <si>
    <t>What type of statistic? (For 331: Points, Flame, Frost, Force, Energy)</t>
  </si>
  <si>
    <t>How many points does this award?</t>
  </si>
  <si>
    <t>Can the guest earn this reward again? (never, session, daily, yes)</t>
  </si>
  <si>
    <t>Must have all of these items in the list</t>
  </si>
  <si>
    <t>Must have all of these classes</t>
  </si>
  <si>
    <t>Must have some of these items in the list</t>
  </si>
  <si>
    <t>Must have some of these classes</t>
  </si>
  <si>
    <t>Minimum amount of each item needed (Used for -AllInList, -AllOfClass, -AnyInList, -AnyOfClass, -ForRepeats, - ForStatisticValues, -ForWins)</t>
  </si>
  <si>
    <t>Used for -AllOfClass, -AnyInList, -AnyOfClass</t>
  </si>
  <si>
    <t>Used for -AllOfClass, -ForWins</t>
  </si>
  <si>
    <t>(Not currently in PF)</t>
  </si>
  <si>
    <t>Used for rewardsForWins</t>
  </si>
  <si>
    <t>AUTO-PULLED from 'Statistic Levels' sheet</t>
  </si>
  <si>
    <t>Levels - 0 - Id</t>
  </si>
  <si>
    <t xml:space="preserve">Levels - 0 - Texts - 0 - Locale </t>
  </si>
  <si>
    <t xml:space="preserve">Levels - 0 - Texts - 0 - Name </t>
  </si>
  <si>
    <t xml:space="preserve">Levels - 0 - Texts - 1 - Locale </t>
  </si>
  <si>
    <t xml:space="preserve">Levels - 0 - Texts - 1 - Name </t>
  </si>
  <si>
    <t>Levels - 0 - Min Statistic Amount</t>
  </si>
  <si>
    <t>Levels - 0 - Rewards - 0</t>
  </si>
  <si>
    <t>Levels - 0 - Rewards - 1</t>
  </si>
  <si>
    <t>Levels - 0 - Rewards - 2</t>
  </si>
  <si>
    <t>Levels - 1 - Id</t>
  </si>
  <si>
    <t xml:space="preserve">Levels - 1 - Texts - 0 - Locale </t>
  </si>
  <si>
    <t xml:space="preserve">Levels - 1 - Texts - 0 - Name </t>
  </si>
  <si>
    <t xml:space="preserve">Levels - 1 - Texts - 1 - Locale </t>
  </si>
  <si>
    <t xml:space="preserve">Levels - 1 - Texts - 1 - Name </t>
  </si>
  <si>
    <t>Levels - 1 - Min Statistic Amount</t>
  </si>
  <si>
    <t>Levels - 1 - Rewards - 0</t>
  </si>
  <si>
    <t>Levels - 1 - Rewards - 1</t>
  </si>
  <si>
    <t>Levels - 1 - Rewards - 2</t>
  </si>
  <si>
    <t>Levels - 2 - Id</t>
  </si>
  <si>
    <t xml:space="preserve">Levels - 2 - Texts - 0 - Locale </t>
  </si>
  <si>
    <t xml:space="preserve">Levels - 2 - Texts - 0 - Name </t>
  </si>
  <si>
    <t xml:space="preserve">Levels - 2 - Texts - 1 - Locale </t>
  </si>
  <si>
    <t xml:space="preserve">Levels - 2 - Texts - 1 - Name </t>
  </si>
  <si>
    <t>Levels - 2 - Min Statistic Amount</t>
  </si>
  <si>
    <t>Levels - 2 - Rewards - 0</t>
  </si>
  <si>
    <t>Levels - 2 - Rewards - 1</t>
  </si>
  <si>
    <t>Levels - 2 - Rewards - 2</t>
  </si>
  <si>
    <t>Levels - 3 - Id</t>
  </si>
  <si>
    <t xml:space="preserve">Levels - 3 - Texts - 0 - Locale </t>
  </si>
  <si>
    <t xml:space="preserve">Levels - 3 - Texts - 0 - Name </t>
  </si>
  <si>
    <t xml:space="preserve">Levels - 3 - Texts - 1 - Locale </t>
  </si>
  <si>
    <t xml:space="preserve">Levels - 3 - Texts - 1 - Name </t>
  </si>
  <si>
    <t>Levels - 3 - Min Statistic Amount</t>
  </si>
  <si>
    <t>Levels - 3 - Rewards - 0</t>
  </si>
  <si>
    <t>Levels - 3 - Rewards - 1</t>
  </si>
  <si>
    <t>Levels - 3 - Rewards - 2</t>
  </si>
  <si>
    <t>Levels - 4 - Id</t>
  </si>
  <si>
    <t xml:space="preserve">Levels - 4 - Texts - 0 - Locale </t>
  </si>
  <si>
    <t xml:space="preserve">Levels - 4 - Texts - 0 - Name </t>
  </si>
  <si>
    <t xml:space="preserve">Levels - 4 - Texts - 1 - Locale </t>
  </si>
  <si>
    <t xml:space="preserve">Levels - 4 - Texts - 1 - Name </t>
  </si>
  <si>
    <t>Levels - 4 - Min Statistic Amount</t>
  </si>
  <si>
    <t>Levels - 4 - Rewards - 0</t>
  </si>
  <si>
    <t>Levels - 4 - Rewards - 1</t>
  </si>
  <si>
    <t>Levels - 4 - Rewards - 2</t>
  </si>
  <si>
    <t>Levels - 5 - Id</t>
  </si>
  <si>
    <t xml:space="preserve">Levels - 5 - Texts - 0 - Locale </t>
  </si>
  <si>
    <t xml:space="preserve">Levels - 5 - Texts - 0 - Name </t>
  </si>
  <si>
    <t xml:space="preserve">Levels - 5 - Texts - 1 - Locale </t>
  </si>
  <si>
    <t xml:space="preserve">Levels - 5 - Texts - 1 - Name </t>
  </si>
  <si>
    <t>Levels - 5 - Min Statistic Amount</t>
  </si>
  <si>
    <t>Levels - 5 - Rewards - 0</t>
  </si>
  <si>
    <t>Levels - 5 - Rewards - 1</t>
  </si>
  <si>
    <t>Levels - 5 - Rewards - 2</t>
  </si>
  <si>
    <t>Levels - 6 - Id</t>
  </si>
  <si>
    <t xml:space="preserve">Levels - 6 - Texts - 0 - Locale </t>
  </si>
  <si>
    <t xml:space="preserve">Levels - 6 - Texts - 0 - Name </t>
  </si>
  <si>
    <t xml:space="preserve">Levels - 6 - Texts - 1 - Locale </t>
  </si>
  <si>
    <t xml:space="preserve">Levels - 6 - Texts - 1 - Name </t>
  </si>
  <si>
    <t>Levels - 6 - Min Statistic Amount</t>
  </si>
  <si>
    <t>Levels - 6 - Rewards - 0</t>
  </si>
  <si>
    <t>Levels - 6 - Rewards - 1</t>
  </si>
  <si>
    <t>Levels - 6 - Rewards - 2</t>
  </si>
  <si>
    <t>Levels - 7 - Id</t>
  </si>
  <si>
    <t xml:space="preserve">Levels - 7 - Texts - 0 - Locale </t>
  </si>
  <si>
    <t xml:space="preserve">Levels - 7 - Texts - 0 - Name </t>
  </si>
  <si>
    <t xml:space="preserve">Levels - 7 - Texts - 1 - Locale </t>
  </si>
  <si>
    <t xml:space="preserve">Levels - 7 - Texts - 1 - Name </t>
  </si>
  <si>
    <t>Levels - 7 - Min Statistic Amount</t>
  </si>
  <si>
    <t>Levels - 7 - Rewards - 0</t>
  </si>
  <si>
    <t>Levels - 7 - Rewards - 1</t>
  </si>
  <si>
    <t>Levels - 7 - Rewards - 2</t>
  </si>
  <si>
    <t>Levels - 8 - Id</t>
  </si>
  <si>
    <t xml:space="preserve">Levels - 8 - Texts - 0 - Locale </t>
  </si>
  <si>
    <t xml:space="preserve">Levels - 8 - Texts - 0 - Name </t>
  </si>
  <si>
    <t xml:space="preserve">Levels - 8 - Texts - 1 - Locale </t>
  </si>
  <si>
    <t xml:space="preserve">Levels - 8 - Texts - 1 - Name </t>
  </si>
  <si>
    <t>Levels - 8 - Min Statistic Amount</t>
  </si>
  <si>
    <t>Levels - 8 - Rewards - 0</t>
  </si>
  <si>
    <t>Levels - 8 - Rewards - 1</t>
  </si>
  <si>
    <t>Levels - 8 - Rewards - 2</t>
  </si>
  <si>
    <t>Levels - 9 - Id</t>
  </si>
  <si>
    <t xml:space="preserve">Levels - 9 - Texts - 0 - Locale </t>
  </si>
  <si>
    <t xml:space="preserve">Levels - 9 - Texts - 0 - Name </t>
  </si>
  <si>
    <t xml:space="preserve">Levels - 9 - Texts - 1 - Locale </t>
  </si>
  <si>
    <t xml:space="preserve">Levels - 9 - Texts - 1 - Name </t>
  </si>
  <si>
    <t>Levels - 9 - Min Statistic Amount</t>
  </si>
  <si>
    <t>Levels - 9 - Rewards - 0</t>
  </si>
  <si>
    <t>Levels - 9 - Rewards - 1</t>
  </si>
  <si>
    <t>Levels - 9 - Rewards - 2</t>
  </si>
  <si>
    <t>Levels - 10 - Id</t>
  </si>
  <si>
    <t xml:space="preserve">Levels - 10 - Texts - 0 - Locale </t>
  </si>
  <si>
    <t xml:space="preserve">Levels - 10 - Texts - 0 - Name </t>
  </si>
  <si>
    <t xml:space="preserve">Levels - 10 - Texts - 1 - Locale </t>
  </si>
  <si>
    <t xml:space="preserve">Levels - 10 - Texts - 1 - Name </t>
  </si>
  <si>
    <t>Levels - 10 - Min Statistic Amount</t>
  </si>
  <si>
    <t>Levels - 10 - Rewards - 0</t>
  </si>
  <si>
    <t>Levels - 10 - Rewards - 1</t>
  </si>
  <si>
    <t>Levels - 10 - Rewards - 2</t>
  </si>
  <si>
    <t>statistic</t>
  </si>
  <si>
    <t>levels.0.id</t>
  </si>
  <si>
    <t>levels.0.texts.0.locale</t>
  </si>
  <si>
    <t>levels.0.texts.0.name</t>
  </si>
  <si>
    <t>levels.0.texts.1.locale</t>
  </si>
  <si>
    <t>levels.0.texts.1.name</t>
  </si>
  <si>
    <t>levels.0.minAmount</t>
  </si>
  <si>
    <t>levels.0.rewards.0</t>
  </si>
  <si>
    <t>levels.0.rewards.1</t>
  </si>
  <si>
    <t>levels.0.rewards.2</t>
  </si>
  <si>
    <t>levels.1.id</t>
  </si>
  <si>
    <t>levels.1.texts.0.locale</t>
  </si>
  <si>
    <t>levels.1.texts.0.name</t>
  </si>
  <si>
    <t>levels.1.texts.1.locale</t>
  </si>
  <si>
    <t>levels.1.texts.1.name</t>
  </si>
  <si>
    <t>levels.1.minAmount</t>
  </si>
  <si>
    <t>levels.1.rewards.0</t>
  </si>
  <si>
    <t>levels.1.rewards.1</t>
  </si>
  <si>
    <t>levels.1.rewards.2</t>
  </si>
  <si>
    <t>levels.2.id</t>
  </si>
  <si>
    <t>levels.2.texts.0.locale</t>
  </si>
  <si>
    <t>levels.2.texts.0.name</t>
  </si>
  <si>
    <t>levels.2.texts.1.locale</t>
  </si>
  <si>
    <t>levels.2.texts.1.name</t>
  </si>
  <si>
    <t>levels.2.minAmount</t>
  </si>
  <si>
    <t>levels.2.rewards.0</t>
  </si>
  <si>
    <t>levels.2.rewards.1</t>
  </si>
  <si>
    <t>levels.2.rewards.2</t>
  </si>
  <si>
    <t>levels.3.id</t>
  </si>
  <si>
    <t>levels.3.texts.0.locale</t>
  </si>
  <si>
    <t>levels.3.texts.0.name</t>
  </si>
  <si>
    <t>levels.3.texts.1.locale</t>
  </si>
  <si>
    <t>levels.3.texts.1.name</t>
  </si>
  <si>
    <t>levels.3.minAmount</t>
  </si>
  <si>
    <t>levels.3.rewards.0</t>
  </si>
  <si>
    <t>levels.3.rewards.1</t>
  </si>
  <si>
    <t>levels.3.rewards.2</t>
  </si>
  <si>
    <t>levels.4.id</t>
  </si>
  <si>
    <t>levels.4.texts.0.locale</t>
  </si>
  <si>
    <t>levels.4.texts.0.name</t>
  </si>
  <si>
    <t>levels.4.texts.1.locale</t>
  </si>
  <si>
    <t>levels.4.texts.1.name</t>
  </si>
  <si>
    <t>levels.4.minAmount</t>
  </si>
  <si>
    <t>levels.4.rewards.0</t>
  </si>
  <si>
    <t>levels.4.rewards.1</t>
  </si>
  <si>
    <t>levels.4.rewards.2</t>
  </si>
  <si>
    <t>levels.5.id</t>
  </si>
  <si>
    <t>levels.5.texts.0.locale</t>
  </si>
  <si>
    <t>levels.5.texts.0.name</t>
  </si>
  <si>
    <t>levels.5.texts.1.locale</t>
  </si>
  <si>
    <t>levels.5.texts.1.name</t>
  </si>
  <si>
    <t>levels.5.minAmount</t>
  </si>
  <si>
    <t>levels.5.rewards.0</t>
  </si>
  <si>
    <t>levels.5.rewards.1</t>
  </si>
  <si>
    <t>levels.5.rewards.2</t>
  </si>
  <si>
    <t>levels.6.id</t>
  </si>
  <si>
    <t>levels.6.texts.0.locale</t>
  </si>
  <si>
    <t>levels.6.texts.0.name</t>
  </si>
  <si>
    <t>levels.6.texts.1.locale</t>
  </si>
  <si>
    <t>levels.6.texts.1.name</t>
  </si>
  <si>
    <t>levels.6.minAmount</t>
  </si>
  <si>
    <t>levels.6.rewards.0</t>
  </si>
  <si>
    <t>levels.6.rewards.1</t>
  </si>
  <si>
    <t>levels.6.rewards.2</t>
  </si>
  <si>
    <t>levels.7.id</t>
  </si>
  <si>
    <t>levels.7.texts.0.locale</t>
  </si>
  <si>
    <t>levels.7.texts.0.name</t>
  </si>
  <si>
    <t>levels.7.texts.1.locale</t>
  </si>
  <si>
    <t>levels.7.texts.1.name</t>
  </si>
  <si>
    <t>levels.7.minAmount</t>
  </si>
  <si>
    <t>levels.7.rewards.0</t>
  </si>
  <si>
    <t>levels.7.rewards.1</t>
  </si>
  <si>
    <t>levels.7.rewards.2</t>
  </si>
  <si>
    <t>levels.8.id</t>
  </si>
  <si>
    <t>levels.8.texts.0.locale</t>
  </si>
  <si>
    <t>levels.8.texts.0.name</t>
  </si>
  <si>
    <t>levels.8.texts.1.locale</t>
  </si>
  <si>
    <t>levels.8.texts.1.name</t>
  </si>
  <si>
    <t>levels.8.minAmount</t>
  </si>
  <si>
    <t>levels.8.rewards.0</t>
  </si>
  <si>
    <t>levels.8.rewards.1</t>
  </si>
  <si>
    <t>levels.8.rewards.2</t>
  </si>
  <si>
    <t>levels.9.id</t>
  </si>
  <si>
    <t>levels.9.texts.0.locale</t>
  </si>
  <si>
    <t>levels.9.texts.0.name</t>
  </si>
  <si>
    <t>levels.9.texts.1.locale</t>
  </si>
  <si>
    <t>levels.9.texts.1.name</t>
  </si>
  <si>
    <t>levels.9.minAmount</t>
  </si>
  <si>
    <t>levels.9.rewards.0</t>
  </si>
  <si>
    <t>levels.9.rewards.1</t>
  </si>
  <si>
    <t>levels.9.rewards.2</t>
  </si>
  <si>
    <t>levels.10.id</t>
  </si>
  <si>
    <t>levels.10.texts.0.locale</t>
  </si>
  <si>
    <t>levels.10.texts.0.name</t>
  </si>
  <si>
    <t>levels.10.texts.1.locale</t>
  </si>
  <si>
    <t>levels.10.texts.1.name</t>
  </si>
  <si>
    <t>levels.10.minAmount</t>
  </si>
  <si>
    <t>levels.10.rewards.0</t>
  </si>
  <si>
    <t>levels.10.rewards.1</t>
  </si>
  <si>
    <t>levels.10.rewards.2</t>
  </si>
  <si>
    <t>Item Key</t>
  </si>
  <si>
    <t>Page</t>
  </si>
  <si>
    <t>Guest-facing Name</t>
  </si>
  <si>
    <t>Guest-facing Description</t>
  </si>
  <si>
    <t>Repeat Reward?</t>
  </si>
  <si>
    <t>Points</t>
  </si>
  <si>
    <t>(Other rewards)</t>
  </si>
  <si>
    <t>Collect(Item1OfSet)</t>
  </si>
  <si>
    <t>Inside Villain-Con</t>
  </si>
  <si>
    <t>Blue Egg</t>
  </si>
  <si>
    <t>Get a blue egg when you punch the Egg Block inside Mt. Beanpole.</t>
  </si>
  <si>
    <t>Yes</t>
  </si>
  <si>
    <t>Collect(Item2OfSet)</t>
  </si>
  <si>
    <t>Green Egg</t>
  </si>
  <si>
    <t>Get a green egg when you punch the Egg Block inside Mt. Beanpole.</t>
  </si>
  <si>
    <t>Collect(Item3OfSet)</t>
  </si>
  <si>
    <t>Pink Egg</t>
  </si>
  <si>
    <t>Get a pink egg when you punch the Egg Block inside Mt. Beanpole.</t>
  </si>
  <si>
    <t>Collect(Item4OfSet)</t>
  </si>
  <si>
    <t>Purple Egg</t>
  </si>
  <si>
    <t>Get a purple egg when you punch the Egg Block inside Mt. Beanpole.</t>
  </si>
  <si>
    <t>Collect(Item5OfSet)</t>
  </si>
  <si>
    <t>Red Egg</t>
  </si>
  <si>
    <t>Get a red egg when you punch the Egg Block inside Mt. Beanpole.</t>
  </si>
  <si>
    <t>Collect(Item6OfSet)</t>
  </si>
  <si>
    <t>Yellow Egg</t>
  </si>
  <si>
    <t>Get a yellow egg when you punch the Egg Block inside Mt. Beanpole.</t>
  </si>
  <si>
    <t>Collect(Item)</t>
  </si>
  <si>
    <t>Fruit Basket</t>
  </si>
  <si>
    <t>Get fruit from the basket inside Mt. Beanpole. Collect a 1-up Mushroom power-up.</t>
  </si>
  <si>
    <t>Collect(Item)TierA</t>
  </si>
  <si>
    <t>Collect(Item)TierB</t>
  </si>
  <si>
    <t>VisitLuigi</t>
  </si>
  <si>
    <t>SNW</t>
  </si>
  <si>
    <t>Meet Luigi</t>
  </si>
  <si>
    <t>Meet Luigi.</t>
  </si>
  <si>
    <t>VisitMario</t>
  </si>
  <si>
    <t>Meet Mario</t>
  </si>
  <si>
    <t>Meet Mario.</t>
  </si>
  <si>
    <t>VisitPeach</t>
  </si>
  <si>
    <t>Meet Peach</t>
  </si>
  <si>
    <t>Meet Peach.</t>
  </si>
  <si>
    <t>VisitToad</t>
  </si>
  <si>
    <t>Toad You So</t>
  </si>
  <si>
    <t>Meet Toad.</t>
  </si>
  <si>
    <t>collectLootAll</t>
  </si>
  <si>
    <t>Inside AND outside VC</t>
  </si>
  <si>
    <t>Master Collector</t>
  </si>
  <si>
    <t>Find every single collectible in and around Villain-Con.</t>
  </si>
  <si>
    <t>CollectGoldenEgg</t>
  </si>
  <si>
    <t>Yoshi</t>
  </si>
  <si>
    <t>Golden Egg</t>
  </si>
  <si>
    <t>Get the Golden Egg on Yoshi’s Adventure.</t>
  </si>
  <si>
    <t>Collect(AllInSet)</t>
  </si>
  <si>
    <t>Egg-cellent!</t>
  </si>
  <si>
    <t>Get all 6 egg colors when you punch the Egg Block inside Mt. Beanpole.</t>
  </si>
  <si>
    <t>Outside Villain-Con</t>
  </si>
  <si>
    <t>Find every collectible outside Villain-Con</t>
  </si>
  <si>
    <t>PlayBowserJrTierA</t>
  </si>
  <si>
    <t>SML</t>
  </si>
  <si>
    <t>Bowser Jr. Skilled</t>
  </si>
  <si>
    <t>Defeat Bowser Jr. 2 times in the Shadow Showdown.</t>
  </si>
  <si>
    <t>PlayBowserJrTierB</t>
  </si>
  <si>
    <t>Bowser Jr. Expert</t>
  </si>
  <si>
    <t>Defeat Bowser Jr. 5 times in the Shadow Showdown.</t>
  </si>
  <si>
    <t>PlayTimesTierA</t>
  </si>
  <si>
    <t>Ride once</t>
  </si>
  <si>
    <t>PlayTimesTierB</t>
  </si>
  <si>
    <t>Toad Tracker</t>
  </si>
  <si>
    <t>Ride on Yoshi's Adventure 2 times.</t>
  </si>
  <si>
    <t>PlayTimesTierC</t>
  </si>
  <si>
    <t>Toad Protector</t>
  </si>
  <si>
    <t>Ride on Yoshi's Adventure 5 times.</t>
  </si>
  <si>
    <t>CollectVCBadge</t>
  </si>
  <si>
    <t>Villain-Con Admission Badge</t>
  </si>
  <si>
    <t>Attend Villain-Con</t>
  </si>
  <si>
    <t>playEarlyBird</t>
  </si>
  <si>
    <t>Early Bird Gets the Blaster</t>
  </si>
  <si>
    <t>Attend Villain-Con before 10am. You're a go-getter!</t>
  </si>
  <si>
    <t>playLateNight</t>
  </si>
  <si>
    <t>Late Night Networker</t>
  </si>
  <si>
    <t>Attend Villain-Con after 8pm. Blast into the night!</t>
  </si>
  <si>
    <t>PlayMKRideTierA</t>
  </si>
  <si>
    <t>MK</t>
  </si>
  <si>
    <t>Mario Karter</t>
  </si>
  <si>
    <t>Ride Mario Kart 2 times.</t>
  </si>
  <si>
    <t>PlayMKRideTierB</t>
  </si>
  <si>
    <t>Super Mario Karter</t>
  </si>
  <si>
    <t>Ride Mario Kart 5 times.</t>
  </si>
  <si>
    <t>PlayGoomba</t>
  </si>
  <si>
    <t>Goomba Crazy Crank</t>
  </si>
  <si>
    <t>Play the Goomba Crazy Crank game.</t>
  </si>
  <si>
    <t>WinGoombaTierA</t>
  </si>
  <si>
    <t>Goomba Crazy Crank Skilled</t>
  </si>
  <si>
    <t>Beat Goomba Crazy Crank 2 times on any difficulty level.</t>
  </si>
  <si>
    <t>WinGoombaTierB</t>
  </si>
  <si>
    <t>Goomba Crazy Crank Expert</t>
  </si>
  <si>
    <t>Beat Goomba Crazy Crank 5 times on any difficulty level.</t>
  </si>
  <si>
    <t>playViciousFan</t>
  </si>
  <si>
    <t>Loyal Fan</t>
  </si>
  <si>
    <t>Attempt all the Vicious 6 Missions.</t>
  </si>
  <si>
    <t>playBestStudent</t>
  </si>
  <si>
    <t>A+ Student</t>
  </si>
  <si>
    <t>Complete all the Vicious 6 Missions.</t>
  </si>
  <si>
    <t>WinVCPerks0</t>
  </si>
  <si>
    <t>Goomba Crazy Crank Master</t>
  </si>
  <si>
    <t>Beat Goomba Crazy Crank on the hardest difficulty level.</t>
  </si>
  <si>
    <t>WinGoombaBonus</t>
  </si>
  <si>
    <t>Goomba Crazy Crank Bonus</t>
  </si>
  <si>
    <t>Beat Goomba Crazy Crank with a Bonus.</t>
  </si>
  <si>
    <t>Achievement</t>
  </si>
  <si>
    <t>PlayVCMinionHits0</t>
  </si>
  <si>
    <t>Super Mario Pro</t>
  </si>
  <si>
    <t>Get through Villain-Con without blasting any Minions,</t>
  </si>
  <si>
    <t>ScorePointsTierA</t>
  </si>
  <si>
    <t>Moneybags</t>
  </si>
  <si>
    <t>Earn 5,000 Coins.</t>
  </si>
  <si>
    <t>ScorePointsTierB</t>
  </si>
  <si>
    <t>Coin Collector</t>
  </si>
  <si>
    <t>Earn 25,000 Coins.</t>
  </si>
  <si>
    <t>ScorePointsTierC</t>
  </si>
  <si>
    <t>Treasure Hunter</t>
  </si>
  <si>
    <t>Earn 100,000 Coins.</t>
  </si>
  <si>
    <t>ScoreMKCoins75Ride</t>
  </si>
  <si>
    <t>Pocket Change</t>
  </si>
  <si>
    <t>Collect 100 or more coins in a single ride on Mario Kart.</t>
  </si>
  <si>
    <t>ScoreMKCoins150Ride</t>
  </si>
  <si>
    <t>Perfectionist</t>
  </si>
  <si>
    <t>Collect 200 or more coins in a single ride on Mario Kart.</t>
  </si>
  <si>
    <t>ScoreMKCoins500Life</t>
  </si>
  <si>
    <t>Coin Keeper</t>
  </si>
  <si>
    <t>Collect 500 coins total on Mario Kart.</t>
  </si>
  <si>
    <t>ScoreMKCoins1000Life</t>
  </si>
  <si>
    <t>Coin Master</t>
  </si>
  <si>
    <t>Collect 1,000 coins total on Mario Kart.</t>
  </si>
  <si>
    <t>ScoreLeaderDaily10</t>
  </si>
  <si>
    <t>Score</t>
  </si>
  <si>
    <t>Top 10 Daily</t>
  </si>
  <si>
    <t>Achieve a Top 10 score on the daily leaderboard.</t>
  </si>
  <si>
    <t>ScoreLeaderDaily100</t>
  </si>
  <si>
    <t>Top 100 Score</t>
  </si>
  <si>
    <t>Achieve a Top 100 score on the daily leaderboard.</t>
  </si>
  <si>
    <t>ScoreLeaderDaily1000</t>
  </si>
  <si>
    <t>Top 1000 Score</t>
  </si>
  <si>
    <t>Achieve a Top 1000 score on the daily leaderboard.</t>
  </si>
  <si>
    <t>ScoreLeaderSeasonalA10</t>
  </si>
  <si>
    <t>Super Boss</t>
  </si>
  <si>
    <t>Achieve a Top 10 score on the Bowser Jr. Shadow Showdown leaderboard.</t>
  </si>
  <si>
    <t>ScoreLeaderSeasonalA1000</t>
  </si>
  <si>
    <t>Who's the Boss</t>
  </si>
  <si>
    <t>Achieve a Top 1000 score on the Bowser Jr. Shadow Showdown leaderboard.</t>
  </si>
  <si>
    <t>ScoreLeaderSeasonalB10</t>
  </si>
  <si>
    <t>ScoreLeaderSeasonalB1000</t>
  </si>
  <si>
    <t>ScoreLeaderSeasonalC10</t>
  </si>
  <si>
    <t>ScoreLeaderSeasonalC1000</t>
  </si>
  <si>
    <t>ScoreLeaderSeasonalD10</t>
  </si>
  <si>
    <t>ScoreLeaderSeasonalD1000</t>
  </si>
  <si>
    <t>ScoreLeaderSeasonalE10</t>
  </si>
  <si>
    <t>ScoreLeaderSeasonalE1000</t>
  </si>
  <si>
    <t>ScoreLeaderMKDaily10</t>
  </si>
  <si>
    <t>Top Super Racer</t>
  </si>
  <si>
    <t>Achieve a Top 10 score on the Mario Kart leaderboard.</t>
  </si>
  <si>
    <t>ScoreLeaderMKDaily1000</t>
  </si>
  <si>
    <t>Top Racer</t>
  </si>
  <si>
    <t>Achieve a Top 1000 score on the Mario Kart leaderboard.</t>
  </si>
  <si>
    <t>VisitMarioLaunchDay</t>
  </si>
  <si>
    <t>Opening Month</t>
  </si>
  <si>
    <t>Visit Super Nintendo World during the anniversary month.</t>
  </si>
  <si>
    <t>VisitHalloween</t>
  </si>
  <si>
    <t>Halloween Treat</t>
  </si>
  <si>
    <t>Visit Super Nintendo World during October.</t>
  </si>
  <si>
    <t>VisitNewYear</t>
  </si>
  <si>
    <t>Happy New Year</t>
  </si>
  <si>
    <t>Visit Super Nintendo World between January 1 and January 15.</t>
  </si>
  <si>
    <t>VisitChristmas</t>
  </si>
  <si>
    <t>Holiday Party</t>
  </si>
  <si>
    <t>Visit Super Nintendo World during December.</t>
  </si>
  <si>
    <t>VisitWinter</t>
  </si>
  <si>
    <t>Winter Wonder</t>
  </si>
  <si>
    <t>Visit Super Nintendo World between December 1 and February 29.</t>
  </si>
  <si>
    <t>VisitSpring</t>
  </si>
  <si>
    <t>Spring Break</t>
  </si>
  <si>
    <t>Visit Super Nintendo World between March 1 and May 31.</t>
  </si>
  <si>
    <t>VisitSummer</t>
  </si>
  <si>
    <t>Summer Sun</t>
  </si>
  <si>
    <t>Visit Super Nintendo World between June 1 and August 31.</t>
  </si>
  <si>
    <t>VisitFall</t>
  </si>
  <si>
    <t>Fall Fun</t>
  </si>
  <si>
    <t>Visit Super Nintendo World between September 1 and November 30.</t>
  </si>
  <si>
    <t>PlayNoteBlockAny</t>
  </si>
  <si>
    <t>Take Note</t>
  </si>
  <si>
    <t>Play any note on Note Block Rock.</t>
  </si>
  <si>
    <t>PlayNoteBlockSong01</t>
  </si>
  <si>
    <t>Red Song</t>
  </si>
  <si>
    <t>Play the Red Song (Ground Theme) on Note Block Rock.</t>
  </si>
  <si>
    <t>PlayNoteBlockSong02</t>
  </si>
  <si>
    <t>Pink Song</t>
  </si>
  <si>
    <t>Play the Pink Song (Athletic) on Note Block Rock.</t>
  </si>
  <si>
    <t>PlayNoteBlockSong03</t>
  </si>
  <si>
    <t>Green Song</t>
  </si>
  <si>
    <t>Play the Green Song (Main Theme) on Note Block Rock.</t>
  </si>
  <si>
    <t>PlayNoteBlockSong04</t>
  </si>
  <si>
    <t>Yellow Song</t>
  </si>
  <si>
    <t>Play the Yellow Song (Bob-omb Battlefield) on Note Block Rock.</t>
  </si>
  <si>
    <t>PlayNoteBlockSong05</t>
  </si>
  <si>
    <t>Blue Song</t>
  </si>
  <si>
    <t>Play the Blue Song (Underground) on Note Block Rock.</t>
  </si>
  <si>
    <t>PlayNoteBlockSong06</t>
  </si>
  <si>
    <t>Cyan Song</t>
  </si>
  <si>
    <t>Play the Cyan Song (Water World) on Note Block Rock.</t>
  </si>
  <si>
    <t>PlayNoteBlockHidden01</t>
  </si>
  <si>
    <t>Secret Yellow Song</t>
  </si>
  <si>
    <t>Find a Secret Yellow Song (Slider) on Note Block Rock.</t>
  </si>
  <si>
    <t>PlayNoteBlockHidden02</t>
  </si>
  <si>
    <t>Secret Cyan Song</t>
  </si>
  <si>
    <t>Find a Secret Cyan Song (Airship) on Note Block Rock.</t>
  </si>
  <si>
    <t>PlayNoteBlockHidden03</t>
  </si>
  <si>
    <t>Secret Red Song</t>
  </si>
  <si>
    <t>Find a Secret Red Song (Ending Theme) on Note Block Rock.</t>
  </si>
  <si>
    <t>WinNoteBlockAllMain</t>
  </si>
  <si>
    <t>Maestro</t>
  </si>
  <si>
    <t>Correctly play all 6 main songs on Note Block Rock.</t>
  </si>
  <si>
    <t>PlaySlotMachine</t>
  </si>
  <si>
    <t>Beginner's Luck</t>
  </si>
  <si>
    <t>Play the Slot Machine.</t>
  </si>
  <si>
    <t>PlaySlotMachine7Times</t>
  </si>
  <si>
    <t>High Roller</t>
  </si>
  <si>
    <t>Play the Slot Machine 7 times.</t>
  </si>
  <si>
    <t>PunchQuestionBlock</t>
  </si>
  <si>
    <t>? Block</t>
  </si>
  <si>
    <t>Punch any ? Block.</t>
  </si>
  <si>
    <t>PunchQuestionBlockMondo</t>
  </si>
  <si>
    <t>Tiny Fists</t>
  </si>
  <si>
    <t>Punch a ? Block while you're small.</t>
  </si>
  <si>
    <t>PunchBrickBlock</t>
  </si>
  <si>
    <t>Brick Block</t>
  </si>
  <si>
    <t>Punch any Brick Block.</t>
  </si>
  <si>
    <t>PunchPOWBlock</t>
  </si>
  <si>
    <t>POW Block</t>
  </si>
  <si>
    <t>Punch a POW Block.</t>
  </si>
  <si>
    <t>PunchQuestionBlocksAllOneDay</t>
  </si>
  <si>
    <t>Question Master</t>
  </si>
  <si>
    <t>Punch every ? Block in a one day.</t>
  </si>
  <si>
    <t>PunchSNWBlocksAllOnce</t>
  </si>
  <si>
    <t>Block Breaker</t>
  </si>
  <si>
    <t>Punch every block in Super Nintendo World.</t>
  </si>
  <si>
    <t>PunchSNWBlocksAny250Times</t>
  </si>
  <si>
    <t>Block Buster</t>
  </si>
  <si>
    <t>Punch 250 blocks.</t>
  </si>
  <si>
    <t>PlayBinocularsAny</t>
  </si>
  <si>
    <t>Land Ahoy!</t>
  </si>
  <si>
    <t>Spot Super Mario Land through the Binoculars.</t>
  </si>
  <si>
    <t>FindBincoularsUltraZoomPikmin</t>
  </si>
  <si>
    <t>Pick out Pikmin</t>
  </si>
  <si>
    <t>Use the Binoculars to zoom in on the Pikmin on Mount Beanpole.</t>
  </si>
  <si>
    <t>FindBinocularsUltraZoomObservatory</t>
  </si>
  <si>
    <t>Comet Get It</t>
  </si>
  <si>
    <t>Use the Binoculars to zoom in on the Comet Observatory and Lumas.</t>
  </si>
  <si>
    <t>FindBinocularsUltraZoomAirship</t>
  </si>
  <si>
    <t>Sky's the Limit</t>
  </si>
  <si>
    <t>Use the Binoculars to zoom in on the airship.</t>
  </si>
  <si>
    <t>CollectBinocularsKey</t>
  </si>
  <si>
    <t>Hidden Key</t>
  </si>
  <si>
    <t>After you defeat Bowser Jr. in his Shadow Showdown, use the Binoculars to find a hidden key.</t>
  </si>
  <si>
    <t>CollectGoldenMushroom</t>
  </si>
  <si>
    <t>Golden Mushroom</t>
  </si>
  <si>
    <t>Battle Bowser Jr.</t>
  </si>
  <si>
    <t>CollectGoombaKey</t>
  </si>
  <si>
    <t>Goomba Crazy Crank Key</t>
  </si>
  <si>
    <t>Get the Goomba Crazy Crank Key.</t>
  </si>
  <si>
    <t>CollectKeys3Any</t>
  </si>
  <si>
    <t>Boss Battler</t>
  </si>
  <si>
    <t>Collect 3 keys to gain access to Bowser Jr.'s Lair.</t>
  </si>
  <si>
    <t>CollectKeysAllUnique</t>
  </si>
  <si>
    <t>Master Key</t>
  </si>
  <si>
    <t>Collect all 5 enemy keys.</t>
  </si>
  <si>
    <t>PunchBowserJrBlock</t>
  </si>
  <si>
    <t>First Punch</t>
  </si>
  <si>
    <t>Punch the Bowser Jr. Block.</t>
  </si>
  <si>
    <t>PlayBowserJrKoopaParaTroopaDefeat</t>
  </si>
  <si>
    <t>Koopa Paratroopa</t>
  </si>
  <si>
    <t>Defeat a Koopa Paratroopa.</t>
  </si>
  <si>
    <t>PlayBowserJrFirePiranhaPlantDefeat</t>
  </si>
  <si>
    <t>Fire Piranha Plant</t>
  </si>
  <si>
    <t>Defeat a Fire Piranha Plant.</t>
  </si>
  <si>
    <t>PlayBowserJrBonus</t>
  </si>
  <si>
    <t>Perfect Battle</t>
  </si>
  <si>
    <t>Win Bowser Jr. Shadow Showdown without taking damage.</t>
  </si>
  <si>
    <t>PunchBowserJrWingedBlock</t>
  </si>
  <si>
    <t>Flying ? Block</t>
  </si>
  <si>
    <t>Punch a flying ? Block.</t>
  </si>
  <si>
    <t>PlayBowserJrFireballDefeat</t>
  </si>
  <si>
    <t>Fire Fighter</t>
  </si>
  <si>
    <t>Destroy something with a Fireball.</t>
  </si>
  <si>
    <t>PlayBowserJrGreat</t>
  </si>
  <si>
    <t>Spectacular Win</t>
  </si>
  <si>
    <t>Defeat Bowser Jr. with every player in the group earning an average of at least 20 coins.</t>
  </si>
  <si>
    <t>PlayBowserJrHighScore</t>
  </si>
  <si>
    <t>Bowser Jr. Hero</t>
  </si>
  <si>
    <t>Defeat Bowser Jr. with the highest individual score.</t>
  </si>
  <si>
    <t>ScoreBowserJrCoinsTierAGame</t>
  </si>
  <si>
    <t>30 Coins</t>
  </si>
  <si>
    <t>Collect 30 or more coins in a single battle with Bowser Jr.</t>
  </si>
  <si>
    <t>ScoreBowserJrCoinsTierBGame</t>
  </si>
  <si>
    <t>55 Coins</t>
  </si>
  <si>
    <t>Collect 55 or more coins in a single battle with Bowser Jr.</t>
  </si>
  <si>
    <t>ScoreBowserJrCoinsTierALife</t>
  </si>
  <si>
    <t>100 Coins</t>
  </si>
  <si>
    <t>Collect 100 cumulative coins over all your battles with Bowser Jr.</t>
  </si>
  <si>
    <t>ScoreBowserJrCoinsTierBLife</t>
  </si>
  <si>
    <t>300 Coins</t>
  </si>
  <si>
    <t>Collect 300 cumulative coins over all your battles with Bowser Jr.</t>
  </si>
  <si>
    <t>FindMKHiddenItemPiranhaPlantPipeway</t>
  </si>
  <si>
    <t>Secret Block １</t>
  </si>
  <si>
    <t>Find and hit the secret block in the area where the Piranha Plants are.</t>
  </si>
  <si>
    <t>FindMKHiddenItemDolphinShoals</t>
  </si>
  <si>
    <t>Secret Block ２</t>
  </si>
  <si>
    <t>Find and hit the secret block in the underwater area where the Cheep Cheeps are.</t>
  </si>
  <si>
    <t>FindMKHiddenItemFishbone</t>
  </si>
  <si>
    <t>Secret Block 3</t>
  </si>
  <si>
    <t>Find and hit the secret block in the area near the school of Fishbones.</t>
  </si>
  <si>
    <t>FindMKHiddenItemTwistedMansion</t>
  </si>
  <si>
    <t>Secret Block ４</t>
  </si>
  <si>
    <t>Find and hit the secret block inside the haunted mansion where the Boos are.</t>
  </si>
  <si>
    <t>FindMKHiddenItemCloudtopCruise</t>
  </si>
  <si>
    <t>Secret Block ５</t>
  </si>
  <si>
    <t>Find and hit the secret block in the clouds where the Koopa Paratroopas are.</t>
  </si>
  <si>
    <t>FindMKHiddenItemLavaBowser</t>
  </si>
  <si>
    <t>Secret Block ６</t>
  </si>
  <si>
    <t>Find and hit the secret block hidden in the volcanic area where Lava Bowser appears.</t>
  </si>
  <si>
    <t>FindMKHiddenItemAll</t>
  </si>
  <si>
    <t>Secret Block Collector</t>
  </si>
  <si>
    <t>Find and hit all of the secret blocks throughout the entire course.</t>
  </si>
  <si>
    <t>playAccurateTierA</t>
  </si>
  <si>
    <t>On the Mark</t>
  </si>
  <si>
    <t>Land 3 hits on enemies or loot without missing.</t>
  </si>
  <si>
    <t>playAccurateTierB</t>
  </si>
  <si>
    <t>Sharp Shooter</t>
  </si>
  <si>
    <t>Land 10 hits on Team Bowser karts or other enemies without missing a shot.</t>
  </si>
  <si>
    <t>playAccurateTierC</t>
  </si>
  <si>
    <t>Land 20 hits on Team Bowser karts or other enemies without missing a shot.</t>
  </si>
  <si>
    <t>PlayMKTeamBowserHitAll</t>
  </si>
  <si>
    <t>Bye-Bye, Bowser</t>
  </si>
  <si>
    <t>Hit Bowser and all the Koopalings in a single race on Mario Kart.</t>
  </si>
  <si>
    <t>PlayMKBowserHitTierB</t>
  </si>
  <si>
    <t>Bowser Bruiser</t>
  </si>
  <si>
    <t>Hit Bowser with a Shell 10 times on Mario Kart.</t>
  </si>
  <si>
    <t>PlayMKBowserHitTierC</t>
  </si>
  <si>
    <t>Bowser Buster</t>
  </si>
  <si>
    <t>Hit Bowser with a Shell 25 times on Mario Kart.</t>
  </si>
  <si>
    <t>PlayVCBelleBottomHitTierA</t>
  </si>
  <si>
    <t>Lava Bowser</t>
  </si>
  <si>
    <t>Hit Lava Bowser with a Shell 20 times on Mario Kart.</t>
  </si>
  <si>
    <t>PlayVCBelleBottomHitTierB</t>
  </si>
  <si>
    <t>50 times</t>
  </si>
  <si>
    <t>PlayVCJeanClawedHitTierA</t>
  </si>
  <si>
    <t>Mega Fish Bone</t>
  </si>
  <si>
    <t>Hit Mega Fish Bone with a Shell 20 times on Mario Kart.</t>
  </si>
  <si>
    <t>PlayVCJeanClawedHitTierB</t>
  </si>
  <si>
    <t>PlayVCSvengeanceHitTierA</t>
  </si>
  <si>
    <t>PlayVCSvengeanceHitTierB</t>
  </si>
  <si>
    <t>PlayVCNunchuckHitTierA</t>
  </si>
  <si>
    <t>PlayVCNunchuckHitTierB</t>
  </si>
  <si>
    <t>PlayVCStrongholdHitTierA</t>
  </si>
  <si>
    <t>PlayVCStrongholdHitTierB</t>
  </si>
  <si>
    <t>PlayVCVectorHitTierA</t>
  </si>
  <si>
    <t>PlayVCVectorHitTierB</t>
  </si>
  <si>
    <t>PlayVCBrattHitTierA</t>
  </si>
  <si>
    <t>PlayVCBrattHitTierB</t>
  </si>
  <si>
    <t>PlayVCElMachoHitTierA</t>
  </si>
  <si>
    <t>PlayVCElMachoHitTierB</t>
  </si>
  <si>
    <t>PlayVCScarletHitTierA</t>
  </si>
  <si>
    <t>PlayVCScarletHitTierB</t>
  </si>
  <si>
    <t>PlayVCEnemy1DefeatTierA</t>
  </si>
  <si>
    <t>Koopa Krunch</t>
  </si>
  <si>
    <t>Defeat 5 Koopa Paratroopas on Mario Kart.</t>
  </si>
  <si>
    <t>PlayVCEnemy1DefeatTierB</t>
  </si>
  <si>
    <t>PlayVCEnemy2DefeatTierA</t>
  </si>
  <si>
    <t>Cheep Shot</t>
  </si>
  <si>
    <t>Defeat 5 Cheep Cheeps on Mario Kart.</t>
  </si>
  <si>
    <t>PlayVCEnemy2DefeatTierB</t>
  </si>
  <si>
    <t>PlayVCEnemy3DefeatTierA</t>
  </si>
  <si>
    <t>Boo Who?</t>
  </si>
  <si>
    <t>Defeat 5 Boos on Mario Kart.</t>
  </si>
  <si>
    <t>PlayVCEnemy3DefeatTierB</t>
  </si>
  <si>
    <t>PlayVCStartBonus</t>
  </si>
  <si>
    <t>Start Coin Bonus</t>
  </si>
  <si>
    <t>Get the Start Coin Bonus at the starting line in Mario Kart.</t>
  </si>
  <si>
    <t>DriveMKDrifter</t>
  </si>
  <si>
    <t>Drifter</t>
  </si>
  <si>
    <t>Successfully drift and achieve the maximum number of coins for three turns in a row.</t>
  </si>
  <si>
    <t>DriveMKDriftApprentice</t>
  </si>
  <si>
    <t>Drift Apprentice</t>
  </si>
  <si>
    <t>Successfully drift at least 12 turns in a single ride.</t>
  </si>
  <si>
    <t>DriveMKDriftMaster</t>
  </si>
  <si>
    <t>Drift Master</t>
  </si>
  <si>
    <t>Successfully drift each turn in the ride.</t>
  </si>
  <si>
    <t>WinMKFirstPlace</t>
  </si>
  <si>
    <t>First Place</t>
  </si>
  <si>
    <t>Finish in 1st place on Mario Kart.</t>
  </si>
  <si>
    <t>WinMKFirstPlace25</t>
  </si>
  <si>
    <t>Pro Racer</t>
  </si>
  <si>
    <t>Finish in 1st place 5 times on Mario Kart.</t>
  </si>
  <si>
    <t>WinMKFirstPlace5</t>
  </si>
  <si>
    <t>Trophy Hunter</t>
  </si>
  <si>
    <t>Finish in 1st place 2 times on Mario Kart.</t>
  </si>
  <si>
    <t>WinMKSecondPlace</t>
  </si>
  <si>
    <t>Place in the race</t>
  </si>
  <si>
    <t>Finish in 2nd place on Mario Kart.</t>
  </si>
  <si>
    <t>WinSlotMachineMatch4Mushroom</t>
  </si>
  <si>
    <t>Mushroom Match</t>
  </si>
  <si>
    <t>Match 4 Super Mushroom images on the Slot Machine.</t>
  </si>
  <si>
    <t>WinSlotMachineMatch4Egg</t>
  </si>
  <si>
    <t>Egg Match</t>
  </si>
  <si>
    <t>Match 4 Yoshi's Egg images on the Slot Machine.</t>
  </si>
  <si>
    <t>WinSlotMachineMatch4Leaf</t>
  </si>
  <si>
    <t>Leaf Match</t>
  </si>
  <si>
    <t>Match 4 Super Leaf images on the Slot Machine.</t>
  </si>
  <si>
    <t>WinSlotMachineMatch4Flower</t>
  </si>
  <si>
    <t>Flower Match</t>
  </si>
  <si>
    <t>Match 4 Fire Flower images on the Slot Machine.</t>
  </si>
  <si>
    <t>WinSlotMachineMatch4Star</t>
  </si>
  <si>
    <t>All-Star Match</t>
  </si>
  <si>
    <t>Match 4 Super Star images on the Slot Machine.</t>
  </si>
  <si>
    <t>Blaster Sync Information String</t>
  </si>
  <si>
    <t>Example:</t>
  </si>
  <si>
    <t>Blaster Needs?</t>
  </si>
  <si>
    <t>If issues with internet and fail silently</t>
  </si>
  <si>
    <t>If we warn the guest in-app that changes will not be applied because they don't have internet then:</t>
  </si>
  <si>
    <t>0XF0</t>
  </si>
  <si>
    <t>moment factory request</t>
  </si>
  <si>
    <t>Player Settings</t>
  </si>
  <si>
    <t>2-23</t>
  </si>
  <si>
    <t>Player ID (22 characters, SNW was 44 characters)</t>
  </si>
  <si>
    <t>0000000000000000000000</t>
  </si>
  <si>
    <t>Pending to add 0s to the left</t>
  </si>
  <si>
    <t>Yes, but could it be shorter?</t>
  </si>
  <si>
    <t>game needs this to know who to award things to</t>
  </si>
  <si>
    <t>Need this to call backend</t>
  </si>
  <si>
    <t>Player name (14 characters max in text string)</t>
  </si>
  <si>
    <t>SuperVillain87</t>
  </si>
  <si>
    <t>(padded to 15 chars), In-park leaderboard needs this (and may have been updated on app but not made it to the backend)</t>
  </si>
  <si>
    <t>Backend could provide the last version it knows</t>
  </si>
  <si>
    <t>Player color (1, from a pre-defined list of colors 0-Z)</t>
  </si>
  <si>
    <t>Pending to review if we can use the ID (right now we are using the ID but that is not matching tne 0-z values)</t>
  </si>
  <si>
    <t>Blaster uses this information immediately on sync</t>
  </si>
  <si>
    <t>Yes, required in sync data. Immediately impacts the blaster.</t>
  </si>
  <si>
    <t>Player avatar (1, from a pre-defined list of avatars 0-Z)</t>
  </si>
  <si>
    <t>Maybe</t>
  </si>
  <si>
    <r>
      <rPr>
        <sz val="11"/>
        <color theme="1"/>
        <rFont val="Arial"/>
        <family val="2"/>
      </rPr>
      <t xml:space="preserve">If cannot have player name on blaster screen, would like avatar to distinguish who the blaster belongs to (but may not be possible). </t>
    </r>
    <r>
      <rPr>
        <b/>
        <sz val="11"/>
        <color theme="1"/>
        <rFont val="Arial"/>
        <family val="2"/>
      </rPr>
      <t>In-park leaderboard needs this (and may have been updated on app but not made it to the backend)</t>
    </r>
  </si>
  <si>
    <t>Blaster Settings</t>
  </si>
  <si>
    <t>Elemental Default (1 value, 1=Force, 2=Fire, 3=Freeze, 4=Lightning)</t>
  </si>
  <si>
    <t>Done</t>
  </si>
  <si>
    <t>Blaster uses this information immediately on sync (effects colors, sounds, haptics, and screen on blaster)</t>
  </si>
  <si>
    <t>Force Elemental grade (1 value, 1-3)</t>
  </si>
  <si>
    <t>Yes (if this is the default)</t>
  </si>
  <si>
    <t>For the default set, Blaster/game uses this information immediately on sync. For non-defaut, it uses it as soon as the guest changes ammo type while playing.</t>
  </si>
  <si>
    <t>For the default elemental chosen, this is needed immediately. For non-default, this could be pulled from the last version the backend knows about.</t>
  </si>
  <si>
    <t>Standard Launcher Default name (1 value, 0-Z)</t>
  </si>
  <si>
    <t>For the default set, Game uses this information immediately on first moment playing. For non-defaut, it uses it as soon as the guest changes ammo type while playing.</t>
  </si>
  <si>
    <t>Fire Elemental grade (1 value, 1-3)</t>
  </si>
  <si>
    <t>bananaLauncher skin (1 value, from 1-Z for name, 0 is for no skin selected)</t>
  </si>
  <si>
    <t>Freeze Elemental grade (1 value, 1-3)</t>
  </si>
  <si>
    <t>fartLauncher skin (1 value, from 1-Z for name, 0 is for no skin selected)</t>
  </si>
  <si>
    <t>Lightning Elemental grade (1 value, 1-3)</t>
  </si>
  <si>
    <t>Lightning skin (1 value, from 1-Z for name, 0 is for no skin selected)</t>
  </si>
  <si>
    <t>pinballLauncher skin (1 value, from 1-Z for name, 0 is for no skin selected)</t>
  </si>
  <si>
    <t>Blaster uses this information immediately on sync (effects colors, haptics, and screen on blaster)</t>
  </si>
  <si>
    <t>Ultimate Blast name (1 value, 0-Z)</t>
  </si>
  <si>
    <t>Game (and in some cases, the blaster) uses this information immediately on first moment playing (and may have been updated on app but not made it to the backend)</t>
  </si>
  <si>
    <t>Some perks impact the blaster immediately, others only impact the game so backend could provide the last version it knows for some of the perks (but not all).</t>
  </si>
  <si>
    <t>Blaster/game uses this information immediately on sync (effects screen on blaster and populates content in the game)</t>
  </si>
  <si>
    <t>Combined hex string:</t>
  </si>
  <si>
    <t>cells in green are values indicated in the catalog under "Custom Data - Mobile App - Blaster Sync Value"</t>
  </si>
  <si>
    <t>If we can't send all of the above, we will need to have the app show an error if no internet connectivity in the queue and make the guest aware that their changes will not be applied until they get internet.</t>
  </si>
  <si>
    <t>Needed IMMEDIATELY on sync</t>
  </si>
  <si>
    <t>Needed WITHIN SECONDS of sync</t>
  </si>
  <si>
    <t>Needed BEFORE GAMEPLAY</t>
  </si>
  <si>
    <t>NOTE: Any changes to this document MUST BE REFLECTED on the UNIVERSAL CONFLUENCE PAGE:</t>
  </si>
  <si>
    <t>https://wiki.inbcu.com/display/UCP331/Blaster+NFC+String+Definition</t>
  </si>
  <si>
    <t>P331 Catalog Classes</t>
  </si>
  <si>
    <t>DEFAULT FALSE</t>
  </si>
  <si>
    <t>used in Data Validation sheet</t>
  </si>
  <si>
    <t>used in Catalog sheet</t>
  </si>
  <si>
    <t>Repeats</t>
  </si>
  <si>
    <t xml:space="preserve">item class </t>
  </si>
  <si>
    <t>beacon</t>
  </si>
  <si>
    <t>bundle</t>
  </si>
  <si>
    <t>container</t>
  </si>
  <si>
    <t>group</t>
  </si>
  <si>
    <t>daily</t>
  </si>
  <si>
    <t>interactive</t>
  </si>
  <si>
    <t>key</t>
  </si>
  <si>
    <t>location</t>
  </si>
  <si>
    <t>nonStackable</t>
  </si>
  <si>
    <t>RENAMED TO mission</t>
  </si>
  <si>
    <t>RENAMED TO elemental</t>
  </si>
  <si>
    <t>skill</t>
  </si>
  <si>
    <t>task</t>
  </si>
  <si>
    <t>Data Validation (shared by multiple sheets)</t>
  </si>
  <si>
    <t>values in ORANGE are not yet supported by BE</t>
  </si>
  <si>
    <t>AUTO-PULLED from Catalog Classes Sheet</t>
  </si>
  <si>
    <t>AUTO-PULLED from Catalog Sheet</t>
  </si>
  <si>
    <t>https://docs.microsoft.com/en-us/rest/api/playfab/admin/segments/create-segment?view=playfab-rest#segmentfiltercomparison</t>
  </si>
  <si>
    <t>AUTO-PULLED from 'TitleData: seasons' Sheet</t>
  </si>
  <si>
    <t>AUTO-PULLED from Statistics Sheet</t>
  </si>
  <si>
    <t>Data Type (Alphabetical)</t>
  </si>
  <si>
    <t>Any / All</t>
  </si>
  <si>
    <t>Artifact Type</t>
  </si>
  <si>
    <t>Catalog Classes</t>
  </si>
  <si>
    <t>Catalog Item Granter / Logic Owner</t>
  </si>
  <si>
    <t>Catalog Items - ALL (may be reward requirements)</t>
  </si>
  <si>
    <t>Catalog Items - REWARDS</t>
  </si>
  <si>
    <t>Catalog Items - LAUNCHERS</t>
  </si>
  <si>
    <t>Catalog Item Rarities (English)</t>
  </si>
  <si>
    <t>Catalog Item State Types (internal)</t>
  </si>
  <si>
    <t>Catalog Item State Types (English)</t>
  </si>
  <si>
    <t>Condition Type</t>
  </si>
  <si>
    <t>Comparison Type</t>
  </si>
  <si>
    <t>Operator</t>
  </si>
  <si>
    <t>Data Update Types</t>
  </si>
  <si>
    <t>DateTime Keys</t>
  </si>
  <si>
    <t>Locales</t>
  </si>
  <si>
    <t>Player Data Key</t>
  </si>
  <si>
    <t>PlayFab - Segment Filter Comparisons</t>
  </si>
  <si>
    <t>PlayFab - Login Providers</t>
  </si>
  <si>
    <t>PlayFab - Country Codes</t>
  </si>
  <si>
    <t>PlayFab - Currency Codes</t>
  </si>
  <si>
    <t>PlayFab - Churn Risk Levels</t>
  </si>
  <si>
    <t>PlayFab - Push Notification Device Platforms</t>
  </si>
  <si>
    <t>PlayFab - Statistic Aggregation Methods</t>
  </si>
  <si>
    <t>PlayFab - Statistic Reset Interval Options</t>
  </si>
  <si>
    <t>PlayFab - Result Table Node Types</t>
  </si>
  <si>
    <t>Reward Repeat</t>
  </si>
  <si>
    <t>Reward REquirement Count Method</t>
  </si>
  <si>
    <t>Reward Requirement Within Same</t>
  </si>
  <si>
    <t>Seasons</t>
  </si>
  <si>
    <t>Statistics/Leaderboards (ALL - CAN BE USED AS REWARD REQUIREMENT)</t>
  </si>
  <si>
    <t>Statistics/Leaderboards (PRIMARY - CAN BE GRANTED AS REWARD)</t>
  </si>
  <si>
    <t>Spreadsheet Version</t>
  </si>
  <si>
    <t>Tiered Badge</t>
  </si>
  <si>
    <t>Custom Data - Category</t>
  </si>
  <si>
    <t>Custom Data - Mobile - Lock Keys/ Types</t>
  </si>
  <si>
    <t>Custom Data - States - Tier 2 - Id</t>
  </si>
  <si>
    <t>Custom Data - States - Tier 2 - Type (internal)</t>
  </si>
  <si>
    <t>Custom Data - States - Tier 2 - Texts - English - Locale</t>
  </si>
  <si>
    <t>Custom Data - States - Tier 2 - Texts - English - Type (displayed)</t>
  </si>
  <si>
    <t>Custom Data - States - Tier 2  - Texts - English - Rarity</t>
  </si>
  <si>
    <t>Custom Data - States - Tier 3 - Id</t>
  </si>
  <si>
    <t>Custom Data - States - Tier 3 - Type (internal)</t>
  </si>
  <si>
    <t>Custom Data - States - Grade/Tier 3 - Texts - English - Locale</t>
  </si>
  <si>
    <t>Custom Data - States - Tier 3 - Texts - English - Type (displayed)</t>
  </si>
  <si>
    <t>Custom Data - States - Tier 3  - Texts - English - Rarity</t>
  </si>
  <si>
    <t>TRUE / FALSE</t>
  </si>
  <si>
    <t>Named Range</t>
  </si>
  <si>
    <t>DataValidation_AnyOrAll</t>
  </si>
  <si>
    <t>DataValidation_ArtifactType</t>
  </si>
  <si>
    <t>DataValidation_CatalogClass</t>
  </si>
  <si>
    <t>DataValidation_ItemAll</t>
  </si>
  <si>
    <t>DataValidation_ItemReward</t>
  </si>
  <si>
    <t>DataValidation_ItemLauncher</t>
  </si>
  <si>
    <t>DataValidation_ConditionType</t>
  </si>
  <si>
    <t>DataValidation_ComparisonType</t>
  </si>
  <si>
    <t>DataValidation_DataUpdateType</t>
  </si>
  <si>
    <t>DataValidation_DateTimeKey</t>
  </si>
  <si>
    <t>DataValidation_Locale</t>
  </si>
  <si>
    <t>DataValidation_PlayerDataKey</t>
  </si>
  <si>
    <t>DataValidation_PlayFabAggregationMethod</t>
  </si>
  <si>
    <t>DataValidation_PlayFabResetInterval</t>
  </si>
  <si>
    <t>DataValidation_RewardType</t>
  </si>
  <si>
    <t>DataValidation_RewardRepeat</t>
  </si>
  <si>
    <t>DataValidation_RewardCountMethod</t>
  </si>
  <si>
    <t>DataValidation_RewardWithinSame</t>
  </si>
  <si>
    <t>DataValidation_Season</t>
  </si>
  <si>
    <t>DataValidation_StatisticAll</t>
  </si>
  <si>
    <t>DataValidation_StatisticPrimary</t>
  </si>
  <si>
    <t>DataValidation_Event</t>
  </si>
  <si>
    <t>DataValidation_ItemUpdateType</t>
  </si>
  <si>
    <t>DataValidation_ItemDataKey</t>
  </si>
  <si>
    <t>DataValidation_MissionLocks</t>
  </si>
  <si>
    <t>DataValidation_TrueOrFalse</t>
  </si>
  <si>
    <t>Valid Values</t>
  </si>
  <si>
    <t>any</t>
  </si>
  <si>
    <t>owned</t>
  </si>
  <si>
    <t>date</t>
  </si>
  <si>
    <t>Contains</t>
  </si>
  <si>
    <t>AndroidDevice</t>
  </si>
  <si>
    <t>AED</t>
  </si>
  <si>
    <t>HighRisk</t>
  </si>
  <si>
    <t>ApplePushNotificationService</t>
  </si>
  <si>
    <t>items</t>
  </si>
  <si>
    <t>categories</t>
  </si>
  <si>
    <t>grade2</t>
  </si>
  <si>
    <t>grade3</t>
  </si>
  <si>
    <t>borrowed</t>
  </si>
  <si>
    <t>silver</t>
  </si>
  <si>
    <t>Silver</t>
  </si>
  <si>
    <t>or</t>
  </si>
  <si>
    <t>EqualTo</t>
  </si>
  <si>
    <t>Apple</t>
  </si>
  <si>
    <t>AFN</t>
  </si>
  <si>
    <t>LowRisk</t>
  </si>
  <si>
    <t>GoogleCloudMessaging</t>
  </si>
  <si>
    <t>TableId</t>
  </si>
  <si>
    <t>instances</t>
  </si>
  <si>
    <t>player_logged_in</t>
  </si>
  <si>
    <t>consume</t>
  </si>
  <si>
    <t>outcome</t>
  </si>
  <si>
    <t>gold</t>
  </si>
  <si>
    <t>IPB / Game</t>
  </si>
  <si>
    <t>Gold</t>
  </si>
  <si>
    <t>dayOfWeek</t>
  </si>
  <si>
    <t>Exists</t>
  </si>
  <si>
    <t>Custom</t>
  </si>
  <si>
    <t>ALL</t>
  </si>
  <si>
    <t>MediumRisk</t>
  </si>
  <si>
    <t>Min</t>
  </si>
  <si>
    <t>hourly</t>
  </si>
  <si>
    <t>revoke</t>
  </si>
  <si>
    <t>upgrade</t>
  </si>
  <si>
    <t>add</t>
  </si>
  <si>
    <t>GreaterThan</t>
  </si>
  <si>
    <t>CustomServer</t>
  </si>
  <si>
    <t>AMD</t>
  </si>
  <si>
    <t>NoData</t>
  </si>
  <si>
    <t>v3</t>
  </si>
  <si>
    <t>subtract</t>
  </si>
  <si>
    <t>GreaterThanOrEqual</t>
  </si>
  <si>
    <t>Facebook</t>
  </si>
  <si>
    <t>ANG</t>
  </si>
  <si>
    <t>Week</t>
  </si>
  <si>
    <t>weekly</t>
  </si>
  <si>
    <t>multiply</t>
  </si>
  <si>
    <t>LessThan</t>
  </si>
  <si>
    <t>FacebookInstantGames</t>
  </si>
  <si>
    <t>AOA</t>
  </si>
  <si>
    <t>monthly</t>
  </si>
  <si>
    <t>divide</t>
  </si>
  <si>
    <t>LessThanOrEqual</t>
  </si>
  <si>
    <t>GameCenter</t>
  </si>
  <si>
    <t>AM</t>
  </si>
  <si>
    <t>ARS</t>
  </si>
  <si>
    <t>grantOnEventPlayerLoggedIn</t>
  </si>
  <si>
    <t>seasonally</t>
  </si>
  <si>
    <t>NotContains</t>
  </si>
  <si>
    <t>GameServer</t>
  </si>
  <si>
    <t>AO</t>
  </si>
  <si>
    <t>AUD</t>
  </si>
  <si>
    <t>yearly</t>
  </si>
  <si>
    <t>NotEqualTo</t>
  </si>
  <si>
    <t>GooglePlay</t>
  </si>
  <si>
    <t>AQ</t>
  </si>
  <si>
    <t>AWG</t>
  </si>
  <si>
    <t>IOSDevice</t>
  </si>
  <si>
    <t>AR</t>
  </si>
  <si>
    <t>AZN</t>
  </si>
  <si>
    <t>done</t>
  </si>
  <si>
    <t>Kongregate</t>
  </si>
  <si>
    <t>AS</t>
  </si>
  <si>
    <t>BAM</t>
  </si>
  <si>
    <t>collected</t>
  </si>
  <si>
    <t>Collected</t>
  </si>
  <si>
    <t>NintendoSwitch</t>
  </si>
  <si>
    <t>AT</t>
  </si>
  <si>
    <t>BBD</t>
  </si>
  <si>
    <t>completed</t>
  </si>
  <si>
    <t>Completed</t>
  </si>
  <si>
    <t>NintendoSwitchAccount</t>
  </si>
  <si>
    <t>AU</t>
  </si>
  <si>
    <t>BDT</t>
  </si>
  <si>
    <t>OpenIdConnect</t>
  </si>
  <si>
    <t>AW</t>
  </si>
  <si>
    <t>BGN</t>
  </si>
  <si>
    <t>PSN</t>
  </si>
  <si>
    <t>AX</t>
  </si>
  <si>
    <t>BHD</t>
  </si>
  <si>
    <t>PlayFab</t>
  </si>
  <si>
    <t>AZ</t>
  </si>
  <si>
    <t>BIF</t>
  </si>
  <si>
    <t>Steam</t>
  </si>
  <si>
    <t>BA</t>
  </si>
  <si>
    <t>BMD</t>
  </si>
  <si>
    <t>Twitch</t>
  </si>
  <si>
    <t>BB</t>
  </si>
  <si>
    <t>BND</t>
  </si>
  <si>
    <t>Unknown</t>
  </si>
  <si>
    <t>BD</t>
  </si>
  <si>
    <t>BOB</t>
  </si>
  <si>
    <t>WindowsHello</t>
  </si>
  <si>
    <t>BE</t>
  </si>
  <si>
    <t>BRL</t>
  </si>
  <si>
    <t>XBoxLive</t>
  </si>
  <si>
    <t>BF</t>
  </si>
  <si>
    <t>BSD</t>
  </si>
  <si>
    <t>BG</t>
  </si>
  <si>
    <t>BTN</t>
  </si>
  <si>
    <t>BH</t>
  </si>
  <si>
    <t>BWP</t>
  </si>
  <si>
    <t>BI</t>
  </si>
  <si>
    <t>BYR</t>
  </si>
  <si>
    <t>BJ</t>
  </si>
  <si>
    <t>BZD</t>
  </si>
  <si>
    <t>BL</t>
  </si>
  <si>
    <t>CAD</t>
  </si>
  <si>
    <t>BM</t>
  </si>
  <si>
    <t>CDF</t>
  </si>
  <si>
    <t>BN</t>
  </si>
  <si>
    <t>CHF</t>
  </si>
  <si>
    <t>BO</t>
  </si>
  <si>
    <t>CLP</t>
  </si>
  <si>
    <t>BQ</t>
  </si>
  <si>
    <t>CNY</t>
  </si>
  <si>
    <t>BR</t>
  </si>
  <si>
    <t>COP</t>
  </si>
  <si>
    <t>BS</t>
  </si>
  <si>
    <t>CRC</t>
  </si>
  <si>
    <t>BT</t>
  </si>
  <si>
    <t>CUC</t>
  </si>
  <si>
    <t>BV</t>
  </si>
  <si>
    <t>CUP</t>
  </si>
  <si>
    <t>BW</t>
  </si>
  <si>
    <t>CVE</t>
  </si>
  <si>
    <t>BY</t>
  </si>
  <si>
    <t>CZK</t>
  </si>
  <si>
    <t>BZ</t>
  </si>
  <si>
    <t>DJF</t>
  </si>
  <si>
    <t>CA</t>
  </si>
  <si>
    <t>DKK</t>
  </si>
  <si>
    <t>CC</t>
  </si>
  <si>
    <t>DOP</t>
  </si>
  <si>
    <t>CD</t>
  </si>
  <si>
    <t>DZD</t>
  </si>
  <si>
    <t>CF</t>
  </si>
  <si>
    <t>EGP</t>
  </si>
  <si>
    <t>CG</t>
  </si>
  <si>
    <t>ERN</t>
  </si>
  <si>
    <t>CH</t>
  </si>
  <si>
    <t>ETB</t>
  </si>
  <si>
    <t>CI</t>
  </si>
  <si>
    <t>EUR</t>
  </si>
  <si>
    <t>CK</t>
  </si>
  <si>
    <t>FJD</t>
  </si>
  <si>
    <t>CL</t>
  </si>
  <si>
    <t>FKP</t>
  </si>
  <si>
    <t>CM</t>
  </si>
  <si>
    <t>GBP</t>
  </si>
  <si>
    <t>CN</t>
  </si>
  <si>
    <t>GEL</t>
  </si>
  <si>
    <t>CO</t>
  </si>
  <si>
    <t>GGP</t>
  </si>
  <si>
    <t>CR</t>
  </si>
  <si>
    <t>GHS</t>
  </si>
  <si>
    <t>CU</t>
  </si>
  <si>
    <t>GIP</t>
  </si>
  <si>
    <t>CV</t>
  </si>
  <si>
    <t>GMD</t>
  </si>
  <si>
    <t>CW</t>
  </si>
  <si>
    <t>GNF</t>
  </si>
  <si>
    <t>CX</t>
  </si>
  <si>
    <t>GTQ</t>
  </si>
  <si>
    <t>CY</t>
  </si>
  <si>
    <t>GYD</t>
  </si>
  <si>
    <t>CZ</t>
  </si>
  <si>
    <t>HKD</t>
  </si>
  <si>
    <t>DE</t>
  </si>
  <si>
    <t>HNL</t>
  </si>
  <si>
    <t>DJ</t>
  </si>
  <si>
    <t>HRK</t>
  </si>
  <si>
    <t>DK</t>
  </si>
  <si>
    <t>HTG</t>
  </si>
  <si>
    <t>DM</t>
  </si>
  <si>
    <t>HUF</t>
  </si>
  <si>
    <t>DO</t>
  </si>
  <si>
    <t>IDR</t>
  </si>
  <si>
    <t>DZ</t>
  </si>
  <si>
    <t>ILS</t>
  </si>
  <si>
    <t>EC</t>
  </si>
  <si>
    <t>IMP</t>
  </si>
  <si>
    <t>EE</t>
  </si>
  <si>
    <t>INR</t>
  </si>
  <si>
    <t>EG</t>
  </si>
  <si>
    <t>IQD</t>
  </si>
  <si>
    <t>EH</t>
  </si>
  <si>
    <t>IRR</t>
  </si>
  <si>
    <t>ER</t>
  </si>
  <si>
    <t>ISK</t>
  </si>
  <si>
    <t>ES</t>
  </si>
  <si>
    <t>JEP</t>
  </si>
  <si>
    <t>ET</t>
  </si>
  <si>
    <t>JMD</t>
  </si>
  <si>
    <t>FI</t>
  </si>
  <si>
    <t>JOD</t>
  </si>
  <si>
    <t>FJ</t>
  </si>
  <si>
    <t>JPY</t>
  </si>
  <si>
    <t>FK</t>
  </si>
  <si>
    <t>KES</t>
  </si>
  <si>
    <t>FM</t>
  </si>
  <si>
    <t>KGS</t>
  </si>
  <si>
    <t>FO</t>
  </si>
  <si>
    <t>KHR</t>
  </si>
  <si>
    <t>FR</t>
  </si>
  <si>
    <t>KMF</t>
  </si>
  <si>
    <t>GA</t>
  </si>
  <si>
    <t>KPW</t>
  </si>
  <si>
    <t>GB</t>
  </si>
  <si>
    <t>KRW</t>
  </si>
  <si>
    <t>GD</t>
  </si>
  <si>
    <t>KWD</t>
  </si>
  <si>
    <t>GE</t>
  </si>
  <si>
    <t>KYD</t>
  </si>
  <si>
    <t>GF</t>
  </si>
  <si>
    <t>KZT</t>
  </si>
  <si>
    <t>GG</t>
  </si>
  <si>
    <t>LAK</t>
  </si>
  <si>
    <t>GH</t>
  </si>
  <si>
    <t>LBP</t>
  </si>
  <si>
    <t>GI</t>
  </si>
  <si>
    <t>LKR</t>
  </si>
  <si>
    <t>GL</t>
  </si>
  <si>
    <t>LRD</t>
  </si>
  <si>
    <t>GM</t>
  </si>
  <si>
    <t>LSL</t>
  </si>
  <si>
    <t>GN</t>
  </si>
  <si>
    <t>LYD</t>
  </si>
  <si>
    <t>GP</t>
  </si>
  <si>
    <t>MAD</t>
  </si>
  <si>
    <t>GQ</t>
  </si>
  <si>
    <t>MDL</t>
  </si>
  <si>
    <t>GR</t>
  </si>
  <si>
    <t>MGA</t>
  </si>
  <si>
    <t>GS</t>
  </si>
  <si>
    <t>MKD</t>
  </si>
  <si>
    <t>GT</t>
  </si>
  <si>
    <t>MMK</t>
  </si>
  <si>
    <t>GU</t>
  </si>
  <si>
    <t>MNT</t>
  </si>
  <si>
    <t>GW</t>
  </si>
  <si>
    <t>MOP</t>
  </si>
  <si>
    <t>GY</t>
  </si>
  <si>
    <t>MRO</t>
  </si>
  <si>
    <t>HK</t>
  </si>
  <si>
    <t>MUR</t>
  </si>
  <si>
    <t>HM</t>
  </si>
  <si>
    <t>MVR</t>
  </si>
  <si>
    <t>HN</t>
  </si>
  <si>
    <t>MWK</t>
  </si>
  <si>
    <t>HR</t>
  </si>
  <si>
    <t>MXN</t>
  </si>
  <si>
    <t>HT</t>
  </si>
  <si>
    <t>MYR</t>
  </si>
  <si>
    <t>HU</t>
  </si>
  <si>
    <t>MZN</t>
  </si>
  <si>
    <t>ID</t>
  </si>
  <si>
    <t>NAD</t>
  </si>
  <si>
    <t>IE</t>
  </si>
  <si>
    <t>NGN</t>
  </si>
  <si>
    <t>IL</t>
  </si>
  <si>
    <t>NIO</t>
  </si>
  <si>
    <t>IM</t>
  </si>
  <si>
    <t>NOK</t>
  </si>
  <si>
    <t>IN</t>
  </si>
  <si>
    <t>NPR</t>
  </si>
  <si>
    <t>IO</t>
  </si>
  <si>
    <t>NZD</t>
  </si>
  <si>
    <t>IQ</t>
  </si>
  <si>
    <t>OMR</t>
  </si>
  <si>
    <t>IR</t>
  </si>
  <si>
    <t>PAB</t>
  </si>
  <si>
    <t>IS</t>
  </si>
  <si>
    <t>PEN</t>
  </si>
  <si>
    <t>IT</t>
  </si>
  <si>
    <t>PGK</t>
  </si>
  <si>
    <t>JE</t>
  </si>
  <si>
    <t>PHP</t>
  </si>
  <si>
    <t>JM</t>
  </si>
  <si>
    <t>PKR</t>
  </si>
  <si>
    <t>JO</t>
  </si>
  <si>
    <t>PLN</t>
  </si>
  <si>
    <t>JP</t>
  </si>
  <si>
    <t>PYG</t>
  </si>
  <si>
    <t>KE</t>
  </si>
  <si>
    <t>QAR</t>
  </si>
  <si>
    <t>KG</t>
  </si>
  <si>
    <t>RON</t>
  </si>
  <si>
    <t>KH</t>
  </si>
  <si>
    <t>RSD</t>
  </si>
  <si>
    <t>KI</t>
  </si>
  <si>
    <t>RUB</t>
  </si>
  <si>
    <t>KM</t>
  </si>
  <si>
    <t>RWF</t>
  </si>
  <si>
    <t>KN</t>
  </si>
  <si>
    <t>SAR</t>
  </si>
  <si>
    <t>KP</t>
  </si>
  <si>
    <t>SBD</t>
  </si>
  <si>
    <t>KR</t>
  </si>
  <si>
    <t>SCR</t>
  </si>
  <si>
    <t>KW</t>
  </si>
  <si>
    <t>SDG</t>
  </si>
  <si>
    <t>KY</t>
  </si>
  <si>
    <t>SEK</t>
  </si>
  <si>
    <t>KZ</t>
  </si>
  <si>
    <t>SGD</t>
  </si>
  <si>
    <t>LA</t>
  </si>
  <si>
    <t>SHP</t>
  </si>
  <si>
    <t>LB</t>
  </si>
  <si>
    <t>SLL</t>
  </si>
  <si>
    <t>LC</t>
  </si>
  <si>
    <t>SOS</t>
  </si>
  <si>
    <t>LI</t>
  </si>
  <si>
    <t>SPL</t>
  </si>
  <si>
    <t>LK</t>
  </si>
  <si>
    <t>SRD</t>
  </si>
  <si>
    <t>LR</t>
  </si>
  <si>
    <t>STD</t>
  </si>
  <si>
    <t>LS</t>
  </si>
  <si>
    <t>SVC</t>
  </si>
  <si>
    <t>LT</t>
  </si>
  <si>
    <t>SYP</t>
  </si>
  <si>
    <t>LU</t>
  </si>
  <si>
    <t>SZL</t>
  </si>
  <si>
    <t>LV</t>
  </si>
  <si>
    <t>THB</t>
  </si>
  <si>
    <t>LY</t>
  </si>
  <si>
    <t>TJS</t>
  </si>
  <si>
    <t>MA</t>
  </si>
  <si>
    <t>TMT</t>
  </si>
  <si>
    <t>MC</t>
  </si>
  <si>
    <t>TND</t>
  </si>
  <si>
    <t>MD</t>
  </si>
  <si>
    <t>TOP</t>
  </si>
  <si>
    <t>ME</t>
  </si>
  <si>
    <t>TRY</t>
  </si>
  <si>
    <t>MF</t>
  </si>
  <si>
    <t>TTD</t>
  </si>
  <si>
    <t>MG</t>
  </si>
  <si>
    <t>TVD</t>
  </si>
  <si>
    <t>MH</t>
  </si>
  <si>
    <t>TWD</t>
  </si>
  <si>
    <t>TZS</t>
  </si>
  <si>
    <t>UAH</t>
  </si>
  <si>
    <t>MM</t>
  </si>
  <si>
    <t>UGX</t>
  </si>
  <si>
    <t>MN</t>
  </si>
  <si>
    <t>USD</t>
  </si>
  <si>
    <t>MO</t>
  </si>
  <si>
    <t>UYU</t>
  </si>
  <si>
    <t>MP</t>
  </si>
  <si>
    <t>UZS</t>
  </si>
  <si>
    <t>MQ</t>
  </si>
  <si>
    <t>VEF</t>
  </si>
  <si>
    <t>MR</t>
  </si>
  <si>
    <t>VND</t>
  </si>
  <si>
    <t>MS</t>
  </si>
  <si>
    <t>VUV</t>
  </si>
  <si>
    <t>MT</t>
  </si>
  <si>
    <t>WST</t>
  </si>
  <si>
    <t>MU</t>
  </si>
  <si>
    <t>XAF</t>
  </si>
  <si>
    <t>MV</t>
  </si>
  <si>
    <t>XCD</t>
  </si>
  <si>
    <t>MW</t>
  </si>
  <si>
    <t>XDR</t>
  </si>
  <si>
    <t>MX</t>
  </si>
  <si>
    <t>XOF</t>
  </si>
  <si>
    <t>MY</t>
  </si>
  <si>
    <t>XPF</t>
  </si>
  <si>
    <t>MZ</t>
  </si>
  <si>
    <t>YER</t>
  </si>
  <si>
    <t>NA</t>
  </si>
  <si>
    <t>ZAR</t>
  </si>
  <si>
    <t>NC</t>
  </si>
  <si>
    <t>ZMW</t>
  </si>
  <si>
    <t>NE</t>
  </si>
  <si>
    <t>ZWD</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</si>
  <si>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</si>
  <si>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</si>
  <si>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</si>
  <si>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</si>
  <si>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</si>
  <si>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</si>
  <si>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</si>
  <si>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</si>
  <si>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</si>
  <si>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</si>
  <si>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</si>
  <si>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</si>
  <si>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</si>
  <si>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</si>
  <si>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</si>
  <si>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</si>
  <si>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</si>
  <si>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</si>
  <si>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</si>
  <si>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</si>
  <si>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</si>
  <si>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</si>
  <si>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</si>
  <si>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</si>
  <si>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</si>
  <si>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</si>
  <si>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</si>
  <si>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</si>
  <si>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</si>
  <si>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</si>
  <si>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</si>
  <si>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</si>
  <si>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</si>
  <si>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</si>
  <si>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</si>
  <si>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</si>
  <si>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</si>
  <si>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</si>
  <si>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</si>
  <si>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</si>
  <si>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</si>
  <si>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</si>
  <si>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</si>
  <si>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</si>
  <si>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</si>
  <si>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</si>
  <si>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</si>
  <si>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SV</t>
  </si>
  <si>
    <t>SX</t>
  </si>
  <si>
    <t>SY</t>
  </si>
  <si>
    <t>SZ</t>
  </si>
  <si>
    <t>TC</t>
  </si>
  <si>
    <t>TD</t>
  </si>
  <si>
    <t>TF</t>
  </si>
  <si>
    <t>TG</t>
  </si>
  <si>
    <t>TH</t>
  </si>
  <si>
    <t>TJ</t>
  </si>
  <si>
    <t>TK</t>
  </si>
  <si>
    <t>TL</t>
  </si>
  <si>
    <t>TM</t>
  </si>
  <si>
    <t>TN</t>
  </si>
  <si>
    <t>TO</t>
  </si>
  <si>
    <t>TR</t>
  </si>
  <si>
    <t>TT</t>
  </si>
  <si>
    <t>TV</t>
  </si>
  <si>
    <t>TW</t>
  </si>
  <si>
    <t>TZ</t>
  </si>
  <si>
    <t>UA</t>
  </si>
  <si>
    <t>UG</t>
  </si>
  <si>
    <t>UM</t>
  </si>
  <si>
    <t>US</t>
  </si>
  <si>
    <t>UY</t>
  </si>
  <si>
    <t>UZ</t>
  </si>
  <si>
    <t>VA</t>
  </si>
  <si>
    <t>VC</t>
  </si>
  <si>
    <t>VE</t>
  </si>
  <si>
    <t>VG</t>
  </si>
  <si>
    <t>VI</t>
  </si>
  <si>
    <t>VN</t>
  </si>
  <si>
    <t>VU</t>
  </si>
  <si>
    <t>WF</t>
  </si>
  <si>
    <t>WS</t>
  </si>
  <si>
    <t>YE</t>
  </si>
  <si>
    <t>YT</t>
  </si>
  <si>
    <t>ZA</t>
  </si>
  <si>
    <t>ZM</t>
  </si>
  <si>
    <t>ZW</t>
  </si>
  <si>
    <t xml:space="preserve">How To Upload Spreadsheet Data to PlayFab </t>
  </si>
  <si>
    <t>Data Type</t>
  </si>
  <si>
    <t>Catalog</t>
  </si>
  <si>
    <t>Catalog: Random Result Tables</t>
  </si>
  <si>
    <t>Catalog: Stores</t>
  </si>
  <si>
    <t>Title Data: (any)</t>
  </si>
  <si>
    <t>Players</t>
  </si>
  <si>
    <t>Player Segment</t>
  </si>
  <si>
    <t>Statistics / Leaderboards</t>
  </si>
  <si>
    <t>Virtual Currencies</t>
  </si>
  <si>
    <t>Select Sheet</t>
  </si>
  <si>
    <t xml:space="preserve">Go to the "Catalog" sheet.  If desired, go to PlayFab to duplicate the current catalog to back it up first.  </t>
  </si>
  <si>
    <t xml:space="preserve">Go to the "Catalog: Random Result Tables" sheet.  If desired, go to PlayFab to duplicate the current catalog to back it up first.  </t>
  </si>
  <si>
    <t xml:space="preserve">Go to the "Catalog: Stores" sheet.  If desired, go to PlayFab to duplicate the current catalog to back it up first.  </t>
  </si>
  <si>
    <t>Go to TitleData sheet you want to upload.</t>
  </si>
  <si>
    <t xml:space="preserve">Go to "Players" sheet.  </t>
  </si>
  <si>
    <t xml:space="preserve">Go to "Player Segments" sheet.  </t>
  </si>
  <si>
    <t xml:space="preserve">Go to "Statistics / Leaderboards" sheet.  </t>
  </si>
  <si>
    <t xml:space="preserve">Go to "Virtual Currencies" sheet.  </t>
  </si>
  <si>
    <t>Export Sheet</t>
  </si>
  <si>
    <r>
      <rPr>
        <sz val="12"/>
        <color theme="1"/>
        <rFont val="Arial"/>
        <family val="2"/>
      </rPr>
      <t xml:space="preserve">Navigate to TES Tools &gt; Export this sheet as ... &gt;  </t>
    </r>
    <r>
      <rPr>
        <b/>
        <sz val="12"/>
        <color theme="1"/>
        <rFont val="Arial"/>
        <family val="2"/>
      </rPr>
      <t>JSON (PlayFab Catalog)</t>
    </r>
    <r>
      <rPr>
        <sz val="12"/>
        <color theme="1"/>
        <rFont val="Arial"/>
        <family val="2"/>
      </rPr>
      <t>.</t>
    </r>
  </si>
  <si>
    <r>
      <rPr>
        <sz val="12"/>
        <color theme="1"/>
        <rFont val="Arial"/>
        <family val="2"/>
      </rPr>
      <t xml:space="preserve">Navigate to TES Tools &gt; Export this sheet as ... &gt;  </t>
    </r>
    <r>
      <rPr>
        <b/>
        <sz val="12"/>
        <color theme="1"/>
        <rFont val="Arial"/>
        <family val="2"/>
      </rPr>
      <t>JSON</t>
    </r>
    <r>
      <rPr>
        <sz val="12"/>
        <color theme="1"/>
        <rFont val="Arial"/>
        <family val="2"/>
      </rPr>
      <t>.</t>
    </r>
  </si>
  <si>
    <r>
      <rPr>
        <sz val="12"/>
        <color theme="1"/>
        <rFont val="Arial"/>
        <family val="2"/>
      </rPr>
      <t xml:space="preserve">Navigate to TES Tools &gt; Export this sheet as ... &gt;  </t>
    </r>
    <r>
      <rPr>
        <b/>
        <sz val="12"/>
        <color theme="1"/>
        <rFont val="Arial"/>
        <family val="2"/>
      </rPr>
      <t>JSON</t>
    </r>
    <r>
      <rPr>
        <sz val="12"/>
        <color theme="1"/>
        <rFont val="Arial"/>
        <family val="2"/>
      </rPr>
      <t>.</t>
    </r>
  </si>
  <si>
    <r>
      <rPr>
        <sz val="12"/>
        <color theme="1"/>
        <rFont val="Arial"/>
        <family val="2"/>
      </rPr>
      <t xml:space="preserve">Navigate to TES Tools &gt; Export this sheet as ... &gt;  </t>
    </r>
    <r>
      <rPr>
        <b/>
        <sz val="12"/>
        <color theme="1"/>
        <rFont val="Arial"/>
        <family val="2"/>
      </rPr>
      <t>JSON (PlayFab Configuration / Title Data)</t>
    </r>
    <r>
      <rPr>
        <sz val="12"/>
        <color theme="1"/>
        <rFont val="Arial"/>
        <family val="2"/>
      </rPr>
      <t>.</t>
    </r>
  </si>
  <si>
    <r>
      <rPr>
        <sz val="12"/>
        <color theme="1"/>
        <rFont val="Arial"/>
        <family val="2"/>
      </rPr>
      <t xml:space="preserve">Navigate to TES Tools &gt; Export this sheet as ... &gt;  </t>
    </r>
    <r>
      <rPr>
        <b/>
        <sz val="12"/>
        <color theme="1"/>
        <rFont val="Arial"/>
        <family val="2"/>
      </rPr>
      <t>JSON</t>
    </r>
    <r>
      <rPr>
        <sz val="12"/>
        <color theme="1"/>
        <rFont val="Arial"/>
        <family val="2"/>
      </rPr>
      <t>.</t>
    </r>
  </si>
  <si>
    <r>
      <rPr>
        <sz val="12"/>
        <color theme="1"/>
        <rFont val="Arial"/>
        <family val="2"/>
      </rPr>
      <t xml:space="preserve">Navigate to TES Tools &gt; Export this sheet as ... &gt;  </t>
    </r>
    <r>
      <rPr>
        <b/>
        <sz val="12"/>
        <color theme="1"/>
        <rFont val="Arial"/>
        <family val="2"/>
      </rPr>
      <t>JSON</t>
    </r>
    <r>
      <rPr>
        <sz val="12"/>
        <color theme="1"/>
        <rFont val="Arial"/>
        <family val="2"/>
      </rPr>
      <t>.</t>
    </r>
  </si>
  <si>
    <r>
      <rPr>
        <sz val="12"/>
        <color theme="1"/>
        <rFont val="Arial"/>
        <family val="2"/>
      </rPr>
      <t xml:space="preserve">Navigate to TES Tools &gt; Export this sheet as ... &gt;  </t>
    </r>
    <r>
      <rPr>
        <b/>
        <sz val="12"/>
        <color theme="1"/>
        <rFont val="Arial"/>
        <family val="2"/>
      </rPr>
      <t>JSON</t>
    </r>
    <r>
      <rPr>
        <sz val="12"/>
        <color theme="1"/>
        <rFont val="Arial"/>
        <family val="2"/>
      </rPr>
      <t>.</t>
    </r>
  </si>
  <si>
    <r>
      <rPr>
        <sz val="12"/>
        <color theme="1"/>
        <rFont val="Arial"/>
        <family val="2"/>
      </rPr>
      <t xml:space="preserve">Navigate to TES Tools &gt; Export this sheet as ... &gt;  </t>
    </r>
    <r>
      <rPr>
        <b/>
        <sz val="12"/>
        <color theme="1"/>
        <rFont val="Arial"/>
        <family val="2"/>
      </rPr>
      <t>JSON</t>
    </r>
    <r>
      <rPr>
        <sz val="12"/>
        <color theme="1"/>
        <rFont val="Arial"/>
        <family val="2"/>
      </rPr>
      <t>.</t>
    </r>
  </si>
  <si>
    <t>Copy JSON</t>
  </si>
  <si>
    <r>
      <rPr>
        <sz val="12"/>
        <color theme="1"/>
        <rFont val="Arial"/>
        <family val="2"/>
      </rPr>
      <t xml:space="preserve">Copy </t>
    </r>
    <r>
      <rPr>
        <b/>
        <i/>
        <sz val="12"/>
        <color theme="1"/>
        <rFont val="Arial"/>
        <family val="2"/>
      </rPr>
      <t>the whole JSON array</t>
    </r>
    <r>
      <rPr>
        <sz val="12"/>
        <color theme="1"/>
        <rFont val="Arial"/>
        <family val="2"/>
      </rPr>
      <t xml:space="preserve"> from the popup modal.</t>
    </r>
  </si>
  <si>
    <r>
      <rPr>
        <sz val="12"/>
        <color theme="1"/>
        <rFont val="Arial"/>
        <family val="2"/>
      </rPr>
      <t>Copy</t>
    </r>
    <r>
      <rPr>
        <b/>
        <i/>
        <sz val="12"/>
        <color theme="1"/>
        <rFont val="Arial"/>
        <family val="2"/>
      </rPr>
      <t xml:space="preserve"> the whole JSON array</t>
    </r>
    <r>
      <rPr>
        <sz val="12"/>
        <color theme="1"/>
        <rFont val="Arial"/>
        <family val="2"/>
      </rPr>
      <t xml:space="preserve"> from the popup modal.</t>
    </r>
  </si>
  <si>
    <r>
      <rPr>
        <sz val="12"/>
        <color theme="1"/>
        <rFont val="Arial"/>
        <family val="2"/>
      </rPr>
      <t xml:space="preserve">Copy </t>
    </r>
    <r>
      <rPr>
        <b/>
        <i/>
        <sz val="12"/>
        <color theme="1"/>
        <rFont val="Arial"/>
        <family val="2"/>
      </rPr>
      <t>one of the JSON objects</t>
    </r>
    <r>
      <rPr>
        <sz val="12"/>
        <color theme="1"/>
        <rFont val="Arial"/>
        <family val="2"/>
      </rPr>
      <t xml:space="preserve"> from the popup modal.  </t>
    </r>
    <r>
      <rPr>
        <sz val="12"/>
        <color rgb="FFFF6D01"/>
        <rFont val="Arial"/>
        <family val="2"/>
      </rPr>
      <t>Because the PlayFab API only takes one store at a time, there is no need to copy the whole array, just the array entry for the store object to upload.</t>
    </r>
  </si>
  <si>
    <r>
      <rPr>
        <sz val="12"/>
        <color theme="1"/>
        <rFont val="Arial"/>
        <family val="2"/>
      </rPr>
      <t xml:space="preserve">Copy </t>
    </r>
    <r>
      <rPr>
        <b/>
        <i/>
        <sz val="12"/>
        <color theme="1"/>
        <rFont val="Arial"/>
        <family val="2"/>
      </rPr>
      <t>the whole JSON string</t>
    </r>
    <r>
      <rPr>
        <sz val="12"/>
        <color theme="1"/>
        <rFont val="Arial"/>
        <family val="2"/>
      </rPr>
      <t xml:space="preserve"> from the popup modal.</t>
    </r>
  </si>
  <si>
    <r>
      <rPr>
        <sz val="12"/>
        <color theme="1"/>
        <rFont val="Arial"/>
        <family val="2"/>
      </rPr>
      <t xml:space="preserve">Copy </t>
    </r>
    <r>
      <rPr>
        <b/>
        <i/>
        <sz val="12"/>
        <color theme="1"/>
        <rFont val="Arial"/>
        <family val="2"/>
      </rPr>
      <t>one of the JSON objects</t>
    </r>
    <r>
      <rPr>
        <sz val="12"/>
        <color theme="1"/>
        <rFont val="Arial"/>
        <family val="2"/>
      </rPr>
      <t xml:space="preserve"> from the popup modal.  </t>
    </r>
    <r>
      <rPr>
        <sz val="12"/>
        <color rgb="FFFF6D01"/>
        <rFont val="Arial"/>
        <family val="2"/>
      </rPr>
      <t>Because the PlayFab API only takes one player at a time, there is no need to copy the whole array, just the array entry for the player object to upload.</t>
    </r>
  </si>
  <si>
    <r>
      <rPr>
        <sz val="12"/>
        <color theme="1"/>
        <rFont val="Arial"/>
        <family val="2"/>
      </rPr>
      <t xml:space="preserve">Copy </t>
    </r>
    <r>
      <rPr>
        <b/>
        <i/>
        <sz val="12"/>
        <color theme="1"/>
        <rFont val="Arial"/>
        <family val="2"/>
      </rPr>
      <t>one of the JSON objects</t>
    </r>
    <r>
      <rPr>
        <sz val="12"/>
        <color theme="1"/>
        <rFont val="Arial"/>
        <family val="2"/>
      </rPr>
      <t xml:space="preserve"> from the popup modal.  </t>
    </r>
    <r>
      <rPr>
        <sz val="12"/>
        <color rgb="FFFF6D01"/>
        <rFont val="Arial"/>
        <family val="2"/>
      </rPr>
      <t>Because the PlayFab API only takes one segment at a time, there is no need to copy the whole array, just the array entry for the segment object to upload.</t>
    </r>
  </si>
  <si>
    <r>
      <rPr>
        <sz val="12"/>
        <color theme="1"/>
        <rFont val="Arial"/>
        <family val="2"/>
      </rPr>
      <t xml:space="preserve">Copy </t>
    </r>
    <r>
      <rPr>
        <b/>
        <i/>
        <sz val="12"/>
        <color theme="1"/>
        <rFont val="Arial"/>
        <family val="2"/>
      </rPr>
      <t>one of the JSON objects</t>
    </r>
    <r>
      <rPr>
        <sz val="12"/>
        <color theme="1"/>
        <rFont val="Arial"/>
        <family val="2"/>
      </rPr>
      <t xml:space="preserve"> from the popup modal.  </t>
    </r>
    <r>
      <rPr>
        <sz val="12"/>
        <color rgb="FFFF6D01"/>
        <rFont val="Arial"/>
        <family val="2"/>
      </rPr>
      <t>Because the PlayFab API only takes one statistic definition at a time, there is no need to copy the whole array, just the array entry for one statistic object to upload.</t>
    </r>
  </si>
  <si>
    <r>
      <rPr>
        <sz val="12"/>
        <color theme="1"/>
        <rFont val="Arial"/>
        <family val="2"/>
      </rPr>
      <t xml:space="preserve">Copy </t>
    </r>
    <r>
      <rPr>
        <b/>
        <i/>
        <sz val="12"/>
        <color theme="1"/>
        <rFont val="Arial"/>
        <family val="2"/>
      </rPr>
      <t>the whole JSON array</t>
    </r>
    <r>
      <rPr>
        <sz val="12"/>
        <color theme="1"/>
        <rFont val="Arial"/>
        <family val="2"/>
      </rPr>
      <t xml:space="preserve"> from the popup modal.</t>
    </r>
  </si>
  <si>
    <t>Go to PostMan</t>
  </si>
  <si>
    <t>Go to Valtech Postman &gt; Uni P407 Workspace.</t>
  </si>
  <si>
    <t>Select PlayFab Environment</t>
  </si>
  <si>
    <t>Select the appropriate Playfab Sandbox environment.</t>
  </si>
  <si>
    <t>Select the API</t>
  </si>
  <si>
    <r>
      <rPr>
        <sz val="12"/>
        <color theme="1"/>
        <rFont val="Arial"/>
        <family val="2"/>
      </rPr>
      <t xml:space="preserve">Go to the PlayFab Sandbox collection &gt; Catalog &gt; </t>
    </r>
    <r>
      <rPr>
        <b/>
        <sz val="12"/>
        <color theme="1"/>
        <rFont val="Arial"/>
        <family val="2"/>
      </rPr>
      <t>SetCatalogItems</t>
    </r>
    <r>
      <rPr>
        <sz val="12"/>
        <color theme="1"/>
        <rFont val="Arial"/>
        <family val="2"/>
      </rPr>
      <t>.</t>
    </r>
  </si>
  <si>
    <r>
      <rPr>
        <sz val="12"/>
        <color theme="1"/>
        <rFont val="Arial"/>
        <family val="2"/>
      </rPr>
      <t xml:space="preserve">Go to the PlayFab Sandbox collection &gt; Catalog &gt; </t>
    </r>
    <r>
      <rPr>
        <b/>
        <sz val="12"/>
        <color theme="1"/>
        <rFont val="Arial"/>
        <family val="2"/>
      </rPr>
      <t>UpdateRandomResultTables</t>
    </r>
    <r>
      <rPr>
        <sz val="12"/>
        <color theme="1"/>
        <rFont val="Arial"/>
        <family val="2"/>
      </rPr>
      <t>.</t>
    </r>
  </si>
  <si>
    <r>
      <rPr>
        <sz val="12"/>
        <color theme="1"/>
        <rFont val="Arial"/>
        <family val="2"/>
      </rPr>
      <t xml:space="preserve">Go to the PlayFab Sandbox collection &gt; Catalog &gt; </t>
    </r>
    <r>
      <rPr>
        <b/>
        <sz val="12"/>
        <color theme="1"/>
        <rFont val="Arial"/>
        <family val="2"/>
      </rPr>
      <t>UpdateStoreItems</t>
    </r>
    <r>
      <rPr>
        <sz val="12"/>
        <color theme="1"/>
        <rFont val="Arial"/>
        <family val="2"/>
      </rPr>
      <t>.</t>
    </r>
  </si>
  <si>
    <r>
      <rPr>
        <sz val="12"/>
        <color theme="1"/>
        <rFont val="Arial"/>
        <family val="2"/>
      </rPr>
      <t xml:space="preserve">Go to the PlayFab Sandbox collection &gt; Title Data &gt; </t>
    </r>
    <r>
      <rPr>
        <b/>
        <sz val="12"/>
        <color theme="1"/>
        <rFont val="Arial"/>
        <family val="2"/>
      </rPr>
      <t>SetTitleData</t>
    </r>
    <r>
      <rPr>
        <sz val="12"/>
        <color theme="1"/>
        <rFont val="Arial"/>
        <family val="2"/>
      </rPr>
      <t>.</t>
    </r>
  </si>
  <si>
    <r>
      <rPr>
        <sz val="12"/>
        <color theme="1"/>
        <rFont val="Arial"/>
        <family val="2"/>
      </rPr>
      <t xml:space="preserve">Go to the PlayFab Sandbox collection &gt; Players &gt; </t>
    </r>
    <r>
      <rPr>
        <b/>
        <sz val="12"/>
        <color theme="1"/>
        <rFont val="Arial"/>
        <family val="2"/>
      </rPr>
      <t>LoginWithCustomID</t>
    </r>
    <r>
      <rPr>
        <sz val="12"/>
        <color theme="1"/>
        <rFont val="Arial"/>
        <family val="2"/>
      </rPr>
      <t>.</t>
    </r>
  </si>
  <si>
    <r>
      <rPr>
        <sz val="12"/>
        <color theme="1"/>
        <rFont val="Arial"/>
        <family val="2"/>
      </rPr>
      <t xml:space="preserve">Go to the PlayFab Sandbox collection &gt; Players &gt; </t>
    </r>
    <r>
      <rPr>
        <b/>
        <sz val="12"/>
        <color theme="1"/>
        <rFont val="Arial"/>
        <family val="2"/>
      </rPr>
      <t>CreateSegment</t>
    </r>
    <r>
      <rPr>
        <sz val="12"/>
        <color theme="1"/>
        <rFont val="Arial"/>
        <family val="2"/>
      </rPr>
      <t>.</t>
    </r>
  </si>
  <si>
    <r>
      <rPr>
        <sz val="12"/>
        <color theme="1"/>
        <rFont val="Arial"/>
        <family val="2"/>
      </rPr>
      <t xml:space="preserve">Go to the PlayFab Sandbox collection &gt; Leaderboards / Statistics &gt; </t>
    </r>
    <r>
      <rPr>
        <b/>
        <sz val="12"/>
        <color theme="1"/>
        <rFont val="Arial"/>
        <family val="2"/>
      </rPr>
      <t>CreatePlayerStatisticDefinition</t>
    </r>
    <r>
      <rPr>
        <sz val="12"/>
        <color theme="1"/>
        <rFont val="Arial"/>
        <family val="2"/>
      </rPr>
      <t>.</t>
    </r>
  </si>
  <si>
    <r>
      <rPr>
        <sz val="12"/>
        <color theme="1"/>
        <rFont val="Arial"/>
        <family val="2"/>
      </rPr>
      <t xml:space="preserve">Go to the PlayFab Sandbox collection &gt; Virtual Currencies &gt; </t>
    </r>
    <r>
      <rPr>
        <b/>
        <sz val="12"/>
        <color theme="1"/>
        <rFont val="Arial"/>
        <family val="2"/>
      </rPr>
      <t>AddVirtualCurrencyTypes</t>
    </r>
    <r>
      <rPr>
        <sz val="12"/>
        <color theme="1"/>
        <rFont val="Arial"/>
        <family val="2"/>
      </rPr>
      <t>.</t>
    </r>
  </si>
  <si>
    <t>Paste JSON</t>
  </si>
  <si>
    <t>Paste the copied JSON as the "Catalog" in the request body.</t>
  </si>
  <si>
    <t>Paste the copied JSON as the "Tables" in the request body.</t>
  </si>
  <si>
    <t>Replace the request body with the copied JSON object.</t>
  </si>
  <si>
    <t>Paste the copied JSON string as the "Value" in the request body.</t>
  </si>
  <si>
    <t>Paste the copied JSON object as the "SegmentModel" in the request body.</t>
  </si>
  <si>
    <t>Paste the copied JSON array as the "VirtualCurrencies" in the request body.</t>
  </si>
  <si>
    <t>Check the Request</t>
  </si>
  <si>
    <r>
      <rPr>
        <sz val="12"/>
        <color theme="1"/>
        <rFont val="Arial"/>
        <family val="2"/>
      </rPr>
      <t xml:space="preserve">Make sure the request body is using the correct CatalogVersion.  </t>
    </r>
    <r>
      <rPr>
        <sz val="12"/>
        <color rgb="FFFF6D01"/>
        <rFont val="Arial"/>
        <family val="2"/>
      </rPr>
      <t>Be careful as sending this API request will completely replace all items in the chosen CatalogVersion.</t>
    </r>
  </si>
  <si>
    <r>
      <rPr>
        <sz val="12"/>
        <color theme="1"/>
        <rFont val="Arial"/>
        <family val="2"/>
      </rPr>
      <t xml:space="preserve">Make sure the request body is using the correct CatalogVersion.  </t>
    </r>
    <r>
      <rPr>
        <sz val="12"/>
        <color rgb="FFFF6D01"/>
        <rFont val="Arial"/>
        <family val="2"/>
      </rPr>
      <t>Be careful as sending this API request will completely replace all random tables in the chosen CatalogVersion.</t>
    </r>
  </si>
  <si>
    <r>
      <rPr>
        <sz val="12"/>
        <color theme="1"/>
        <rFont val="Arial"/>
        <family val="2"/>
      </rPr>
      <t xml:space="preserve">Make sure the request body is using the correct CatalogVersion.  </t>
    </r>
    <r>
      <rPr>
        <sz val="12"/>
        <color rgb="FFFF6D01"/>
        <rFont val="Arial"/>
        <family val="2"/>
      </rPr>
      <t>Be careful as sending this API request will completely replace all random tables in the chosen CatalogVersion.</t>
    </r>
  </si>
  <si>
    <r>
      <rPr>
        <sz val="12"/>
        <color theme="1"/>
        <rFont val="Arial"/>
        <family val="2"/>
      </rPr>
      <t xml:space="preserve">Make sure the request body is using the correct Key. </t>
    </r>
    <r>
      <rPr>
        <sz val="12"/>
        <color rgb="FFFF6D01"/>
        <rFont val="Arial"/>
        <family val="2"/>
      </rPr>
      <t>Be careful as sending this API request will completely replace the value of the chosen Key.</t>
    </r>
  </si>
  <si>
    <t>Send the Request</t>
  </si>
  <si>
    <t>Click Send.</t>
  </si>
  <si>
    <t>Check the Response</t>
  </si>
  <si>
    <t>You should receive a successful response with a hex segment id for accessing the segment in the future.</t>
  </si>
  <si>
    <t>Verify the Upload</t>
  </si>
  <si>
    <t>Go to PlayFab &gt; Economy &gt; Catalogs to verify upload.</t>
  </si>
  <si>
    <t>Go to PlayFab &gt; Economy &gt; Catalogs &gt; Random Result Tables to verify upload.</t>
  </si>
  <si>
    <t>Go to PlayFab &gt; Content &gt; Title Data to verify upload.</t>
  </si>
  <si>
    <t>Go to PlayFab &gt; Players &gt; Segments to verify upload.</t>
  </si>
  <si>
    <t>Go to PlayFab &gt; Content &gt; Leaderboards to verify upload.</t>
  </si>
  <si>
    <t>Go to PlayFab &gt; Economy &gt; Currency to verify upload.</t>
  </si>
  <si>
    <t xml:space="preserve">NOTE: If item locations in catalog were updated, also re-upload "TitleData: locations" and "TitleData: Quests" </t>
  </si>
  <si>
    <t>P331 Leaderboard Time Ranges</t>
  </si>
  <si>
    <t>used in statistics / leaderboards</t>
  </si>
  <si>
    <t>Texts.0.Locale</t>
  </si>
  <si>
    <t>Texts.0.Description</t>
  </si>
  <si>
    <t>texts.0.description</t>
  </si>
  <si>
    <t>Monthly</t>
  </si>
  <si>
    <t>Weekly</t>
  </si>
  <si>
    <t>Yearly</t>
  </si>
  <si>
    <t>Reward Item Amount</t>
  </si>
  <si>
    <t>Reward Item Repeat</t>
  </si>
  <si>
    <t>Reward Statistic Id</t>
  </si>
  <si>
    <t>Reward Statistic Amount</t>
  </si>
  <si>
    <t>Reward Statistic Repeat</t>
  </si>
  <si>
    <t>Required A
Id</t>
  </si>
  <si>
    <t>Required A
Amount</t>
  </si>
  <si>
    <t>Required A
Custom Data A:
Key</t>
  </si>
  <si>
    <t>Required A
Custom Data A:
Value</t>
  </si>
  <si>
    <t>Required A
Custom Data A:
Update Type</t>
  </si>
  <si>
    <t>Required A
Custom Data B:
Key</t>
  </si>
  <si>
    <t>Required A
Custom Data B:
Value</t>
  </si>
  <si>
    <t>Required A
Custom Data B:
Update Type</t>
  </si>
  <si>
    <t>Required A
Within Same</t>
  </si>
  <si>
    <t>Required B
Id</t>
  </si>
  <si>
    <t>Required B
Amount</t>
  </si>
  <si>
    <t>Required B
Custom Data A:
Key</t>
  </si>
  <si>
    <t>Required B
Custom Data A:
Value</t>
  </si>
  <si>
    <t>Required B
Custom Data A:
Update Type</t>
  </si>
  <si>
    <t>Required B
Custom Data B:
Key</t>
  </si>
  <si>
    <t>Required B
Custom Data B:
Value</t>
  </si>
  <si>
    <t>Required B
Custom Data B:
Update Type</t>
  </si>
  <si>
    <t>Required B
Within Same</t>
  </si>
  <si>
    <t>Required C
Id</t>
  </si>
  <si>
    <t>Required C
Amount</t>
  </si>
  <si>
    <t>Required C
Custom Data A:
Key</t>
  </si>
  <si>
    <t>Required C
Custom Data A:
Value</t>
  </si>
  <si>
    <t>Required C
Custom Data A:
Update Type</t>
  </si>
  <si>
    <t>Required C
Custom Data B:
Key</t>
  </si>
  <si>
    <t>Required C
Custom Data B:
Value</t>
  </si>
  <si>
    <t>Required C
Custom Data B:
Update Type</t>
  </si>
  <si>
    <t>Required C
Within Same</t>
  </si>
  <si>
    <t>Required
Item Classes A
Id</t>
  </si>
  <si>
    <t>Required
Item Classes A
Min Amount</t>
  </si>
  <si>
    <t>Required
Item Classes A
Count Method</t>
  </si>
  <si>
    <t>Required
Item Classes A
Within Same</t>
  </si>
  <si>
    <t>Required
Item Classes B
Id</t>
  </si>
  <si>
    <t>Required
Item Classes B
Min Amount</t>
  </si>
  <si>
    <t>Required
Item Classes B
Count Method</t>
  </si>
  <si>
    <t>Required
Item Classes B
Within Same</t>
  </si>
  <si>
    <t>Reward</t>
  </si>
  <si>
    <t>Required</t>
  </si>
  <si>
    <t>Item</t>
  </si>
  <si>
    <t>Statistics</t>
  </si>
  <si>
    <t>Item Classes</t>
  </si>
  <si>
    <t>Item List</t>
  </si>
  <si>
    <t>Currencies</t>
  </si>
  <si>
    <t>Player Data</t>
  </si>
  <si>
    <t>Amount</t>
  </si>
  <si>
    <t>Repeat</t>
  </si>
  <si>
    <t>Min Amount</t>
  </si>
  <si>
    <t>Custom Data</t>
  </si>
  <si>
    <t>Within Same</t>
  </si>
  <si>
    <t>Count Method</t>
  </si>
  <si>
    <t>Ids</t>
  </si>
  <si>
    <t>Key</t>
  </si>
  <si>
    <t>Value</t>
  </si>
  <si>
    <t>Update Type</t>
  </si>
  <si>
    <t>set|unset|add|subtract|multiply|divide
default: set
currently supported: set</t>
  </si>
  <si>
    <t>instances
items</t>
  </si>
  <si>
    <t>CollectEggBlockBlue</t>
  </si>
  <si>
    <t>CollectEggBlockGreen</t>
  </si>
  <si>
    <t>CollectEggBlockPink</t>
  </si>
  <si>
    <t>KeyARBinoculars</t>
  </si>
  <si>
    <t>KeyBobomb</t>
  </si>
  <si>
    <t>KeyGoomba</t>
  </si>
  <si>
    <t>FlagsBlockQuestion</t>
  </si>
  <si>
    <t>FlagsBlock</t>
  </si>
  <si>
    <t>FlagBowserJrCoins</t>
  </si>
  <si>
    <t>PlayBobomb</t>
  </si>
  <si>
    <t>win</t>
  </si>
  <si>
    <t>won</t>
  </si>
  <si>
    <t>always?</t>
  </si>
  <si>
    <t>playerLevel</t>
  </si>
  <si>
    <t>Before a player makes selections in the app, these are the defaults that populate:</t>
  </si>
  <si>
    <t>Elemental Blast selected</t>
  </si>
  <si>
    <t>Force Blast (Grade 1)</t>
  </si>
  <si>
    <t>Upgrades selected</t>
  </si>
  <si>
    <t>Skins selected</t>
  </si>
  <si>
    <t>Standard Launcher selected</t>
  </si>
  <si>
    <t>Cannonball</t>
  </si>
  <si>
    <t>Ultimate Launcher selected</t>
  </si>
  <si>
    <t>Perks selected</t>
  </si>
  <si>
    <t>Player Color selected</t>
  </si>
  <si>
    <t>(Random)</t>
  </si>
  <si>
    <t>Name selected</t>
  </si>
  <si>
    <t>(Generate using prefix)</t>
  </si>
  <si>
    <t>Character Image selected</t>
  </si>
  <si>
    <t>Random</t>
  </si>
  <si>
    <t>Mission selected</t>
  </si>
  <si>
    <t>Highscore</t>
  </si>
  <si>
    <t>(pulls current, which would be 0)</t>
  </si>
  <si>
    <t>Level</t>
  </si>
  <si>
    <t>(pulls current, which would be 1)</t>
  </si>
  <si>
    <t>Available Missions</t>
  </si>
  <si>
    <t>(list)</t>
  </si>
  <si>
    <t>Threshold</t>
  </si>
  <si>
    <t>Difference</t>
  </si>
  <si>
    <t>Rationale</t>
  </si>
  <si>
    <t>0*</t>
  </si>
  <si>
    <t>Players start with zero cumulative points. Players start with one perk slot.</t>
  </si>
  <si>
    <t>Current thinking is that players will score about 80,000 total points on their first run. This threshold should allow most players to earn a level on their first session.</t>
  </si>
  <si>
    <t>Current thinking is that players will score about 90,000 total points on their second run. This threshold should allow most players to earn a level on their second session.</t>
  </si>
  <si>
    <t>3*</t>
  </si>
  <si>
    <t>Current thinking is that players will score about 100,000 total points on their third run. This threshold should allow most players to earn a level on their third session.</t>
  </si>
  <si>
    <t>Current thinking is that players will score about 100,000 total points on their future runs.</t>
  </si>
  <si>
    <t>6*</t>
  </si>
  <si>
    <t>10*</t>
  </si>
  <si>
    <t>11+</t>
  </si>
  <si>
    <t>Varies</t>
  </si>
  <si>
    <t>Players can earn levels indefinitely, up to the maximum the app can display (99 or 999?). However, once all of the available perks are unlocked, levels only offer players bragging rights.</t>
  </si>
  <si>
    <t>Bold* levels award a new perk slot.</t>
  </si>
  <si>
    <t>Initial Grant from Tag In TitleData: jsonToEndpoints?</t>
  </si>
  <si>
    <t>Related Reward Grant In TitleData: rewards?</t>
  </si>
  <si>
    <t>GameSim tag (in rideSummary-request.json)</t>
  </si>
  <si>
    <t>stat id</t>
  </si>
  <si>
    <t>value</t>
  </si>
  <si>
    <t>granted loot playfab id (NOT TIED TO ACTIVE MISSION)</t>
  </si>
  <si>
    <t>granted action playfab id (granted by rideSummary mapping parse)</t>
  </si>
  <si>
    <t>related catalog id (actions/missions/achievements granted by rewards engine based on column J counts)</t>
  </si>
  <si>
    <t>rideSummary</t>
  </si>
  <si>
    <t>totalScore</t>
  </si>
  <si>
    <t>use toplevel totalScore, OR sum all SCORES across all scenes (single game)</t>
  </si>
  <si>
    <t>w/in scenes</t>
  </si>
  <si>
    <t>Environmental.*</t>
  </si>
  <si>
    <t>sum all counts across all scenes (single game)</t>
  </si>
  <si>
    <t>WeaponUsedLauncherStandard</t>
  </si>
  <si>
    <t>sum all counts across multiple games</t>
  </si>
  <si>
    <t>WeaponUsedLauncherUltimate</t>
  </si>
  <si>
    <t>StatusInflictedFreezeCharacter</t>
  </si>
  <si>
    <t>freezes</t>
  </si>
  <si>
    <t>StatusInflictedFreezeEnvironment</t>
  </si>
  <si>
    <t>StatusInflictedFireCharacter</t>
  </si>
  <si>
    <t>burns</t>
  </si>
  <si>
    <t>StatusInflictedFireEnvironment</t>
  </si>
  <si>
    <t>StatusInflictedForceCharacter</t>
  </si>
  <si>
    <t>knockdowns</t>
  </si>
  <si>
    <t>StatusInflictedForceEnvironment</t>
  </si>
  <si>
    <t>StatusInflictedLightningCharacter</t>
  </si>
  <si>
    <t>shocks</t>
  </si>
  <si>
    <t>StatusInflictedLightningEnvironment</t>
  </si>
  <si>
    <t>Mob.mobMinion.*</t>
  </si>
  <si>
    <t>Mob.mobMinion.MinionJetpack</t>
  </si>
  <si>
    <t>Mob.mobMinion.MinionRoller</t>
  </si>
  <si>
    <t>Mob.mobRollingBot.BotPedestal</t>
  </si>
  <si>
    <t>NO NEED FOR ACTIVE MISSION</t>
  </si>
  <si>
    <t>Mob.mobRollingBot.BotRoller</t>
  </si>
  <si>
    <t>Mob.mobFlyingDrone.*</t>
  </si>
  <si>
    <t>Boss.*</t>
  </si>
  <si>
    <t>ExplodeBomb</t>
  </si>
  <si>
    <t>Environmental.envDestructible.sc01CrateTNT</t>
  </si>
  <si>
    <t>Environmental.envDestructible.sc01Bomb</t>
  </si>
  <si>
    <t>Environmental.envDestructible.sc01Mine</t>
  </si>
  <si>
    <t>Environmental.envDestructible.sc07CrateTNT</t>
  </si>
  <si>
    <t>Environmental.envDestructible.sc07Bomb</t>
  </si>
  <si>
    <t>Environmental.envDestructible.sc07Mine</t>
  </si>
  <si>
    <t>StealPickupFromCharacter</t>
  </si>
  <si>
    <t>WeaponSwappedElement</t>
  </si>
  <si>
    <t>WeaponNerfed</t>
  </si>
  <si>
    <t>do this once, you get it</t>
  </si>
  <si>
    <t>LAUNCHER AWARDED AFTER MISSION SUCCESS ONLY</t>
  </si>
  <si>
    <t>Pickup.pickupLauncher.launcherIronFists</t>
  </si>
  <si>
    <t>Pickup.pickupLauncher.launcherNunchuck</t>
  </si>
  <si>
    <t>Pickup.pickupLauncher.launcherShockwave</t>
  </si>
  <si>
    <t>Pickup.pickupLauncher.launcherSpikedBall</t>
  </si>
  <si>
    <t>Pickup.pickupLauncher.launcherLaserLightshow</t>
  </si>
  <si>
    <t>Pickup.pickupLoot.lootMedallionCommon</t>
  </si>
  <si>
    <t>sum all SCORES across all scenes (single game)</t>
  </si>
  <si>
    <t>Pickup.pickupLoot.lootMedallionUncommon</t>
  </si>
  <si>
    <t>Pickup.pickupLoot.lootMedallionRare</t>
  </si>
  <si>
    <t>Pickup.pickupLoot.lootAgnesUnicornOriginal</t>
  </si>
  <si>
    <t>Pickup.pickupLoot.lootAgnesUnicornToiletBrush</t>
  </si>
  <si>
    <t>Pickup.pickupLoot.lootBeeDohMegaphone</t>
  </si>
  <si>
    <t>Pickup.pickupLoot.lootBoogieRobot</t>
  </si>
  <si>
    <t>Pickup.pickupLoot.lootBigBenSnowglobe</t>
  </si>
  <si>
    <t>Pickup.pickupLoot.lootBrattActionFig</t>
  </si>
  <si>
    <t>Pickup.pickupLoot.lootBrattBubblegum</t>
  </si>
  <si>
    <t>Pickup.pickupLoot.lootLunchbox</t>
  </si>
  <si>
    <t>Pickup.pickupLoot.lootBrattMixtape</t>
  </si>
  <si>
    <t>Pickup.pickupLoot.lootClive</t>
  </si>
  <si>
    <t>Pickup.pickupLoot.lootCoconutties</t>
  </si>
  <si>
    <t>Pickup.pickupLoot.lootCookieRobot</t>
  </si>
  <si>
    <t>Pickup.pickupLoot.lootDrawingGruToilet</t>
  </si>
  <si>
    <t>Pickup.pickupLoot.lootDrawingGruV6</t>
  </si>
  <si>
    <t>Pickup.pickupLoot.lootDrusScarf</t>
  </si>
  <si>
    <t>Pickup.pickupLoot.lootDumontDiamond</t>
  </si>
  <si>
    <t>Pickup.pickupLoot.lootElMachoMask</t>
  </si>
  <si>
    <t>Pickup.pickupLoot.lootGoldenGuardian</t>
  </si>
  <si>
    <t>Pickup.pickupLoot.lootGruPinkSpacesuit</t>
  </si>
  <si>
    <t>Pickup.pickupLoot.lootGrusJelly</t>
  </si>
  <si>
    <t>Pickup.pickupLoot.lootGrusScarf</t>
  </si>
  <si>
    <t>Pickup.pickupLoot.lootGuacamoleSombrero</t>
  </si>
  <si>
    <t>Pickup.pickupLoot.lootHattieBoxShame</t>
  </si>
  <si>
    <t>Pickup.pickupLoot.lootHypnoHat</t>
  </si>
  <si>
    <t>Pickup.pickupLoot.lootJuniorKungFuBadge</t>
  </si>
  <si>
    <t>Pickup.pickupLoot.lootLipstickTaser</t>
  </si>
  <si>
    <t>Pickup.pickupLoot.lootManicEnergyDrink</t>
  </si>
  <si>
    <t>Pickup.pickupLoot.lootOttoPetRock</t>
  </si>
  <si>
    <t>Pickup.pickupLoot.lootOttoTricycle</t>
  </si>
  <si>
    <t>Pickup.pickupLoot.lootQueensCrown</t>
  </si>
  <si>
    <t>Pickup.pickupLoot.lootSleepyKittensBook</t>
  </si>
  <si>
    <t>Pickup.pickupLoot.lootStickyFingers</t>
  </si>
  <si>
    <t>Pickup.pickupLoot.lootStretchSuit</t>
  </si>
  <si>
    <t>Pickup.pickupLoot.lootSwordExcalibur</t>
  </si>
  <si>
    <t>Pickup.pickupLoot.lootTimTeddyBear</t>
  </si>
  <si>
    <t>Pickup.pickupLoot.lootTinyMoon</t>
  </si>
  <si>
    <t>Pickup.pickupLoot.lootV6ActionFigures</t>
  </si>
  <si>
    <t>Pickup.pickupLoot.lootVillainConHat</t>
  </si>
  <si>
    <t>Pickup.pickupLoot.lootVillainConShirt</t>
  </si>
  <si>
    <t>Pickup.pickupLoot.lootZodiacStones</t>
  </si>
  <si>
    <t>Sc02BossStrongholdDeathblossom</t>
  </si>
  <si>
    <t>TYPO IN "MISSLE" BUT KEEP</t>
  </si>
  <si>
    <t>Environmental.envDestructible.sc03NoteMissle</t>
  </si>
  <si>
    <t>Environmental.envDestructible.sc03Cloud</t>
  </si>
  <si>
    <t>Sc03InstrumentTrackChange</t>
  </si>
  <si>
    <t>Sc04DrainWater</t>
  </si>
  <si>
    <t>Environmental.envDestructible.sc05Blimp</t>
  </si>
  <si>
    <t>Environmental.envDestructible.sc06RecordVinyl</t>
  </si>
  <si>
    <t>Environmental.envDestructible.sc06RecordGold</t>
  </si>
  <si>
    <t>Environmental.envDestructible.sc06RecordPlatinum</t>
  </si>
  <si>
    <t>Environmental.envDestructible.sc06RecordDiamond</t>
  </si>
  <si>
    <t>Environmental.envDestructible.sc06BubbleLarge</t>
  </si>
  <si>
    <t>Environmental.envDestructible.sc06BubbleMedium</t>
  </si>
  <si>
    <t>Environmental.envDestructible.sc06BubbleSmall</t>
  </si>
  <si>
    <t>Mob.mobFlyingDrone.DroneVector</t>
  </si>
  <si>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</sst>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9" x14ac:knownFonts="1">
    <font>
      <sz val="10"/>
      <color rgb="FF000000"/>
      <name val="Arial"/>
      <scheme val="minor"/>
    </font>
    <font>
      <b/>
      <sz val="11"/>
      <color rgb="FFFFFFFF"/>
      <name val="Arial"/>
      <family val="2"/>
      <scheme val="minor"/>
    </font>
    <font>
      <b/>
      <sz val="10"/>
      <color rgb="FFFFFFFF"/>
      <name val="Arial"/>
      <family val="2"/>
      <scheme val="minor"/>
    </font>
    <font>
      <sz val="11"/>
      <color rgb="FFFFFFFF"/>
      <name val="Arial"/>
      <family val="2"/>
      <scheme val="minor"/>
    </font>
    <font>
      <sz val="10"/>
      <color rgb="FFFFFFFF"/>
      <name val="Arial"/>
      <family val="2"/>
      <scheme val="minor"/>
    </font>
    <font>
      <i/>
      <sz val="10"/>
      <color theme="1"/>
      <name val="Arial"/>
      <family val="2"/>
      <scheme val="minor"/>
    </font>
    <font>
      <i/>
      <sz val="10"/>
      <color rgb="FF000000"/>
      <name val="Arial"/>
      <family val="2"/>
    </font>
    <font>
      <sz val="11"/>
      <color theme="1"/>
      <name val="Arial"/>
      <family val="2"/>
      <scheme val="minor"/>
    </font>
    <font>
      <sz val="10"/>
      <color rgb="FF000000"/>
      <name val="Arial"/>
      <family val="2"/>
    </font>
    <font>
      <sz val="10"/>
      <color theme="1"/>
      <name val="Arial"/>
      <family val="2"/>
      <scheme val="minor"/>
    </font>
    <font>
      <u/>
      <sz val="10"/>
      <color rgb="FF000000"/>
      <name val="Arial"/>
      <family val="2"/>
    </font>
    <font>
      <sz val="11"/>
      <color theme="1"/>
      <name val="Arial"/>
      <family val="2"/>
    </font>
    <font>
      <sz val="10"/>
      <color theme="1"/>
      <name val="Arial"/>
      <family val="2"/>
    </font>
    <font>
      <sz val="11"/>
      <color rgb="FF000000"/>
      <name val="Arial"/>
      <family val="2"/>
    </font>
    <font>
      <sz val="11"/>
      <color rgb="FF000000"/>
      <name val="Inconsolata"/>
    </font>
    <font>
      <sz val="11"/>
      <color rgb="FF000000"/>
      <name val="Arial"/>
      <family val="2"/>
      <scheme val="minor"/>
    </font>
    <font>
      <sz val="10"/>
      <color rgb="FF000000"/>
      <name val="Arial"/>
      <family val="2"/>
      <scheme val="minor"/>
    </font>
    <font>
      <sz val="10"/>
      <color rgb="FFFF0000"/>
      <name val="Montserrat"/>
    </font>
    <font>
      <sz val="11"/>
      <color rgb="FFFF0000"/>
      <name val="Montserrat"/>
    </font>
    <font>
      <strike/>
      <sz val="10"/>
      <color rgb="FFFF0000"/>
      <name val="Montserrat"/>
    </font>
    <font>
      <b/>
      <sz val="11"/>
      <color rgb="FFF7981D"/>
      <name val="Arial"/>
      <family val="2"/>
    </font>
    <font>
      <b/>
      <sz val="10"/>
      <color rgb="FFFFFFFF"/>
      <name val="Arial"/>
      <family val="2"/>
    </font>
    <font>
      <b/>
      <sz val="12"/>
      <color rgb="FFFFFFFF"/>
      <name val="Arial"/>
      <family val="2"/>
    </font>
    <font>
      <b/>
      <sz val="11"/>
      <color rgb="FFFF9900"/>
      <name val="Arial"/>
      <family val="2"/>
    </font>
    <font>
      <b/>
      <sz val="10"/>
      <color rgb="FFF7981D"/>
      <name val="Arial"/>
      <family val="2"/>
    </font>
    <font>
      <b/>
      <sz val="11"/>
      <color rgb="FFFFFFFF"/>
      <name val="Arial"/>
      <family val="2"/>
    </font>
    <font>
      <b/>
      <sz val="11"/>
      <color rgb="FFFF6D01"/>
      <name val="Arial"/>
      <family val="2"/>
    </font>
    <font>
      <i/>
      <sz val="10"/>
      <color theme="1"/>
      <name val="Arial"/>
      <family val="2"/>
    </font>
    <font>
      <i/>
      <sz val="11"/>
      <color rgb="FFFF6D01"/>
      <name val="Arial"/>
      <family val="2"/>
    </font>
    <font>
      <i/>
      <sz val="10"/>
      <color rgb="FF000000"/>
      <name val="Arial"/>
      <family val="2"/>
    </font>
    <font>
      <i/>
      <sz val="11"/>
      <color rgb="FF000000"/>
      <name val="Arial"/>
      <family val="2"/>
    </font>
    <font>
      <i/>
      <sz val="11"/>
      <color theme="1"/>
      <name val="Arial"/>
      <family val="2"/>
    </font>
    <font>
      <i/>
      <sz val="9"/>
      <color theme="1"/>
      <name val="Arial"/>
      <family val="2"/>
    </font>
    <font>
      <i/>
      <u/>
      <sz val="11"/>
      <color rgb="FF0000FF"/>
      <name val="Arial"/>
      <family val="2"/>
    </font>
    <font>
      <sz val="10"/>
      <color theme="1"/>
      <name val="Arial"/>
      <family val="2"/>
    </font>
    <font>
      <sz val="10"/>
      <color rgb="FFFF6D01"/>
      <name val="Arial"/>
      <family val="2"/>
    </font>
    <font>
      <sz val="12"/>
      <color theme="1"/>
      <name val="Arial"/>
      <family val="2"/>
    </font>
    <font>
      <sz val="10"/>
      <color rgb="FF000000"/>
      <name val="Arial"/>
      <family val="2"/>
    </font>
    <font>
      <strike/>
      <sz val="10"/>
      <color theme="1"/>
      <name val="Arial"/>
      <family val="2"/>
    </font>
    <font>
      <b/>
      <sz val="11"/>
      <color theme="1"/>
      <name val="Arial"/>
      <family val="2"/>
      <scheme val="minor"/>
    </font>
    <font>
      <b/>
      <sz val="10"/>
      <color theme="1"/>
      <name val="Arial"/>
      <family val="2"/>
      <scheme val="minor"/>
    </font>
    <font>
      <b/>
      <sz val="24"/>
      <color theme="1"/>
      <name val="Arial"/>
      <family val="2"/>
      <scheme val="minor"/>
    </font>
    <font>
      <b/>
      <sz val="24"/>
      <color rgb="FFFF6D01"/>
      <name val="Arial"/>
      <family val="2"/>
      <scheme val="minor"/>
    </font>
    <font>
      <sz val="12"/>
      <color theme="4"/>
      <name val="Arial"/>
      <family val="2"/>
    </font>
    <font>
      <sz val="11"/>
      <color rgb="FFFF6D01"/>
      <name val="Inconsolata"/>
    </font>
    <font>
      <sz val="12"/>
      <color rgb="FFFF6D01"/>
      <name val="Arial"/>
      <family val="2"/>
      <scheme val="minor"/>
    </font>
    <font>
      <sz val="12"/>
      <color theme="8"/>
      <name val="Arial"/>
      <family val="2"/>
      <scheme val="minor"/>
    </font>
    <font>
      <b/>
      <sz val="12"/>
      <color rgb="FFFF6D01"/>
      <name val="Arial"/>
      <family val="2"/>
      <scheme val="minor"/>
    </font>
    <font>
      <b/>
      <sz val="12"/>
      <color rgb="FFFFFFFF"/>
      <name val="Arial"/>
      <family val="2"/>
      <scheme val="minor"/>
    </font>
    <font>
      <b/>
      <sz val="12"/>
      <color theme="0"/>
      <name val="Arial"/>
      <family val="2"/>
      <scheme val="minor"/>
    </font>
    <font>
      <sz val="12"/>
      <color theme="1"/>
      <name val="Arial"/>
      <family val="2"/>
      <scheme val="minor"/>
    </font>
    <font>
      <sz val="11"/>
      <color rgb="FFEA4335"/>
      <name val="Arial"/>
      <family val="2"/>
    </font>
    <font>
      <sz val="11"/>
      <color rgb="FFFF6D01"/>
      <name val="Arial"/>
      <family val="2"/>
    </font>
    <font>
      <b/>
      <sz val="12"/>
      <color rgb="FFF7981D"/>
      <name val="Arial"/>
      <family val="2"/>
      <scheme val="minor"/>
    </font>
    <font>
      <b/>
      <sz val="10"/>
      <color rgb="FFFF6D01"/>
      <name val="Arial"/>
      <family val="2"/>
    </font>
    <font>
      <sz val="10"/>
      <color theme="0"/>
      <name val="Arial"/>
      <family val="2"/>
    </font>
    <font>
      <sz val="10"/>
      <color rgb="FFFF6D01"/>
      <name val="Arial"/>
      <family val="2"/>
    </font>
    <font>
      <sz val="11"/>
      <color rgb="FFFF6D01"/>
      <name val="Arial"/>
      <family val="2"/>
      <scheme val="minor"/>
    </font>
    <font>
      <sz val="10"/>
      <color rgb="FFFF6D01"/>
      <name val="Arial"/>
      <family val="2"/>
      <scheme val="minor"/>
    </font>
    <font>
      <b/>
      <sz val="11"/>
      <color rgb="FFF7981D"/>
      <name val="Arial"/>
      <family val="2"/>
      <scheme val="minor"/>
    </font>
    <font>
      <b/>
      <sz val="10"/>
      <color rgb="FFF7981D"/>
      <name val="Arial"/>
      <family val="2"/>
      <scheme val="minor"/>
    </font>
    <font>
      <b/>
      <sz val="10"/>
      <color theme="0"/>
      <name val="Arial"/>
      <family val="2"/>
      <scheme val="minor"/>
    </font>
    <font>
      <b/>
      <sz val="24"/>
      <color theme="1"/>
      <name val="Arial"/>
      <family val="2"/>
    </font>
    <font>
      <sz val="10"/>
      <color rgb="FF000000"/>
      <name val="Roboto"/>
    </font>
    <font>
      <sz val="18"/>
      <color rgb="FFFF0000"/>
      <name val="Inconsolata"/>
    </font>
    <font>
      <sz val="18"/>
      <color rgb="FFFF0000"/>
      <name val="Arial"/>
      <family val="2"/>
      <scheme val="minor"/>
    </font>
    <font>
      <sz val="18"/>
      <color rgb="FFFF0000"/>
      <name val="Arial"/>
      <family val="2"/>
    </font>
    <font>
      <sz val="18"/>
      <color rgb="FFFF6D01"/>
      <name val="Inconsolata"/>
    </font>
    <font>
      <sz val="18"/>
      <color rgb="FFFF6D01"/>
      <name val="Arial"/>
      <family val="2"/>
      <scheme val="minor"/>
    </font>
    <font>
      <sz val="18"/>
      <color rgb="FFFF6D01"/>
      <name val="Arial"/>
      <family val="2"/>
    </font>
    <font>
      <b/>
      <sz val="14"/>
      <color rgb="FFFF6D01"/>
      <name val="Arial"/>
      <family val="2"/>
      <scheme val="minor"/>
    </font>
    <font>
      <b/>
      <sz val="14"/>
      <color rgb="FFFF9900"/>
      <name val="Arial"/>
      <family val="2"/>
      <scheme val="minor"/>
    </font>
    <font>
      <b/>
      <sz val="14"/>
      <color rgb="FFFFFFFF"/>
      <name val="Arial"/>
      <family val="2"/>
      <scheme val="minor"/>
    </font>
    <font>
      <b/>
      <sz val="14"/>
      <color rgb="FFFFFFFF"/>
      <name val="Arial"/>
      <family val="2"/>
    </font>
    <font>
      <sz val="11"/>
      <color theme="8"/>
      <name val="Arial"/>
      <family val="2"/>
      <scheme val="minor"/>
    </font>
    <font>
      <sz val="10"/>
      <color theme="8"/>
      <name val="Arial"/>
      <family val="2"/>
    </font>
    <font>
      <sz val="6"/>
      <color theme="1"/>
      <name val="Arial"/>
      <family val="2"/>
    </font>
    <font>
      <sz val="10"/>
      <color theme="8"/>
      <name val="Arial"/>
      <family val="2"/>
      <scheme val="minor"/>
    </font>
    <font>
      <sz val="11"/>
      <color rgb="FFFF0000"/>
      <name val="Arial"/>
      <family val="2"/>
      <scheme val="minor"/>
    </font>
    <font>
      <b/>
      <sz val="11"/>
      <color rgb="FFFF6D01"/>
      <name val="Arial"/>
      <family val="2"/>
      <scheme val="minor"/>
    </font>
    <font>
      <b/>
      <sz val="18"/>
      <color theme="1"/>
      <name val="Arial"/>
      <family val="2"/>
      <scheme val="minor"/>
    </font>
    <font>
      <b/>
      <sz val="12"/>
      <color theme="1"/>
      <name val="Arial"/>
      <family val="2"/>
      <scheme val="minor"/>
    </font>
    <font>
      <sz val="12"/>
      <color rgb="FF000000"/>
      <name val="Arial"/>
      <family val="2"/>
      <scheme val="minor"/>
    </font>
    <font>
      <b/>
      <sz val="14"/>
      <color theme="1"/>
      <name val="Arial"/>
      <family val="2"/>
    </font>
    <font>
      <b/>
      <sz val="10"/>
      <color theme="1"/>
      <name val="Arial"/>
      <family val="2"/>
    </font>
    <font>
      <sz val="11"/>
      <color rgb="FFEA4335"/>
      <name val="Arial"/>
      <family val="2"/>
      <scheme val="minor"/>
    </font>
    <font>
      <b/>
      <sz val="11"/>
      <color rgb="FFEA4335"/>
      <name val="Arial"/>
      <family val="2"/>
    </font>
    <font>
      <b/>
      <sz val="11"/>
      <color rgb="FFEA4335"/>
      <name val="Arial"/>
      <family val="2"/>
      <scheme val="minor"/>
    </font>
    <font>
      <b/>
      <sz val="11"/>
      <color theme="0"/>
      <name val="Arial"/>
      <family val="2"/>
      <scheme val="minor"/>
    </font>
    <font>
      <b/>
      <sz val="11"/>
      <color theme="0"/>
      <name val="Arial"/>
      <family val="2"/>
    </font>
    <font>
      <sz val="10"/>
      <color rgb="FFEA4335"/>
      <name val="Arial"/>
      <family val="2"/>
    </font>
    <font>
      <sz val="12"/>
      <color rgb="FFEA4335"/>
      <name val="Arial"/>
      <family val="2"/>
    </font>
    <font>
      <b/>
      <sz val="18"/>
      <color rgb="FF000000"/>
      <name val="Arial"/>
      <family val="2"/>
      <scheme val="minor"/>
    </font>
    <font>
      <sz val="18"/>
      <color rgb="FFEA4335"/>
      <name val="Arial"/>
      <family val="2"/>
      <scheme val="minor"/>
    </font>
    <font>
      <b/>
      <sz val="11"/>
      <color theme="0"/>
      <name val="Arial"/>
      <family val="2"/>
    </font>
    <font>
      <sz val="11"/>
      <color theme="0"/>
      <name val="Arial"/>
      <family val="2"/>
      <scheme val="minor"/>
    </font>
    <font>
      <sz val="11"/>
      <color theme="0"/>
      <name val="Arial"/>
      <family val="2"/>
    </font>
    <font>
      <sz val="11"/>
      <color rgb="FFFFFFFF"/>
      <name val="Arial"/>
      <family val="2"/>
    </font>
    <font>
      <sz val="11"/>
      <color rgb="FF000000"/>
      <name val="Arial"/>
      <family val="2"/>
    </font>
    <font>
      <b/>
      <sz val="11"/>
      <color rgb="FFFF9900"/>
      <name val="Arial"/>
      <family val="2"/>
      <scheme val="minor"/>
    </font>
    <font>
      <b/>
      <sz val="10"/>
      <color rgb="FFFF9900"/>
      <name val="Arial"/>
      <family val="2"/>
      <scheme val="minor"/>
    </font>
    <font>
      <b/>
      <i/>
      <sz val="11"/>
      <color rgb="FFFFFFFF"/>
      <name val="Arial"/>
      <family val="2"/>
    </font>
    <font>
      <sz val="10"/>
      <name val="Arial"/>
      <family val="2"/>
    </font>
    <font>
      <i/>
      <sz val="11"/>
      <color theme="1"/>
      <name val="Arial"/>
      <family val="2"/>
      <scheme val="minor"/>
    </font>
    <font>
      <b/>
      <sz val="11"/>
      <color theme="8"/>
      <name val="Arial"/>
      <family val="2"/>
      <scheme val="minor"/>
    </font>
    <font>
      <u/>
      <sz val="11"/>
      <color rgb="FF0000FF"/>
      <name val="Arial"/>
      <family val="2"/>
    </font>
    <font>
      <sz val="11"/>
      <color rgb="FF000000"/>
      <name val="Roboto"/>
    </font>
    <font>
      <strike/>
      <sz val="10"/>
      <color rgb="FFFF6D01"/>
      <name val="Arial"/>
      <family val="2"/>
    </font>
    <font>
      <strike/>
      <sz val="10"/>
      <color theme="1"/>
      <name val="Arial"/>
      <family val="2"/>
      <scheme val="minor"/>
    </font>
    <font>
      <sz val="11"/>
      <color rgb="FFF7981D"/>
      <name val="Arial"/>
      <family val="2"/>
      <scheme val="minor"/>
    </font>
    <font>
      <strike/>
      <sz val="10"/>
      <color theme="8"/>
      <name val="Arial"/>
      <family val="2"/>
    </font>
    <font>
      <strike/>
      <sz val="10"/>
      <color rgb="FF000000"/>
      <name val="Arial"/>
      <family val="2"/>
    </font>
    <font>
      <strike/>
      <sz val="10"/>
      <color theme="8"/>
      <name val="Arial"/>
      <family val="2"/>
      <scheme val="minor"/>
    </font>
    <font>
      <sz val="11"/>
      <color theme="8"/>
      <name val="Inconsolata"/>
    </font>
    <font>
      <sz val="10"/>
      <color theme="8"/>
      <name val="Roboto"/>
    </font>
    <font>
      <b/>
      <sz val="10"/>
      <color rgb="FF000000"/>
      <name val="Arial"/>
      <family val="2"/>
    </font>
    <font>
      <sz val="11"/>
      <color rgb="FFF7981D"/>
      <name val="Inconsolata"/>
    </font>
    <font>
      <sz val="10"/>
      <color rgb="FFFFFFFF"/>
      <name val="Arial"/>
      <family val="2"/>
    </font>
    <font>
      <sz val="11"/>
      <color theme="1"/>
      <name val="Inconsolata"/>
    </font>
    <font>
      <b/>
      <sz val="10"/>
      <color rgb="FFFF0000"/>
      <name val="Arial"/>
      <family val="2"/>
      <scheme val="minor"/>
    </font>
    <font>
      <sz val="10"/>
      <color rgb="FFFF0000"/>
      <name val="Arial"/>
      <family val="2"/>
      <scheme val="minor"/>
    </font>
    <font>
      <strike/>
      <sz val="11"/>
      <color theme="1"/>
      <name val="Arial"/>
      <family val="2"/>
      <scheme val="minor"/>
    </font>
    <font>
      <b/>
      <strike/>
      <sz val="11"/>
      <color theme="1"/>
      <name val="Arial"/>
      <family val="2"/>
      <scheme val="minor"/>
    </font>
    <font>
      <strike/>
      <sz val="10"/>
      <color rgb="FFFF0000"/>
      <name val="Arial"/>
      <family val="2"/>
      <scheme val="minor"/>
    </font>
    <font>
      <b/>
      <sz val="14"/>
      <color rgb="FFFF0000"/>
      <name val="Arial"/>
      <family val="2"/>
      <scheme val="minor"/>
    </font>
    <font>
      <b/>
      <u/>
      <sz val="14"/>
      <color rgb="FFFF0000"/>
      <name val="Arial"/>
      <family val="2"/>
    </font>
    <font>
      <sz val="12"/>
      <color rgb="FFF7981D"/>
      <name val="Arial"/>
      <family val="2"/>
    </font>
    <font>
      <b/>
      <sz val="12"/>
      <color rgb="FFF7981D"/>
      <name val="Arial"/>
      <family val="2"/>
    </font>
    <font>
      <b/>
      <sz val="12"/>
      <color theme="0"/>
      <name val="Arial"/>
      <family val="2"/>
    </font>
    <font>
      <i/>
      <sz val="12"/>
      <color rgb="FFFF6D01"/>
      <name val="Arial"/>
      <family val="2"/>
    </font>
    <font>
      <i/>
      <sz val="12"/>
      <color rgb="FF000000"/>
      <name val="Arial"/>
      <family val="2"/>
    </font>
    <font>
      <i/>
      <sz val="12"/>
      <color theme="1"/>
      <name val="Arial"/>
      <family val="2"/>
    </font>
    <font>
      <sz val="10"/>
      <color theme="1"/>
      <name val="Arial"/>
      <family val="2"/>
      <scheme val="minor"/>
    </font>
    <font>
      <u/>
      <sz val="12"/>
      <color rgb="FF1155CC"/>
      <name val="Arial"/>
      <family val="2"/>
    </font>
    <font>
      <b/>
      <sz val="11"/>
      <color rgb="FF434343"/>
      <name val="Arial"/>
      <family val="2"/>
      <scheme val="minor"/>
    </font>
    <font>
      <b/>
      <sz val="11"/>
      <color theme="1"/>
      <name val="Arial"/>
      <family val="2"/>
    </font>
    <font>
      <b/>
      <sz val="12"/>
      <color rgb="FF434343"/>
      <name val="Arial"/>
      <family val="2"/>
    </font>
    <font>
      <b/>
      <sz val="11"/>
      <color rgb="FF434343"/>
      <name val="Arial"/>
      <family val="2"/>
    </font>
    <font>
      <sz val="12"/>
      <color theme="8"/>
      <name val="Arial"/>
      <family val="2"/>
    </font>
    <font>
      <sz val="11"/>
      <color theme="8"/>
      <name val="Arial"/>
      <family val="2"/>
    </font>
    <font>
      <sz val="11"/>
      <color rgb="FFFF6D01"/>
      <name val="Roboto"/>
    </font>
    <font>
      <b/>
      <sz val="10"/>
      <color rgb="FFFFFFFF"/>
      <name val="Arial"/>
      <family val="2"/>
    </font>
    <font>
      <b/>
      <sz val="11"/>
      <color rgb="FF172B4D"/>
      <name val="Verdana"/>
      <family val="2"/>
    </font>
    <font>
      <sz val="11"/>
      <color rgb="FF172B4D"/>
      <name val="Verdana"/>
      <family val="2"/>
    </font>
    <font>
      <b/>
      <sz val="11"/>
      <color rgb="FF000000"/>
      <name val="Arial"/>
      <family val="2"/>
      <scheme val="minor"/>
    </font>
    <font>
      <b/>
      <sz val="10"/>
      <color rgb="FF000000"/>
      <name val="Arial"/>
      <family val="2"/>
      <scheme val="minor"/>
    </font>
    <font>
      <strike/>
      <sz val="10"/>
      <color rgb="FF000000"/>
      <name val="Arial"/>
      <family val="2"/>
      <scheme val="minor"/>
    </font>
    <font>
      <strike/>
      <sz val="11"/>
      <color rgb="FF000000"/>
      <name val="Arial"/>
      <family val="2"/>
      <scheme val="minor"/>
    </font>
    <font>
      <i/>
      <sz val="11"/>
      <name val="Arial"/>
      <family val="2"/>
    </font>
    <font>
      <i/>
      <u/>
      <sz val="11"/>
      <color rgb="FF1155CC"/>
      <name val="Arial"/>
      <family val="2"/>
    </font>
    <font>
      <sz val="10"/>
      <color rgb="FFFF0000"/>
      <name val="Arial"/>
      <family val="2"/>
    </font>
    <font>
      <strike/>
      <sz val="11"/>
      <color theme="1"/>
      <name val="Arial"/>
      <family val="2"/>
    </font>
    <font>
      <sz val="12"/>
      <color rgb="FF4285F4"/>
      <name val="Arial"/>
      <family val="2"/>
    </font>
    <font>
      <strike/>
      <sz val="18"/>
      <color rgb="FFEA4335"/>
      <name val="Arial"/>
      <family val="2"/>
    </font>
    <font>
      <sz val="18"/>
      <color rgb="FFEA4335"/>
      <name val="Arial"/>
      <family val="2"/>
    </font>
    <font>
      <i/>
      <sz val="11"/>
      <color rgb="FFEA4335"/>
      <name val="Arial"/>
      <family val="2"/>
    </font>
    <font>
      <b/>
      <sz val="12"/>
      <color theme="1"/>
      <name val="Arial"/>
      <family val="2"/>
    </font>
    <font>
      <b/>
      <i/>
      <sz val="12"/>
      <color theme="1"/>
      <name val="Arial"/>
      <family val="2"/>
    </font>
    <font>
      <sz val="12"/>
      <color rgb="FFFF6D01"/>
      <name val="Arial"/>
      <family val="2"/>
    </font>
  </fonts>
  <fills count="30">
    <fill>
      <patternFill patternType="none"/>
    </fill>
    <fill>
      <patternFill patternType="gray125"/>
    </fill>
    <fill>
      <patternFill patternType="solid">
        <fgColor rgb="FF000000"/>
        <bgColor rgb="FF000000"/>
      </patternFill>
    </fill>
    <fill>
      <patternFill patternType="solid">
        <fgColor rgb="FFB7B7B7"/>
        <bgColor rgb="FFB7B7B7"/>
      </patternFill>
    </fill>
    <fill>
      <patternFill patternType="solid">
        <fgColor rgb="FFFFFFFF"/>
        <bgColor rgb="FFFFFFFF"/>
      </patternFill>
    </fill>
    <fill>
      <patternFill patternType="solid">
        <fgColor theme="1"/>
        <bgColor theme="1"/>
      </patternFill>
    </fill>
    <fill>
      <patternFill patternType="solid">
        <fgColor rgb="FFCC0000"/>
        <bgColor rgb="FFCC0000"/>
      </patternFill>
    </fill>
    <fill>
      <patternFill patternType="solid">
        <fgColor rgb="FFF1C232"/>
        <bgColor rgb="FFF1C232"/>
      </patternFill>
    </fill>
    <fill>
      <patternFill patternType="solid">
        <fgColor rgb="FF6AA84F"/>
        <bgColor rgb="FF6AA84F"/>
      </patternFill>
    </fill>
    <fill>
      <patternFill patternType="solid">
        <fgColor rgb="FFEFEFEF"/>
        <bgColor rgb="FFEFEFEF"/>
      </patternFill>
    </fill>
    <fill>
      <patternFill patternType="solid">
        <fgColor rgb="FFEAD1DC"/>
        <bgColor rgb="FFEAD1DC"/>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666666"/>
        <bgColor rgb="FF666666"/>
      </patternFill>
    </fill>
    <fill>
      <patternFill patternType="solid">
        <fgColor theme="0"/>
        <bgColor theme="0"/>
      </patternFill>
    </fill>
    <fill>
      <patternFill patternType="solid">
        <fgColor rgb="FFFFFF00"/>
        <bgColor rgb="FFFFFF00"/>
      </patternFill>
    </fill>
    <fill>
      <patternFill patternType="solid">
        <fgColor rgb="FFCFE2F3"/>
        <bgColor rgb="FFCFE2F3"/>
      </patternFill>
    </fill>
    <fill>
      <patternFill patternType="solid">
        <fgColor rgb="FFD9D9D9"/>
        <bgColor rgb="FFD9D9D9"/>
      </patternFill>
    </fill>
    <fill>
      <patternFill patternType="solid">
        <fgColor rgb="FF434343"/>
        <bgColor rgb="FF434343"/>
      </patternFill>
    </fill>
    <fill>
      <patternFill patternType="solid">
        <fgColor rgb="FFCCCCCC"/>
        <bgColor rgb="FFCCCCCC"/>
      </patternFill>
    </fill>
    <fill>
      <patternFill patternType="solid">
        <fgColor rgb="FF172B4D"/>
        <bgColor rgb="FF172B4D"/>
      </patternFill>
    </fill>
    <fill>
      <patternFill patternType="solid">
        <fgColor rgb="FFFF9900"/>
        <bgColor rgb="FFFF9900"/>
      </patternFill>
    </fill>
    <fill>
      <patternFill patternType="solid">
        <fgColor rgb="FF9900FF"/>
        <bgColor rgb="FF9900FF"/>
      </patternFill>
    </fill>
    <fill>
      <patternFill patternType="solid">
        <fgColor rgb="FF999999"/>
        <bgColor rgb="FF999999"/>
      </patternFill>
    </fill>
    <fill>
      <patternFill patternType="solid">
        <fgColor rgb="FF00FFFF"/>
        <bgColor rgb="FF00FFFF"/>
      </patternFill>
    </fill>
    <fill>
      <patternFill patternType="solid">
        <fgColor rgb="FFA2C4C9"/>
        <bgColor rgb="FFA2C4C9"/>
      </patternFill>
    </fill>
    <fill>
      <patternFill patternType="solid">
        <fgColor rgb="FF45818E"/>
        <bgColor rgb="FF45818E"/>
      </patternFill>
    </fill>
    <fill>
      <patternFill patternType="solid">
        <fgColor rgb="FF674EA7"/>
        <bgColor rgb="FF674EA7"/>
      </patternFill>
    </fill>
    <fill>
      <patternFill patternType="solid">
        <fgColor rgb="FFFCE5CD"/>
        <bgColor rgb="FFFCE5CD"/>
      </patternFill>
    </fill>
  </fills>
  <borders count="34">
    <border>
      <left/>
      <right/>
      <top/>
      <bottom/>
      <diagonal/>
    </border>
    <border>
      <left style="thick">
        <color rgb="FF00FF00"/>
      </left>
      <right/>
      <top/>
      <bottom/>
      <diagonal/>
    </border>
    <border>
      <left style="thin">
        <color rgb="FFFFFFFF"/>
      </left>
      <right style="thin">
        <color rgb="FFFFFFFF"/>
      </right>
      <top/>
      <bottom/>
      <diagonal/>
    </border>
    <border>
      <left style="thin">
        <color rgb="FFCCCCCC"/>
      </left>
      <right/>
      <top/>
      <bottom/>
      <diagonal/>
    </border>
    <border>
      <left/>
      <right style="thin">
        <color rgb="FFCCCCCC"/>
      </right>
      <top/>
      <bottom/>
      <diagonal/>
    </border>
    <border>
      <left/>
      <right/>
      <top/>
      <bottom style="thick">
        <color rgb="FF000000"/>
      </bottom>
      <diagonal/>
    </border>
    <border>
      <left/>
      <right/>
      <top style="thin">
        <color rgb="FF000000"/>
      </top>
      <bottom/>
      <diagonal/>
    </border>
    <border>
      <left/>
      <right/>
      <top style="thick">
        <color rgb="FF000000"/>
      </top>
      <bottom/>
      <diagonal/>
    </border>
    <border>
      <left/>
      <right style="thick">
        <color rgb="FFEA4335"/>
      </right>
      <top/>
      <bottom/>
      <diagonal/>
    </border>
    <border>
      <left style="thick">
        <color rgb="FF38761D"/>
      </left>
      <right/>
      <top/>
      <bottom/>
      <diagonal/>
    </border>
    <border>
      <left style="thick">
        <color rgb="FF000000"/>
      </left>
      <right/>
      <top/>
      <bottom/>
      <diagonal/>
    </border>
    <border>
      <left style="medium">
        <color rgb="FF000000"/>
      </left>
      <right/>
      <top/>
      <bottom/>
      <diagonal/>
    </border>
    <border>
      <left style="thick">
        <color rgb="FFEA4335"/>
      </left>
      <right/>
      <top/>
      <bottom/>
      <diagonal/>
    </border>
    <border>
      <left style="thin">
        <color rgb="FF000000"/>
      </left>
      <right style="thin">
        <color rgb="FF000000"/>
      </right>
      <top/>
      <bottom/>
      <diagonal/>
    </border>
    <border>
      <left style="thin">
        <color rgb="FF000000"/>
      </left>
      <right/>
      <top/>
      <bottom/>
      <diagonal/>
    </border>
    <border>
      <left style="thick">
        <color rgb="FFFF0000"/>
      </left>
      <right/>
      <top/>
      <bottom/>
      <diagonal/>
    </border>
    <border>
      <left/>
      <right style="medium">
        <color rgb="FF000000"/>
      </right>
      <top/>
      <bottom/>
      <diagonal/>
    </border>
    <border>
      <left style="thin">
        <color rgb="FFCCCCCC"/>
      </left>
      <right style="thick">
        <color rgb="FF000000"/>
      </right>
      <top/>
      <bottom/>
      <diagonal/>
    </border>
    <border>
      <left style="thick">
        <color rgb="FFFF0000"/>
      </left>
      <right style="thick">
        <color rgb="FF000000"/>
      </right>
      <top/>
      <bottom/>
      <diagonal/>
    </border>
    <border>
      <left style="medium">
        <color rgb="FF000000"/>
      </left>
      <right style="thin">
        <color rgb="FFCCCCCC"/>
      </right>
      <top/>
      <bottom/>
      <diagonal/>
    </border>
    <border>
      <left/>
      <right style="thick">
        <color rgb="FF000000"/>
      </right>
      <top/>
      <bottom/>
      <diagonal/>
    </border>
    <border>
      <left style="thin">
        <color rgb="FFCCCCCC"/>
      </left>
      <right style="medium">
        <color rgb="FF000000"/>
      </right>
      <top/>
      <bottom/>
      <diagonal/>
    </border>
    <border>
      <left style="thin">
        <color rgb="FFB7B7B7"/>
      </left>
      <right/>
      <top/>
      <bottom/>
      <diagonal/>
    </border>
    <border>
      <left/>
      <right style="thin">
        <color rgb="FFB7B7B7"/>
      </right>
      <top/>
      <bottom/>
      <diagonal/>
    </border>
    <border>
      <left/>
      <right/>
      <top/>
      <bottom style="thin">
        <color rgb="FF000000"/>
      </bottom>
      <diagonal/>
    </border>
    <border>
      <left style="thin">
        <color rgb="FF000000"/>
      </left>
      <right/>
      <top style="thin">
        <color rgb="FF000000"/>
      </top>
      <bottom style="thin">
        <color rgb="FF000000"/>
      </bottom>
      <diagonal/>
    </border>
    <border>
      <left style="medium">
        <color rgb="FF666666"/>
      </left>
      <right style="medium">
        <color rgb="FF66666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666666"/>
      </left>
      <right style="medium">
        <color rgb="FF666666"/>
      </right>
      <top/>
      <bottom/>
      <diagonal/>
    </border>
    <border>
      <left style="thick">
        <color rgb="FF4285F4"/>
      </left>
      <right/>
      <top/>
      <bottom/>
      <diagonal/>
    </border>
    <border>
      <left style="thick">
        <color rgb="FF4285F4"/>
      </left>
      <right style="thin">
        <color rgb="FFCCCCCC"/>
      </right>
      <top/>
      <bottom/>
      <diagonal/>
    </border>
    <border>
      <left style="thin">
        <color rgb="FFCCCCCC"/>
      </left>
      <right/>
      <top style="thick">
        <color rgb="FF000000"/>
      </top>
      <bottom/>
      <diagonal/>
    </border>
    <border>
      <left style="thick">
        <color rgb="FF4285F4"/>
      </left>
      <right/>
      <top style="thick">
        <color rgb="FF000000"/>
      </top>
      <bottom/>
      <diagonal/>
    </border>
  </borders>
  <cellStyleXfs count="1">
    <xf numFmtId="0" fontId="0" fillId="0" borderId="0"/>
  </cellStyleXfs>
  <cellXfs count="805">
    <xf numFmtId="0" fontId="0" fillId="0" borderId="0" xfId="0"/>
    <xf numFmtId="0" fontId="1" fillId="2" borderId="0" xfId="0" applyFont="1" applyFill="1" applyAlignment="1">
      <alignment horizontal="center" wrapText="1"/>
    </xf>
    <xf numFmtId="0" fontId="1" fillId="2" borderId="0" xfId="0" applyFont="1" applyFill="1" applyAlignment="1">
      <alignment horizontal="center"/>
    </xf>
    <xf numFmtId="0" fontId="2" fillId="2" borderId="0" xfId="0" applyFont="1" applyFill="1" applyAlignment="1">
      <alignment horizontal="center" wrapText="1"/>
    </xf>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wrapText="1"/>
    </xf>
    <xf numFmtId="0" fontId="6" fillId="3" borderId="0" xfId="0" applyFont="1" applyFill="1" applyAlignment="1">
      <alignment vertical="top"/>
    </xf>
    <xf numFmtId="0" fontId="6" fillId="3" borderId="0" xfId="0" applyFont="1" applyFill="1" applyAlignment="1">
      <alignment vertical="top" wrapText="1"/>
    </xf>
    <xf numFmtId="0" fontId="5" fillId="3" borderId="0" xfId="0" applyFont="1" applyFill="1"/>
    <xf numFmtId="0" fontId="7" fillId="0" borderId="0" xfId="0" applyFont="1" applyAlignment="1">
      <alignment wrapText="1"/>
    </xf>
    <xf numFmtId="0" fontId="8" fillId="0" borderId="0" xfId="0" applyFont="1" applyAlignment="1">
      <alignment vertical="top"/>
    </xf>
    <xf numFmtId="0" fontId="9" fillId="0" borderId="0" xfId="0" applyFont="1" applyAlignment="1">
      <alignment wrapText="1"/>
    </xf>
    <xf numFmtId="0" fontId="7" fillId="0" borderId="0" xfId="0" applyFont="1"/>
    <xf numFmtId="0" fontId="9" fillId="0" borderId="0" xfId="0" applyFont="1" applyAlignment="1">
      <alignment horizontal="center"/>
    </xf>
    <xf numFmtId="0" fontId="10" fillId="0" borderId="0" xfId="0" applyFont="1" applyAlignment="1">
      <alignment vertical="top"/>
    </xf>
    <xf numFmtId="3" fontId="9" fillId="0" borderId="0" xfId="0" applyNumberFormat="1" applyFont="1" applyAlignment="1">
      <alignment wrapText="1"/>
    </xf>
    <xf numFmtId="0" fontId="9" fillId="0" borderId="0" xfId="0" applyFont="1"/>
    <xf numFmtId="0" fontId="8" fillId="0" borderId="0" xfId="0" applyFont="1" applyAlignment="1">
      <alignment vertical="top" wrapText="1"/>
    </xf>
    <xf numFmtId="3" fontId="8" fillId="0" borderId="0" xfId="0" applyNumberFormat="1" applyFont="1" applyAlignment="1">
      <alignment vertical="top" wrapText="1"/>
    </xf>
    <xf numFmtId="0" fontId="11" fillId="0" borderId="0" xfId="0" applyFont="1" applyAlignment="1">
      <alignment wrapText="1"/>
    </xf>
    <xf numFmtId="0" fontId="12" fillId="0" borderId="0" xfId="0" applyFont="1" applyAlignment="1">
      <alignment vertical="top"/>
    </xf>
    <xf numFmtId="3" fontId="12" fillId="0" borderId="0" xfId="0" applyNumberFormat="1" applyFont="1" applyAlignment="1">
      <alignment horizontal="right" vertical="top" wrapText="1"/>
    </xf>
    <xf numFmtId="3" fontId="12" fillId="0" borderId="0" xfId="0" applyNumberFormat="1" applyFont="1" applyAlignment="1">
      <alignment vertical="top" wrapText="1"/>
    </xf>
    <xf numFmtId="0" fontId="12" fillId="0" borderId="0" xfId="0" applyFont="1" applyAlignment="1">
      <alignment vertical="top" wrapText="1"/>
    </xf>
    <xf numFmtId="0" fontId="12" fillId="0" borderId="0" xfId="0" applyFont="1" applyAlignment="1">
      <alignment horizontal="right" vertical="top" wrapText="1"/>
    </xf>
    <xf numFmtId="0" fontId="8" fillId="4" borderId="0" xfId="0" applyFont="1" applyFill="1" applyAlignment="1">
      <alignment horizontal="left"/>
    </xf>
    <xf numFmtId="0" fontId="13" fillId="4" borderId="0" xfId="0" applyFont="1" applyFill="1" applyAlignment="1">
      <alignment horizontal="left"/>
    </xf>
    <xf numFmtId="3" fontId="14" fillId="4" borderId="0" xfId="0" applyNumberFormat="1" applyFont="1" applyFill="1"/>
    <xf numFmtId="0" fontId="15" fillId="0" borderId="0" xfId="0" applyFont="1"/>
    <xf numFmtId="3" fontId="14" fillId="0" borderId="0" xfId="0" applyNumberFormat="1" applyFont="1" applyAlignment="1">
      <alignment wrapText="1"/>
    </xf>
    <xf numFmtId="3" fontId="16" fillId="0" borderId="0" xfId="0" applyNumberFormat="1" applyFont="1" applyAlignment="1">
      <alignment wrapText="1"/>
    </xf>
    <xf numFmtId="0" fontId="14" fillId="0" borderId="0" xfId="0" applyFont="1"/>
    <xf numFmtId="0" fontId="9" fillId="4" borderId="0" xfId="0" applyFont="1" applyFill="1" applyAlignment="1">
      <alignment wrapText="1"/>
    </xf>
    <xf numFmtId="0" fontId="12" fillId="0" borderId="0" xfId="0" applyFont="1"/>
    <xf numFmtId="0" fontId="17" fillId="0" borderId="0" xfId="0" applyFont="1" applyAlignment="1">
      <alignment horizontal="left" vertical="top" wrapText="1"/>
    </xf>
    <xf numFmtId="0" fontId="17" fillId="4" borderId="0" xfId="0" applyFont="1" applyFill="1" applyAlignment="1">
      <alignment vertical="top" wrapText="1"/>
    </xf>
    <xf numFmtId="0" fontId="18" fillId="0" borderId="0" xfId="0" applyFont="1" applyAlignment="1">
      <alignment horizontal="left" vertical="top" wrapText="1"/>
    </xf>
    <xf numFmtId="0" fontId="17" fillId="0" borderId="0" xfId="0"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17" fillId="4" borderId="0" xfId="0" applyFont="1" applyFill="1" applyAlignment="1">
      <alignment horizontal="left" vertical="top" wrapText="1"/>
    </xf>
    <xf numFmtId="0" fontId="18" fillId="0" borderId="1" xfId="0" applyFont="1" applyBorder="1" applyAlignment="1">
      <alignment vertical="top" wrapText="1"/>
    </xf>
    <xf numFmtId="0" fontId="20" fillId="2" borderId="0" xfId="0" applyFont="1" applyFill="1" applyAlignment="1">
      <alignment horizontal="center" vertical="top" wrapText="1"/>
    </xf>
    <xf numFmtId="0" fontId="21" fillId="2" borderId="0" xfId="0" applyFont="1" applyFill="1" applyAlignment="1">
      <alignment horizontal="center" vertical="top" wrapText="1"/>
    </xf>
    <xf numFmtId="0" fontId="22" fillId="2" borderId="0" xfId="0" applyFont="1" applyFill="1" applyAlignment="1">
      <alignment horizontal="center" vertical="top" wrapText="1"/>
    </xf>
    <xf numFmtId="0" fontId="23" fillId="2" borderId="0" xfId="0" applyFont="1" applyFill="1" applyAlignment="1">
      <alignment horizontal="center" vertical="top" wrapText="1"/>
    </xf>
    <xf numFmtId="0" fontId="24" fillId="2" borderId="0" xfId="0" applyFont="1" applyFill="1" applyAlignment="1">
      <alignment horizontal="center" vertical="top" wrapText="1"/>
    </xf>
    <xf numFmtId="0" fontId="25" fillId="5" borderId="2" xfId="0" applyFont="1" applyFill="1" applyBorder="1" applyAlignment="1">
      <alignment horizontal="center" vertical="top" wrapText="1"/>
    </xf>
    <xf numFmtId="0" fontId="25" fillId="2" borderId="0" xfId="0" applyFont="1" applyFill="1" applyAlignment="1">
      <alignment horizontal="center" vertical="top" wrapText="1"/>
    </xf>
    <xf numFmtId="0" fontId="21" fillId="5" borderId="3" xfId="0" applyFont="1" applyFill="1" applyBorder="1" applyAlignment="1">
      <alignment horizontal="center" vertical="top" wrapText="1"/>
    </xf>
    <xf numFmtId="0" fontId="21" fillId="5" borderId="0" xfId="0" applyFont="1" applyFill="1" applyAlignment="1">
      <alignment horizontal="center" vertical="top" wrapText="1"/>
    </xf>
    <xf numFmtId="0" fontId="21" fillId="6" borderId="3" xfId="0" applyFont="1" applyFill="1" applyBorder="1" applyAlignment="1">
      <alignment horizontal="center" vertical="top" wrapText="1"/>
    </xf>
    <xf numFmtId="0" fontId="25" fillId="6" borderId="0" xfId="0" applyFont="1" applyFill="1" applyAlignment="1">
      <alignment horizontal="center" vertical="top" wrapText="1"/>
    </xf>
    <xf numFmtId="0" fontId="21" fillId="6" borderId="0" xfId="0" applyFont="1" applyFill="1" applyAlignment="1">
      <alignment horizontal="center" vertical="top" wrapText="1"/>
    </xf>
    <xf numFmtId="0" fontId="21" fillId="7" borderId="3" xfId="0" applyFont="1" applyFill="1" applyBorder="1" applyAlignment="1">
      <alignment horizontal="center" vertical="top" wrapText="1"/>
    </xf>
    <xf numFmtId="0" fontId="25" fillId="7" borderId="0" xfId="0" applyFont="1" applyFill="1" applyAlignment="1">
      <alignment horizontal="center" vertical="top" wrapText="1"/>
    </xf>
    <xf numFmtId="0" fontId="21" fillId="7" borderId="0" xfId="0" applyFont="1" applyFill="1" applyAlignment="1">
      <alignment horizontal="center" vertical="top" wrapText="1"/>
    </xf>
    <xf numFmtId="0" fontId="21" fillId="8" borderId="3" xfId="0" applyFont="1" applyFill="1" applyBorder="1" applyAlignment="1">
      <alignment horizontal="center" vertical="top" wrapText="1"/>
    </xf>
    <xf numFmtId="0" fontId="25" fillId="8" borderId="0" xfId="0" applyFont="1" applyFill="1" applyAlignment="1">
      <alignment horizontal="center" vertical="top" wrapText="1"/>
    </xf>
    <xf numFmtId="0" fontId="21" fillId="8" borderId="0" xfId="0" applyFont="1" applyFill="1" applyAlignment="1">
      <alignment horizontal="center" vertical="top" wrapText="1"/>
    </xf>
    <xf numFmtId="0" fontId="20" fillId="2" borderId="1" xfId="0" applyFont="1" applyFill="1" applyBorder="1" applyAlignment="1">
      <alignment horizontal="center" vertical="top" wrapText="1"/>
    </xf>
    <xf numFmtId="0" fontId="26" fillId="2" borderId="0" xfId="0" applyFont="1" applyFill="1" applyAlignment="1">
      <alignment horizontal="center" vertical="top" wrapText="1"/>
    </xf>
    <xf numFmtId="0" fontId="27" fillId="9" borderId="0" xfId="0" applyFont="1" applyFill="1" applyAlignment="1">
      <alignment vertical="top" wrapText="1"/>
    </xf>
    <xf numFmtId="0" fontId="28" fillId="9" borderId="0" xfId="0" applyFont="1" applyFill="1" applyAlignment="1">
      <alignment vertical="top" wrapText="1"/>
    </xf>
    <xf numFmtId="0" fontId="29" fillId="9" borderId="0" xfId="0" applyFont="1" applyFill="1" applyAlignment="1">
      <alignment vertical="top" wrapText="1"/>
    </xf>
    <xf numFmtId="0" fontId="12" fillId="9" borderId="0" xfId="0" applyFont="1" applyFill="1" applyAlignment="1">
      <alignment vertical="top"/>
    </xf>
    <xf numFmtId="0" fontId="6" fillId="9" borderId="0" xfId="0" applyFont="1" applyFill="1" applyAlignment="1">
      <alignment horizontal="left" vertical="top" wrapText="1"/>
    </xf>
    <xf numFmtId="0" fontId="30" fillId="9" borderId="0" xfId="0" applyFont="1" applyFill="1" applyAlignment="1">
      <alignment vertical="top" wrapText="1"/>
    </xf>
    <xf numFmtId="0" fontId="31" fillId="9" borderId="2" xfId="0" applyFont="1" applyFill="1" applyBorder="1" applyAlignment="1">
      <alignment vertical="top" wrapText="1"/>
    </xf>
    <xf numFmtId="0" fontId="32" fillId="9" borderId="0" xfId="0" applyFont="1" applyFill="1" applyAlignment="1">
      <alignment vertical="top" wrapText="1"/>
    </xf>
    <xf numFmtId="0" fontId="33" fillId="9" borderId="3" xfId="0" applyFont="1" applyFill="1" applyBorder="1" applyAlignment="1">
      <alignment vertical="top" wrapText="1"/>
    </xf>
    <xf numFmtId="0" fontId="31" fillId="9" borderId="0" xfId="0" applyFont="1" applyFill="1" applyAlignment="1">
      <alignment vertical="top" wrapText="1"/>
    </xf>
    <xf numFmtId="0" fontId="30" fillId="9" borderId="3" xfId="0" applyFont="1" applyFill="1" applyBorder="1" applyAlignment="1">
      <alignment vertical="top" wrapText="1"/>
    </xf>
    <xf numFmtId="0" fontId="29" fillId="9" borderId="3" xfId="0" applyFont="1" applyFill="1" applyBorder="1" applyAlignment="1">
      <alignment vertical="top" wrapText="1"/>
    </xf>
    <xf numFmtId="0" fontId="11" fillId="9" borderId="3" xfId="0" applyFont="1" applyFill="1" applyBorder="1" applyAlignment="1">
      <alignment vertical="top" wrapText="1"/>
    </xf>
    <xf numFmtId="0" fontId="11" fillId="9" borderId="0" xfId="0" applyFont="1" applyFill="1" applyAlignment="1">
      <alignment vertical="top" wrapText="1"/>
    </xf>
    <xf numFmtId="0" fontId="12" fillId="9" borderId="0" xfId="0" applyFont="1" applyFill="1" applyAlignment="1">
      <alignment vertical="top" wrapText="1"/>
    </xf>
    <xf numFmtId="0" fontId="12" fillId="9" borderId="3" xfId="0" applyFont="1" applyFill="1" applyBorder="1" applyAlignment="1">
      <alignment vertical="top" wrapText="1"/>
    </xf>
    <xf numFmtId="0" fontId="29" fillId="9" borderId="1" xfId="0" applyFont="1" applyFill="1" applyBorder="1" applyAlignment="1">
      <alignment vertical="top" wrapText="1"/>
    </xf>
    <xf numFmtId="0" fontId="31" fillId="9" borderId="3" xfId="0" applyFont="1" applyFill="1" applyBorder="1" applyAlignment="1">
      <alignment vertical="top" wrapText="1"/>
    </xf>
    <xf numFmtId="0" fontId="34" fillId="0" borderId="0" xfId="0" applyFont="1" applyAlignment="1">
      <alignment vertical="top" wrapText="1"/>
    </xf>
    <xf numFmtId="0" fontId="35" fillId="0" borderId="0" xfId="0" applyFont="1" applyAlignment="1">
      <alignment vertical="top"/>
    </xf>
    <xf numFmtId="0" fontId="11" fillId="0" borderId="0" xfId="0" applyFont="1" applyAlignment="1">
      <alignment vertical="top" wrapText="1"/>
    </xf>
    <xf numFmtId="0" fontId="36" fillId="10" borderId="0" xfId="0" applyFont="1" applyFill="1" applyAlignment="1">
      <alignment horizontal="center" vertical="top" wrapText="1"/>
    </xf>
    <xf numFmtId="3" fontId="34" fillId="0" borderId="0" xfId="0" applyNumberFormat="1" applyFont="1" applyAlignment="1">
      <alignment vertical="top" wrapText="1"/>
    </xf>
    <xf numFmtId="0" fontId="11" fillId="0" borderId="2" xfId="0" applyFont="1" applyBorder="1" applyAlignment="1">
      <alignment vertical="top" wrapText="1"/>
    </xf>
    <xf numFmtId="0" fontId="34" fillId="0" borderId="3" xfId="0" applyFont="1" applyBorder="1" applyAlignment="1">
      <alignment vertical="top" wrapText="1"/>
    </xf>
    <xf numFmtId="3" fontId="34" fillId="11" borderId="3" xfId="0" applyNumberFormat="1" applyFont="1" applyFill="1" applyBorder="1" applyAlignment="1">
      <alignment vertical="top" wrapText="1"/>
    </xf>
    <xf numFmtId="3" fontId="34" fillId="11" borderId="0" xfId="0" applyNumberFormat="1" applyFont="1" applyFill="1" applyAlignment="1">
      <alignment vertical="top" wrapText="1"/>
    </xf>
    <xf numFmtId="0" fontId="34" fillId="11" borderId="3" xfId="0" applyFont="1" applyFill="1" applyBorder="1" applyAlignment="1">
      <alignment vertical="top" wrapText="1"/>
    </xf>
    <xf numFmtId="3" fontId="34" fillId="3" borderId="3" xfId="0" applyNumberFormat="1" applyFont="1" applyFill="1" applyBorder="1" applyAlignment="1">
      <alignment vertical="top" wrapText="1"/>
    </xf>
    <xf numFmtId="3" fontId="34" fillId="3" borderId="0" xfId="0" applyNumberFormat="1" applyFont="1" applyFill="1" applyAlignment="1">
      <alignment vertical="top" wrapText="1"/>
    </xf>
    <xf numFmtId="3" fontId="34" fillId="12" borderId="3" xfId="0" applyNumberFormat="1" applyFont="1" applyFill="1" applyBorder="1" applyAlignment="1">
      <alignment vertical="top" wrapText="1"/>
    </xf>
    <xf numFmtId="3" fontId="34" fillId="12" borderId="0" xfId="0" applyNumberFormat="1" applyFont="1" applyFill="1" applyAlignment="1">
      <alignment vertical="top" wrapText="1"/>
    </xf>
    <xf numFmtId="3" fontId="34" fillId="13" borderId="3" xfId="0" applyNumberFormat="1" applyFont="1" applyFill="1" applyBorder="1" applyAlignment="1">
      <alignment horizontal="right" vertical="top" wrapText="1"/>
    </xf>
    <xf numFmtId="3" fontId="34" fillId="13" borderId="0" xfId="0" applyNumberFormat="1" applyFont="1" applyFill="1" applyAlignment="1">
      <alignment vertical="top" wrapText="1"/>
    </xf>
    <xf numFmtId="3" fontId="11" fillId="13" borderId="0" xfId="0" applyNumberFormat="1" applyFont="1" applyFill="1" applyAlignment="1">
      <alignment vertical="top" wrapText="1"/>
    </xf>
    <xf numFmtId="3" fontId="34" fillId="0" borderId="1" xfId="0" applyNumberFormat="1" applyFont="1" applyBorder="1" applyAlignment="1">
      <alignment vertical="top" wrapText="1"/>
    </xf>
    <xf numFmtId="3" fontId="11" fillId="0" borderId="0" xfId="0" applyNumberFormat="1" applyFont="1" applyAlignment="1">
      <alignment vertical="top" wrapText="1"/>
    </xf>
    <xf numFmtId="0" fontId="34" fillId="0" borderId="2" xfId="0" applyFont="1" applyBorder="1" applyAlignment="1">
      <alignment vertical="top" wrapText="1"/>
    </xf>
    <xf numFmtId="3" fontId="34" fillId="14" borderId="0" xfId="0" applyNumberFormat="1" applyFont="1" applyFill="1" applyAlignment="1">
      <alignment vertical="top" wrapText="1"/>
    </xf>
    <xf numFmtId="0" fontId="34" fillId="15" borderId="0" xfId="0" applyFont="1" applyFill="1" applyAlignment="1">
      <alignment vertical="top" wrapText="1"/>
    </xf>
    <xf numFmtId="3" fontId="34" fillId="0" borderId="2" xfId="0" applyNumberFormat="1" applyFont="1" applyBorder="1" applyAlignment="1">
      <alignment vertical="top" wrapText="1"/>
    </xf>
    <xf numFmtId="3" fontId="11" fillId="12" borderId="0" xfId="0" applyNumberFormat="1" applyFont="1" applyFill="1" applyAlignment="1">
      <alignment vertical="top" wrapText="1"/>
    </xf>
    <xf numFmtId="0" fontId="34" fillId="0" borderId="0" xfId="0" applyFont="1"/>
    <xf numFmtId="0" fontId="34" fillId="3" borderId="2" xfId="0" applyFont="1" applyFill="1" applyBorder="1" applyAlignment="1">
      <alignment vertical="top" wrapText="1"/>
    </xf>
    <xf numFmtId="0" fontId="34" fillId="3" borderId="0" xfId="0" applyFont="1" applyFill="1" applyAlignment="1">
      <alignment vertical="top" wrapText="1"/>
    </xf>
    <xf numFmtId="0" fontId="37" fillId="0" borderId="1" xfId="0" applyFont="1" applyBorder="1" applyAlignment="1">
      <alignment horizontal="left"/>
    </xf>
    <xf numFmtId="0" fontId="37" fillId="0" borderId="0" xfId="0" applyFont="1" applyAlignment="1">
      <alignment horizontal="left"/>
    </xf>
    <xf numFmtId="0" fontId="11" fillId="0" borderId="0" xfId="0" applyFont="1" applyAlignment="1">
      <alignment horizontal="left"/>
    </xf>
    <xf numFmtId="0" fontId="37" fillId="0" borderId="1" xfId="0" applyFont="1" applyBorder="1" applyAlignment="1">
      <alignment horizontal="left" wrapText="1"/>
    </xf>
    <xf numFmtId="0" fontId="34" fillId="0" borderId="1" xfId="0" applyFont="1" applyBorder="1" applyAlignment="1">
      <alignment vertical="top" wrapText="1"/>
    </xf>
    <xf numFmtId="3" fontId="37" fillId="11" borderId="0" xfId="0" applyNumberFormat="1" applyFont="1" applyFill="1" applyAlignment="1">
      <alignment horizontal="left" vertical="top" wrapText="1"/>
    </xf>
    <xf numFmtId="3" fontId="37" fillId="3" borderId="3" xfId="0" applyNumberFormat="1" applyFont="1" applyFill="1" applyBorder="1" applyAlignment="1">
      <alignment horizontal="left" vertical="top" wrapText="1"/>
    </xf>
    <xf numFmtId="3" fontId="37" fillId="3" borderId="0" xfId="0" applyNumberFormat="1" applyFont="1" applyFill="1" applyAlignment="1">
      <alignment horizontal="left" vertical="top" wrapText="1"/>
    </xf>
    <xf numFmtId="3" fontId="11" fillId="11" borderId="3" xfId="0" applyNumberFormat="1" applyFont="1" applyFill="1" applyBorder="1" applyAlignment="1">
      <alignment vertical="top" wrapText="1"/>
    </xf>
    <xf numFmtId="0" fontId="9" fillId="11" borderId="3" xfId="0" applyFont="1" applyFill="1" applyBorder="1" applyAlignment="1">
      <alignment vertical="top" wrapText="1"/>
    </xf>
    <xf numFmtId="3" fontId="11" fillId="3" borderId="3" xfId="0" applyNumberFormat="1" applyFont="1" applyFill="1" applyBorder="1" applyAlignment="1">
      <alignment vertical="top" wrapText="1"/>
    </xf>
    <xf numFmtId="3" fontId="11" fillId="3" borderId="0" xfId="0" applyNumberFormat="1" applyFont="1" applyFill="1" applyAlignment="1">
      <alignment vertical="top" wrapText="1"/>
    </xf>
    <xf numFmtId="3" fontId="12" fillId="3" borderId="0" xfId="0" applyNumberFormat="1" applyFont="1" applyFill="1" applyAlignment="1">
      <alignment vertical="top" wrapText="1"/>
    </xf>
    <xf numFmtId="3" fontId="11" fillId="13" borderId="3" xfId="0" applyNumberFormat="1" applyFont="1" applyFill="1" applyBorder="1" applyAlignment="1">
      <alignment horizontal="right" vertical="top" wrapText="1"/>
    </xf>
    <xf numFmtId="3" fontId="12" fillId="13" borderId="0" xfId="0" applyNumberFormat="1" applyFont="1" applyFill="1" applyAlignment="1">
      <alignment vertical="top" wrapText="1"/>
    </xf>
    <xf numFmtId="0" fontId="35" fillId="0" borderId="0" xfId="0" applyFont="1"/>
    <xf numFmtId="0" fontId="34" fillId="0" borderId="0" xfId="0" applyFont="1" applyAlignment="1">
      <alignment wrapText="1"/>
    </xf>
    <xf numFmtId="0" fontId="34" fillId="15" borderId="0" xfId="0" applyFont="1" applyFill="1"/>
    <xf numFmtId="0" fontId="34" fillId="4" borderId="2" xfId="0" applyFont="1" applyFill="1" applyBorder="1"/>
    <xf numFmtId="0" fontId="34" fillId="4" borderId="0" xfId="0" applyFont="1" applyFill="1"/>
    <xf numFmtId="0" fontId="34" fillId="0" borderId="3" xfId="0" applyFont="1" applyBorder="1"/>
    <xf numFmtId="0" fontId="34" fillId="11" borderId="0" xfId="0" applyFont="1" applyFill="1"/>
    <xf numFmtId="0" fontId="34" fillId="11" borderId="3" xfId="0" applyFont="1" applyFill="1" applyBorder="1"/>
    <xf numFmtId="0" fontId="34" fillId="11" borderId="0" xfId="0" applyFont="1" applyFill="1" applyAlignment="1">
      <alignment wrapText="1"/>
    </xf>
    <xf numFmtId="0" fontId="34" fillId="3" borderId="0" xfId="0" applyFont="1" applyFill="1"/>
    <xf numFmtId="0" fontId="34" fillId="3" borderId="3" xfId="0" applyFont="1" applyFill="1" applyBorder="1"/>
    <xf numFmtId="0" fontId="34" fillId="13" borderId="3" xfId="0" applyFont="1" applyFill="1" applyBorder="1"/>
    <xf numFmtId="0" fontId="34" fillId="13" borderId="0" xfId="0" applyFont="1" applyFill="1"/>
    <xf numFmtId="49" fontId="34" fillId="13" borderId="0" xfId="0" applyNumberFormat="1" applyFont="1" applyFill="1" applyAlignment="1">
      <alignment wrapText="1"/>
    </xf>
    <xf numFmtId="0" fontId="34" fillId="13" borderId="0" xfId="0" applyFont="1" applyFill="1" applyAlignment="1">
      <alignment wrapText="1"/>
    </xf>
    <xf numFmtId="49" fontId="34" fillId="0" borderId="1" xfId="0" applyNumberFormat="1" applyFont="1" applyBorder="1" applyAlignment="1">
      <alignment wrapText="1"/>
    </xf>
    <xf numFmtId="49" fontId="11" fillId="12" borderId="0" xfId="0" applyNumberFormat="1" applyFont="1" applyFill="1" applyAlignment="1">
      <alignment wrapText="1"/>
    </xf>
    <xf numFmtId="0" fontId="9" fillId="3" borderId="0" xfId="0" applyFont="1" applyFill="1"/>
    <xf numFmtId="0" fontId="7" fillId="0" borderId="2" xfId="0" applyFont="1" applyBorder="1"/>
    <xf numFmtId="0" fontId="9" fillId="0" borderId="3" xfId="0" applyFont="1" applyBorder="1"/>
    <xf numFmtId="3" fontId="11" fillId="11" borderId="0" xfId="0" applyNumberFormat="1" applyFont="1" applyFill="1" applyAlignment="1">
      <alignment vertical="top" wrapText="1"/>
    </xf>
    <xf numFmtId="0" fontId="9" fillId="16" borderId="0" xfId="0" applyFont="1" applyFill="1"/>
    <xf numFmtId="0" fontId="9" fillId="11" borderId="3" xfId="0" applyFont="1" applyFill="1" applyBorder="1"/>
    <xf numFmtId="0" fontId="9" fillId="11" borderId="0" xfId="0" applyFont="1" applyFill="1"/>
    <xf numFmtId="0" fontId="7" fillId="11" borderId="0" xfId="0" applyFont="1" applyFill="1" applyAlignment="1">
      <alignment wrapText="1"/>
    </xf>
    <xf numFmtId="0" fontId="9" fillId="3" borderId="3" xfId="0" applyFont="1" applyFill="1" applyBorder="1"/>
    <xf numFmtId="0" fontId="7" fillId="13" borderId="3" xfId="0" applyFont="1" applyFill="1" applyBorder="1"/>
    <xf numFmtId="0" fontId="9" fillId="13" borderId="0" xfId="0" applyFont="1" applyFill="1"/>
    <xf numFmtId="0" fontId="7" fillId="13" borderId="0" xfId="0" applyFont="1" applyFill="1"/>
    <xf numFmtId="49" fontId="9" fillId="13" borderId="0" xfId="0" applyNumberFormat="1" applyFont="1" applyFill="1" applyAlignment="1">
      <alignment wrapText="1"/>
    </xf>
    <xf numFmtId="0" fontId="7" fillId="13" borderId="0" xfId="0" applyFont="1" applyFill="1" applyAlignment="1">
      <alignment wrapText="1"/>
    </xf>
    <xf numFmtId="49" fontId="7" fillId="0" borderId="1" xfId="0" applyNumberFormat="1" applyFont="1" applyBorder="1" applyAlignment="1">
      <alignment wrapText="1"/>
    </xf>
    <xf numFmtId="49" fontId="7" fillId="0" borderId="0" xfId="0" applyNumberFormat="1" applyFont="1" applyAlignment="1">
      <alignment wrapText="1"/>
    </xf>
    <xf numFmtId="49" fontId="7" fillId="13" borderId="0" xfId="0" applyNumberFormat="1" applyFont="1" applyFill="1" applyAlignment="1">
      <alignment wrapText="1"/>
    </xf>
    <xf numFmtId="0" fontId="34" fillId="3" borderId="2" xfId="0" applyFont="1" applyFill="1" applyBorder="1"/>
    <xf numFmtId="0" fontId="12" fillId="11" borderId="0" xfId="0" applyFont="1" applyFill="1"/>
    <xf numFmtId="49" fontId="34" fillId="0" borderId="0" xfId="0" applyNumberFormat="1" applyFont="1" applyAlignment="1">
      <alignment wrapText="1"/>
    </xf>
    <xf numFmtId="0" fontId="34" fillId="16" borderId="0" xfId="0" applyFont="1" applyFill="1" applyAlignment="1">
      <alignment vertical="top" wrapText="1"/>
    </xf>
    <xf numFmtId="0" fontId="34" fillId="11" borderId="0" xfId="0" applyFont="1" applyFill="1" applyAlignment="1">
      <alignment vertical="top" wrapText="1"/>
    </xf>
    <xf numFmtId="0" fontId="11" fillId="11" borderId="0" xfId="0" applyFont="1" applyFill="1" applyAlignment="1">
      <alignment vertical="top" wrapText="1"/>
    </xf>
    <xf numFmtId="0" fontId="34" fillId="3" borderId="3" xfId="0" applyFont="1" applyFill="1" applyBorder="1" applyAlignment="1">
      <alignment vertical="top" wrapText="1"/>
    </xf>
    <xf numFmtId="3" fontId="11" fillId="13" borderId="0" xfId="0" applyNumberFormat="1" applyFont="1" applyFill="1" applyAlignment="1">
      <alignment horizontal="right" vertical="top" wrapText="1"/>
    </xf>
    <xf numFmtId="0" fontId="11" fillId="13" borderId="0" xfId="0" applyFont="1" applyFill="1" applyAlignment="1">
      <alignment vertical="top" wrapText="1"/>
    </xf>
    <xf numFmtId="0" fontId="34" fillId="13" borderId="0" xfId="0" applyFont="1" applyFill="1" applyAlignment="1">
      <alignment vertical="top" wrapText="1"/>
    </xf>
    <xf numFmtId="3" fontId="34" fillId="13" borderId="3" xfId="0" applyNumberFormat="1" applyFont="1" applyFill="1" applyBorder="1" applyAlignment="1">
      <alignment vertical="top" wrapText="1"/>
    </xf>
    <xf numFmtId="0" fontId="34" fillId="14" borderId="0" xfId="0" applyFont="1" applyFill="1" applyAlignment="1">
      <alignment vertical="top" wrapText="1"/>
    </xf>
    <xf numFmtId="0" fontId="35" fillId="14" borderId="0" xfId="0" applyFont="1" applyFill="1" applyAlignment="1">
      <alignment vertical="top"/>
    </xf>
    <xf numFmtId="0" fontId="34" fillId="14" borderId="2" xfId="0" applyFont="1" applyFill="1" applyBorder="1" applyAlignment="1">
      <alignment vertical="top" wrapText="1"/>
    </xf>
    <xf numFmtId="0" fontId="34" fillId="14" borderId="3" xfId="0" applyFont="1" applyFill="1" applyBorder="1" applyAlignment="1">
      <alignment vertical="top" wrapText="1"/>
    </xf>
    <xf numFmtId="3" fontId="34" fillId="14" borderId="3" xfId="0" applyNumberFormat="1" applyFont="1" applyFill="1" applyBorder="1" applyAlignment="1">
      <alignment vertical="top" wrapText="1"/>
    </xf>
    <xf numFmtId="3" fontId="34" fillId="14" borderId="0" xfId="0" applyNumberFormat="1" applyFont="1" applyFill="1" applyAlignment="1">
      <alignment horizontal="right" vertical="top" wrapText="1"/>
    </xf>
    <xf numFmtId="3" fontId="34" fillId="14" borderId="1" xfId="0" applyNumberFormat="1" applyFont="1" applyFill="1" applyBorder="1" applyAlignment="1">
      <alignment vertical="top" wrapText="1"/>
    </xf>
    <xf numFmtId="3" fontId="11" fillId="14" borderId="0" xfId="0" applyNumberFormat="1" applyFont="1" applyFill="1" applyAlignment="1">
      <alignment vertical="top" wrapText="1"/>
    </xf>
    <xf numFmtId="0" fontId="34" fillId="0" borderId="0" xfId="0" applyFont="1" applyAlignment="1">
      <alignment horizontal="left" vertical="top" wrapText="1"/>
    </xf>
    <xf numFmtId="0" fontId="34" fillId="0" borderId="1" xfId="0" applyFont="1" applyBorder="1" applyAlignment="1">
      <alignment wrapText="1"/>
    </xf>
    <xf numFmtId="0" fontId="11" fillId="0" borderId="0" xfId="0" applyFont="1"/>
    <xf numFmtId="3" fontId="34" fillId="17" borderId="1" xfId="0" applyNumberFormat="1" applyFont="1" applyFill="1" applyBorder="1" applyAlignment="1">
      <alignment vertical="top" wrapText="1"/>
    </xf>
    <xf numFmtId="3" fontId="34" fillId="17" borderId="0" xfId="0" applyNumberFormat="1" applyFont="1" applyFill="1" applyAlignment="1">
      <alignment vertical="top" wrapText="1"/>
    </xf>
    <xf numFmtId="0" fontId="34" fillId="13" borderId="4" xfId="0" applyFont="1" applyFill="1" applyBorder="1" applyAlignment="1">
      <alignment vertical="top" wrapText="1"/>
    </xf>
    <xf numFmtId="0" fontId="34" fillId="0" borderId="1" xfId="0" applyFont="1" applyBorder="1"/>
    <xf numFmtId="3" fontId="34" fillId="13" borderId="0" xfId="0" applyNumberFormat="1" applyFont="1" applyFill="1" applyAlignment="1">
      <alignment horizontal="right" vertical="top" wrapText="1"/>
    </xf>
    <xf numFmtId="3" fontId="34" fillId="0" borderId="0" xfId="0" applyNumberFormat="1" applyFont="1" applyAlignment="1">
      <alignment vertical="top"/>
    </xf>
    <xf numFmtId="3" fontId="11" fillId="17" borderId="1" xfId="0" applyNumberFormat="1" applyFont="1" applyFill="1" applyBorder="1" applyAlignment="1">
      <alignment vertical="top" wrapText="1"/>
    </xf>
    <xf numFmtId="0" fontId="34" fillId="0" borderId="4" xfId="0" applyFont="1" applyBorder="1" applyAlignment="1">
      <alignment vertical="top" wrapText="1"/>
    </xf>
    <xf numFmtId="0" fontId="34" fillId="11" borderId="4" xfId="0" applyFont="1" applyFill="1" applyBorder="1" applyAlignment="1">
      <alignment vertical="top" wrapText="1"/>
    </xf>
    <xf numFmtId="3" fontId="34" fillId="3" borderId="4" xfId="0" applyNumberFormat="1" applyFont="1" applyFill="1" applyBorder="1" applyAlignment="1">
      <alignment vertical="top" wrapText="1"/>
    </xf>
    <xf numFmtId="3" fontId="37" fillId="13" borderId="0" xfId="0" applyNumberFormat="1" applyFont="1" applyFill="1" applyAlignment="1">
      <alignment horizontal="left" wrapText="1"/>
    </xf>
    <xf numFmtId="0" fontId="34" fillId="0" borderId="0" xfId="0" applyFont="1" applyAlignment="1">
      <alignment vertical="top"/>
    </xf>
    <xf numFmtId="0" fontId="34" fillId="3" borderId="2" xfId="0" applyFont="1" applyFill="1" applyBorder="1" applyAlignment="1">
      <alignment vertical="top"/>
    </xf>
    <xf numFmtId="0" fontId="34" fillId="3" borderId="0" xfId="0" applyFont="1" applyFill="1" applyAlignment="1">
      <alignment vertical="top"/>
    </xf>
    <xf numFmtId="0" fontId="34" fillId="0" borderId="3" xfId="0" applyFont="1" applyBorder="1" applyAlignment="1">
      <alignment vertical="top"/>
    </xf>
    <xf numFmtId="3" fontId="34" fillId="11" borderId="0" xfId="0" applyNumberFormat="1" applyFont="1" applyFill="1" applyAlignment="1">
      <alignment vertical="top"/>
    </xf>
    <xf numFmtId="3" fontId="34" fillId="3" borderId="3" xfId="0" applyNumberFormat="1" applyFont="1" applyFill="1" applyBorder="1" applyAlignment="1">
      <alignment vertical="top"/>
    </xf>
    <xf numFmtId="3" fontId="34" fillId="3" borderId="0" xfId="0" applyNumberFormat="1" applyFont="1" applyFill="1" applyAlignment="1">
      <alignment vertical="top"/>
    </xf>
    <xf numFmtId="3" fontId="34" fillId="12" borderId="3" xfId="0" applyNumberFormat="1" applyFont="1" applyFill="1" applyBorder="1" applyAlignment="1">
      <alignment vertical="top"/>
    </xf>
    <xf numFmtId="3" fontId="34" fillId="12" borderId="0" xfId="0" applyNumberFormat="1" applyFont="1" applyFill="1" applyAlignment="1">
      <alignment vertical="top"/>
    </xf>
    <xf numFmtId="3" fontId="34" fillId="13" borderId="0" xfId="0" applyNumberFormat="1" applyFont="1" applyFill="1" applyAlignment="1">
      <alignment vertical="top"/>
    </xf>
    <xf numFmtId="3" fontId="8" fillId="4" borderId="0" xfId="0" applyNumberFormat="1" applyFont="1" applyFill="1" applyAlignment="1">
      <alignment horizontal="left" wrapText="1"/>
    </xf>
    <xf numFmtId="3" fontId="34" fillId="3" borderId="1" xfId="0" applyNumberFormat="1" applyFont="1" applyFill="1" applyBorder="1" applyAlignment="1">
      <alignment vertical="top" wrapText="1"/>
    </xf>
    <xf numFmtId="3" fontId="8" fillId="4" borderId="0" xfId="0" applyNumberFormat="1" applyFont="1" applyFill="1" applyAlignment="1">
      <alignment horizontal="left"/>
    </xf>
    <xf numFmtId="0" fontId="34" fillId="3" borderId="4" xfId="0" applyFont="1" applyFill="1" applyBorder="1" applyAlignment="1">
      <alignment vertical="top" wrapText="1"/>
    </xf>
    <xf numFmtId="0" fontId="11" fillId="12" borderId="0" xfId="0" applyFont="1" applyFill="1" applyAlignment="1">
      <alignment vertical="top" wrapText="1"/>
    </xf>
    <xf numFmtId="0" fontId="34" fillId="12" borderId="0" xfId="0" applyFont="1" applyFill="1" applyAlignment="1">
      <alignment vertical="top" wrapText="1"/>
    </xf>
    <xf numFmtId="0" fontId="11" fillId="0" borderId="1" xfId="0" applyFont="1" applyBorder="1" applyAlignment="1">
      <alignment vertical="top" wrapText="1"/>
    </xf>
    <xf numFmtId="3" fontId="11" fillId="0" borderId="1" xfId="0" applyNumberFormat="1" applyFont="1" applyBorder="1" applyAlignment="1">
      <alignment vertical="top" wrapText="1"/>
    </xf>
    <xf numFmtId="0" fontId="37" fillId="13" borderId="0" xfId="0" applyFont="1" applyFill="1" applyAlignment="1">
      <alignment horizontal="left" wrapText="1"/>
    </xf>
    <xf numFmtId="3" fontId="34" fillId="3" borderId="2" xfId="0" applyNumberFormat="1" applyFont="1" applyFill="1" applyBorder="1" applyAlignment="1">
      <alignment vertical="top" wrapText="1"/>
    </xf>
    <xf numFmtId="0" fontId="11" fillId="3" borderId="0" xfId="0" applyFont="1" applyFill="1" applyAlignment="1">
      <alignment vertical="top" wrapText="1"/>
    </xf>
    <xf numFmtId="0" fontId="34" fillId="12" borderId="3" xfId="0" applyFont="1" applyFill="1" applyBorder="1" applyAlignment="1">
      <alignment vertical="top" wrapText="1"/>
    </xf>
    <xf numFmtId="3" fontId="11" fillId="16" borderId="0" xfId="0" applyNumberFormat="1" applyFont="1" applyFill="1" applyAlignment="1">
      <alignment vertical="top" wrapText="1"/>
    </xf>
    <xf numFmtId="3" fontId="37" fillId="0" borderId="0" xfId="0" applyNumberFormat="1" applyFont="1" applyAlignment="1">
      <alignment horizontal="left"/>
    </xf>
    <xf numFmtId="3" fontId="34" fillId="13" borderId="4" xfId="0" applyNumberFormat="1" applyFont="1" applyFill="1" applyBorder="1" applyAlignment="1">
      <alignment vertical="top" wrapText="1"/>
    </xf>
    <xf numFmtId="3" fontId="34" fillId="0" borderId="1" xfId="0" applyNumberFormat="1" applyFont="1" applyBorder="1" applyAlignment="1">
      <alignment vertical="top"/>
    </xf>
    <xf numFmtId="0" fontId="37" fillId="0" borderId="0" xfId="0" applyFont="1" applyAlignment="1">
      <alignment horizontal="left" vertical="top" wrapText="1"/>
    </xf>
    <xf numFmtId="0" fontId="34" fillId="13" borderId="3" xfId="0" applyFont="1" applyFill="1" applyBorder="1" applyAlignment="1">
      <alignment vertical="top" wrapText="1"/>
    </xf>
    <xf numFmtId="3" fontId="11" fillId="12" borderId="3" xfId="0" applyNumberFormat="1" applyFont="1" applyFill="1" applyBorder="1" applyAlignment="1">
      <alignment vertical="top" wrapText="1"/>
    </xf>
    <xf numFmtId="3" fontId="12" fillId="12" borderId="0" xfId="0" applyNumberFormat="1" applyFont="1" applyFill="1" applyAlignment="1">
      <alignment vertical="top" wrapText="1"/>
    </xf>
    <xf numFmtId="3" fontId="11" fillId="13" borderId="3" xfId="0" applyNumberFormat="1" applyFont="1" applyFill="1" applyBorder="1" applyAlignment="1">
      <alignment vertical="top" wrapText="1"/>
    </xf>
    <xf numFmtId="3" fontId="34" fillId="12" borderId="1" xfId="0" applyNumberFormat="1" applyFont="1" applyFill="1" applyBorder="1" applyAlignment="1">
      <alignment vertical="top" wrapText="1"/>
    </xf>
    <xf numFmtId="0" fontId="34" fillId="4" borderId="0" xfId="0" applyFont="1" applyFill="1" applyAlignment="1">
      <alignment vertical="top" wrapText="1"/>
    </xf>
    <xf numFmtId="0" fontId="9" fillId="15" borderId="0" xfId="0" applyFont="1" applyFill="1"/>
    <xf numFmtId="3" fontId="38" fillId="0" borderId="0" xfId="0" applyNumberFormat="1" applyFont="1" applyAlignment="1">
      <alignment vertical="top" wrapText="1"/>
    </xf>
    <xf numFmtId="3" fontId="11" fillId="4" borderId="0" xfId="0" applyNumberFormat="1" applyFont="1" applyFill="1" applyAlignment="1">
      <alignment vertical="top" wrapText="1"/>
    </xf>
    <xf numFmtId="0" fontId="34" fillId="15" borderId="2" xfId="0" applyFont="1" applyFill="1" applyBorder="1" applyAlignment="1">
      <alignment vertical="top" wrapText="1"/>
    </xf>
    <xf numFmtId="0" fontId="34" fillId="4" borderId="2" xfId="0" applyFont="1" applyFill="1" applyBorder="1" applyAlignment="1">
      <alignment vertical="top"/>
    </xf>
    <xf numFmtId="0" fontId="34" fillId="4" borderId="0" xfId="0" applyFont="1" applyFill="1" applyAlignment="1">
      <alignment vertical="top"/>
    </xf>
    <xf numFmtId="3" fontId="34" fillId="0" borderId="3" xfId="0" applyNumberFormat="1" applyFont="1" applyBorder="1" applyAlignment="1">
      <alignment vertical="top" wrapText="1"/>
    </xf>
    <xf numFmtId="3" fontId="34" fillId="4" borderId="0" xfId="0" applyNumberFormat="1" applyFont="1" applyFill="1" applyAlignment="1">
      <alignment vertical="top" wrapText="1"/>
    </xf>
    <xf numFmtId="0" fontId="39" fillId="0" borderId="0" xfId="0" applyFont="1"/>
    <xf numFmtId="49" fontId="40" fillId="0" borderId="0" xfId="0" applyNumberFormat="1" applyFont="1"/>
    <xf numFmtId="0" fontId="40" fillId="0" borderId="0" xfId="0" applyFont="1"/>
    <xf numFmtId="49" fontId="7" fillId="0" borderId="0" xfId="0" applyNumberFormat="1" applyFont="1"/>
    <xf numFmtId="49" fontId="9" fillId="0" borderId="0" xfId="0" applyNumberFormat="1" applyFont="1"/>
    <xf numFmtId="49" fontId="39" fillId="0" borderId="0" xfId="0" applyNumberFormat="1" applyFont="1"/>
    <xf numFmtId="0" fontId="41" fillId="0" borderId="0" xfId="0" applyFont="1" applyAlignment="1">
      <alignment vertical="top"/>
    </xf>
    <xf numFmtId="0" fontId="42" fillId="0" borderId="0" xfId="0" applyFont="1" applyAlignment="1">
      <alignment vertical="top"/>
    </xf>
    <xf numFmtId="0" fontId="45" fillId="0" borderId="0" xfId="0" applyFont="1" applyAlignment="1">
      <alignment vertical="top" wrapText="1"/>
    </xf>
    <xf numFmtId="0" fontId="46" fillId="0" borderId="0" xfId="0" applyFont="1" applyAlignment="1">
      <alignment vertical="top" wrapText="1"/>
    </xf>
    <xf numFmtId="0" fontId="47" fillId="5" borderId="0" xfId="0" applyFont="1" applyFill="1" applyAlignment="1">
      <alignment vertical="top" wrapText="1"/>
    </xf>
    <xf numFmtId="0" fontId="48" fillId="5" borderId="0" xfId="0" applyFont="1" applyFill="1" applyAlignment="1">
      <alignment vertical="top" wrapText="1"/>
    </xf>
    <xf numFmtId="0" fontId="49" fillId="5" borderId="5" xfId="0" applyFont="1" applyFill="1" applyBorder="1" applyAlignment="1">
      <alignment vertical="top" wrapText="1"/>
    </xf>
    <xf numFmtId="0" fontId="45" fillId="18" borderId="0" xfId="0" applyFont="1" applyFill="1" applyAlignment="1">
      <alignment vertical="top" wrapText="1"/>
    </xf>
    <xf numFmtId="0" fontId="50" fillId="18" borderId="0" xfId="0" applyFont="1" applyFill="1" applyAlignment="1">
      <alignment vertical="top" wrapText="1"/>
    </xf>
    <xf numFmtId="0" fontId="50" fillId="0" borderId="0" xfId="0" applyFont="1" applyAlignment="1">
      <alignment vertical="top" wrapText="1"/>
    </xf>
    <xf numFmtId="0" fontId="45" fillId="0" borderId="6" xfId="0" applyFont="1" applyBorder="1" applyAlignment="1">
      <alignment vertical="top" wrapText="1"/>
    </xf>
    <xf numFmtId="0" fontId="12" fillId="0" borderId="6" xfId="0" applyFont="1" applyBorder="1" applyAlignment="1">
      <alignment vertical="top" wrapText="1"/>
    </xf>
    <xf numFmtId="0" fontId="11" fillId="0" borderId="6" xfId="0" applyFont="1" applyBorder="1" applyAlignment="1">
      <alignment vertical="top" wrapText="1"/>
    </xf>
    <xf numFmtId="0" fontId="50" fillId="0" borderId="6" xfId="0" applyFont="1" applyBorder="1" applyAlignment="1">
      <alignment vertical="top" wrapText="1"/>
    </xf>
    <xf numFmtId="0" fontId="45" fillId="0" borderId="5" xfId="0" applyFont="1" applyBorder="1" applyAlignment="1">
      <alignment vertical="top" wrapText="1"/>
    </xf>
    <xf numFmtId="0" fontId="12" fillId="0" borderId="5" xfId="0" applyFont="1" applyBorder="1" applyAlignment="1">
      <alignment vertical="top" wrapText="1"/>
    </xf>
    <xf numFmtId="0" fontId="11" fillId="0" borderId="5" xfId="0" applyFont="1" applyBorder="1" applyAlignment="1">
      <alignment vertical="top" wrapText="1"/>
    </xf>
    <xf numFmtId="0" fontId="50" fillId="0" borderId="5" xfId="0" applyFont="1" applyBorder="1" applyAlignment="1">
      <alignment vertical="top" wrapText="1"/>
    </xf>
    <xf numFmtId="0" fontId="35" fillId="0" borderId="0" xfId="0" applyFont="1" applyAlignment="1">
      <alignment vertical="top" wrapText="1"/>
    </xf>
    <xf numFmtId="0" fontId="45" fillId="0" borderId="7" xfId="0" applyFont="1" applyBorder="1" applyAlignment="1">
      <alignment vertical="top" wrapText="1"/>
    </xf>
    <xf numFmtId="0" fontId="35" fillId="0" borderId="6" xfId="0" applyFont="1" applyBorder="1" applyAlignment="1">
      <alignment vertical="top" wrapText="1"/>
    </xf>
    <xf numFmtId="0" fontId="35" fillId="0" borderId="5" xfId="0" applyFont="1" applyBorder="1" applyAlignment="1">
      <alignment vertical="top" wrapText="1"/>
    </xf>
    <xf numFmtId="0" fontId="51" fillId="0" borderId="0" xfId="0" applyFont="1" applyAlignment="1">
      <alignment vertical="top" wrapText="1"/>
    </xf>
    <xf numFmtId="0" fontId="52" fillId="0" borderId="0" xfId="0" applyFont="1" applyAlignment="1">
      <alignment vertical="top" wrapText="1"/>
    </xf>
    <xf numFmtId="0" fontId="52" fillId="0" borderId="6" xfId="0" applyFont="1" applyBorder="1" applyAlignment="1">
      <alignment vertical="top" wrapText="1"/>
    </xf>
    <xf numFmtId="0" fontId="41" fillId="15" borderId="0" xfId="0" applyFont="1" applyFill="1" applyAlignment="1">
      <alignment horizontal="left" vertical="top"/>
    </xf>
    <xf numFmtId="0" fontId="50" fillId="15" borderId="0" xfId="0" applyFont="1" applyFill="1" applyAlignment="1">
      <alignment horizontal="left" vertical="top"/>
    </xf>
    <xf numFmtId="0" fontId="45" fillId="15" borderId="0" xfId="0" applyFont="1" applyFill="1" applyAlignment="1">
      <alignment horizontal="left" vertical="top" wrapText="1"/>
    </xf>
    <xf numFmtId="0" fontId="45" fillId="15" borderId="0" xfId="0" applyFont="1" applyFill="1" applyAlignment="1">
      <alignment horizontal="center" vertical="top" wrapText="1"/>
    </xf>
    <xf numFmtId="0" fontId="53" fillId="5" borderId="0" xfId="0" applyFont="1" applyFill="1" applyAlignment="1">
      <alignment horizontal="center" vertical="top" wrapText="1"/>
    </xf>
    <xf numFmtId="0" fontId="48" fillId="5" borderId="0" xfId="0" applyFont="1" applyFill="1" applyAlignment="1">
      <alignment horizontal="center" vertical="top" wrapText="1"/>
    </xf>
    <xf numFmtId="0" fontId="53" fillId="19" borderId="0" xfId="0" applyFont="1" applyFill="1" applyAlignment="1">
      <alignment horizontal="center" vertical="top" wrapText="1"/>
    </xf>
    <xf numFmtId="0" fontId="49" fillId="19" borderId="0" xfId="0" applyFont="1" applyFill="1" applyAlignment="1">
      <alignment horizontal="center" vertical="top" wrapText="1"/>
    </xf>
    <xf numFmtId="0" fontId="53" fillId="14" borderId="0" xfId="0" applyFont="1" applyFill="1" applyAlignment="1">
      <alignment horizontal="center" vertical="top" wrapText="1"/>
    </xf>
    <xf numFmtId="0" fontId="49" fillId="14" borderId="0" xfId="0" applyFont="1" applyFill="1" applyAlignment="1">
      <alignment horizontal="center" vertical="top" wrapText="1"/>
    </xf>
    <xf numFmtId="0" fontId="48" fillId="14" borderId="0" xfId="0" applyFont="1" applyFill="1" applyAlignment="1">
      <alignment horizontal="center" vertical="top" wrapText="1"/>
    </xf>
    <xf numFmtId="0" fontId="45" fillId="9" borderId="0" xfId="0" applyFont="1" applyFill="1" applyAlignment="1">
      <alignment vertical="top" wrapText="1"/>
    </xf>
    <xf numFmtId="0" fontId="50" fillId="9" borderId="0" xfId="0" applyFont="1" applyFill="1" applyAlignment="1">
      <alignment vertical="top" wrapText="1"/>
    </xf>
    <xf numFmtId="49" fontId="50" fillId="0" borderId="0" xfId="0" applyNumberFormat="1" applyFont="1" applyAlignment="1">
      <alignment vertical="top" wrapText="1"/>
    </xf>
    <xf numFmtId="0" fontId="54" fillId="0" borderId="0" xfId="0" applyFont="1"/>
    <xf numFmtId="0" fontId="21" fillId="0" borderId="0" xfId="0" applyFont="1"/>
    <xf numFmtId="0" fontId="37" fillId="0" borderId="0" xfId="0" applyFont="1"/>
    <xf numFmtId="0" fontId="54" fillId="5" borderId="0" xfId="0" applyFont="1" applyFill="1"/>
    <xf numFmtId="0" fontId="21" fillId="5" borderId="0" xfId="0" applyFont="1" applyFill="1"/>
    <xf numFmtId="0" fontId="55" fillId="5" borderId="0" xfId="0" applyFont="1" applyFill="1"/>
    <xf numFmtId="0" fontId="56" fillId="9" borderId="0" xfId="0" applyFont="1" applyFill="1"/>
    <xf numFmtId="0" fontId="37" fillId="9" borderId="0" xfId="0" applyFont="1" applyFill="1"/>
    <xf numFmtId="0" fontId="56" fillId="4" borderId="0" xfId="0" applyFont="1" applyFill="1"/>
    <xf numFmtId="0" fontId="37" fillId="4" borderId="0" xfId="0" applyFont="1" applyFill="1"/>
    <xf numFmtId="0" fontId="52" fillId="4" borderId="0" xfId="0" applyFont="1" applyFill="1"/>
    <xf numFmtId="0" fontId="13" fillId="4" borderId="0" xfId="0" applyFont="1" applyFill="1"/>
    <xf numFmtId="0" fontId="50" fillId="15" borderId="0" xfId="0" applyFont="1" applyFill="1" applyAlignment="1">
      <alignment horizontal="left" vertical="top" wrapText="1"/>
    </xf>
    <xf numFmtId="0" fontId="57" fillId="15" borderId="0" xfId="0" applyFont="1" applyFill="1" applyAlignment="1">
      <alignment horizontal="center" vertical="top" wrapText="1"/>
    </xf>
    <xf numFmtId="0" fontId="58" fillId="15" borderId="0" xfId="0" applyFont="1" applyFill="1" applyAlignment="1">
      <alignment horizontal="center" vertical="top" wrapText="1"/>
    </xf>
    <xf numFmtId="0" fontId="59" fillId="5" borderId="0" xfId="0" applyFont="1" applyFill="1" applyAlignment="1">
      <alignment horizontal="center" vertical="top" wrapText="1"/>
    </xf>
    <xf numFmtId="0" fontId="2" fillId="5" borderId="0" xfId="0" applyFont="1" applyFill="1" applyAlignment="1">
      <alignment horizontal="center" vertical="top" wrapText="1"/>
    </xf>
    <xf numFmtId="0" fontId="1" fillId="5" borderId="0" xfId="0" applyFont="1" applyFill="1" applyAlignment="1">
      <alignment horizontal="center" vertical="top" wrapText="1"/>
    </xf>
    <xf numFmtId="0" fontId="60" fillId="19" borderId="0" xfId="0" applyFont="1" applyFill="1" applyAlignment="1">
      <alignment horizontal="center" vertical="top" wrapText="1"/>
    </xf>
    <xf numFmtId="0" fontId="61" fillId="19" borderId="0" xfId="0" applyFont="1" applyFill="1" applyAlignment="1">
      <alignment horizontal="center" vertical="top" wrapText="1"/>
    </xf>
    <xf numFmtId="0" fontId="60" fillId="14" borderId="0" xfId="0" applyFont="1" applyFill="1" applyAlignment="1">
      <alignment horizontal="center" vertical="top" wrapText="1"/>
    </xf>
    <xf numFmtId="0" fontId="61" fillId="14" borderId="0" xfId="0" applyFont="1" applyFill="1" applyAlignment="1">
      <alignment horizontal="center" vertical="top" wrapText="1"/>
    </xf>
    <xf numFmtId="0" fontId="2" fillId="14" borderId="0" xfId="0" applyFont="1" applyFill="1" applyAlignment="1">
      <alignment horizontal="center" vertical="top" wrapText="1"/>
    </xf>
    <xf numFmtId="0" fontId="58" fillId="9" borderId="0" xfId="0" applyFont="1" applyFill="1" applyAlignment="1">
      <alignment vertical="top" wrapText="1"/>
    </xf>
    <xf numFmtId="0" fontId="9" fillId="9" borderId="0" xfId="0" applyFont="1" applyFill="1" applyAlignment="1">
      <alignment vertical="top" wrapText="1"/>
    </xf>
    <xf numFmtId="0" fontId="7" fillId="9" borderId="0" xfId="0" applyFont="1" applyFill="1" applyAlignment="1">
      <alignment vertical="top" wrapText="1"/>
    </xf>
    <xf numFmtId="0" fontId="58" fillId="0" borderId="0" xfId="0" applyFont="1" applyAlignment="1">
      <alignment vertical="top" wrapText="1"/>
    </xf>
    <xf numFmtId="49" fontId="36" fillId="0" borderId="0" xfId="0" applyNumberFormat="1" applyFont="1" applyAlignment="1">
      <alignment vertical="top" wrapText="1"/>
    </xf>
    <xf numFmtId="0" fontId="36" fillId="0" borderId="0" xfId="0" applyFont="1" applyAlignment="1">
      <alignment vertical="top" wrapText="1"/>
    </xf>
    <xf numFmtId="0" fontId="9" fillId="0" borderId="0" xfId="0" applyFont="1" applyAlignment="1">
      <alignment vertical="top" wrapText="1"/>
    </xf>
    <xf numFmtId="0" fontId="62" fillId="4" borderId="0" xfId="0" applyFont="1" applyFill="1"/>
    <xf numFmtId="0" fontId="35" fillId="4" borderId="0" xfId="0" applyFont="1" applyFill="1" applyAlignment="1">
      <alignment wrapText="1"/>
    </xf>
    <xf numFmtId="0" fontId="20" fillId="2" borderId="0" xfId="0" applyFont="1" applyFill="1" applyAlignment="1">
      <alignment horizontal="center" wrapText="1"/>
    </xf>
    <xf numFmtId="0" fontId="25" fillId="2" borderId="0" xfId="0" applyFont="1" applyFill="1" applyAlignment="1">
      <alignment horizontal="center" wrapText="1"/>
    </xf>
    <xf numFmtId="0" fontId="56" fillId="9" borderId="0" xfId="0" applyFont="1" applyFill="1" applyAlignment="1">
      <alignment wrapText="1"/>
    </xf>
    <xf numFmtId="0" fontId="13" fillId="9" borderId="0" xfId="0" applyFont="1" applyFill="1" applyAlignment="1">
      <alignment wrapText="1"/>
    </xf>
    <xf numFmtId="0" fontId="56" fillId="4" borderId="0" xfId="0" applyFont="1" applyFill="1" applyAlignment="1">
      <alignment wrapText="1"/>
    </xf>
    <xf numFmtId="0" fontId="13" fillId="4" borderId="0" xfId="0" applyFont="1" applyFill="1" applyAlignment="1">
      <alignment wrapText="1"/>
    </xf>
    <xf numFmtId="0" fontId="37" fillId="4" borderId="0" xfId="0" applyFont="1" applyFill="1" applyAlignment="1">
      <alignment wrapText="1"/>
    </xf>
    <xf numFmtId="0" fontId="63" fillId="4" borderId="0" xfId="0" applyFont="1" applyFill="1" applyAlignment="1">
      <alignment wrapText="1"/>
    </xf>
    <xf numFmtId="0" fontId="64" fillId="4" borderId="0" xfId="0" applyFont="1" applyFill="1"/>
    <xf numFmtId="0" fontId="65" fillId="0" borderId="0" xfId="0" applyFont="1" applyAlignment="1">
      <alignment vertical="top" wrapText="1"/>
    </xf>
    <xf numFmtId="0" fontId="66" fillId="0" borderId="0" xfId="0" applyFont="1" applyAlignment="1">
      <alignment vertical="top" wrapText="1"/>
    </xf>
    <xf numFmtId="0" fontId="67" fillId="4" borderId="0" xfId="0" applyFont="1" applyFill="1" applyAlignment="1">
      <alignment wrapText="1"/>
    </xf>
    <xf numFmtId="0" fontId="68" fillId="0" borderId="0" xfId="0" applyFont="1" applyAlignment="1">
      <alignment vertical="top" wrapText="1"/>
    </xf>
    <xf numFmtId="0" fontId="69" fillId="0" borderId="0" xfId="0" applyFont="1" applyAlignment="1">
      <alignment vertical="top" wrapText="1"/>
    </xf>
    <xf numFmtId="0" fontId="52" fillId="0" borderId="0" xfId="0" applyFont="1" applyAlignment="1">
      <alignment wrapText="1"/>
    </xf>
    <xf numFmtId="0" fontId="70" fillId="2" borderId="0" xfId="0" applyFont="1" applyFill="1" applyAlignment="1">
      <alignment vertical="top" wrapText="1"/>
    </xf>
    <xf numFmtId="0" fontId="71" fillId="2" borderId="0" xfId="0" applyFont="1" applyFill="1" applyAlignment="1">
      <alignment vertical="top" wrapText="1"/>
    </xf>
    <xf numFmtId="0" fontId="72" fillId="2" borderId="0" xfId="0" applyFont="1" applyFill="1" applyAlignment="1">
      <alignment vertical="top" wrapText="1"/>
    </xf>
    <xf numFmtId="0" fontId="73" fillId="2" borderId="0" xfId="0" applyFont="1" applyFill="1" applyAlignment="1">
      <alignment vertical="top" wrapText="1"/>
    </xf>
    <xf numFmtId="0" fontId="74" fillId="20" borderId="0" xfId="0" applyFont="1" applyFill="1" applyAlignment="1">
      <alignment vertical="top" wrapText="1"/>
    </xf>
    <xf numFmtId="0" fontId="7" fillId="20" borderId="0" xfId="0" applyFont="1" applyFill="1" applyAlignment="1">
      <alignment vertical="top" wrapText="1"/>
    </xf>
    <xf numFmtId="0" fontId="57" fillId="20" borderId="0" xfId="0" applyFont="1" applyFill="1" applyAlignment="1">
      <alignment vertical="top" wrapText="1"/>
    </xf>
    <xf numFmtId="0" fontId="11" fillId="20" borderId="0" xfId="0" applyFont="1" applyFill="1" applyAlignment="1">
      <alignment vertical="top" wrapText="1"/>
    </xf>
    <xf numFmtId="0" fontId="7" fillId="0" borderId="0" xfId="0" applyFont="1" applyAlignment="1">
      <alignment vertical="top" wrapText="1"/>
    </xf>
    <xf numFmtId="49" fontId="11" fillId="4" borderId="0" xfId="0" applyNumberFormat="1" applyFont="1" applyFill="1"/>
    <xf numFmtId="0" fontId="11" fillId="0" borderId="0" xfId="0" applyFont="1" applyAlignment="1">
      <alignment vertical="top"/>
    </xf>
    <xf numFmtId="49" fontId="11" fillId="0" borderId="0" xfId="0" applyNumberFormat="1" applyFont="1" applyAlignment="1">
      <alignment wrapText="1"/>
    </xf>
    <xf numFmtId="0" fontId="75" fillId="0" borderId="0" xfId="0" applyFont="1" applyAlignment="1">
      <alignment vertical="top" wrapText="1"/>
    </xf>
    <xf numFmtId="49" fontId="76" fillId="0" borderId="0" xfId="0" applyNumberFormat="1" applyFont="1" applyAlignment="1">
      <alignment vertical="top" wrapText="1"/>
    </xf>
    <xf numFmtId="0" fontId="57" fillId="0" borderId="0" xfId="0" applyFont="1" applyAlignment="1">
      <alignment vertical="top" wrapText="1"/>
    </xf>
    <xf numFmtId="0" fontId="77" fillId="0" borderId="0" xfId="0" applyFont="1" applyAlignment="1">
      <alignment vertical="top" wrapText="1"/>
    </xf>
    <xf numFmtId="0" fontId="78" fillId="0" borderId="0" xfId="0" applyFont="1" applyAlignment="1">
      <alignment vertical="top" wrapText="1"/>
    </xf>
    <xf numFmtId="0" fontId="76" fillId="0" borderId="0" xfId="0" applyFont="1" applyAlignment="1">
      <alignment vertical="top" wrapText="1"/>
    </xf>
    <xf numFmtId="0" fontId="58" fillId="15" borderId="0" xfId="0" applyFont="1" applyFill="1" applyAlignment="1">
      <alignment vertical="top" wrapText="1"/>
    </xf>
    <xf numFmtId="0" fontId="57" fillId="15" borderId="0" xfId="0" applyFont="1" applyFill="1" applyAlignment="1">
      <alignment vertical="top" wrapText="1"/>
    </xf>
    <xf numFmtId="0" fontId="79" fillId="21" borderId="0" xfId="0" applyFont="1" applyFill="1" applyAlignment="1">
      <alignment vertical="top" wrapText="1"/>
    </xf>
    <xf numFmtId="0" fontId="1" fillId="21" borderId="0" xfId="0" applyFont="1" applyFill="1" applyAlignment="1">
      <alignment vertical="top" wrapText="1"/>
    </xf>
    <xf numFmtId="0" fontId="2" fillId="21" borderId="0" xfId="0" applyFont="1" applyFill="1" applyAlignment="1">
      <alignment vertical="top" wrapText="1"/>
    </xf>
    <xf numFmtId="0" fontId="9" fillId="18" borderId="0" xfId="0" applyFont="1" applyFill="1" applyAlignment="1">
      <alignment vertical="top" wrapText="1"/>
    </xf>
    <xf numFmtId="0" fontId="7" fillId="18" borderId="0" xfId="0" applyFont="1" applyFill="1" applyAlignment="1">
      <alignment vertical="top" wrapText="1"/>
    </xf>
    <xf numFmtId="0" fontId="57" fillId="18" borderId="0" xfId="0" applyFont="1" applyFill="1" applyAlignment="1">
      <alignment vertical="top" wrapText="1"/>
    </xf>
    <xf numFmtId="0" fontId="80" fillId="0" borderId="0" xfId="0" applyFont="1" applyAlignment="1">
      <alignment vertical="top"/>
    </xf>
    <xf numFmtId="0" fontId="81" fillId="0" borderId="0" xfId="0" applyFont="1" applyAlignment="1">
      <alignment vertical="top"/>
    </xf>
    <xf numFmtId="0" fontId="58" fillId="0" borderId="0" xfId="0" applyFont="1" applyAlignment="1">
      <alignment vertical="top"/>
    </xf>
    <xf numFmtId="0" fontId="49" fillId="5" borderId="0" xfId="0" applyFont="1" applyFill="1" applyAlignment="1">
      <alignment vertical="top" wrapText="1"/>
    </xf>
    <xf numFmtId="0" fontId="82" fillId="18" borderId="0" xfId="0" applyFont="1" applyFill="1" applyAlignment="1">
      <alignment vertical="top" wrapText="1"/>
    </xf>
    <xf numFmtId="0" fontId="14" fillId="4" borderId="0" xfId="0" applyFont="1" applyFill="1" applyAlignment="1">
      <alignment vertical="top"/>
    </xf>
    <xf numFmtId="0" fontId="82" fillId="0" borderId="0" xfId="0" applyFont="1" applyAlignment="1">
      <alignment vertical="top" wrapText="1"/>
    </xf>
    <xf numFmtId="0" fontId="14" fillId="4" borderId="0" xfId="0" applyFont="1" applyFill="1"/>
    <xf numFmtId="0" fontId="9" fillId="0" borderId="0" xfId="0" applyFont="1" applyAlignment="1">
      <alignment vertical="top"/>
    </xf>
    <xf numFmtId="0" fontId="83" fillId="4" borderId="0" xfId="0" applyFont="1" applyFill="1" applyAlignment="1">
      <alignment vertical="top"/>
    </xf>
    <xf numFmtId="0" fontId="62" fillId="4" borderId="0" xfId="0" applyFont="1" applyFill="1" applyAlignment="1">
      <alignment vertical="top"/>
    </xf>
    <xf numFmtId="0" fontId="62" fillId="4" borderId="8" xfId="0" applyFont="1" applyFill="1" applyBorder="1" applyAlignment="1">
      <alignment vertical="top"/>
    </xf>
    <xf numFmtId="0" fontId="62" fillId="4" borderId="9" xfId="0" applyFont="1" applyFill="1" applyBorder="1" applyAlignment="1">
      <alignment vertical="top"/>
    </xf>
    <xf numFmtId="0" fontId="62" fillId="4" borderId="10" xfId="0" applyFont="1" applyFill="1" applyBorder="1" applyAlignment="1">
      <alignment vertical="top"/>
    </xf>
    <xf numFmtId="0" fontId="62" fillId="4" borderId="11" xfId="0" applyFont="1" applyFill="1" applyBorder="1" applyAlignment="1">
      <alignment vertical="top"/>
    </xf>
    <xf numFmtId="0" fontId="62" fillId="4" borderId="12" xfId="0" applyFont="1" applyFill="1" applyBorder="1" applyAlignment="1">
      <alignment vertical="top"/>
    </xf>
    <xf numFmtId="0" fontId="84" fillId="4" borderId="0" xfId="0" applyFont="1" applyFill="1" applyAlignment="1">
      <alignment vertical="top"/>
    </xf>
    <xf numFmtId="0" fontId="84" fillId="4" borderId="8" xfId="0" applyFont="1" applyFill="1" applyBorder="1" applyAlignment="1">
      <alignment vertical="top"/>
    </xf>
    <xf numFmtId="0" fontId="84" fillId="4" borderId="9" xfId="0" applyFont="1" applyFill="1" applyBorder="1" applyAlignment="1">
      <alignment vertical="top"/>
    </xf>
    <xf numFmtId="0" fontId="84" fillId="4" borderId="10" xfId="0" applyFont="1" applyFill="1" applyBorder="1" applyAlignment="1">
      <alignment vertical="top"/>
    </xf>
    <xf numFmtId="0" fontId="84" fillId="4" borderId="11" xfId="0" applyFont="1" applyFill="1" applyBorder="1" applyAlignment="1">
      <alignment vertical="top"/>
    </xf>
    <xf numFmtId="0" fontId="84" fillId="4" borderId="12" xfId="0" applyFont="1" applyFill="1" applyBorder="1" applyAlignment="1">
      <alignment vertical="top"/>
    </xf>
    <xf numFmtId="0" fontId="56" fillId="4" borderId="0" xfId="0" applyFont="1" applyFill="1" applyAlignment="1">
      <alignment vertical="top" wrapText="1"/>
    </xf>
    <xf numFmtId="0" fontId="52" fillId="4" borderId="0" xfId="0" applyFont="1" applyFill="1" applyAlignment="1">
      <alignment vertical="top" wrapText="1"/>
    </xf>
    <xf numFmtId="0" fontId="56" fillId="4" borderId="8" xfId="0" applyFont="1" applyFill="1" applyBorder="1" applyAlignment="1">
      <alignment vertical="top" wrapText="1"/>
    </xf>
    <xf numFmtId="0" fontId="56" fillId="4" borderId="9" xfId="0" applyFont="1" applyFill="1" applyBorder="1" applyAlignment="1">
      <alignment vertical="top" wrapText="1"/>
    </xf>
    <xf numFmtId="0" fontId="56" fillId="4" borderId="10" xfId="0" applyFont="1" applyFill="1" applyBorder="1" applyAlignment="1">
      <alignment vertical="top" wrapText="1"/>
    </xf>
    <xf numFmtId="0" fontId="56" fillId="4" borderId="11" xfId="0" applyFont="1" applyFill="1" applyBorder="1" applyAlignment="1">
      <alignment vertical="top" wrapText="1"/>
    </xf>
    <xf numFmtId="0" fontId="56" fillId="4" borderId="12" xfId="0" applyFont="1" applyFill="1" applyBorder="1" applyAlignment="1">
      <alignment vertical="top" wrapText="1"/>
    </xf>
    <xf numFmtId="0" fontId="85" fillId="15" borderId="0" xfId="0" applyFont="1" applyFill="1" applyAlignment="1">
      <alignment horizontal="center" vertical="top" wrapText="1"/>
    </xf>
    <xf numFmtId="0" fontId="85" fillId="15" borderId="9" xfId="0" applyFont="1" applyFill="1" applyBorder="1" applyAlignment="1">
      <alignment horizontal="center" vertical="top" wrapText="1"/>
    </xf>
    <xf numFmtId="0" fontId="85" fillId="15" borderId="10" xfId="0" applyFont="1" applyFill="1" applyBorder="1" applyAlignment="1">
      <alignment horizontal="center" vertical="top" wrapText="1"/>
    </xf>
    <xf numFmtId="0" fontId="85" fillId="15" borderId="11" xfId="0" applyFont="1" applyFill="1" applyBorder="1" applyAlignment="1">
      <alignment horizontal="center" vertical="top" wrapText="1"/>
    </xf>
    <xf numFmtId="0" fontId="85" fillId="15" borderId="12" xfId="0" applyFont="1" applyFill="1" applyBorder="1" applyAlignment="1">
      <alignment horizontal="center" vertical="top" wrapText="1"/>
    </xf>
    <xf numFmtId="0" fontId="86" fillId="2" borderId="0" xfId="0" applyFont="1" applyFill="1" applyAlignment="1">
      <alignment vertical="top" wrapText="1"/>
    </xf>
    <xf numFmtId="0" fontId="20" fillId="2" borderId="0" xfId="0" applyFont="1" applyFill="1" applyAlignment="1">
      <alignment vertical="top" wrapText="1"/>
    </xf>
    <xf numFmtId="0" fontId="25" fillId="2" borderId="0" xfId="0" applyFont="1" applyFill="1" applyAlignment="1">
      <alignment vertical="top" wrapText="1"/>
    </xf>
    <xf numFmtId="0" fontId="25" fillId="2" borderId="8" xfId="0" applyFont="1" applyFill="1" applyBorder="1" applyAlignment="1">
      <alignment vertical="top" wrapText="1"/>
    </xf>
    <xf numFmtId="0" fontId="26" fillId="2" borderId="0" xfId="0" applyFont="1" applyFill="1" applyAlignment="1">
      <alignment vertical="top" wrapText="1"/>
    </xf>
    <xf numFmtId="0" fontId="87" fillId="5" borderId="9" xfId="0" applyFont="1" applyFill="1" applyBorder="1" applyAlignment="1">
      <alignment vertical="top" wrapText="1"/>
    </xf>
    <xf numFmtId="0" fontId="88" fillId="5" borderId="10" xfId="0" applyFont="1" applyFill="1" applyBorder="1" applyAlignment="1">
      <alignment vertical="top" wrapText="1"/>
    </xf>
    <xf numFmtId="0" fontId="88" fillId="5" borderId="0" xfId="0" applyFont="1" applyFill="1" applyAlignment="1">
      <alignment vertical="top" wrapText="1"/>
    </xf>
    <xf numFmtId="0" fontId="25" fillId="2" borderId="11" xfId="0" applyFont="1" applyFill="1" applyBorder="1" applyAlignment="1">
      <alignment vertical="top" wrapText="1"/>
    </xf>
    <xf numFmtId="0" fontId="1" fillId="5" borderId="12" xfId="0" applyFont="1" applyFill="1" applyBorder="1" applyAlignment="1">
      <alignment vertical="top" wrapText="1"/>
    </xf>
    <xf numFmtId="0" fontId="89" fillId="5" borderId="10" xfId="0" applyFont="1" applyFill="1" applyBorder="1" applyAlignment="1">
      <alignment vertical="top" wrapText="1"/>
    </xf>
    <xf numFmtId="0" fontId="88" fillId="5" borderId="3" xfId="0" applyFont="1" applyFill="1" applyBorder="1" applyAlignment="1">
      <alignment vertical="top" wrapText="1"/>
    </xf>
    <xf numFmtId="0" fontId="90" fillId="9" borderId="0" xfId="0" applyFont="1" applyFill="1" applyAlignment="1">
      <alignment vertical="top" wrapText="1"/>
    </xf>
    <xf numFmtId="0" fontId="52" fillId="9" borderId="0" xfId="0" applyFont="1" applyFill="1" applyAlignment="1">
      <alignment vertical="top" wrapText="1"/>
    </xf>
    <xf numFmtId="0" fontId="13" fillId="9" borderId="0" xfId="0" applyFont="1" applyFill="1" applyAlignment="1">
      <alignment vertical="top" wrapText="1"/>
    </xf>
    <xf numFmtId="0" fontId="13" fillId="9" borderId="8" xfId="0" applyFont="1" applyFill="1" applyBorder="1" applyAlignment="1">
      <alignment vertical="top" wrapText="1"/>
    </xf>
    <xf numFmtId="0" fontId="9" fillId="9" borderId="9" xfId="0" applyFont="1" applyFill="1" applyBorder="1" applyAlignment="1">
      <alignment vertical="top" wrapText="1"/>
    </xf>
    <xf numFmtId="0" fontId="9" fillId="9" borderId="10" xfId="0" applyFont="1" applyFill="1" applyBorder="1" applyAlignment="1">
      <alignment vertical="top" wrapText="1"/>
    </xf>
    <xf numFmtId="0" fontId="12" fillId="9" borderId="11" xfId="0" applyFont="1" applyFill="1" applyBorder="1" applyAlignment="1">
      <alignment vertical="top"/>
    </xf>
    <xf numFmtId="0" fontId="7" fillId="9" borderId="12" xfId="0" applyFont="1" applyFill="1" applyBorder="1" applyAlignment="1">
      <alignment vertical="top" wrapText="1"/>
    </xf>
    <xf numFmtId="0" fontId="7" fillId="9" borderId="10" xfId="0" applyFont="1" applyFill="1" applyBorder="1" applyAlignment="1">
      <alignment vertical="top" wrapText="1"/>
    </xf>
    <xf numFmtId="0" fontId="7" fillId="9" borderId="3" xfId="0" applyFont="1" applyFill="1" applyBorder="1" applyAlignment="1">
      <alignment vertical="top" wrapText="1"/>
    </xf>
    <xf numFmtId="0" fontId="15" fillId="9" borderId="9" xfId="0" applyFont="1" applyFill="1" applyBorder="1" applyAlignment="1">
      <alignment vertical="top" wrapText="1"/>
    </xf>
    <xf numFmtId="0" fontId="15" fillId="9" borderId="10" xfId="0" applyFont="1" applyFill="1" applyBorder="1" applyAlignment="1">
      <alignment vertical="top" wrapText="1"/>
    </xf>
    <xf numFmtId="0" fontId="15" fillId="9" borderId="0" xfId="0" applyFont="1" applyFill="1" applyAlignment="1">
      <alignment vertical="top" wrapText="1"/>
    </xf>
    <xf numFmtId="0" fontId="11" fillId="9" borderId="11" xfId="0" applyFont="1" applyFill="1" applyBorder="1" applyAlignment="1">
      <alignment vertical="top" wrapText="1"/>
    </xf>
    <xf numFmtId="0" fontId="15" fillId="9" borderId="12" xfId="0" applyFont="1" applyFill="1" applyBorder="1" applyAlignment="1">
      <alignment vertical="top" wrapText="1"/>
    </xf>
    <xf numFmtId="0" fontId="15" fillId="9" borderId="3" xfId="0" applyFont="1" applyFill="1" applyBorder="1" applyAlignment="1">
      <alignment vertical="top" wrapText="1"/>
    </xf>
    <xf numFmtId="0" fontId="91" fillId="4" borderId="0" xfId="0" applyFont="1" applyFill="1" applyAlignment="1">
      <alignment vertical="top" wrapText="1"/>
    </xf>
    <xf numFmtId="0" fontId="36" fillId="4" borderId="0" xfId="0" applyFont="1" applyFill="1" applyAlignment="1">
      <alignment vertical="top" wrapText="1"/>
    </xf>
    <xf numFmtId="0" fontId="36" fillId="4" borderId="8" xfId="0" applyFont="1" applyFill="1" applyBorder="1" applyAlignment="1">
      <alignment vertical="top" wrapText="1"/>
    </xf>
    <xf numFmtId="0" fontId="36" fillId="0" borderId="9" xfId="0" applyFont="1" applyBorder="1" applyAlignment="1">
      <alignment vertical="top" wrapText="1"/>
    </xf>
    <xf numFmtId="0" fontId="36" fillId="0" borderId="10" xfId="0" applyFont="1" applyBorder="1" applyAlignment="1">
      <alignment vertical="top" wrapText="1"/>
    </xf>
    <xf numFmtId="0" fontId="36" fillId="20" borderId="11" xfId="0" applyFont="1" applyFill="1" applyBorder="1" applyAlignment="1">
      <alignment vertical="top"/>
    </xf>
    <xf numFmtId="0" fontId="36" fillId="20" borderId="0" xfId="0" applyFont="1" applyFill="1" applyAlignment="1">
      <alignment vertical="top"/>
    </xf>
    <xf numFmtId="0" fontId="36" fillId="0" borderId="12" xfId="0" applyFont="1" applyBorder="1" applyAlignment="1">
      <alignment vertical="top" wrapText="1"/>
    </xf>
    <xf numFmtId="0" fontId="36" fillId="0" borderId="11" xfId="0" applyFont="1" applyBorder="1" applyAlignment="1">
      <alignment vertical="top" wrapText="1"/>
    </xf>
    <xf numFmtId="0" fontId="56" fillId="4" borderId="13" xfId="0" applyFont="1" applyFill="1" applyBorder="1" applyAlignment="1">
      <alignment wrapText="1"/>
    </xf>
    <xf numFmtId="0" fontId="56" fillId="4" borderId="14" xfId="0" applyFont="1" applyFill="1" applyBorder="1" applyAlignment="1">
      <alignment wrapText="1"/>
    </xf>
    <xf numFmtId="0" fontId="21" fillId="2" borderId="13" xfId="0" applyFont="1" applyFill="1" applyBorder="1" applyAlignment="1">
      <alignment horizontal="center" wrapText="1"/>
    </xf>
    <xf numFmtId="0" fontId="21" fillId="2" borderId="14" xfId="0" applyFont="1" applyFill="1" applyBorder="1" applyAlignment="1">
      <alignment horizontal="center" wrapText="1"/>
    </xf>
    <xf numFmtId="0" fontId="24" fillId="19" borderId="0" xfId="0" applyFont="1" applyFill="1" applyAlignment="1">
      <alignment horizontal="center" wrapText="1"/>
    </xf>
    <xf numFmtId="0" fontId="21" fillId="19" borderId="13" xfId="0" applyFont="1" applyFill="1" applyBorder="1" applyAlignment="1">
      <alignment horizontal="center" wrapText="1"/>
    </xf>
    <xf numFmtId="0" fontId="21" fillId="19" borderId="14" xfId="0" applyFont="1" applyFill="1" applyBorder="1" applyAlignment="1">
      <alignment horizontal="center" wrapText="1"/>
    </xf>
    <xf numFmtId="0" fontId="24" fillId="14" borderId="0" xfId="0" applyFont="1" applyFill="1" applyAlignment="1">
      <alignment horizontal="center" wrapText="1"/>
    </xf>
    <xf numFmtId="0" fontId="21" fillId="14" borderId="13" xfId="0" applyFont="1" applyFill="1" applyBorder="1" applyAlignment="1">
      <alignment horizontal="center" wrapText="1"/>
    </xf>
    <xf numFmtId="0" fontId="21" fillId="14" borderId="0" xfId="0" applyFont="1" applyFill="1" applyAlignment="1">
      <alignment horizontal="center" wrapText="1"/>
    </xf>
    <xf numFmtId="0" fontId="21" fillId="14" borderId="14" xfId="0" applyFont="1" applyFill="1" applyBorder="1" applyAlignment="1">
      <alignment horizontal="center" wrapText="1"/>
    </xf>
    <xf numFmtId="0" fontId="37" fillId="9" borderId="13" xfId="0" applyFont="1" applyFill="1" applyBorder="1" applyAlignment="1">
      <alignment wrapText="1"/>
    </xf>
    <xf numFmtId="0" fontId="37" fillId="9" borderId="0" xfId="0" applyFont="1" applyFill="1" applyAlignment="1">
      <alignment wrapText="1"/>
    </xf>
    <xf numFmtId="0" fontId="37" fillId="9" borderId="14" xfId="0" applyFont="1" applyFill="1" applyBorder="1" applyAlignment="1">
      <alignment wrapText="1"/>
    </xf>
    <xf numFmtId="0" fontId="37" fillId="4" borderId="13" xfId="0" applyFont="1" applyFill="1" applyBorder="1" applyAlignment="1">
      <alignment wrapText="1"/>
    </xf>
    <xf numFmtId="0" fontId="37" fillId="4" borderId="14" xfId="0" applyFont="1" applyFill="1" applyBorder="1" applyAlignment="1">
      <alignment wrapText="1"/>
    </xf>
    <xf numFmtId="0" fontId="41" fillId="15" borderId="0" xfId="0" applyFont="1" applyFill="1" applyAlignment="1">
      <alignment vertical="top"/>
    </xf>
    <xf numFmtId="0" fontId="92" fillId="15" borderId="0" xfId="0" applyFont="1" applyFill="1" applyAlignment="1">
      <alignment horizontal="left" vertical="top"/>
    </xf>
    <xf numFmtId="49" fontId="92" fillId="15" borderId="0" xfId="0" applyNumberFormat="1" applyFont="1" applyFill="1" applyAlignment="1">
      <alignment horizontal="left" vertical="top"/>
    </xf>
    <xf numFmtId="0" fontId="92" fillId="15" borderId="10" xfId="0" applyFont="1" applyFill="1" applyBorder="1" applyAlignment="1">
      <alignment horizontal="left" vertical="top"/>
    </xf>
    <xf numFmtId="0" fontId="93" fillId="15" borderId="0" xfId="0" applyFont="1" applyFill="1" applyAlignment="1">
      <alignment horizontal="left" vertical="top"/>
    </xf>
    <xf numFmtId="49" fontId="93" fillId="15" borderId="0" xfId="0" applyNumberFormat="1" applyFont="1" applyFill="1" applyAlignment="1">
      <alignment horizontal="left" vertical="top"/>
    </xf>
    <xf numFmtId="0" fontId="93" fillId="15" borderId="10" xfId="0" applyFont="1" applyFill="1" applyBorder="1" applyAlignment="1">
      <alignment horizontal="left" vertical="top"/>
    </xf>
    <xf numFmtId="49" fontId="85" fillId="15" borderId="0" xfId="0" applyNumberFormat="1" applyFont="1" applyFill="1" applyAlignment="1">
      <alignment horizontal="center" vertical="top" wrapText="1"/>
    </xf>
    <xf numFmtId="0" fontId="85" fillId="15" borderId="15" xfId="0" applyFont="1" applyFill="1" applyBorder="1" applyAlignment="1">
      <alignment horizontal="center" vertical="top" wrapText="1"/>
    </xf>
    <xf numFmtId="0" fontId="85" fillId="15" borderId="16" xfId="0" applyFont="1" applyFill="1" applyBorder="1" applyAlignment="1">
      <alignment horizontal="center" vertical="top" wrapText="1"/>
    </xf>
    <xf numFmtId="0" fontId="26" fillId="2" borderId="0" xfId="0" applyFont="1" applyFill="1" applyAlignment="1">
      <alignment horizontal="left" vertical="top" wrapText="1"/>
    </xf>
    <xf numFmtId="0" fontId="25" fillId="2" borderId="0" xfId="0" applyFont="1" applyFill="1" applyAlignment="1">
      <alignment horizontal="left" vertical="top" wrapText="1"/>
    </xf>
    <xf numFmtId="0" fontId="94" fillId="2" borderId="0" xfId="0" applyFont="1" applyFill="1" applyAlignment="1">
      <alignment horizontal="left" vertical="top" wrapText="1"/>
    </xf>
    <xf numFmtId="0" fontId="95" fillId="5" borderId="0" xfId="0" applyFont="1" applyFill="1" applyAlignment="1">
      <alignment vertical="top" wrapText="1"/>
    </xf>
    <xf numFmtId="0" fontId="96" fillId="5" borderId="0" xfId="0" applyFont="1" applyFill="1" applyAlignment="1">
      <alignment vertical="top" wrapText="1"/>
    </xf>
    <xf numFmtId="0" fontId="3" fillId="5" borderId="0" xfId="0" applyFont="1" applyFill="1" applyAlignment="1">
      <alignment vertical="top" wrapText="1"/>
    </xf>
    <xf numFmtId="0" fontId="97" fillId="2" borderId="0" xfId="0" applyFont="1" applyFill="1" applyAlignment="1">
      <alignment vertical="top" wrapText="1"/>
    </xf>
    <xf numFmtId="49" fontId="95" fillId="5" borderId="0" xfId="0" applyNumberFormat="1" applyFont="1" applyFill="1" applyAlignment="1">
      <alignment vertical="top" wrapText="1"/>
    </xf>
    <xf numFmtId="0" fontId="96" fillId="5" borderId="10" xfId="0" applyFont="1" applyFill="1" applyBorder="1" applyAlignment="1">
      <alignment vertical="top" wrapText="1"/>
    </xf>
    <xf numFmtId="0" fontId="57" fillId="5" borderId="0" xfId="0" applyFont="1" applyFill="1" applyAlignment="1">
      <alignment vertical="top" wrapText="1"/>
    </xf>
    <xf numFmtId="0" fontId="79" fillId="9" borderId="0" xfId="0" applyFont="1" applyFill="1" applyAlignment="1">
      <alignment horizontal="left" vertical="top" wrapText="1"/>
    </xf>
    <xf numFmtId="0" fontId="88" fillId="9" borderId="0" xfId="0" applyFont="1" applyFill="1" applyAlignment="1">
      <alignment horizontal="left" vertical="top" wrapText="1"/>
    </xf>
    <xf numFmtId="0" fontId="9" fillId="9" borderId="3" xfId="0" applyFont="1" applyFill="1" applyBorder="1" applyAlignment="1">
      <alignment vertical="top" wrapText="1"/>
    </xf>
    <xf numFmtId="0" fontId="7" fillId="9" borderId="11" xfId="0" applyFont="1" applyFill="1" applyBorder="1" applyAlignment="1">
      <alignment vertical="top" wrapText="1"/>
    </xf>
    <xf numFmtId="0" fontId="7" fillId="9" borderId="17" xfId="0" applyFont="1" applyFill="1" applyBorder="1" applyAlignment="1">
      <alignment vertical="top" wrapText="1"/>
    </xf>
    <xf numFmtId="0" fontId="9" fillId="9" borderId="11" xfId="0" applyFont="1" applyFill="1" applyBorder="1" applyAlignment="1">
      <alignment vertical="top" wrapText="1"/>
    </xf>
    <xf numFmtId="0" fontId="11" fillId="9" borderId="18" xfId="0" applyFont="1" applyFill="1" applyBorder="1" applyAlignment="1">
      <alignment vertical="top" wrapText="1"/>
    </xf>
    <xf numFmtId="0" fontId="11" fillId="9" borderId="4" xfId="0" applyFont="1" applyFill="1" applyBorder="1" applyAlignment="1">
      <alignment vertical="top" wrapText="1"/>
    </xf>
    <xf numFmtId="49" fontId="12" fillId="9" borderId="0" xfId="0" applyNumberFormat="1" applyFont="1" applyFill="1" applyAlignment="1">
      <alignment vertical="top" wrapText="1"/>
    </xf>
    <xf numFmtId="0" fontId="11" fillId="9" borderId="16" xfId="0" applyFont="1" applyFill="1" applyBorder="1" applyAlignment="1">
      <alignment vertical="top" wrapText="1"/>
    </xf>
    <xf numFmtId="0" fontId="12" fillId="9" borderId="19" xfId="0" applyFont="1" applyFill="1" applyBorder="1" applyAlignment="1">
      <alignment vertical="top" wrapText="1"/>
    </xf>
    <xf numFmtId="0" fontId="11" fillId="9" borderId="20" xfId="0" applyFont="1" applyFill="1" applyBorder="1" applyAlignment="1">
      <alignment vertical="top" wrapText="1"/>
    </xf>
    <xf numFmtId="0" fontId="11" fillId="9" borderId="10" xfId="0" applyFont="1" applyFill="1" applyBorder="1" applyAlignment="1">
      <alignment vertical="top" wrapText="1"/>
    </xf>
    <xf numFmtId="0" fontId="13" fillId="9" borderId="3" xfId="0" applyFont="1" applyFill="1" applyBorder="1" applyAlignment="1">
      <alignment vertical="top" wrapText="1"/>
    </xf>
    <xf numFmtId="0" fontId="57" fillId="9" borderId="0" xfId="0" applyFont="1" applyFill="1" applyAlignment="1">
      <alignment horizontal="left" vertical="top" wrapText="1"/>
    </xf>
    <xf numFmtId="0" fontId="98" fillId="9" borderId="11" xfId="0" applyFont="1" applyFill="1" applyBorder="1" applyAlignment="1">
      <alignment vertical="top" wrapText="1"/>
    </xf>
    <xf numFmtId="0" fontId="15" fillId="9" borderId="17" xfId="0" applyFont="1" applyFill="1" applyBorder="1" applyAlignment="1">
      <alignment vertical="top" wrapText="1"/>
    </xf>
    <xf numFmtId="0" fontId="98" fillId="9" borderId="10" xfId="0" applyFont="1" applyFill="1" applyBorder="1" applyAlignment="1">
      <alignment vertical="top" wrapText="1"/>
    </xf>
    <xf numFmtId="0" fontId="15" fillId="9" borderId="11" xfId="0" applyFont="1" applyFill="1" applyBorder="1" applyAlignment="1">
      <alignment vertical="top" wrapText="1"/>
    </xf>
    <xf numFmtId="0" fontId="15" fillId="9" borderId="18" xfId="0" applyFont="1" applyFill="1" applyBorder="1" applyAlignment="1">
      <alignment vertical="top" wrapText="1"/>
    </xf>
    <xf numFmtId="0" fontId="98" fillId="9" borderId="0" xfId="0" applyFont="1" applyFill="1" applyAlignment="1">
      <alignment vertical="top" wrapText="1"/>
    </xf>
    <xf numFmtId="49" fontId="15" fillId="9" borderId="0" xfId="0" applyNumberFormat="1" applyFont="1" applyFill="1" applyAlignment="1">
      <alignment vertical="top" wrapText="1"/>
    </xf>
    <xf numFmtId="0" fontId="15" fillId="9" borderId="21" xfId="0" applyFont="1" applyFill="1" applyBorder="1" applyAlignment="1">
      <alignment vertical="top" wrapText="1"/>
    </xf>
    <xf numFmtId="0" fontId="98" fillId="9" borderId="3" xfId="0" applyFont="1" applyFill="1" applyBorder="1" applyAlignment="1">
      <alignment vertical="top" wrapText="1"/>
    </xf>
    <xf numFmtId="3" fontId="57" fillId="0" borderId="0" xfId="0" applyNumberFormat="1" applyFont="1" applyAlignment="1">
      <alignment horizontal="left" vertical="top" wrapText="1"/>
    </xf>
    <xf numFmtId="0" fontId="87" fillId="0" borderId="0" xfId="0" applyFont="1" applyAlignment="1">
      <alignment horizontal="left" vertical="top" wrapText="1"/>
    </xf>
    <xf numFmtId="0" fontId="7" fillId="0" borderId="0" xfId="0" applyFont="1" applyAlignment="1">
      <alignment horizontal="left" vertical="top" wrapText="1"/>
    </xf>
    <xf numFmtId="3" fontId="7" fillId="0" borderId="0" xfId="0" applyNumberFormat="1" applyFont="1" applyAlignment="1">
      <alignment horizontal="left" vertical="top" wrapText="1"/>
    </xf>
    <xf numFmtId="3" fontId="14" fillId="0" borderId="0" xfId="0" applyNumberFormat="1" applyFont="1"/>
    <xf numFmtId="0" fontId="7" fillId="0" borderId="3" xfId="0" applyFont="1" applyBorder="1" applyAlignment="1">
      <alignment vertical="top" wrapText="1"/>
    </xf>
    <xf numFmtId="0" fontId="9" fillId="0" borderId="11" xfId="0" applyFont="1" applyBorder="1" applyAlignment="1">
      <alignment vertical="top" wrapText="1"/>
    </xf>
    <xf numFmtId="0" fontId="9" fillId="0" borderId="3" xfId="0" applyFont="1" applyBorder="1" applyAlignment="1">
      <alignment vertical="top" wrapText="1"/>
    </xf>
    <xf numFmtId="0" fontId="9" fillId="0" borderId="20" xfId="0" applyFont="1" applyBorder="1" applyAlignment="1">
      <alignment vertical="top" wrapText="1"/>
    </xf>
    <xf numFmtId="3" fontId="9" fillId="0" borderId="0" xfId="0" applyNumberFormat="1" applyFont="1" applyAlignment="1">
      <alignment vertical="top" wrapText="1"/>
    </xf>
    <xf numFmtId="0" fontId="9" fillId="0" borderId="10" xfId="0" applyFont="1" applyBorder="1" applyAlignment="1">
      <alignment vertical="top" wrapText="1"/>
    </xf>
    <xf numFmtId="3" fontId="11" fillId="0" borderId="15" xfId="0" applyNumberFormat="1" applyFont="1" applyBorder="1" applyAlignment="1">
      <alignment vertical="top" wrapText="1"/>
    </xf>
    <xf numFmtId="49" fontId="9" fillId="0" borderId="0" xfId="0" applyNumberFormat="1" applyFont="1" applyAlignment="1">
      <alignment vertical="top" wrapText="1"/>
    </xf>
    <xf numFmtId="0" fontId="9" fillId="0" borderId="16" xfId="0" applyFont="1" applyBorder="1" applyAlignment="1">
      <alignment vertical="top" wrapText="1"/>
    </xf>
    <xf numFmtId="3" fontId="11" fillId="0" borderId="10" xfId="0" applyNumberFormat="1" applyFont="1" applyBorder="1" applyAlignment="1">
      <alignment vertical="top" wrapText="1"/>
    </xf>
    <xf numFmtId="49" fontId="11" fillId="0" borderId="0" xfId="0" applyNumberFormat="1" applyFont="1" applyAlignment="1">
      <alignment vertical="top" wrapText="1"/>
    </xf>
    <xf numFmtId="0" fontId="99" fillId="0" borderId="0" xfId="0" applyFont="1" applyAlignment="1">
      <alignment vertical="top" wrapText="1"/>
    </xf>
    <xf numFmtId="0" fontId="57" fillId="0" borderId="0" xfId="0" applyFont="1" applyAlignment="1">
      <alignment horizontal="left" vertical="top" wrapText="1"/>
    </xf>
    <xf numFmtId="0" fontId="7" fillId="0" borderId="10" xfId="0" applyFont="1" applyBorder="1" applyAlignment="1">
      <alignment vertical="top" wrapText="1"/>
    </xf>
    <xf numFmtId="49" fontId="57" fillId="0" borderId="0" xfId="0" applyNumberFormat="1" applyFont="1" applyAlignment="1">
      <alignment horizontal="left" vertical="top" wrapText="1"/>
    </xf>
    <xf numFmtId="49" fontId="7" fillId="0" borderId="0" xfId="0" applyNumberFormat="1" applyFont="1" applyAlignment="1">
      <alignment horizontal="left" vertical="top" wrapText="1"/>
    </xf>
    <xf numFmtId="0" fontId="14" fillId="4" borderId="10" xfId="0" applyFont="1" applyFill="1" applyBorder="1"/>
    <xf numFmtId="0" fontId="7" fillId="0" borderId="11" xfId="0" applyFont="1" applyBorder="1" applyAlignment="1">
      <alignment vertical="top" wrapText="1"/>
    </xf>
    <xf numFmtId="0" fontId="7" fillId="0" borderId="0" xfId="0" quotePrefix="1" applyFont="1" applyAlignment="1">
      <alignment vertical="top" wrapText="1"/>
    </xf>
    <xf numFmtId="49" fontId="7" fillId="0" borderId="0" xfId="0" applyNumberFormat="1" applyFont="1" applyAlignment="1">
      <alignment vertical="top" wrapText="1"/>
    </xf>
    <xf numFmtId="0" fontId="7" fillId="0" borderId="16" xfId="0" applyFont="1" applyBorder="1" applyAlignment="1">
      <alignment vertical="top" wrapText="1"/>
    </xf>
    <xf numFmtId="0" fontId="39" fillId="0" borderId="0" xfId="0" applyFont="1" applyAlignment="1">
      <alignment horizontal="left" vertical="top" wrapText="1"/>
    </xf>
    <xf numFmtId="0" fontId="100" fillId="0" borderId="10" xfId="0" applyFont="1" applyBorder="1" applyAlignment="1">
      <alignment vertical="top" wrapText="1"/>
    </xf>
    <xf numFmtId="0" fontId="100" fillId="0" borderId="0" xfId="0" applyFont="1" applyAlignment="1">
      <alignment vertical="top" wrapText="1"/>
    </xf>
    <xf numFmtId="0" fontId="100" fillId="0" borderId="11" xfId="0" applyFont="1" applyBorder="1" applyAlignment="1">
      <alignment vertical="top" wrapText="1"/>
    </xf>
    <xf numFmtId="0" fontId="99" fillId="0" borderId="10" xfId="0" applyFont="1" applyBorder="1" applyAlignment="1">
      <alignment vertical="top" wrapText="1"/>
    </xf>
    <xf numFmtId="0" fontId="99" fillId="0" borderId="11" xfId="0" applyFont="1" applyBorder="1" applyAlignment="1">
      <alignment vertical="top" wrapText="1"/>
    </xf>
    <xf numFmtId="0" fontId="99" fillId="0" borderId="15" xfId="0" applyFont="1" applyBorder="1" applyAlignment="1">
      <alignment vertical="top" wrapText="1"/>
    </xf>
    <xf numFmtId="0" fontId="100" fillId="0" borderId="16" xfId="0" applyFont="1" applyBorder="1" applyAlignment="1">
      <alignment vertical="top" wrapText="1"/>
    </xf>
    <xf numFmtId="0" fontId="100" fillId="0" borderId="20" xfId="0" applyFont="1" applyBorder="1" applyAlignment="1">
      <alignment vertical="top" wrapText="1"/>
    </xf>
    <xf numFmtId="0" fontId="9" fillId="0" borderId="15" xfId="0" applyFont="1" applyBorder="1" applyAlignment="1">
      <alignment vertical="top" wrapText="1"/>
    </xf>
    <xf numFmtId="0" fontId="52" fillId="15" borderId="0" xfId="0" applyFont="1" applyFill="1" applyAlignment="1">
      <alignment horizontal="center" vertical="top" wrapText="1"/>
    </xf>
    <xf numFmtId="0" fontId="28" fillId="15" borderId="0" xfId="0" applyFont="1" applyFill="1" applyAlignment="1">
      <alignment horizontal="center" vertical="top" wrapText="1"/>
    </xf>
    <xf numFmtId="0" fontId="101" fillId="2" borderId="3" xfId="0" applyFont="1" applyFill="1" applyBorder="1" applyAlignment="1">
      <alignment horizontal="center" vertical="top" wrapText="1"/>
    </xf>
    <xf numFmtId="0" fontId="25" fillId="19" borderId="0" xfId="0" applyFont="1" applyFill="1" applyAlignment="1">
      <alignment horizontal="center" vertical="top" wrapText="1"/>
    </xf>
    <xf numFmtId="0" fontId="101" fillId="19" borderId="3" xfId="0" applyFont="1" applyFill="1" applyBorder="1" applyAlignment="1">
      <alignment horizontal="center" vertical="top" wrapText="1"/>
    </xf>
    <xf numFmtId="0" fontId="25" fillId="14" borderId="0" xfId="0" applyFont="1" applyFill="1" applyAlignment="1">
      <alignment horizontal="center" vertical="top" wrapText="1"/>
    </xf>
    <xf numFmtId="0" fontId="25" fillId="14" borderId="22" xfId="0" applyFont="1" applyFill="1" applyBorder="1" applyAlignment="1">
      <alignment horizontal="center" vertical="top" wrapText="1"/>
    </xf>
    <xf numFmtId="0" fontId="101" fillId="14" borderId="3" xfId="0" applyFont="1" applyFill="1" applyBorder="1" applyAlignment="1">
      <alignment horizontal="center" vertical="top" wrapText="1"/>
    </xf>
    <xf numFmtId="0" fontId="30" fillId="9" borderId="0" xfId="0" applyFont="1" applyFill="1" applyAlignment="1">
      <alignment horizontal="left" vertical="top" wrapText="1"/>
    </xf>
    <xf numFmtId="0" fontId="30" fillId="9" borderId="0" xfId="0" applyFont="1" applyFill="1" applyAlignment="1">
      <alignment horizontal="center" vertical="top" wrapText="1"/>
    </xf>
    <xf numFmtId="0" fontId="30" fillId="9" borderId="22" xfId="0" applyFont="1" applyFill="1" applyBorder="1" applyAlignment="1">
      <alignment horizontal="left" vertical="top" wrapText="1"/>
    </xf>
    <xf numFmtId="0" fontId="31" fillId="9" borderId="0" xfId="0" applyFont="1" applyFill="1" applyAlignment="1">
      <alignment horizontal="left" vertical="top" wrapText="1"/>
    </xf>
    <xf numFmtId="0" fontId="31" fillId="9" borderId="22" xfId="0" applyFont="1" applyFill="1" applyBorder="1" applyAlignment="1">
      <alignment horizontal="left" vertical="top" wrapText="1"/>
    </xf>
    <xf numFmtId="0" fontId="31" fillId="9" borderId="3" xfId="0" applyFont="1" applyFill="1" applyBorder="1" applyAlignment="1">
      <alignment horizontal="left" vertical="top" wrapText="1"/>
    </xf>
    <xf numFmtId="0" fontId="57" fillId="0" borderId="0" xfId="0" applyFont="1" applyAlignment="1">
      <alignment horizontal="center" vertical="top" wrapText="1"/>
    </xf>
    <xf numFmtId="0" fontId="7" fillId="0" borderId="22" xfId="0" applyFont="1" applyBorder="1" applyAlignment="1">
      <alignment horizontal="left" vertical="top" wrapText="1"/>
    </xf>
    <xf numFmtId="0" fontId="9" fillId="0" borderId="0" xfId="0" applyFont="1" applyAlignment="1">
      <alignment horizontal="left" vertical="top" wrapText="1"/>
    </xf>
    <xf numFmtId="0" fontId="103" fillId="0" borderId="3" xfId="0" applyFont="1" applyBorder="1" applyAlignment="1">
      <alignment horizontal="left" vertical="top" wrapText="1"/>
    </xf>
    <xf numFmtId="0" fontId="9" fillId="0" borderId="22" xfId="0" applyFont="1" applyBorder="1" applyAlignment="1">
      <alignment horizontal="left" vertical="top" wrapText="1"/>
    </xf>
    <xf numFmtId="0" fontId="58" fillId="0" borderId="0" xfId="0" applyFont="1" applyAlignment="1">
      <alignment horizontal="left" vertical="top" wrapText="1"/>
    </xf>
    <xf numFmtId="0" fontId="58" fillId="0" borderId="0" xfId="0" applyFont="1" applyAlignment="1">
      <alignment horizontal="center" vertical="top" wrapText="1"/>
    </xf>
    <xf numFmtId="0" fontId="5" fillId="0" borderId="3" xfId="0" applyFont="1" applyBorder="1" applyAlignment="1">
      <alignment horizontal="left" vertical="top" wrapText="1"/>
    </xf>
    <xf numFmtId="0" fontId="58" fillId="0" borderId="0" xfId="0" applyFont="1"/>
    <xf numFmtId="0" fontId="77" fillId="0" borderId="0" xfId="0" applyFont="1"/>
    <xf numFmtId="0" fontId="77" fillId="0" borderId="0" xfId="0" applyFont="1" applyAlignment="1">
      <alignment wrapText="1"/>
    </xf>
    <xf numFmtId="0" fontId="104" fillId="2" borderId="0" xfId="0" applyFont="1" applyFill="1" applyAlignment="1">
      <alignment wrapText="1"/>
    </xf>
    <xf numFmtId="0" fontId="1" fillId="2" borderId="0" xfId="0" applyFont="1" applyFill="1" applyAlignment="1">
      <alignment wrapText="1"/>
    </xf>
    <xf numFmtId="0" fontId="77" fillId="20" borderId="0" xfId="0" applyFont="1" applyFill="1" applyAlignment="1">
      <alignment wrapText="1"/>
    </xf>
    <xf numFmtId="0" fontId="74" fillId="20" borderId="0" xfId="0" applyFont="1" applyFill="1" applyAlignment="1">
      <alignment wrapText="1"/>
    </xf>
    <xf numFmtId="0" fontId="7" fillId="20" borderId="0" xfId="0" applyFont="1" applyFill="1" applyAlignment="1">
      <alignment wrapText="1"/>
    </xf>
    <xf numFmtId="0" fontId="105" fillId="20" borderId="0" xfId="0" applyFont="1" applyFill="1" applyAlignment="1">
      <alignment wrapText="1"/>
    </xf>
    <xf numFmtId="0" fontId="57" fillId="0" borderId="0" xfId="0" applyFont="1" applyAlignment="1">
      <alignment wrapText="1"/>
    </xf>
    <xf numFmtId="0" fontId="58" fillId="0" borderId="0" xfId="0" applyFont="1" applyAlignment="1">
      <alignment wrapText="1"/>
    </xf>
    <xf numFmtId="0" fontId="63" fillId="4" borderId="0" xfId="0" applyFont="1" applyFill="1"/>
    <xf numFmtId="0" fontId="106" fillId="4" borderId="0" xfId="0" applyFont="1" applyFill="1"/>
    <xf numFmtId="0" fontId="39" fillId="0" borderId="0" xfId="0" applyFont="1" applyAlignment="1">
      <alignment wrapText="1"/>
    </xf>
    <xf numFmtId="0" fontId="57" fillId="15" borderId="0" xfId="0" applyFont="1" applyFill="1" applyAlignment="1">
      <alignment horizontal="center" wrapText="1"/>
    </xf>
    <xf numFmtId="0" fontId="59" fillId="2" borderId="0" xfId="0" applyFont="1" applyFill="1" applyAlignment="1">
      <alignment horizontal="center" wrapText="1"/>
    </xf>
    <xf numFmtId="0" fontId="1" fillId="19" borderId="0" xfId="0" applyFont="1" applyFill="1" applyAlignment="1">
      <alignment horizontal="center" wrapText="1"/>
    </xf>
    <xf numFmtId="0" fontId="4" fillId="19" borderId="0" xfId="0" applyFont="1" applyFill="1" applyAlignment="1">
      <alignment horizontal="center"/>
    </xf>
    <xf numFmtId="0" fontId="1" fillId="14" borderId="0" xfId="0" applyFont="1" applyFill="1" applyAlignment="1">
      <alignment horizontal="center" wrapText="1"/>
    </xf>
    <xf numFmtId="0" fontId="3" fillId="14" borderId="0" xfId="0" applyFont="1" applyFill="1" applyAlignment="1">
      <alignment horizontal="center"/>
    </xf>
    <xf numFmtId="0" fontId="7" fillId="18" borderId="0" xfId="0" applyFont="1" applyFill="1" applyAlignment="1">
      <alignment horizontal="center" wrapText="1"/>
    </xf>
    <xf numFmtId="0" fontId="7" fillId="18" borderId="0" xfId="0" applyFont="1" applyFill="1" applyAlignment="1">
      <alignment horizontal="center"/>
    </xf>
    <xf numFmtId="0" fontId="13" fillId="0" borderId="0" xfId="0" applyFont="1" applyAlignment="1">
      <alignment vertical="top" wrapText="1"/>
    </xf>
    <xf numFmtId="0" fontId="107" fillId="4" borderId="0" xfId="0" applyFont="1" applyFill="1" applyAlignment="1">
      <alignment horizontal="left"/>
    </xf>
    <xf numFmtId="0" fontId="108" fillId="0" borderId="0" xfId="0" applyFont="1"/>
    <xf numFmtId="0" fontId="35" fillId="4" borderId="0" xfId="0" applyFont="1" applyFill="1" applyAlignment="1">
      <alignment horizontal="left"/>
    </xf>
    <xf numFmtId="0" fontId="8" fillId="4" borderId="0" xfId="0" applyFont="1" applyFill="1" applyAlignment="1">
      <alignment horizontal="left" wrapText="1"/>
    </xf>
    <xf numFmtId="0" fontId="35" fillId="0" borderId="0" xfId="0" applyFont="1" applyAlignment="1">
      <alignment horizontal="left"/>
    </xf>
    <xf numFmtId="0" fontId="8" fillId="0" borderId="0" xfId="0" applyFont="1" applyAlignment="1">
      <alignment horizontal="left"/>
    </xf>
    <xf numFmtId="0" fontId="59" fillId="2" borderId="0" xfId="0" applyFont="1" applyFill="1" applyAlignment="1">
      <alignment horizontal="center" vertical="top" wrapText="1"/>
    </xf>
    <xf numFmtId="0" fontId="1" fillId="2" borderId="0" xfId="0" applyFont="1" applyFill="1" applyAlignment="1">
      <alignment horizontal="center" vertical="top" wrapText="1"/>
    </xf>
    <xf numFmtId="0" fontId="59" fillId="19" borderId="0" xfId="0" applyFont="1" applyFill="1" applyAlignment="1">
      <alignment horizontal="center" vertical="top" wrapText="1"/>
    </xf>
    <xf numFmtId="0" fontId="1" fillId="19" borderId="0" xfId="0" applyFont="1" applyFill="1" applyAlignment="1">
      <alignment horizontal="center" vertical="top" wrapText="1"/>
    </xf>
    <xf numFmtId="0" fontId="59" fillId="14" borderId="0" xfId="0" applyFont="1" applyFill="1" applyAlignment="1">
      <alignment horizontal="center" vertical="top" wrapText="1"/>
    </xf>
    <xf numFmtId="0" fontId="1" fillId="14" borderId="0" xfId="0" applyFont="1" applyFill="1" applyAlignment="1">
      <alignment horizontal="center" vertical="top" wrapText="1"/>
    </xf>
    <xf numFmtId="0" fontId="3" fillId="14" borderId="0" xfId="0" applyFont="1" applyFill="1" applyAlignment="1">
      <alignment horizontal="center" vertical="top"/>
    </xf>
    <xf numFmtId="0" fontId="109" fillId="18" borderId="0" xfId="0" applyFont="1" applyFill="1" applyAlignment="1">
      <alignment horizontal="center" vertical="top" wrapText="1"/>
    </xf>
    <xf numFmtId="0" fontId="7" fillId="18" borderId="0" xfId="0" applyFont="1" applyFill="1" applyAlignment="1">
      <alignment horizontal="center" vertical="top" wrapText="1"/>
    </xf>
    <xf numFmtId="0" fontId="7" fillId="18" borderId="0" xfId="0" applyFont="1" applyFill="1" applyAlignment="1">
      <alignment horizontal="center" vertical="top"/>
    </xf>
    <xf numFmtId="0" fontId="75" fillId="4" borderId="0" xfId="0" applyFont="1" applyFill="1" applyAlignment="1">
      <alignment horizontal="left" vertical="top"/>
    </xf>
    <xf numFmtId="0" fontId="35" fillId="4" borderId="0" xfId="0" applyFont="1" applyFill="1" applyAlignment="1">
      <alignment horizontal="center" vertical="top"/>
    </xf>
    <xf numFmtId="0" fontId="8" fillId="4" borderId="0" xfId="0" applyFont="1" applyFill="1" applyAlignment="1">
      <alignment horizontal="left" vertical="top"/>
    </xf>
    <xf numFmtId="0" fontId="75" fillId="4" borderId="0" xfId="0" applyFont="1" applyFill="1" applyAlignment="1">
      <alignment horizontal="center" vertical="top"/>
    </xf>
    <xf numFmtId="0" fontId="77" fillId="0" borderId="0" xfId="0" applyFont="1" applyAlignment="1">
      <alignment horizontal="center" vertical="top" wrapText="1"/>
    </xf>
    <xf numFmtId="0" fontId="8" fillId="4" borderId="0" xfId="0" applyFont="1" applyFill="1" applyAlignment="1">
      <alignment horizontal="left" vertical="top" wrapText="1"/>
    </xf>
    <xf numFmtId="0" fontId="63" fillId="4" borderId="0" xfId="0" applyFont="1" applyFill="1" applyAlignment="1">
      <alignment vertical="top" wrapText="1"/>
    </xf>
    <xf numFmtId="0" fontId="12" fillId="4" borderId="0" xfId="0" applyFont="1" applyFill="1" applyAlignment="1">
      <alignment horizontal="left" vertical="top"/>
    </xf>
    <xf numFmtId="0" fontId="110" fillId="4" borderId="0" xfId="0" applyFont="1" applyFill="1" applyAlignment="1">
      <alignment horizontal="left" vertical="top"/>
    </xf>
    <xf numFmtId="0" fontId="111" fillId="4" borderId="0" xfId="0" applyFont="1" applyFill="1" applyAlignment="1">
      <alignment horizontal="left" vertical="top"/>
    </xf>
    <xf numFmtId="0" fontId="111" fillId="0" borderId="0" xfId="0" applyFont="1" applyAlignment="1">
      <alignment vertical="top" wrapText="1"/>
    </xf>
    <xf numFmtId="0" fontId="112" fillId="0" borderId="0" xfId="0" applyFont="1" applyAlignment="1">
      <alignment vertical="top" wrapText="1"/>
    </xf>
    <xf numFmtId="0" fontId="108" fillId="0" borderId="0" xfId="0" applyFont="1" applyAlignment="1">
      <alignment vertical="top" wrapText="1"/>
    </xf>
    <xf numFmtId="0" fontId="75" fillId="0" borderId="0" xfId="0" applyFont="1" applyAlignment="1">
      <alignment horizontal="left" vertical="top"/>
    </xf>
    <xf numFmtId="0" fontId="8" fillId="0" borderId="0" xfId="0" applyFont="1" applyAlignment="1">
      <alignment horizontal="left" vertical="top"/>
    </xf>
    <xf numFmtId="0" fontId="108" fillId="0" borderId="0" xfId="0" applyFont="1" applyAlignment="1">
      <alignment vertical="top"/>
    </xf>
    <xf numFmtId="0" fontId="75" fillId="0" borderId="0" xfId="0" applyFont="1" applyAlignment="1">
      <alignment horizontal="center" vertical="top"/>
    </xf>
    <xf numFmtId="0" fontId="110" fillId="0" borderId="0" xfId="0" applyFont="1" applyAlignment="1">
      <alignment horizontal="left" vertical="top"/>
    </xf>
    <xf numFmtId="0" fontId="111" fillId="0" borderId="0" xfId="0" applyFont="1" applyAlignment="1">
      <alignment horizontal="left" vertical="top"/>
    </xf>
    <xf numFmtId="0" fontId="113" fillId="4" borderId="0" xfId="0" applyFont="1" applyFill="1" applyAlignment="1">
      <alignment vertical="top"/>
    </xf>
    <xf numFmtId="0" fontId="9" fillId="0" borderId="0" xfId="0" applyFont="1" applyAlignment="1">
      <alignment horizontal="center" vertical="top"/>
    </xf>
    <xf numFmtId="0" fontId="77" fillId="0" borderId="0" xfId="0" applyFont="1" applyAlignment="1">
      <alignment vertical="top"/>
    </xf>
    <xf numFmtId="0" fontId="77" fillId="0" borderId="0" xfId="0" applyFont="1" applyAlignment="1">
      <alignment horizontal="center" vertical="top"/>
    </xf>
    <xf numFmtId="0" fontId="114" fillId="4" borderId="0" xfId="0" applyFont="1" applyFill="1" applyAlignment="1">
      <alignment vertical="top"/>
    </xf>
    <xf numFmtId="0" fontId="114" fillId="4" borderId="0" xfId="0" applyFont="1" applyFill="1" applyAlignment="1">
      <alignment horizontal="center" vertical="top"/>
    </xf>
    <xf numFmtId="0" fontId="63" fillId="4" borderId="0" xfId="0" applyFont="1" applyFill="1" applyAlignment="1">
      <alignment vertical="top"/>
    </xf>
    <xf numFmtId="0" fontId="13" fillId="4" borderId="0" xfId="0" applyFont="1" applyFill="1" applyAlignment="1">
      <alignment horizontal="left" vertical="top" wrapText="1"/>
    </xf>
    <xf numFmtId="0" fontId="115" fillId="4" borderId="0" xfId="0" applyFont="1" applyFill="1" applyAlignment="1">
      <alignment horizontal="left" vertical="top"/>
    </xf>
    <xf numFmtId="0" fontId="35" fillId="4" borderId="0" xfId="0" applyFont="1" applyFill="1" applyAlignment="1">
      <alignment horizontal="left" vertical="top"/>
    </xf>
    <xf numFmtId="0" fontId="40" fillId="0" borderId="0" xfId="0" applyFont="1" applyAlignment="1">
      <alignment vertical="top"/>
    </xf>
    <xf numFmtId="0" fontId="39" fillId="0" borderId="0" xfId="0" applyFont="1" applyAlignment="1">
      <alignment vertical="top"/>
    </xf>
    <xf numFmtId="0" fontId="40" fillId="0" borderId="0" xfId="0" applyFont="1" applyAlignment="1">
      <alignment vertical="top" wrapText="1"/>
    </xf>
    <xf numFmtId="3" fontId="116" fillId="4" borderId="0" xfId="0" applyNumberFormat="1" applyFont="1" applyFill="1"/>
    <xf numFmtId="3" fontId="8" fillId="0" borderId="0" xfId="0" applyNumberFormat="1" applyFont="1" applyAlignment="1">
      <alignment vertical="top"/>
    </xf>
    <xf numFmtId="0" fontId="116" fillId="4" borderId="0" xfId="0" applyFont="1" applyFill="1"/>
    <xf numFmtId="49" fontId="9" fillId="0" borderId="0" xfId="0" applyNumberFormat="1" applyFont="1" applyAlignment="1">
      <alignment wrapText="1"/>
    </xf>
    <xf numFmtId="0" fontId="117" fillId="19" borderId="0" xfId="0" applyFont="1" applyFill="1" applyAlignment="1">
      <alignment horizontal="center" vertical="top" wrapText="1"/>
    </xf>
    <xf numFmtId="0" fontId="117" fillId="14" borderId="0" xfId="0" applyFont="1" applyFill="1" applyAlignment="1">
      <alignment horizontal="center" vertical="top" wrapText="1"/>
    </xf>
    <xf numFmtId="0" fontId="117" fillId="24" borderId="0" xfId="0" applyFont="1" applyFill="1" applyAlignment="1">
      <alignment horizontal="center" vertical="top" wrapText="1"/>
    </xf>
    <xf numFmtId="0" fontId="117" fillId="3" borderId="0" xfId="0" applyFont="1" applyFill="1" applyAlignment="1">
      <alignment horizontal="center" vertical="top" wrapText="1"/>
    </xf>
    <xf numFmtId="3" fontId="9" fillId="0" borderId="0" xfId="0" applyNumberFormat="1" applyFont="1"/>
    <xf numFmtId="0" fontId="62" fillId="4" borderId="20" xfId="0" applyFont="1" applyFill="1" applyBorder="1" applyAlignment="1">
      <alignment vertical="top"/>
    </xf>
    <xf numFmtId="0" fontId="56" fillId="4" borderId="20" xfId="0" applyFont="1" applyFill="1" applyBorder="1" applyAlignment="1">
      <alignment vertical="top" wrapText="1"/>
    </xf>
    <xf numFmtId="0" fontId="52" fillId="4" borderId="10" xfId="0" applyFont="1" applyFill="1" applyBorder="1" applyAlignment="1">
      <alignment vertical="top" wrapText="1"/>
    </xf>
    <xf numFmtId="0" fontId="21" fillId="2" borderId="0" xfId="0" applyFont="1" applyFill="1" applyAlignment="1">
      <alignment vertical="top" wrapText="1"/>
    </xf>
    <xf numFmtId="0" fontId="25" fillId="2" borderId="10" xfId="0" applyFont="1" applyFill="1" applyBorder="1" applyAlignment="1">
      <alignment vertical="top" wrapText="1"/>
    </xf>
    <xf numFmtId="0" fontId="56" fillId="9" borderId="0" xfId="0" applyFont="1" applyFill="1" applyAlignment="1">
      <alignment vertical="top" wrapText="1"/>
    </xf>
    <xf numFmtId="0" fontId="37" fillId="9" borderId="0" xfId="0" applyFont="1" applyFill="1" applyAlignment="1">
      <alignment vertical="top" wrapText="1"/>
    </xf>
    <xf numFmtId="0" fontId="37" fillId="9" borderId="10" xfId="0" applyFont="1" applyFill="1" applyBorder="1" applyAlignment="1">
      <alignment vertical="top" wrapText="1"/>
    </xf>
    <xf numFmtId="0" fontId="11" fillId="0" borderId="10" xfId="0" applyFont="1" applyBorder="1" applyAlignment="1">
      <alignment vertical="top" wrapText="1"/>
    </xf>
    <xf numFmtId="0" fontId="118" fillId="0" borderId="10" xfId="0" applyFont="1" applyBorder="1" applyAlignment="1">
      <alignment vertical="top"/>
    </xf>
    <xf numFmtId="0" fontId="118" fillId="0" borderId="0" xfId="0" applyFont="1" applyAlignment="1">
      <alignment vertical="top"/>
    </xf>
    <xf numFmtId="0" fontId="34" fillId="0" borderId="10" xfId="0" applyFont="1" applyBorder="1" applyAlignment="1">
      <alignment vertical="top" wrapText="1"/>
    </xf>
    <xf numFmtId="0" fontId="37" fillId="4" borderId="0" xfId="0" applyFont="1" applyFill="1" applyAlignment="1">
      <alignment vertical="top" wrapText="1"/>
    </xf>
    <xf numFmtId="0" fontId="13" fillId="4" borderId="0" xfId="0" applyFont="1" applyFill="1" applyAlignment="1">
      <alignment vertical="top" wrapText="1"/>
    </xf>
    <xf numFmtId="0" fontId="13" fillId="4" borderId="20" xfId="0" applyFont="1" applyFill="1" applyBorder="1" applyAlignment="1">
      <alignment vertical="top" wrapText="1"/>
    </xf>
    <xf numFmtId="0" fontId="37" fillId="4" borderId="10" xfId="0" applyFont="1" applyFill="1" applyBorder="1" applyAlignment="1">
      <alignment vertical="top" wrapText="1"/>
    </xf>
    <xf numFmtId="0" fontId="40" fillId="0" borderId="0" xfId="0" applyFont="1" applyAlignment="1">
      <alignment horizontal="center"/>
    </xf>
    <xf numFmtId="0" fontId="9" fillId="3" borderId="0" xfId="0" applyFont="1" applyFill="1" applyAlignment="1">
      <alignment horizontal="center"/>
    </xf>
    <xf numFmtId="0" fontId="9" fillId="24" borderId="0" xfId="0" applyFont="1" applyFill="1"/>
    <xf numFmtId="0" fontId="40" fillId="0" borderId="0" xfId="0" applyFont="1" applyAlignment="1">
      <alignment wrapText="1"/>
    </xf>
    <xf numFmtId="0" fontId="119" fillId="0" borderId="0" xfId="0" applyFont="1" applyAlignment="1">
      <alignment wrapText="1"/>
    </xf>
    <xf numFmtId="0" fontId="39" fillId="0" borderId="0" xfId="0" applyFont="1" applyAlignment="1">
      <alignment vertical="top" wrapText="1"/>
    </xf>
    <xf numFmtId="0" fontId="120" fillId="0" borderId="0" xfId="0" applyFont="1"/>
    <xf numFmtId="49" fontId="121" fillId="0" borderId="0" xfId="0" applyNumberFormat="1" applyFont="1"/>
    <xf numFmtId="0" fontId="121" fillId="0" borderId="0" xfId="0" applyFont="1"/>
    <xf numFmtId="49" fontId="121" fillId="3" borderId="0" xfId="0" applyNumberFormat="1" applyFont="1" applyFill="1"/>
    <xf numFmtId="0" fontId="122" fillId="25" borderId="0" xfId="0" applyFont="1" applyFill="1"/>
    <xf numFmtId="0" fontId="7" fillId="25" borderId="0" xfId="0" applyFont="1" applyFill="1"/>
    <xf numFmtId="49" fontId="7" fillId="13" borderId="0" xfId="0" applyNumberFormat="1" applyFont="1" applyFill="1"/>
    <xf numFmtId="0" fontId="39" fillId="25" borderId="0" xfId="0" applyFont="1" applyFill="1"/>
    <xf numFmtId="49" fontId="121" fillId="13" borderId="0" xfId="0" applyNumberFormat="1" applyFont="1" applyFill="1"/>
    <xf numFmtId="0" fontId="122" fillId="26" borderId="0" xfId="0" applyFont="1" applyFill="1"/>
    <xf numFmtId="0" fontId="108" fillId="0" borderId="0" xfId="0" applyFont="1" applyAlignment="1">
      <alignment wrapText="1"/>
    </xf>
    <xf numFmtId="0" fontId="123" fillId="0" borderId="0" xfId="0" applyFont="1"/>
    <xf numFmtId="0" fontId="39" fillId="26" borderId="0" xfId="0" applyFont="1" applyFill="1"/>
    <xf numFmtId="49" fontId="121" fillId="4" borderId="0" xfId="0" applyNumberFormat="1" applyFont="1" applyFill="1"/>
    <xf numFmtId="0" fontId="121" fillId="0" borderId="0" xfId="0" applyFont="1" applyAlignment="1">
      <alignment wrapText="1"/>
    </xf>
    <xf numFmtId="0" fontId="7" fillId="26" borderId="0" xfId="0" applyFont="1" applyFill="1"/>
    <xf numFmtId="0" fontId="40" fillId="16" borderId="0" xfId="0" applyFont="1" applyFill="1" applyAlignment="1">
      <alignment wrapText="1"/>
    </xf>
    <xf numFmtId="0" fontId="9" fillId="25" borderId="0" xfId="0" applyFont="1" applyFill="1"/>
    <xf numFmtId="0" fontId="9" fillId="26" borderId="0" xfId="0" applyFont="1" applyFill="1"/>
    <xf numFmtId="0" fontId="124" fillId="0" borderId="0" xfId="0" applyFont="1"/>
    <xf numFmtId="0" fontId="125" fillId="0" borderId="0" xfId="0" applyFont="1"/>
    <xf numFmtId="0" fontId="41" fillId="0" borderId="0" xfId="0" applyFont="1"/>
    <xf numFmtId="0" fontId="126" fillId="15" borderId="0" xfId="0" applyFont="1" applyFill="1" applyAlignment="1">
      <alignment horizontal="center" vertical="top" wrapText="1"/>
    </xf>
    <xf numFmtId="0" fontId="127" fillId="15" borderId="0" xfId="0" applyFont="1" applyFill="1" applyAlignment="1">
      <alignment horizontal="center" vertical="top" wrapText="1"/>
    </xf>
    <xf numFmtId="0" fontId="127" fillId="2" borderId="0" xfId="0" applyFont="1" applyFill="1" applyAlignment="1">
      <alignment horizontal="center" vertical="top" wrapText="1"/>
    </xf>
    <xf numFmtId="0" fontId="128" fillId="2" borderId="0" xfId="0" applyFont="1" applyFill="1" applyAlignment="1">
      <alignment horizontal="center" vertical="top" wrapText="1"/>
    </xf>
    <xf numFmtId="0" fontId="47" fillId="9" borderId="0" xfId="0" applyFont="1" applyFill="1" applyAlignment="1">
      <alignment horizontal="left" vertical="top" wrapText="1"/>
    </xf>
    <xf numFmtId="0" fontId="129" fillId="9" borderId="0" xfId="0" applyFont="1" applyFill="1" applyAlignment="1">
      <alignment vertical="top" wrapText="1"/>
    </xf>
    <xf numFmtId="0" fontId="130" fillId="9" borderId="0" xfId="0" applyFont="1" applyFill="1" applyAlignment="1">
      <alignment vertical="top" wrapText="1"/>
    </xf>
    <xf numFmtId="0" fontId="131" fillId="9" borderId="0" xfId="0" applyFont="1" applyFill="1" applyAlignment="1">
      <alignment vertical="top" wrapText="1"/>
    </xf>
    <xf numFmtId="0" fontId="50" fillId="4" borderId="0" xfId="0" applyFont="1" applyFill="1" applyAlignment="1">
      <alignment vertical="top" wrapText="1"/>
    </xf>
    <xf numFmtId="0" fontId="132" fillId="0" borderId="0" xfId="0" applyFont="1" applyAlignment="1">
      <alignment vertical="top" wrapText="1"/>
    </xf>
    <xf numFmtId="0" fontId="41" fillId="15" borderId="0" xfId="0" applyFont="1" applyFill="1" applyAlignment="1">
      <alignment horizontal="left" vertical="top" wrapText="1"/>
    </xf>
    <xf numFmtId="0" fontId="12" fillId="4" borderId="0" xfId="0" applyFont="1" applyFill="1" applyAlignment="1">
      <alignment vertical="top"/>
    </xf>
    <xf numFmtId="0" fontId="62" fillId="15" borderId="0" xfId="0" applyFont="1" applyFill="1" applyAlignment="1">
      <alignment horizontal="left" vertical="top"/>
    </xf>
    <xf numFmtId="0" fontId="87" fillId="15" borderId="0" xfId="0" applyFont="1" applyFill="1" applyAlignment="1">
      <alignment horizontal="left" vertical="top"/>
    </xf>
    <xf numFmtId="0" fontId="86" fillId="15" borderId="0" xfId="0" applyFont="1" applyFill="1" applyAlignment="1">
      <alignment horizontal="left" vertical="top"/>
    </xf>
    <xf numFmtId="0" fontId="79" fillId="15" borderId="0" xfId="0" applyFont="1" applyFill="1" applyAlignment="1">
      <alignment horizontal="center" vertical="top" wrapText="1"/>
    </xf>
    <xf numFmtId="0" fontId="79" fillId="15" borderId="0" xfId="0" applyFont="1" applyFill="1" applyAlignment="1">
      <alignment horizontal="left" vertical="top" wrapText="1"/>
    </xf>
    <xf numFmtId="0" fontId="133" fillId="4" borderId="0" xfId="0" applyFont="1" applyFill="1" applyAlignment="1">
      <alignment vertical="top" wrapText="1"/>
    </xf>
    <xf numFmtId="0" fontId="26" fillId="15" borderId="0" xfId="0" applyFont="1" applyFill="1" applyAlignment="1">
      <alignment horizontal="center" vertical="top" wrapText="1"/>
    </xf>
    <xf numFmtId="0" fontId="22" fillId="19" borderId="24" xfId="0" applyFont="1" applyFill="1" applyBorder="1" applyAlignment="1">
      <alignment vertical="top" wrapText="1"/>
    </xf>
    <xf numFmtId="0" fontId="22" fillId="2" borderId="24" xfId="0" applyFont="1" applyFill="1" applyBorder="1" applyAlignment="1">
      <alignment vertical="top" wrapText="1"/>
    </xf>
    <xf numFmtId="0" fontId="22" fillId="2" borderId="0" xfId="0" applyFont="1" applyFill="1" applyAlignment="1">
      <alignment vertical="top" wrapText="1"/>
    </xf>
    <xf numFmtId="0" fontId="25" fillId="2" borderId="4"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6" borderId="3" xfId="0" applyFont="1" applyFill="1" applyBorder="1" applyAlignment="1">
      <alignment horizontal="center" vertical="top" wrapText="1"/>
    </xf>
    <xf numFmtId="0" fontId="1" fillId="6" borderId="0" xfId="0" applyFont="1" applyFill="1" applyAlignment="1">
      <alignment horizontal="center" vertical="top" wrapText="1"/>
    </xf>
    <xf numFmtId="0" fontId="1" fillId="7" borderId="3"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0" xfId="0" applyFont="1" applyFill="1" applyAlignment="1">
      <alignment horizontal="center" vertical="top" wrapText="1"/>
    </xf>
    <xf numFmtId="0" fontId="1" fillId="27" borderId="3" xfId="0" applyFont="1" applyFill="1" applyBorder="1" applyAlignment="1">
      <alignment horizontal="center" vertical="top" wrapText="1"/>
    </xf>
    <xf numFmtId="0" fontId="1" fillId="27" borderId="0" xfId="0" applyFont="1" applyFill="1" applyAlignment="1">
      <alignment horizontal="center" vertical="top" wrapText="1"/>
    </xf>
    <xf numFmtId="0" fontId="1" fillId="28" borderId="3" xfId="0" applyFont="1" applyFill="1" applyBorder="1" applyAlignment="1">
      <alignment horizontal="center" vertical="top" wrapText="1"/>
    </xf>
    <xf numFmtId="0" fontId="1" fillId="28" borderId="0" xfId="0" applyFont="1" applyFill="1" applyAlignment="1">
      <alignment horizontal="center" vertical="top" wrapText="1"/>
    </xf>
    <xf numFmtId="0" fontId="1" fillId="28" borderId="4" xfId="0" applyFont="1" applyFill="1" applyBorder="1" applyAlignment="1">
      <alignment horizontal="center" vertical="top" wrapText="1"/>
    </xf>
    <xf numFmtId="0" fontId="22" fillId="19" borderId="5" xfId="0" applyFont="1" applyFill="1" applyBorder="1" applyAlignment="1">
      <alignment vertical="top" wrapText="1"/>
    </xf>
    <xf numFmtId="0" fontId="134" fillId="20" borderId="5" xfId="0" applyFont="1" applyFill="1" applyBorder="1" applyAlignment="1">
      <alignment horizontal="center" vertical="top" wrapText="1"/>
    </xf>
    <xf numFmtId="0" fontId="12" fillId="20" borderId="5" xfId="0" applyFont="1" applyFill="1" applyBorder="1" applyAlignment="1">
      <alignment vertical="top"/>
    </xf>
    <xf numFmtId="0" fontId="135" fillId="20" borderId="5" xfId="0" applyFont="1" applyFill="1" applyBorder="1" applyAlignment="1">
      <alignment vertical="top" wrapText="1"/>
    </xf>
    <xf numFmtId="0" fontId="136" fillId="20" borderId="5" xfId="0" applyFont="1" applyFill="1" applyBorder="1" applyAlignment="1">
      <alignment vertical="top" wrapText="1"/>
    </xf>
    <xf numFmtId="0" fontId="11" fillId="20" borderId="5" xfId="0" applyFont="1" applyFill="1" applyBorder="1" applyAlignment="1">
      <alignment vertical="top" wrapText="1"/>
    </xf>
    <xf numFmtId="0" fontId="137" fillId="20" borderId="5" xfId="0" applyFont="1" applyFill="1" applyBorder="1" applyAlignment="1">
      <alignment horizontal="center" vertical="top" wrapText="1"/>
    </xf>
    <xf numFmtId="0" fontId="13" fillId="0" borderId="0" xfId="0" applyFont="1" applyAlignment="1">
      <alignment horizontal="left"/>
    </xf>
    <xf numFmtId="0" fontId="36" fillId="10" borderId="0" xfId="0" applyFont="1" applyFill="1" applyAlignment="1">
      <alignment vertical="top" wrapText="1"/>
    </xf>
    <xf numFmtId="0" fontId="138" fillId="0" borderId="0" xfId="0" applyFont="1" applyAlignment="1">
      <alignment vertical="top" wrapText="1"/>
    </xf>
    <xf numFmtId="0" fontId="13" fillId="0" borderId="0" xfId="0" applyFont="1" applyAlignment="1">
      <alignment horizontal="left" wrapText="1"/>
    </xf>
    <xf numFmtId="0" fontId="139" fillId="0" borderId="0" xfId="0" applyFont="1"/>
    <xf numFmtId="0" fontId="106" fillId="4" borderId="0" xfId="0" applyFont="1" applyFill="1" applyAlignment="1">
      <alignment wrapText="1"/>
    </xf>
    <xf numFmtId="0" fontId="140" fillId="4" borderId="0" xfId="0" applyFont="1" applyFill="1"/>
    <xf numFmtId="0" fontId="15" fillId="0" borderId="0" xfId="0" applyFont="1" applyAlignment="1">
      <alignment vertical="top" wrapText="1"/>
    </xf>
    <xf numFmtId="3" fontId="7" fillId="0" borderId="0" xfId="0" applyNumberFormat="1" applyFont="1" applyAlignment="1">
      <alignment vertical="top" wrapText="1"/>
    </xf>
    <xf numFmtId="0" fontId="41" fillId="0" borderId="0" xfId="0" applyFont="1" applyAlignment="1">
      <alignment horizontal="left" vertical="top"/>
    </xf>
    <xf numFmtId="0" fontId="50" fillId="0" borderId="0" xfId="0" applyFont="1" applyAlignment="1">
      <alignment horizontal="left" vertical="top" wrapText="1"/>
    </xf>
    <xf numFmtId="0" fontId="36" fillId="15" borderId="0" xfId="0" applyFont="1" applyFill="1" applyAlignment="1">
      <alignment vertical="top" wrapText="1"/>
    </xf>
    <xf numFmtId="0" fontId="36" fillId="15" borderId="0" xfId="0" applyFont="1" applyFill="1" applyAlignment="1">
      <alignment horizontal="left" vertical="top" wrapText="1"/>
    </xf>
    <xf numFmtId="0" fontId="50" fillId="15" borderId="0" xfId="0" applyFont="1" applyFill="1" applyAlignment="1">
      <alignment vertical="top" wrapText="1"/>
    </xf>
    <xf numFmtId="0" fontId="128" fillId="19" borderId="25" xfId="0" applyFont="1" applyFill="1" applyBorder="1" applyAlignment="1">
      <alignment vertical="top" wrapText="1"/>
    </xf>
    <xf numFmtId="0" fontId="128" fillId="21" borderId="26" xfId="0" applyFont="1" applyFill="1" applyBorder="1" applyAlignment="1">
      <alignment horizontal="left" vertical="top" wrapText="1"/>
    </xf>
    <xf numFmtId="0" fontId="49" fillId="21" borderId="27" xfId="0" applyFont="1" applyFill="1" applyBorder="1" applyAlignment="1">
      <alignment vertical="top" wrapText="1"/>
    </xf>
    <xf numFmtId="0" fontId="49" fillId="21" borderId="26" xfId="0" applyFont="1" applyFill="1" applyBorder="1" applyAlignment="1">
      <alignment vertical="top" wrapText="1"/>
    </xf>
    <xf numFmtId="0" fontId="128" fillId="21" borderId="27" xfId="0" applyFont="1" applyFill="1" applyBorder="1" applyAlignment="1">
      <alignment vertical="top" wrapText="1"/>
    </xf>
    <xf numFmtId="0" fontId="49" fillId="21" borderId="28" xfId="0" applyFont="1" applyFill="1" applyBorder="1" applyAlignment="1">
      <alignment vertical="top" wrapText="1"/>
    </xf>
    <xf numFmtId="0" fontId="128" fillId="19" borderId="0" xfId="0" applyFont="1" applyFill="1" applyAlignment="1">
      <alignment vertical="top" wrapText="1"/>
    </xf>
    <xf numFmtId="0" fontId="36" fillId="4" borderId="29" xfId="0" applyFont="1" applyFill="1" applyBorder="1" applyAlignment="1">
      <alignment horizontal="left" vertical="top" wrapText="1"/>
    </xf>
    <xf numFmtId="0" fontId="36" fillId="4" borderId="0" xfId="0" applyFont="1" applyFill="1" applyAlignment="1">
      <alignment horizontal="left" vertical="top" wrapText="1"/>
    </xf>
    <xf numFmtId="0" fontId="36" fillId="4" borderId="29" xfId="0" applyFont="1" applyFill="1" applyBorder="1" applyAlignment="1">
      <alignment vertical="top" wrapText="1"/>
    </xf>
    <xf numFmtId="0" fontId="9" fillId="0" borderId="29" xfId="0" applyFont="1" applyBorder="1"/>
    <xf numFmtId="0" fontId="50" fillId="0" borderId="29" xfId="0" applyFont="1" applyBorder="1" applyAlignment="1">
      <alignment vertical="top" wrapText="1"/>
    </xf>
    <xf numFmtId="0" fontId="50" fillId="0" borderId="29" xfId="0" applyFont="1" applyBorder="1" applyAlignment="1">
      <alignment horizontal="left" vertical="top" wrapText="1"/>
    </xf>
    <xf numFmtId="0" fontId="45" fillId="0" borderId="29" xfId="0" applyFont="1" applyBorder="1" applyAlignment="1">
      <alignment horizontal="left" vertical="top" wrapText="1"/>
    </xf>
    <xf numFmtId="0" fontId="21" fillId="2" borderId="30" xfId="0" applyFont="1" applyFill="1" applyBorder="1" applyAlignment="1">
      <alignment horizontal="center" vertical="top" wrapText="1"/>
    </xf>
    <xf numFmtId="0" fontId="141" fillId="2" borderId="0" xfId="0" applyFont="1" applyFill="1" applyAlignment="1">
      <alignment horizontal="center" wrapText="1"/>
    </xf>
    <xf numFmtId="0" fontId="3" fillId="19" borderId="30" xfId="0" applyFont="1" applyFill="1" applyBorder="1" applyAlignment="1">
      <alignment horizontal="center" vertical="top" wrapText="1"/>
    </xf>
    <xf numFmtId="0" fontId="3" fillId="14" borderId="3" xfId="0" applyFont="1" applyFill="1" applyBorder="1" applyAlignment="1">
      <alignment horizontal="center" vertical="top" wrapText="1"/>
    </xf>
    <xf numFmtId="0" fontId="3" fillId="14" borderId="30" xfId="0" applyFont="1" applyFill="1" applyBorder="1" applyAlignment="1">
      <alignment horizontal="center" vertical="top" wrapText="1"/>
    </xf>
    <xf numFmtId="0" fontId="3" fillId="14" borderId="0" xfId="0" applyFont="1" applyFill="1" applyAlignment="1">
      <alignment horizontal="center" vertical="top" wrapText="1"/>
    </xf>
    <xf numFmtId="0" fontId="3" fillId="24" borderId="3" xfId="0" applyFont="1" applyFill="1" applyBorder="1" applyAlignment="1">
      <alignment horizontal="center" vertical="top" wrapText="1"/>
    </xf>
    <xf numFmtId="0" fontId="3" fillId="24" borderId="30" xfId="0" applyFont="1" applyFill="1" applyBorder="1" applyAlignment="1">
      <alignment horizontal="center" vertical="top" wrapText="1"/>
    </xf>
    <xf numFmtId="0" fontId="3" fillId="24" borderId="0" xfId="0" applyFont="1" applyFill="1" applyAlignment="1">
      <alignment horizontal="center" vertical="top" wrapText="1"/>
    </xf>
    <xf numFmtId="0" fontId="3" fillId="3" borderId="10"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30" xfId="0" applyFont="1" applyFill="1" applyBorder="1" applyAlignment="1">
      <alignment horizontal="center" vertical="top" wrapText="1"/>
    </xf>
    <xf numFmtId="0" fontId="3" fillId="3" borderId="0" xfId="0" applyFont="1" applyFill="1" applyAlignment="1">
      <alignment horizontal="center" vertical="top" wrapText="1"/>
    </xf>
    <xf numFmtId="0" fontId="11" fillId="9" borderId="31" xfId="0" applyFont="1" applyFill="1" applyBorder="1" applyAlignment="1">
      <alignment vertical="top" wrapText="1"/>
    </xf>
    <xf numFmtId="0" fontId="12" fillId="9" borderId="4" xfId="0" applyFont="1" applyFill="1" applyBorder="1" applyAlignment="1">
      <alignment vertical="top" wrapText="1"/>
    </xf>
    <xf numFmtId="0" fontId="51" fillId="9" borderId="30" xfId="0" applyFont="1" applyFill="1" applyBorder="1" applyAlignment="1">
      <alignment vertical="top" wrapText="1"/>
    </xf>
    <xf numFmtId="0" fontId="7" fillId="0" borderId="32" xfId="0" applyFont="1" applyBorder="1" applyAlignment="1">
      <alignment vertical="top" wrapText="1"/>
    </xf>
    <xf numFmtId="0" fontId="7" fillId="0" borderId="7" xfId="0" applyFont="1" applyBorder="1" applyAlignment="1">
      <alignment vertical="top" wrapText="1"/>
    </xf>
    <xf numFmtId="0" fontId="7" fillId="0" borderId="33" xfId="0" applyFont="1" applyBorder="1" applyAlignment="1">
      <alignment vertical="top" wrapText="1"/>
    </xf>
    <xf numFmtId="0" fontId="9" fillId="0" borderId="7" xfId="0" applyFont="1" applyBorder="1" applyAlignment="1">
      <alignment vertical="top" wrapText="1"/>
    </xf>
    <xf numFmtId="0" fontId="9" fillId="0" borderId="32" xfId="0" applyFont="1" applyBorder="1" applyAlignment="1">
      <alignment vertical="top" wrapText="1"/>
    </xf>
    <xf numFmtId="0" fontId="7" fillId="0" borderId="30" xfId="0" applyFont="1" applyBorder="1" applyAlignment="1">
      <alignment vertical="top" wrapText="1"/>
    </xf>
    <xf numFmtId="0" fontId="9" fillId="0" borderId="30" xfId="0" applyFont="1" applyBorder="1" applyAlignment="1">
      <alignment vertical="top" wrapText="1"/>
    </xf>
    <xf numFmtId="0" fontId="142" fillId="0" borderId="0" xfId="0" applyFont="1" applyAlignment="1">
      <alignment horizontal="left" vertical="top"/>
    </xf>
    <xf numFmtId="0" fontId="143" fillId="4" borderId="0" xfId="0" applyFont="1" applyFill="1" applyAlignment="1">
      <alignment horizontal="left" vertical="top" wrapText="1"/>
    </xf>
    <xf numFmtId="3" fontId="143" fillId="4" borderId="0" xfId="0" applyNumberFormat="1" applyFont="1" applyFill="1" applyAlignment="1">
      <alignment horizontal="left" vertical="top" wrapText="1"/>
    </xf>
    <xf numFmtId="0" fontId="143" fillId="4" borderId="0" xfId="0" applyFont="1" applyFill="1"/>
    <xf numFmtId="0" fontId="79" fillId="0" borderId="0" xfId="0" applyFont="1" applyAlignment="1">
      <alignment wrapText="1"/>
    </xf>
    <xf numFmtId="0" fontId="144" fillId="0" borderId="0" xfId="0" applyFont="1" applyAlignment="1">
      <alignment wrapText="1"/>
    </xf>
    <xf numFmtId="0" fontId="145" fillId="0" borderId="0" xfId="0" applyFont="1" applyAlignment="1">
      <alignment wrapText="1"/>
    </xf>
    <xf numFmtId="0" fontId="15" fillId="0" borderId="0" xfId="0" applyFont="1" applyAlignment="1">
      <alignment wrapText="1"/>
    </xf>
    <xf numFmtId="0" fontId="57" fillId="0" borderId="0" xfId="0" applyFont="1"/>
    <xf numFmtId="0" fontId="118" fillId="4" borderId="0" xfId="0" applyFont="1" applyFill="1"/>
    <xf numFmtId="0" fontId="9" fillId="0" borderId="0" xfId="0" applyFont="1" applyAlignment="1">
      <alignment horizontal="left"/>
    </xf>
    <xf numFmtId="0" fontId="9" fillId="0" borderId="0" xfId="0" applyFont="1" applyAlignment="1">
      <alignment horizontal="right"/>
    </xf>
    <xf numFmtId="0" fontId="16" fillId="0" borderId="0" xfId="0" applyFont="1"/>
    <xf numFmtId="0" fontId="146" fillId="0" borderId="0" xfId="0" applyFont="1"/>
    <xf numFmtId="0" fontId="147" fillId="0" borderId="0" xfId="0" applyFont="1" applyAlignment="1">
      <alignment wrapText="1"/>
    </xf>
    <xf numFmtId="0" fontId="9" fillId="29" borderId="0" xfId="0" applyFont="1" applyFill="1"/>
    <xf numFmtId="0" fontId="16" fillId="0" borderId="0" xfId="0" applyFont="1" applyAlignment="1">
      <alignment wrapText="1"/>
    </xf>
    <xf numFmtId="0" fontId="43" fillId="0" borderId="0" xfId="0" applyFont="1" applyAlignment="1">
      <alignment vertical="top" wrapText="1"/>
    </xf>
    <xf numFmtId="0" fontId="0" fillId="0" borderId="0" xfId="0"/>
    <xf numFmtId="0" fontId="44" fillId="4" borderId="0" xfId="0" applyFont="1" applyFill="1" applyAlignment="1">
      <alignment wrapText="1"/>
    </xf>
    <xf numFmtId="0" fontId="48" fillId="5" borderId="0" xfId="0" applyFont="1" applyFill="1" applyAlignment="1">
      <alignment horizontal="center" vertical="top" wrapText="1"/>
    </xf>
    <xf numFmtId="0" fontId="48" fillId="19" borderId="0" xfId="0" applyFont="1" applyFill="1" applyAlignment="1">
      <alignment horizontal="center" vertical="top" wrapText="1"/>
    </xf>
    <xf numFmtId="0" fontId="2" fillId="5" borderId="0" xfId="0" applyFont="1" applyFill="1" applyAlignment="1">
      <alignment horizontal="center" vertical="top" wrapText="1"/>
    </xf>
    <xf numFmtId="0" fontId="2" fillId="19" borderId="0" xfId="0" applyFont="1" applyFill="1" applyAlignment="1">
      <alignment horizontal="center" vertical="top" wrapText="1"/>
    </xf>
    <xf numFmtId="0" fontId="21" fillId="2" borderId="0" xfId="0" applyFont="1" applyFill="1" applyAlignment="1">
      <alignment horizontal="center" wrapText="1"/>
    </xf>
    <xf numFmtId="0" fontId="21" fillId="2" borderId="14" xfId="0" applyFont="1" applyFill="1" applyBorder="1" applyAlignment="1">
      <alignment horizontal="center" wrapText="1"/>
    </xf>
    <xf numFmtId="0" fontId="21" fillId="19" borderId="0" xfId="0" applyFont="1" applyFill="1" applyAlignment="1">
      <alignment horizontal="center" wrapText="1"/>
    </xf>
    <xf numFmtId="0" fontId="21" fillId="19" borderId="14" xfId="0" applyFont="1" applyFill="1" applyBorder="1" applyAlignment="1">
      <alignment horizontal="center" wrapText="1"/>
    </xf>
    <xf numFmtId="0" fontId="25" fillId="2" borderId="22" xfId="0" applyFont="1" applyFill="1" applyBorder="1" applyAlignment="1">
      <alignment horizontal="center" vertical="top" wrapText="1"/>
    </xf>
    <xf numFmtId="0" fontId="25" fillId="19" borderId="22" xfId="0" applyFont="1" applyFill="1" applyBorder="1" applyAlignment="1">
      <alignment horizontal="center" vertical="top" wrapText="1"/>
    </xf>
    <xf numFmtId="0" fontId="102" fillId="0" borderId="23" xfId="0" applyFont="1" applyBorder="1"/>
    <xf numFmtId="0" fontId="25" fillId="19" borderId="0" xfId="0" applyFont="1" applyFill="1" applyAlignment="1">
      <alignment horizontal="center" vertical="top" wrapText="1"/>
    </xf>
    <xf numFmtId="0" fontId="1" fillId="2" borderId="0" xfId="0" applyFont="1" applyFill="1" applyAlignment="1">
      <alignment horizontal="center" wrapText="1"/>
    </xf>
    <xf numFmtId="0" fontId="1" fillId="19" borderId="0" xfId="0" applyFont="1" applyFill="1" applyAlignment="1">
      <alignment horizontal="center" wrapText="1"/>
    </xf>
    <xf numFmtId="0" fontId="1" fillId="2" borderId="0" xfId="0" applyFont="1" applyFill="1" applyAlignment="1">
      <alignment horizontal="center" vertical="top" wrapText="1"/>
    </xf>
    <xf numFmtId="0" fontId="1" fillId="19" borderId="0" xfId="0" applyFont="1" applyFill="1" applyAlignment="1">
      <alignment horizontal="center" vertical="top" wrapText="1"/>
    </xf>
    <xf numFmtId="0" fontId="97" fillId="22" borderId="0" xfId="0" applyFont="1" applyFill="1" applyAlignment="1">
      <alignment horizontal="center" vertical="top" wrapText="1"/>
    </xf>
    <xf numFmtId="0" fontId="117" fillId="22" borderId="0" xfId="0" applyFont="1" applyFill="1" applyAlignment="1">
      <alignment horizontal="center" vertical="top" wrapText="1"/>
    </xf>
    <xf numFmtId="0" fontId="117" fillId="23" borderId="0" xfId="0" applyFont="1" applyFill="1" applyAlignment="1">
      <alignment horizontal="center" vertical="top" wrapText="1"/>
    </xf>
    <xf numFmtId="0" fontId="39" fillId="0" borderId="0" xfId="0" applyFont="1" applyAlignment="1">
      <alignment vertical="top" wrapText="1"/>
    </xf>
    <xf numFmtId="0" fontId="22" fillId="19" borderId="0" xfId="0" applyFont="1" applyFill="1" applyAlignment="1">
      <alignment vertical="top" wrapText="1"/>
    </xf>
    <xf numFmtId="0" fontId="3" fillId="19" borderId="3" xfId="0" applyFont="1" applyFill="1" applyBorder="1" applyAlignment="1">
      <alignment horizontal="center" vertical="top" wrapText="1"/>
    </xf>
    <xf numFmtId="0" fontId="3" fillId="21" borderId="10" xfId="0" applyFont="1" applyFill="1" applyBorder="1" applyAlignment="1">
      <alignment horizontal="center" vertical="top" wrapText="1"/>
    </xf>
    <xf numFmtId="0" fontId="3" fillId="21" borderId="30" xfId="0" applyFont="1" applyFill="1" applyBorder="1" applyAlignment="1">
      <alignment horizontal="center" vertical="top" wrapText="1"/>
    </xf>
    <xf numFmtId="0" fontId="3" fillId="19" borderId="10" xfId="0" applyFont="1" applyFill="1" applyBorder="1" applyAlignment="1">
      <alignment horizontal="center" vertical="top" wrapText="1"/>
    </xf>
    <xf numFmtId="0" fontId="3" fillId="14" borderId="3" xfId="0" applyFont="1" applyFill="1" applyBorder="1" applyAlignment="1">
      <alignment horizontal="center" vertical="top" wrapText="1"/>
    </xf>
    <xf numFmtId="0" fontId="3" fillId="14" borderId="0" xfId="0" applyFont="1" applyFill="1" applyAlignment="1">
      <alignment horizontal="center" vertical="top" wrapText="1"/>
    </xf>
    <xf numFmtId="0" fontId="3" fillId="14" borderId="10"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24" borderId="3" xfId="0" applyFont="1" applyFill="1" applyBorder="1" applyAlignment="1">
      <alignment horizontal="center" vertical="top" wrapText="1"/>
    </xf>
  </cellXfs>
  <cellStyles count="1">
    <cellStyle name="Normal" xfId="0" builtinId="0"/>
  </cellStyles>
  <dxfs count="128">
    <dxf>
      <fill>
        <patternFill patternType="solid">
          <fgColor rgb="FFFFFF00"/>
          <bgColor rgb="FFFFFF00"/>
        </patternFill>
      </fill>
    </dxf>
    <dxf>
      <fill>
        <patternFill patternType="solid">
          <fgColor rgb="FFD9D2E9"/>
          <bgColor rgb="FFD9D2E9"/>
        </patternFill>
      </fill>
    </dxf>
    <dxf>
      <fill>
        <patternFill patternType="solid">
          <fgColor rgb="FFD0E0E3"/>
          <bgColor rgb="FFD0E0E3"/>
        </patternFill>
      </fill>
    </dxf>
    <dxf>
      <fill>
        <patternFill patternType="solid">
          <fgColor rgb="FFD9EAD3"/>
          <bgColor rgb="FFD9EAD3"/>
        </patternFill>
      </fill>
    </dxf>
    <dxf>
      <fill>
        <patternFill patternType="solid">
          <fgColor rgb="FFFFF2CC"/>
          <bgColor rgb="FFFFF2CC"/>
        </patternFill>
      </fill>
    </dxf>
    <dxf>
      <fill>
        <patternFill patternType="solid">
          <fgColor rgb="FFF4CCCC"/>
          <bgColor rgb="FFF4CCCC"/>
        </patternFill>
      </fill>
    </dxf>
    <dxf>
      <fill>
        <patternFill patternType="solid">
          <fgColor rgb="FFF4CCCC"/>
          <bgColor rgb="FFF4CCCC"/>
        </patternFill>
      </fill>
    </dxf>
    <dxf>
      <fill>
        <patternFill patternType="solid">
          <fgColor rgb="FFFFFF00"/>
          <bgColor rgb="FFFFFF00"/>
        </patternFill>
      </fill>
    </dxf>
    <dxf>
      <fill>
        <patternFill patternType="solid">
          <fgColor rgb="FFD9D2E9"/>
          <bgColor rgb="FFD9D2E9"/>
        </patternFill>
      </fill>
    </dxf>
    <dxf>
      <fill>
        <patternFill patternType="solid">
          <fgColor rgb="FFD0E0E3"/>
          <bgColor rgb="FFD0E0E3"/>
        </patternFill>
      </fill>
    </dxf>
    <dxf>
      <fill>
        <patternFill patternType="solid">
          <fgColor rgb="FFD9EAD3"/>
          <bgColor rgb="FFD9EAD3"/>
        </patternFill>
      </fill>
    </dxf>
    <dxf>
      <fill>
        <patternFill patternType="solid">
          <fgColor rgb="FFFFF2CC"/>
          <bgColor rgb="FFFFF2CC"/>
        </patternFill>
      </fill>
    </dxf>
    <dxf>
      <font>
        <color rgb="FFFF0000"/>
      </font>
      <fill>
        <patternFill patternType="none"/>
      </fill>
    </dxf>
    <dxf>
      <font>
        <color rgb="FF38761D"/>
      </font>
      <fill>
        <patternFill patternType="none"/>
      </fill>
    </dxf>
    <dxf>
      <fill>
        <patternFill patternType="solid">
          <fgColor rgb="FFD9D2E9"/>
          <bgColor rgb="FFD9D2E9"/>
        </patternFill>
      </fill>
    </dxf>
    <dxf>
      <fill>
        <patternFill patternType="solid">
          <fgColor rgb="FFFFF2CC"/>
          <bgColor rgb="FFFFF2CC"/>
        </patternFill>
      </fill>
    </dxf>
    <dxf>
      <fill>
        <patternFill patternType="solid">
          <fgColor rgb="FFE6B8AF"/>
          <bgColor rgb="FFE6B8AF"/>
        </patternFill>
      </fill>
    </dxf>
    <dxf>
      <fill>
        <patternFill patternType="solid">
          <fgColor rgb="FFD9EAD3"/>
          <bgColor rgb="FFD9EAD3"/>
        </patternFill>
      </fill>
    </dxf>
    <dxf>
      <font>
        <strike/>
      </font>
      <fill>
        <patternFill patternType="solid">
          <fgColor rgb="FFD9D9D9"/>
          <bgColor rgb="FFD9D9D9"/>
        </patternFill>
      </fill>
    </dxf>
    <dxf>
      <fill>
        <patternFill patternType="solid">
          <fgColor rgb="FFEAD1DC"/>
          <bgColor rgb="FFEAD1DC"/>
        </patternFill>
      </fill>
    </dxf>
    <dxf>
      <font>
        <strike/>
      </font>
      <fill>
        <patternFill patternType="solid">
          <fgColor rgb="FFD9D9D9"/>
          <bgColor rgb="FFD9D9D9"/>
        </patternFill>
      </fill>
    </dxf>
    <dxf>
      <fill>
        <patternFill patternType="solid">
          <fgColor rgb="FFEAD1DC"/>
          <bgColor rgb="FFEAD1DC"/>
        </patternFill>
      </fill>
    </dxf>
    <dxf>
      <fill>
        <patternFill patternType="solid">
          <fgColor rgb="FFEAD1DC"/>
          <bgColor rgb="FFEAD1DC"/>
        </patternFill>
      </fill>
    </dxf>
    <dxf>
      <font>
        <strike/>
      </font>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ont>
        <i/>
        <strike/>
      </font>
      <fill>
        <patternFill patternType="solid">
          <fgColor rgb="FF666666"/>
          <bgColor rgb="FF666666"/>
        </patternFill>
      </fill>
    </dxf>
    <dxf>
      <fill>
        <patternFill patternType="solid">
          <fgColor rgb="FFD9D2E9"/>
          <bgColor rgb="FFD9D2E9"/>
        </patternFill>
      </fill>
    </dxf>
    <dxf>
      <fill>
        <patternFill patternType="solid">
          <fgColor rgb="FFD0E0E3"/>
          <bgColor rgb="FFD0E0E3"/>
        </patternFill>
      </fill>
    </dxf>
    <dxf>
      <fill>
        <patternFill patternType="solid">
          <fgColor rgb="FFD9EAD3"/>
          <bgColor rgb="FFD9EAD3"/>
        </patternFill>
      </fill>
    </dxf>
    <dxf>
      <fill>
        <patternFill patternType="solid">
          <fgColor rgb="FFFFF2CC"/>
          <bgColor rgb="FFFFF2CC"/>
        </patternFill>
      </fill>
    </dxf>
    <dxf>
      <fill>
        <patternFill patternType="solid">
          <fgColor rgb="FFF4CCCC"/>
          <bgColor rgb="FFF4CCCC"/>
        </patternFill>
      </fill>
    </dxf>
    <dxf>
      <fill>
        <patternFill patternType="solid">
          <fgColor rgb="FFB7B7B7"/>
          <bgColor rgb="FFB7B7B7"/>
        </patternFill>
      </fill>
    </dxf>
    <dxf>
      <fill>
        <patternFill patternType="solid">
          <fgColor rgb="FFB6D7A8"/>
          <bgColor rgb="FFB6D7A8"/>
        </patternFill>
      </fill>
    </dxf>
    <dxf>
      <fill>
        <patternFill patternType="solid">
          <fgColor rgb="FFD0E0E3"/>
          <bgColor rgb="FFD0E0E3"/>
        </patternFill>
      </fill>
    </dxf>
    <dxf>
      <fill>
        <patternFill patternType="solid">
          <fgColor rgb="FFFFD966"/>
          <bgColor rgb="FFFFD966"/>
        </patternFill>
      </fill>
    </dxf>
    <dxf>
      <fill>
        <patternFill patternType="none"/>
      </fill>
    </dxf>
    <dxf>
      <fill>
        <patternFill patternType="solid">
          <fgColor rgb="FFEAD1DC"/>
          <bgColor rgb="FFEAD1DC"/>
        </patternFill>
      </fill>
    </dxf>
    <dxf>
      <fill>
        <patternFill patternType="none"/>
      </fill>
    </dxf>
    <dxf>
      <fill>
        <patternFill patternType="solid">
          <fgColor rgb="FFEAD1DC"/>
          <bgColor rgb="FFEAD1DC"/>
        </patternFill>
      </fill>
    </dxf>
    <dxf>
      <fill>
        <patternFill patternType="solid">
          <fgColor rgb="FFB7B7B7"/>
          <bgColor rgb="FFB7B7B7"/>
        </patternFill>
      </fill>
    </dxf>
    <dxf>
      <font>
        <i/>
        <strike/>
      </font>
      <fill>
        <patternFill patternType="solid">
          <fgColor rgb="FF666666"/>
          <bgColor rgb="FF666666"/>
        </patternFill>
      </fill>
    </dxf>
    <dxf>
      <fill>
        <patternFill patternType="solid">
          <fgColor rgb="FFB7B7B7"/>
          <bgColor rgb="FFB7B7B7"/>
        </patternFill>
      </fill>
    </dxf>
    <dxf>
      <font>
        <i/>
        <strike/>
      </font>
      <fill>
        <patternFill patternType="solid">
          <fgColor rgb="FF666666"/>
          <bgColor rgb="FF666666"/>
        </patternFill>
      </fill>
    </dxf>
    <dxf>
      <fill>
        <patternFill patternType="solid">
          <fgColor rgb="FFB7B7B7"/>
          <bgColor rgb="FFB7B7B7"/>
        </patternFill>
      </fill>
    </dxf>
    <dxf>
      <font>
        <i/>
        <strike/>
      </font>
      <fill>
        <patternFill patternType="solid">
          <fgColor rgb="FF666666"/>
          <bgColor rgb="FF666666"/>
        </patternFill>
      </fill>
    </dxf>
    <dxf>
      <fill>
        <patternFill patternType="solid">
          <fgColor rgb="FFB7B7B7"/>
          <bgColor rgb="FFB7B7B7"/>
        </patternFill>
      </fill>
    </dxf>
    <dxf>
      <fill>
        <patternFill patternType="solid">
          <fgColor rgb="FFCFE2F3"/>
          <bgColor rgb="FFCFE2F3"/>
        </patternFill>
      </fill>
    </dxf>
    <dxf>
      <fill>
        <patternFill patternType="solid">
          <fgColor rgb="FFB7E1CD"/>
          <bgColor rgb="FFB7E1CD"/>
        </patternFill>
      </fill>
    </dxf>
    <dxf>
      <fill>
        <patternFill patternType="solid">
          <fgColor rgb="FFEAD1DC"/>
          <bgColor rgb="FFEAD1DC"/>
        </patternFill>
      </fill>
    </dxf>
    <dxf>
      <font>
        <strike/>
      </font>
      <fill>
        <patternFill patternType="solid">
          <fgColor rgb="FFB7B7B7"/>
          <bgColor rgb="FFB7B7B7"/>
        </patternFill>
      </fill>
    </dxf>
    <dxf>
      <fill>
        <patternFill patternType="solid">
          <fgColor rgb="FFCFE2F3"/>
          <bgColor rgb="FFCFE2F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ont>
        <strike/>
        <color rgb="FF000000"/>
      </font>
      <fill>
        <patternFill patternType="solid">
          <fgColor rgb="FFCCCCCC"/>
          <bgColor rgb="FFCCCCCC"/>
        </patternFill>
      </fill>
    </dxf>
    <dxf>
      <fill>
        <patternFill patternType="solid">
          <fgColor rgb="FFD9D2E9"/>
          <bgColor rgb="FFD9D2E9"/>
        </patternFill>
      </fill>
    </dxf>
    <dxf>
      <font>
        <i/>
        <strike/>
      </font>
      <fill>
        <patternFill patternType="solid">
          <fgColor rgb="FF666666"/>
          <bgColor rgb="FF666666"/>
        </patternFill>
      </fill>
    </dxf>
    <dxf>
      <fill>
        <patternFill patternType="solid">
          <fgColor rgb="FFCFE2F3"/>
          <bgColor rgb="FFCFE2F3"/>
        </patternFill>
      </fill>
    </dxf>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
      <font>
        <strike/>
        <color rgb="FF000000"/>
      </font>
      <fill>
        <patternFill patternType="solid">
          <fgColor rgb="FFCCCCCC"/>
          <bgColor rgb="FFCCCCCC"/>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ill>
        <patternFill patternType="solid">
          <fgColor rgb="FFB7B7B7"/>
          <bgColor rgb="FFB7B7B7"/>
        </patternFill>
      </fill>
    </dxf>
    <dxf>
      <font>
        <i/>
        <strike/>
      </font>
      <fill>
        <patternFill patternType="solid">
          <fgColor rgb="FF666666"/>
          <bgColor rgb="FF666666"/>
        </patternFill>
      </fill>
    </dxf>
    <dxf>
      <fill>
        <patternFill patternType="solid">
          <fgColor rgb="FFB7B7B7"/>
          <bgColor rgb="FFB7B7B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customdata.events.0.id/" TargetMode="External"/><Relationship Id="rId1" Type="http://schemas.openxmlformats.org/officeDocument/2006/relationships/hyperlink" Target="https://docs.microsoft.com/en-us/gaming/playfab/api-references/events/"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microsoft.com/en-us/rest/api/playfab/admin/player-data-management/create-player-statistic-definition?view=playfab-rest"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2" Type="http://schemas.openxmlformats.org/officeDocument/2006/relationships/hyperlink" Target="http://levels.0.id/" TargetMode="External"/><Relationship Id="rId1" Type="http://schemas.openxmlformats.org/officeDocument/2006/relationships/hyperlink" Target="http://required.itemclasses.1.id/"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required.itemclasses.1.id/" TargetMode="External"/><Relationship Id="rId18" Type="http://schemas.openxmlformats.org/officeDocument/2006/relationships/hyperlink" Target="http://reward.items.1.id/" TargetMode="External"/><Relationship Id="rId26" Type="http://schemas.openxmlformats.org/officeDocument/2006/relationships/hyperlink" Target="http://requirements.0.items.1.id/" TargetMode="External"/><Relationship Id="rId3" Type="http://schemas.openxmlformats.org/officeDocument/2006/relationships/hyperlink" Target="http://reward.statistics.1.id/" TargetMode="External"/><Relationship Id="rId21" Type="http://schemas.openxmlformats.org/officeDocument/2006/relationships/hyperlink" Target="http://reward.statistics.1.id/" TargetMode="External"/><Relationship Id="rId34" Type="http://schemas.openxmlformats.org/officeDocument/2006/relationships/hyperlink" Target="http://required.itemclasses.1.id/" TargetMode="External"/><Relationship Id="rId7" Type="http://schemas.openxmlformats.org/officeDocument/2006/relationships/hyperlink" Target="http://requirements.0.items.1.id/" TargetMode="External"/><Relationship Id="rId12" Type="http://schemas.openxmlformats.org/officeDocument/2006/relationships/hyperlink" Target="http://required.itemclasses.1.id/" TargetMode="External"/><Relationship Id="rId17" Type="http://schemas.openxmlformats.org/officeDocument/2006/relationships/hyperlink" Target="http://required.itemclasses.1.id/" TargetMode="External"/><Relationship Id="rId25" Type="http://schemas.openxmlformats.org/officeDocument/2006/relationships/hyperlink" Target="http://requirements.0.items.1.id/" TargetMode="External"/><Relationship Id="rId33" Type="http://schemas.openxmlformats.org/officeDocument/2006/relationships/hyperlink" Target="http://required.itemclasses.1.id/" TargetMode="External"/><Relationship Id="rId2" Type="http://schemas.openxmlformats.org/officeDocument/2006/relationships/hyperlink" Target="http://reward.currencies.0.id/" TargetMode="External"/><Relationship Id="rId16" Type="http://schemas.openxmlformats.org/officeDocument/2006/relationships/hyperlink" Target="http://required.itemclasses.1.id/" TargetMode="External"/><Relationship Id="rId20" Type="http://schemas.openxmlformats.org/officeDocument/2006/relationships/hyperlink" Target="http://reward.currencies.0.id/" TargetMode="External"/><Relationship Id="rId29" Type="http://schemas.openxmlformats.org/officeDocument/2006/relationships/hyperlink" Target="http://required.itemclasses.1.id/" TargetMode="External"/><Relationship Id="rId1" Type="http://schemas.openxmlformats.org/officeDocument/2006/relationships/hyperlink" Target="http://reward.statistics.1.id/" TargetMode="External"/><Relationship Id="rId6" Type="http://schemas.openxmlformats.org/officeDocument/2006/relationships/hyperlink" Target="http://requirements.0.items.1.id/" TargetMode="External"/><Relationship Id="rId11" Type="http://schemas.openxmlformats.org/officeDocument/2006/relationships/hyperlink" Target="http://required.itemclasses.1.id/" TargetMode="External"/><Relationship Id="rId24" Type="http://schemas.openxmlformats.org/officeDocument/2006/relationships/hyperlink" Target="http://requirements.0.items.1.id/" TargetMode="External"/><Relationship Id="rId32" Type="http://schemas.openxmlformats.org/officeDocument/2006/relationships/hyperlink" Target="http://required.itemclasses.1.id/" TargetMode="External"/><Relationship Id="rId5" Type="http://schemas.openxmlformats.org/officeDocument/2006/relationships/hyperlink" Target="http://requirements.0.items.1.id/" TargetMode="External"/><Relationship Id="rId15" Type="http://schemas.openxmlformats.org/officeDocument/2006/relationships/hyperlink" Target="http://required.itemclasses.1.id/" TargetMode="External"/><Relationship Id="rId23" Type="http://schemas.openxmlformats.org/officeDocument/2006/relationships/hyperlink" Target="http://requirements.0.items.1.id/" TargetMode="External"/><Relationship Id="rId28" Type="http://schemas.openxmlformats.org/officeDocument/2006/relationships/hyperlink" Target="http://required.itemlist.0.id/" TargetMode="External"/><Relationship Id="rId10" Type="http://schemas.openxmlformats.org/officeDocument/2006/relationships/hyperlink" Target="http://required.itemlist.0.id/" TargetMode="External"/><Relationship Id="rId19" Type="http://schemas.openxmlformats.org/officeDocument/2006/relationships/hyperlink" Target="http://reward.statistics.1.id/" TargetMode="External"/><Relationship Id="rId31" Type="http://schemas.openxmlformats.org/officeDocument/2006/relationships/hyperlink" Target="http://required.itemclasses.1.id/" TargetMode="External"/><Relationship Id="rId4" Type="http://schemas.openxmlformats.org/officeDocument/2006/relationships/hyperlink" Target="http://required.items.0.id/" TargetMode="External"/><Relationship Id="rId9" Type="http://schemas.openxmlformats.org/officeDocument/2006/relationships/hyperlink" Target="http://required.itemclasses.1.id/" TargetMode="External"/><Relationship Id="rId14" Type="http://schemas.openxmlformats.org/officeDocument/2006/relationships/hyperlink" Target="http://required.itemclasses.1.id/" TargetMode="External"/><Relationship Id="rId22" Type="http://schemas.openxmlformats.org/officeDocument/2006/relationships/hyperlink" Target="http://required.items.0.id/" TargetMode="External"/><Relationship Id="rId27" Type="http://schemas.openxmlformats.org/officeDocument/2006/relationships/hyperlink" Target="http://required.itemclasses.1.id/" TargetMode="External"/><Relationship Id="rId30" Type="http://schemas.openxmlformats.org/officeDocument/2006/relationships/hyperlink" Target="http://required.itemclasses.1.id/" TargetMode="External"/><Relationship Id="rId35" Type="http://schemas.openxmlformats.org/officeDocument/2006/relationships/hyperlink" Target="http://required.itemclasses.1.id/" TargetMode="External"/><Relationship Id="rId8" Type="http://schemas.openxmlformats.org/officeDocument/2006/relationships/hyperlink" Target="http://requirements.0.items.1.id/"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required.itemclasses.1.id/" TargetMode="External"/><Relationship Id="rId18" Type="http://schemas.openxmlformats.org/officeDocument/2006/relationships/hyperlink" Target="http://reward.items.1.id/" TargetMode="External"/><Relationship Id="rId26" Type="http://schemas.openxmlformats.org/officeDocument/2006/relationships/hyperlink" Target="http://requirements.0.items.1.id/" TargetMode="External"/><Relationship Id="rId3" Type="http://schemas.openxmlformats.org/officeDocument/2006/relationships/hyperlink" Target="http://reward.statistics.1.id/" TargetMode="External"/><Relationship Id="rId21" Type="http://schemas.openxmlformats.org/officeDocument/2006/relationships/hyperlink" Target="http://reward.statistics.1.id/" TargetMode="External"/><Relationship Id="rId34" Type="http://schemas.openxmlformats.org/officeDocument/2006/relationships/hyperlink" Target="http://required.itemclasses.1.id/" TargetMode="External"/><Relationship Id="rId7" Type="http://schemas.openxmlformats.org/officeDocument/2006/relationships/hyperlink" Target="http://requirements.0.items.1.id/" TargetMode="External"/><Relationship Id="rId12" Type="http://schemas.openxmlformats.org/officeDocument/2006/relationships/hyperlink" Target="http://required.itemclasses.1.id/" TargetMode="External"/><Relationship Id="rId17" Type="http://schemas.openxmlformats.org/officeDocument/2006/relationships/hyperlink" Target="http://required.itemclasses.1.id/" TargetMode="External"/><Relationship Id="rId25" Type="http://schemas.openxmlformats.org/officeDocument/2006/relationships/hyperlink" Target="http://requirements.0.items.1.id/" TargetMode="External"/><Relationship Id="rId33" Type="http://schemas.openxmlformats.org/officeDocument/2006/relationships/hyperlink" Target="http://required.itemclasses.1.id/" TargetMode="External"/><Relationship Id="rId2" Type="http://schemas.openxmlformats.org/officeDocument/2006/relationships/hyperlink" Target="http://reward.currencies.0.id/" TargetMode="External"/><Relationship Id="rId16" Type="http://schemas.openxmlformats.org/officeDocument/2006/relationships/hyperlink" Target="http://required.itemclasses.1.id/" TargetMode="External"/><Relationship Id="rId20" Type="http://schemas.openxmlformats.org/officeDocument/2006/relationships/hyperlink" Target="http://reward.currencies.0.id/" TargetMode="External"/><Relationship Id="rId29" Type="http://schemas.openxmlformats.org/officeDocument/2006/relationships/hyperlink" Target="http://required.itemclasses.1.id/" TargetMode="External"/><Relationship Id="rId1" Type="http://schemas.openxmlformats.org/officeDocument/2006/relationships/hyperlink" Target="http://reward.statistics.1.id/" TargetMode="External"/><Relationship Id="rId6" Type="http://schemas.openxmlformats.org/officeDocument/2006/relationships/hyperlink" Target="http://requirements.0.items.1.id/" TargetMode="External"/><Relationship Id="rId11" Type="http://schemas.openxmlformats.org/officeDocument/2006/relationships/hyperlink" Target="http://required.itemclasses.1.id/" TargetMode="External"/><Relationship Id="rId24" Type="http://schemas.openxmlformats.org/officeDocument/2006/relationships/hyperlink" Target="http://requirements.0.items.1.id/" TargetMode="External"/><Relationship Id="rId32" Type="http://schemas.openxmlformats.org/officeDocument/2006/relationships/hyperlink" Target="http://required.itemclasses.1.id/" TargetMode="External"/><Relationship Id="rId5" Type="http://schemas.openxmlformats.org/officeDocument/2006/relationships/hyperlink" Target="http://requirements.0.items.1.id/" TargetMode="External"/><Relationship Id="rId15" Type="http://schemas.openxmlformats.org/officeDocument/2006/relationships/hyperlink" Target="http://required.itemclasses.1.id/" TargetMode="External"/><Relationship Id="rId23" Type="http://schemas.openxmlformats.org/officeDocument/2006/relationships/hyperlink" Target="http://requirements.0.items.1.id/" TargetMode="External"/><Relationship Id="rId28" Type="http://schemas.openxmlformats.org/officeDocument/2006/relationships/hyperlink" Target="http://required.itemlist.0.id/" TargetMode="External"/><Relationship Id="rId10" Type="http://schemas.openxmlformats.org/officeDocument/2006/relationships/hyperlink" Target="http://required.itemlist.0.id/" TargetMode="External"/><Relationship Id="rId19" Type="http://schemas.openxmlformats.org/officeDocument/2006/relationships/hyperlink" Target="http://reward.statistics.1.id/" TargetMode="External"/><Relationship Id="rId31" Type="http://schemas.openxmlformats.org/officeDocument/2006/relationships/hyperlink" Target="http://required.itemclasses.1.id/" TargetMode="External"/><Relationship Id="rId4" Type="http://schemas.openxmlformats.org/officeDocument/2006/relationships/hyperlink" Target="http://required.items.0.id/" TargetMode="External"/><Relationship Id="rId9" Type="http://schemas.openxmlformats.org/officeDocument/2006/relationships/hyperlink" Target="http://required.itemclasses.1.id/" TargetMode="External"/><Relationship Id="rId14" Type="http://schemas.openxmlformats.org/officeDocument/2006/relationships/hyperlink" Target="http://required.itemclasses.1.id/" TargetMode="External"/><Relationship Id="rId22" Type="http://schemas.openxmlformats.org/officeDocument/2006/relationships/hyperlink" Target="http://required.items.0.id/" TargetMode="External"/><Relationship Id="rId27" Type="http://schemas.openxmlformats.org/officeDocument/2006/relationships/hyperlink" Target="http://required.itemclasses.1.id/" TargetMode="External"/><Relationship Id="rId30" Type="http://schemas.openxmlformats.org/officeDocument/2006/relationships/hyperlink" Target="http://required.itemclasses.1.id/" TargetMode="External"/><Relationship Id="rId35" Type="http://schemas.openxmlformats.org/officeDocument/2006/relationships/hyperlink" Target="http://required.itemclasses.1.id/" TargetMode="External"/><Relationship Id="rId8" Type="http://schemas.openxmlformats.org/officeDocument/2006/relationships/hyperlink" Target="http://requirements.0.items.1.id/"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values.0.id/" TargetMode="External"/><Relationship Id="rId13" Type="http://schemas.openxmlformats.org/officeDocument/2006/relationships/hyperlink" Target="http://values.0.id/" TargetMode="External"/><Relationship Id="rId18" Type="http://schemas.openxmlformats.org/officeDocument/2006/relationships/hyperlink" Target="http://values.0.id/" TargetMode="External"/><Relationship Id="rId3" Type="http://schemas.openxmlformats.org/officeDocument/2006/relationships/hyperlink" Target="http://values.0.id/" TargetMode="External"/><Relationship Id="rId7" Type="http://schemas.openxmlformats.org/officeDocument/2006/relationships/hyperlink" Target="http://values.0.id/" TargetMode="External"/><Relationship Id="rId12" Type="http://schemas.openxmlformats.org/officeDocument/2006/relationships/hyperlink" Target="http://values.0.id/" TargetMode="External"/><Relationship Id="rId17" Type="http://schemas.openxmlformats.org/officeDocument/2006/relationships/hyperlink" Target="http://values.0.id/" TargetMode="External"/><Relationship Id="rId2" Type="http://schemas.openxmlformats.org/officeDocument/2006/relationships/hyperlink" Target="http://values.0.id/" TargetMode="External"/><Relationship Id="rId16" Type="http://schemas.openxmlformats.org/officeDocument/2006/relationships/hyperlink" Target="http://values.0.id/" TargetMode="External"/><Relationship Id="rId1" Type="http://schemas.openxmlformats.org/officeDocument/2006/relationships/hyperlink" Target="http://values.0.id/" TargetMode="External"/><Relationship Id="rId6" Type="http://schemas.openxmlformats.org/officeDocument/2006/relationships/hyperlink" Target="http://values.0.id/" TargetMode="External"/><Relationship Id="rId11" Type="http://schemas.openxmlformats.org/officeDocument/2006/relationships/hyperlink" Target="http://values.0.id/" TargetMode="External"/><Relationship Id="rId5" Type="http://schemas.openxmlformats.org/officeDocument/2006/relationships/hyperlink" Target="http://values.0.id/" TargetMode="External"/><Relationship Id="rId15" Type="http://schemas.openxmlformats.org/officeDocument/2006/relationships/hyperlink" Target="http://values.0.id/" TargetMode="External"/><Relationship Id="rId10" Type="http://schemas.openxmlformats.org/officeDocument/2006/relationships/hyperlink" Target="http://values.0.id/" TargetMode="External"/><Relationship Id="rId4" Type="http://schemas.openxmlformats.org/officeDocument/2006/relationships/hyperlink" Target="http://values.0.id/" TargetMode="External"/><Relationship Id="rId9" Type="http://schemas.openxmlformats.org/officeDocument/2006/relationships/hyperlink" Target="http://values.0.id/" TargetMode="External"/><Relationship Id="rId14" Type="http://schemas.openxmlformats.org/officeDocument/2006/relationships/hyperlink" Target="http://values.0.id/" TargetMode="External"/></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8.xml.rels><?xml version="1.0" encoding="UTF-8" standalone="yes"?>
<Relationships xmlns="http://schemas.openxmlformats.org/package/2006/relationships"><Relationship Id="rId8" Type="http://schemas.openxmlformats.org/officeDocument/2006/relationships/hyperlink" Target="http://levels.7.id/" TargetMode="External"/><Relationship Id="rId3" Type="http://schemas.openxmlformats.org/officeDocument/2006/relationships/hyperlink" Target="http://levels.2.id/" TargetMode="External"/><Relationship Id="rId7" Type="http://schemas.openxmlformats.org/officeDocument/2006/relationships/hyperlink" Target="http://levels.6.id/" TargetMode="External"/><Relationship Id="rId2" Type="http://schemas.openxmlformats.org/officeDocument/2006/relationships/hyperlink" Target="http://levels.1.id/" TargetMode="External"/><Relationship Id="rId1" Type="http://schemas.openxmlformats.org/officeDocument/2006/relationships/hyperlink" Target="http://levels.0.id/" TargetMode="External"/><Relationship Id="rId6" Type="http://schemas.openxmlformats.org/officeDocument/2006/relationships/hyperlink" Target="http://levels.5.id/" TargetMode="External"/><Relationship Id="rId11" Type="http://schemas.openxmlformats.org/officeDocument/2006/relationships/hyperlink" Target="http://levels.10.id/" TargetMode="External"/><Relationship Id="rId5" Type="http://schemas.openxmlformats.org/officeDocument/2006/relationships/hyperlink" Target="http://levels.4.id/" TargetMode="External"/><Relationship Id="rId10" Type="http://schemas.openxmlformats.org/officeDocument/2006/relationships/hyperlink" Target="http://levels.9.id/" TargetMode="External"/><Relationship Id="rId4" Type="http://schemas.openxmlformats.org/officeDocument/2006/relationships/hyperlink" Target="http://levels.3.id/" TargetMode="External"/><Relationship Id="rId9" Type="http://schemas.openxmlformats.org/officeDocument/2006/relationships/hyperlink" Target="http://levels.8.id/"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iki.inbcu.com/display/UCP331/Blaster+NFC+String+Definition"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docs.microsoft.com/en-us/rest/api/playfab/admin/segments/create-segment?view=playfab-rest" TargetMode="External"/></Relationships>
</file>

<file path=xl/worksheets/_rels/sheet3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638"/>
  <sheetViews>
    <sheetView tabSelected="1" workbookViewId="0">
      <pane ySplit="2" topLeftCell="A316" activePane="bottomLeft" state="frozen"/>
      <selection pane="bottomLeft" activeCell="I321" sqref="I321"/>
    </sheetView>
  </sheetViews>
  <sheetFormatPr baseColWidth="10" defaultColWidth="12.6640625" defaultRowHeight="15.75" customHeight="1" x14ac:dyDescent="0.15"/>
  <cols>
    <col min="1" max="1" width="16.6640625" customWidth="1"/>
    <col min="2" max="2" width="24.33203125" customWidth="1"/>
    <col min="3" max="3" width="7.83203125" customWidth="1"/>
    <col min="4" max="4" width="10.1640625" customWidth="1"/>
    <col min="5" max="5" width="18.5" customWidth="1"/>
    <col min="6" max="6" width="47.6640625" customWidth="1"/>
    <col min="7" max="7" width="20" customWidth="1"/>
    <col min="8" max="8" width="21.33203125" customWidth="1"/>
    <col min="9" max="9" width="46.1640625" customWidth="1"/>
  </cols>
  <sheetData>
    <row r="1" spans="1:21" ht="15.75" customHeight="1" x14ac:dyDescent="0.15">
      <c r="A1" s="1" t="s">
        <v>0</v>
      </c>
      <c r="B1" s="2" t="s">
        <v>1</v>
      </c>
      <c r="C1" s="1" t="s">
        <v>2</v>
      </c>
      <c r="D1" s="1" t="s">
        <v>3</v>
      </c>
      <c r="E1" s="1" t="s">
        <v>4</v>
      </c>
      <c r="F1" s="3" t="s">
        <v>5</v>
      </c>
      <c r="G1" s="4" t="s">
        <v>6</v>
      </c>
      <c r="H1" s="4" t="s">
        <v>7</v>
      </c>
      <c r="I1" s="5" t="s">
        <v>8</v>
      </c>
      <c r="J1" s="6"/>
      <c r="K1" s="6"/>
      <c r="L1" s="6"/>
      <c r="M1" s="6"/>
      <c r="N1" s="6"/>
      <c r="O1" s="6"/>
      <c r="P1" s="6"/>
      <c r="Q1" s="6"/>
      <c r="R1" s="6"/>
      <c r="S1" s="6"/>
      <c r="T1" s="6"/>
      <c r="U1" s="6"/>
    </row>
    <row r="2" spans="1:21" ht="15.75" customHeight="1" x14ac:dyDescent="0.15">
      <c r="A2" s="7"/>
      <c r="B2" s="8"/>
      <c r="C2" s="9"/>
      <c r="D2" s="9"/>
      <c r="E2" s="9"/>
      <c r="F2" s="9"/>
      <c r="G2" s="10"/>
      <c r="H2" s="10"/>
      <c r="I2" s="10"/>
      <c r="J2" s="10"/>
      <c r="K2" s="10"/>
      <c r="L2" s="10"/>
      <c r="M2" s="10"/>
      <c r="N2" s="10"/>
      <c r="O2" s="10"/>
      <c r="P2" s="10"/>
      <c r="Q2" s="10"/>
      <c r="R2" s="10"/>
      <c r="S2" s="10"/>
      <c r="T2" s="10"/>
      <c r="U2" s="10"/>
    </row>
    <row r="3" spans="1:21" ht="98" x14ac:dyDescent="0.15">
      <c r="A3" s="11" t="s">
        <v>9</v>
      </c>
      <c r="B3" s="12" t="str">
        <f>'TitleData texts.mobileApp'!C31</f>
        <v>home.main.msg.firstVisit</v>
      </c>
      <c r="C3" s="13"/>
      <c r="D3" s="13" t="s">
        <v>10</v>
      </c>
      <c r="E3" s="14" t="s">
        <v>11</v>
      </c>
      <c r="F3" s="13" t="str">
        <f>'TitleData texts.mobileApp'!E31</f>
        <v>Impress the Vicious 6 by blasting your way through the various challenges they created!
- Create a unique profile for each member of your party! Click the circular icon at the top of your screen.
- Customize your blaster!
- When you enter the challenge, sync your blaster with this app to track your score!</v>
      </c>
      <c r="G3" s="15" t="s">
        <v>12</v>
      </c>
      <c r="I3" s="13"/>
    </row>
    <row r="4" spans="1:21" ht="28" x14ac:dyDescent="0.15">
      <c r="A4" s="11" t="s">
        <v>9</v>
      </c>
      <c r="B4" s="12" t="str">
        <f>'TitleData texts.mobileApp'!C32</f>
        <v>home.main.pop.firstVisit</v>
      </c>
      <c r="C4" s="13"/>
      <c r="D4" s="13" t="s">
        <v>10</v>
      </c>
      <c r="E4" s="14" t="s">
        <v>13</v>
      </c>
      <c r="F4" s="13" t="str">
        <f>'TitleData texts.mobileApp'!E32</f>
        <v>Click here to customize your player and to add more players to your device!</v>
      </c>
      <c r="G4" s="15" t="s">
        <v>14</v>
      </c>
      <c r="I4" s="13"/>
    </row>
    <row r="5" spans="1:21" ht="15.75" customHeight="1" x14ac:dyDescent="0.15">
      <c r="A5" s="11" t="s">
        <v>15</v>
      </c>
      <c r="B5" s="12" t="str">
        <f>'TitleData texts.mobileApp'!C33</f>
        <v>blaster.sync.header.welcome</v>
      </c>
      <c r="C5" s="13"/>
      <c r="D5" s="13" t="s">
        <v>10</v>
      </c>
      <c r="E5" s="14" t="s">
        <v>16</v>
      </c>
      <c r="F5" s="13" t="str">
        <f>'TitleData texts.mobileApp'!E33</f>
        <v>SYNC YOUR BLASTER!</v>
      </c>
      <c r="G5" s="15" t="s">
        <v>14</v>
      </c>
      <c r="I5" s="13"/>
    </row>
    <row r="6" spans="1:21" ht="15.75" customHeight="1" x14ac:dyDescent="0.15">
      <c r="A6" s="11" t="s">
        <v>15</v>
      </c>
      <c r="B6" s="12" t="str">
        <f>'TitleData texts.mobileApp'!C34</f>
        <v>blaster.sync.button.syncPlayer</v>
      </c>
      <c r="C6" s="13"/>
      <c r="D6" s="13" t="s">
        <v>10</v>
      </c>
      <c r="E6" s="14" t="s">
        <v>16</v>
      </c>
      <c r="F6" s="13" t="str">
        <f>'TitleData texts.mobileApp'!E34</f>
        <v>Sync Blaster</v>
      </c>
      <c r="G6" s="15" t="s">
        <v>14</v>
      </c>
      <c r="I6" s="13"/>
    </row>
    <row r="7" spans="1:21" ht="15.75" customHeight="1" x14ac:dyDescent="0.15">
      <c r="A7" s="11" t="s">
        <v>15</v>
      </c>
      <c r="B7" s="12" t="str">
        <f>'TitleData texts.mobileApp'!C35</f>
        <v>blaster.sync.pop.readyToScan</v>
      </c>
      <c r="C7" s="13"/>
      <c r="D7" s="13" t="s">
        <v>10</v>
      </c>
      <c r="E7" s="14" t="s">
        <v>13</v>
      </c>
      <c r="F7" s="13" t="str">
        <f>'TitleData texts.mobileApp'!E35</f>
        <v>Ready to scan
Hold your device near the blaster.</v>
      </c>
      <c r="G7" s="15" t="s">
        <v>14</v>
      </c>
      <c r="I7" s="13"/>
    </row>
    <row r="8" spans="1:21" ht="15.75" customHeight="1" x14ac:dyDescent="0.15">
      <c r="A8" s="11" t="s">
        <v>15</v>
      </c>
      <c r="B8" s="12" t="str">
        <f>'TitleData texts.mobileApp'!C36</f>
        <v>blaster.sync.pop.synced</v>
      </c>
      <c r="C8" s="13"/>
      <c r="D8" s="13" t="s">
        <v>10</v>
      </c>
      <c r="E8" s="14" t="s">
        <v>13</v>
      </c>
      <c r="F8" s="13" t="str">
        <f>'TitleData texts.mobileApp'!E36</f>
        <v>Wicked! Blaster synced to ${playerId}!</v>
      </c>
      <c r="G8" s="15" t="s">
        <v>12</v>
      </c>
      <c r="I8" s="13"/>
    </row>
    <row r="9" spans="1:21" ht="15.75" customHeight="1" x14ac:dyDescent="0.15">
      <c r="A9" s="11" t="s">
        <v>15</v>
      </c>
      <c r="B9" s="12" t="str">
        <f>'TitleData texts.mobileApp'!C37</f>
        <v>blaster.sync.button.doneSyncing</v>
      </c>
      <c r="C9" s="13"/>
      <c r="D9" s="13" t="s">
        <v>10</v>
      </c>
      <c r="E9" s="14" t="s">
        <v>17</v>
      </c>
      <c r="F9" s="13" t="str">
        <f>'TitleData texts.mobileApp'!E37</f>
        <v>Done Syncing</v>
      </c>
      <c r="G9" s="15" t="s">
        <v>14</v>
      </c>
      <c r="I9" s="13"/>
    </row>
    <row r="10" spans="1:21" ht="15.75" customHeight="1" x14ac:dyDescent="0.15">
      <c r="A10" s="11" t="s">
        <v>15</v>
      </c>
      <c r="B10" s="12" t="str">
        <f>'TitleData texts.mobileApp'!C38</f>
        <v>blaster.sync.header.timeout</v>
      </c>
      <c r="C10" s="13"/>
      <c r="D10" s="13" t="s">
        <v>10</v>
      </c>
      <c r="E10" s="14" t="s">
        <v>16</v>
      </c>
      <c r="F10" s="13" t="str">
        <f>'TitleData texts.mobileApp'!E38</f>
        <v>WAIT A MINUTE...</v>
      </c>
      <c r="G10" s="15" t="s">
        <v>14</v>
      </c>
      <c r="I10" s="13"/>
    </row>
    <row r="11" spans="1:21" ht="15.75" customHeight="1" x14ac:dyDescent="0.15">
      <c r="A11" s="11" t="s">
        <v>15</v>
      </c>
      <c r="B11" s="12" t="str">
        <f>'TitleData texts.mobileApp'!C39</f>
        <v>blaster.sync.txt.timeout</v>
      </c>
      <c r="C11" s="13"/>
      <c r="D11" s="13" t="s">
        <v>10</v>
      </c>
      <c r="E11" s="14" t="s">
        <v>16</v>
      </c>
      <c r="F11" s="13" t="str">
        <f>'TitleData texts.mobileApp'!E39</f>
        <v>Do you have a blaster?</v>
      </c>
      <c r="G11" s="15" t="s">
        <v>14</v>
      </c>
      <c r="I11" s="13"/>
    </row>
    <row r="12" spans="1:21" ht="15.75" customHeight="1" x14ac:dyDescent="0.15">
      <c r="A12" s="11" t="s">
        <v>15</v>
      </c>
      <c r="B12" s="12" t="str">
        <f>'TitleData texts.mobileApp'!C40</f>
        <v>blaster.sync.button.haveBlaster</v>
      </c>
      <c r="C12" s="13"/>
      <c r="D12" s="13" t="s">
        <v>10</v>
      </c>
      <c r="E12" s="14" t="s">
        <v>17</v>
      </c>
      <c r="F12" s="13" t="str">
        <f>'TitleData texts.mobileApp'!E40</f>
        <v>Yes, I have one!</v>
      </c>
      <c r="G12" s="15" t="s">
        <v>14</v>
      </c>
      <c r="I12" s="13"/>
    </row>
    <row r="13" spans="1:21" ht="15.75" customHeight="1" x14ac:dyDescent="0.15">
      <c r="A13" s="11" t="s">
        <v>15</v>
      </c>
      <c r="B13" s="16" t="str">
        <f>'TitleData texts.mobileApp'!C41</f>
        <v>blaster.sync.button.no</v>
      </c>
      <c r="C13" s="13"/>
      <c r="D13" s="13" t="s">
        <v>10</v>
      </c>
      <c r="E13" s="14" t="s">
        <v>17</v>
      </c>
      <c r="F13" s="13" t="str">
        <f>'TitleData texts.mobileApp'!E41</f>
        <v>No</v>
      </c>
      <c r="G13" s="15" t="s">
        <v>14</v>
      </c>
      <c r="I13" s="13"/>
    </row>
    <row r="14" spans="1:21" ht="15.75" customHeight="1" x14ac:dyDescent="0.15">
      <c r="A14" s="11" t="s">
        <v>15</v>
      </c>
      <c r="B14" s="12" t="str">
        <f>'TitleData texts.mobileApp'!C42</f>
        <v>blaster.wait.header.wait</v>
      </c>
      <c r="C14" s="13"/>
      <c r="D14" s="13" t="s">
        <v>10</v>
      </c>
      <c r="E14" s="14" t="s">
        <v>16</v>
      </c>
      <c r="F14" s="13" t="str">
        <f>'TitleData texts.mobileApp'!E42</f>
        <v>EVIL INCOMING!</v>
      </c>
      <c r="G14" s="15" t="s">
        <v>14</v>
      </c>
      <c r="I14" s="13"/>
    </row>
    <row r="15" spans="1:21" ht="56" x14ac:dyDescent="0.15">
      <c r="A15" s="11" t="s">
        <v>15</v>
      </c>
      <c r="B15" s="12" t="str">
        <f>'TitleData texts.mobileApp'!C43</f>
        <v>blaster.wait.txt.wait</v>
      </c>
      <c r="C15" s="13"/>
      <c r="D15" s="13" t="s">
        <v>10</v>
      </c>
      <c r="E15" s="14" t="s">
        <v>16</v>
      </c>
      <c r="F15" s="13" t="str">
        <f>'TitleData texts.mobileApp'!E43</f>
        <v>One of our henchmen will give you a blaster later.
While you wait, add players or customize your blaster for the Villain-Con challenge!</v>
      </c>
      <c r="G15" s="15" t="s">
        <v>14</v>
      </c>
      <c r="I15" s="13"/>
    </row>
    <row r="16" spans="1:21" ht="15.75" customHeight="1" x14ac:dyDescent="0.15">
      <c r="A16" s="11" t="s">
        <v>15</v>
      </c>
      <c r="B16" s="12" t="str">
        <f>'TitleData texts.mobileApp'!C44</f>
        <v>blaster.wait.button.customize</v>
      </c>
      <c r="C16" s="13"/>
      <c r="D16" s="13" t="s">
        <v>10</v>
      </c>
      <c r="E16" s="14" t="s">
        <v>17</v>
      </c>
      <c r="F16" s="13" t="str">
        <f>'TitleData texts.mobileApp'!E44</f>
        <v>Customize Now!</v>
      </c>
      <c r="G16" s="15" t="s">
        <v>14</v>
      </c>
      <c r="I16" s="13"/>
    </row>
    <row r="17" spans="1:9" ht="15.75" customHeight="1" x14ac:dyDescent="0.15">
      <c r="A17" s="11" t="s">
        <v>18</v>
      </c>
      <c r="B17" s="12" t="str">
        <f>'TitleData texts.mobileApp'!C96</f>
        <v>lab.main.header.lab</v>
      </c>
      <c r="C17" s="13"/>
      <c r="D17" s="13" t="s">
        <v>10</v>
      </c>
      <c r="E17" s="14" t="s">
        <v>19</v>
      </c>
      <c r="F17" s="13" t="str">
        <f>'TitleData texts.mobileApp'!E96</f>
        <v>THE LAB</v>
      </c>
      <c r="G17" s="15" t="s">
        <v>12</v>
      </c>
      <c r="I17" s="13"/>
    </row>
    <row r="18" spans="1:9" ht="15.75" customHeight="1" x14ac:dyDescent="0.15">
      <c r="A18" s="11" t="s">
        <v>18</v>
      </c>
      <c r="B18" s="12" t="str">
        <f>'TitleData texts.mobileApp'!C97</f>
        <v>lab.main.header.description</v>
      </c>
      <c r="C18" s="13"/>
      <c r="D18" s="13" t="s">
        <v>10</v>
      </c>
      <c r="E18" s="14" t="s">
        <v>20</v>
      </c>
      <c r="F18" s="13" t="str">
        <f>'TitleData texts.mobileApp'!E97</f>
        <v>Customize your blaster!</v>
      </c>
      <c r="G18" s="15" t="s">
        <v>12</v>
      </c>
      <c r="I18" s="13"/>
    </row>
    <row r="19" spans="1:9" ht="84" x14ac:dyDescent="0.15">
      <c r="A19" s="11" t="s">
        <v>18</v>
      </c>
      <c r="B19" s="12" t="str">
        <f>'TitleData texts.mobileApp'!C98</f>
        <v>lab.main.msg.help</v>
      </c>
      <c r="C19" s="13"/>
      <c r="D19" s="13" t="s">
        <v>10</v>
      </c>
      <c r="E19" s="14" t="s">
        <v>21</v>
      </c>
      <c r="F19" s="13" t="str">
        <f>'TitleData texts.mobileApp'!E98</f>
        <v>Customize your blaster before entering the challenge! Select your:
- Elemental Blast
- Standard Launcher
- Ultimate Blaster
- Perks and Skins to make your blaster unique!</v>
      </c>
      <c r="G19" s="15" t="s">
        <v>12</v>
      </c>
      <c r="I19" s="13"/>
    </row>
    <row r="20" spans="1:9" ht="15.75" customHeight="1" x14ac:dyDescent="0.15">
      <c r="A20" s="11" t="s">
        <v>22</v>
      </c>
      <c r="B20" s="12" t="str">
        <f>'TitleData texts.mobileApp'!C83</f>
        <v>lab.elemental.header.elementals</v>
      </c>
      <c r="C20" s="13"/>
      <c r="D20" s="13" t="s">
        <v>10</v>
      </c>
      <c r="E20" s="14" t="s">
        <v>19</v>
      </c>
      <c r="F20" s="13" t="str">
        <f>'TitleData texts.mobileApp'!E83</f>
        <v>ELEMENTAL BLASTS</v>
      </c>
      <c r="G20" s="15" t="s">
        <v>12</v>
      </c>
      <c r="I20" s="13"/>
    </row>
    <row r="21" spans="1:9" ht="15.75" customHeight="1" x14ac:dyDescent="0.15">
      <c r="A21" s="11" t="s">
        <v>22</v>
      </c>
      <c r="B21" s="12" t="str">
        <f>'TitleData texts.mobileApp'!C84</f>
        <v>lab.elemental.header.description</v>
      </c>
      <c r="C21" s="13"/>
      <c r="D21" s="13" t="s">
        <v>10</v>
      </c>
      <c r="E21" s="14" t="s">
        <v>20</v>
      </c>
      <c r="F21" s="13" t="str">
        <f>'TitleData texts.mobileApp'!E84</f>
        <v>Select your primary blast!</v>
      </c>
      <c r="G21" s="15" t="s">
        <v>12</v>
      </c>
      <c r="I21" s="13"/>
    </row>
    <row r="22" spans="1:9" ht="15.75" customHeight="1" x14ac:dyDescent="0.15">
      <c r="A22" s="11" t="s">
        <v>22</v>
      </c>
      <c r="B22" s="12" t="str">
        <f>'TitleData texts.mobileApp'!C85</f>
        <v>lab.elemental.msg.help</v>
      </c>
      <c r="C22" s="13"/>
      <c r="D22" s="13" t="s">
        <v>10</v>
      </c>
      <c r="E22" s="14" t="s">
        <v>21</v>
      </c>
      <c r="F22" s="13" t="str">
        <f>'TitleData texts.mobileApp'!E85</f>
        <v>BLAST AWAY
Your primary blast has unlimited ammo!</v>
      </c>
      <c r="G22" s="15" t="s">
        <v>12</v>
      </c>
      <c r="I22" s="13"/>
    </row>
    <row r="23" spans="1:9" ht="15.75" customHeight="1" x14ac:dyDescent="0.15">
      <c r="A23" s="11" t="s">
        <v>22</v>
      </c>
      <c r="B23" s="12" t="str">
        <f>Catalog!$E$5</f>
        <v>elementalForce</v>
      </c>
      <c r="C23" s="17">
        <f>Catalog!$BD$5</f>
        <v>2</v>
      </c>
      <c r="D23" s="17" t="str">
        <f>Catalog!$BE$5</f>
        <v>unlocked</v>
      </c>
      <c r="E23" s="14" t="s">
        <v>23</v>
      </c>
      <c r="F23" s="17" t="str">
        <f>Catalog!$BI$5</f>
        <v>Force</v>
      </c>
      <c r="G23" s="15" t="s">
        <v>12</v>
      </c>
      <c r="I23" s="13"/>
    </row>
    <row r="24" spans="1:9" ht="15.75" customHeight="1" x14ac:dyDescent="0.15">
      <c r="A24" s="11" t="s">
        <v>22</v>
      </c>
      <c r="B24" s="12" t="str">
        <f>Catalog!$E$5</f>
        <v>elementalForce</v>
      </c>
      <c r="C24" s="17">
        <f>Catalog!$BD$5</f>
        <v>2</v>
      </c>
      <c r="D24" s="17" t="str">
        <f>Catalog!$BE$5</f>
        <v>unlocked</v>
      </c>
      <c r="E24" s="14" t="s">
        <v>24</v>
      </c>
      <c r="F24" s="17" t="str">
        <f>Catalog!$BK$5</f>
        <v>Destructive blast of energy</v>
      </c>
      <c r="G24" s="15" t="s">
        <v>12</v>
      </c>
      <c r="I24" s="13"/>
    </row>
    <row r="25" spans="1:9" ht="15.75" customHeight="1" x14ac:dyDescent="0.15">
      <c r="A25" s="11" t="s">
        <v>22</v>
      </c>
      <c r="B25" s="12" t="str">
        <f>Catalog!$E$5</f>
        <v>elementalForce</v>
      </c>
      <c r="C25" s="17">
        <f>Catalog!$BD$5</f>
        <v>2</v>
      </c>
      <c r="D25" s="17" t="str">
        <f>Catalog!$BE$5</f>
        <v>unlocked</v>
      </c>
      <c r="E25" s="14" t="s">
        <v>25</v>
      </c>
      <c r="F25" s="17" t="str">
        <f>Catalog!$BL$5</f>
        <v>A blast that emits a shockwave on impact.</v>
      </c>
      <c r="G25" s="15" t="s">
        <v>12</v>
      </c>
      <c r="I25" s="13"/>
    </row>
    <row r="26" spans="1:9" ht="15.75" customHeight="1" x14ac:dyDescent="0.15">
      <c r="A26" s="11" t="s">
        <v>22</v>
      </c>
      <c r="B26" s="12" t="str">
        <f>Catalog!$E$6</f>
        <v>elementalFire</v>
      </c>
      <c r="C26" s="17">
        <f>Catalog!$BD$6</f>
        <v>2</v>
      </c>
      <c r="D26" s="17" t="str">
        <f>Catalog!$BE$6</f>
        <v>unlocked</v>
      </c>
      <c r="E26" s="14" t="s">
        <v>23</v>
      </c>
      <c r="F26" s="17" t="str">
        <f>Catalog!$BI$6</f>
        <v>Fire Ball</v>
      </c>
      <c r="G26" s="15" t="s">
        <v>12</v>
      </c>
      <c r="I26" s="13"/>
    </row>
    <row r="27" spans="1:9" ht="15.75" customHeight="1" x14ac:dyDescent="0.15">
      <c r="A27" s="11" t="s">
        <v>22</v>
      </c>
      <c r="B27" s="12" t="str">
        <f>Catalog!$E$6</f>
        <v>elementalFire</v>
      </c>
      <c r="C27" s="17">
        <f>Catalog!$BD$6</f>
        <v>2</v>
      </c>
      <c r="D27" s="17" t="str">
        <f>Catalog!$BE$6</f>
        <v>unlocked</v>
      </c>
      <c r="E27" s="14" t="s">
        <v>24</v>
      </c>
      <c r="F27" s="17" t="str">
        <f>Catalog!$BK$6</f>
        <v>A ball of fire!</v>
      </c>
      <c r="G27" s="15" t="s">
        <v>12</v>
      </c>
      <c r="I27" s="13"/>
    </row>
    <row r="28" spans="1:9" ht="15.75" customHeight="1" x14ac:dyDescent="0.15">
      <c r="A28" s="11" t="s">
        <v>22</v>
      </c>
      <c r="B28" s="12" t="str">
        <f>Catalog!$E$6</f>
        <v>elementalFire</v>
      </c>
      <c r="C28" s="17">
        <f>Catalog!$BD$6</f>
        <v>2</v>
      </c>
      <c r="D28" s="17" t="str">
        <f>Catalog!$BE$6</f>
        <v>unlocked</v>
      </c>
      <c r="E28" s="14" t="s">
        <v>25</v>
      </c>
      <c r="F28" s="17" t="str">
        <f>Catalog!$BL$6</f>
        <v>A flaming projectile that can set its target on fire.</v>
      </c>
      <c r="G28" s="15" t="s">
        <v>12</v>
      </c>
      <c r="I28" s="13"/>
    </row>
    <row r="29" spans="1:9" ht="15.75" customHeight="1" x14ac:dyDescent="0.15">
      <c r="A29" s="11" t="s">
        <v>22</v>
      </c>
      <c r="B29" s="12" t="str">
        <f>Catalog!$E$7</f>
        <v>elementalFreeze</v>
      </c>
      <c r="C29" s="17">
        <f>Catalog!$BD$7</f>
        <v>2</v>
      </c>
      <c r="D29" s="17" t="str">
        <f>Catalog!$BE$7</f>
        <v>unlocked</v>
      </c>
      <c r="E29" s="14" t="s">
        <v>23</v>
      </c>
      <c r="F29" s="17" t="str">
        <f>Catalog!$BI$7</f>
        <v>Freeze Ray</v>
      </c>
      <c r="G29" s="15" t="s">
        <v>12</v>
      </c>
      <c r="I29" s="13"/>
    </row>
    <row r="30" spans="1:9" ht="15.75" customHeight="1" x14ac:dyDescent="0.15">
      <c r="A30" s="11" t="s">
        <v>22</v>
      </c>
      <c r="B30" s="12" t="str">
        <f>Catalog!$E$7</f>
        <v>elementalFreeze</v>
      </c>
      <c r="C30" s="17">
        <f>Catalog!$BD$7</f>
        <v>2</v>
      </c>
      <c r="D30" s="17" t="str">
        <f>Catalog!$BE$7</f>
        <v>unlocked</v>
      </c>
      <c r="E30" s="14" t="s">
        <v>24</v>
      </c>
      <c r="F30" s="17" t="str">
        <f>Catalog!$BK$7</f>
        <v>Ice out your targets.</v>
      </c>
      <c r="G30" s="15" t="s">
        <v>12</v>
      </c>
      <c r="I30" s="13"/>
    </row>
    <row r="31" spans="1:9" ht="15.75" customHeight="1" x14ac:dyDescent="0.15">
      <c r="A31" s="11" t="s">
        <v>22</v>
      </c>
      <c r="B31" s="12" t="str">
        <f>Catalog!$E$7</f>
        <v>elementalFreeze</v>
      </c>
      <c r="C31" s="17">
        <f>Catalog!$BD$7</f>
        <v>2</v>
      </c>
      <c r="D31" s="17" t="str">
        <f>Catalog!$BE$7</f>
        <v>unlocked</v>
      </c>
      <c r="E31" s="14" t="s">
        <v>25</v>
      </c>
      <c r="F31" s="17" t="str">
        <f>Catalog!$BL$7</f>
        <v>A frosty projectile that can freeze its target solid.</v>
      </c>
      <c r="G31" s="15" t="s">
        <v>12</v>
      </c>
      <c r="I31" s="13"/>
    </row>
    <row r="32" spans="1:9" ht="15.75" customHeight="1" x14ac:dyDescent="0.15">
      <c r="A32" s="11" t="s">
        <v>22</v>
      </c>
      <c r="B32" s="12" t="str">
        <f>Catalog!$E$8</f>
        <v>elementalLightning</v>
      </c>
      <c r="C32" s="17">
        <f>Catalog!$BD$8</f>
        <v>2</v>
      </c>
      <c r="D32" s="17" t="str">
        <f>Catalog!$BE$8</f>
        <v>unlocked</v>
      </c>
      <c r="E32" s="14" t="s">
        <v>23</v>
      </c>
      <c r="F32" s="17" t="str">
        <f>Catalog!$BI$8</f>
        <v>Lightning Bolt</v>
      </c>
      <c r="G32" s="15" t="s">
        <v>12</v>
      </c>
      <c r="I32" s="13"/>
    </row>
    <row r="33" spans="1:9" ht="15.75" customHeight="1" x14ac:dyDescent="0.15">
      <c r="A33" s="11" t="s">
        <v>22</v>
      </c>
      <c r="B33" s="12" t="str">
        <f>Catalog!$E$8</f>
        <v>elementalLightning</v>
      </c>
      <c r="C33" s="17">
        <f>Catalog!$BD$8</f>
        <v>2</v>
      </c>
      <c r="D33" s="17" t="str">
        <f>Catalog!$BE$8</f>
        <v>unlocked</v>
      </c>
      <c r="E33" s="14" t="s">
        <v>24</v>
      </c>
      <c r="F33" s="17" t="str">
        <f>Catalog!$BK$8</f>
        <v>Shocking blast of electricity</v>
      </c>
      <c r="G33" s="15" t="s">
        <v>12</v>
      </c>
      <c r="I33" s="13"/>
    </row>
    <row r="34" spans="1:9" ht="15.75" customHeight="1" x14ac:dyDescent="0.15">
      <c r="A34" s="11" t="s">
        <v>22</v>
      </c>
      <c r="B34" s="12" t="str">
        <f>Catalog!$E$8</f>
        <v>elementalLightning</v>
      </c>
      <c r="C34" s="17">
        <f>Catalog!$BD$8</f>
        <v>2</v>
      </c>
      <c r="D34" s="17" t="str">
        <f>Catalog!$BE$8</f>
        <v>unlocked</v>
      </c>
      <c r="E34" s="14" t="s">
        <v>25</v>
      </c>
      <c r="F34" s="17" t="str">
        <f>Catalog!$BL$8</f>
        <v>Electrify targets to destroy or control them.</v>
      </c>
      <c r="G34" s="15" t="s">
        <v>12</v>
      </c>
      <c r="I34" s="13"/>
    </row>
    <row r="35" spans="1:9" ht="15.75" customHeight="1" x14ac:dyDescent="0.15">
      <c r="A35" s="11" t="s">
        <v>26</v>
      </c>
      <c r="B35" s="18" t="str">
        <f>'TitleData texts.mobileApp'!C110</f>
        <v>lab.standard.header.standard</v>
      </c>
      <c r="C35" s="13"/>
      <c r="D35" s="13" t="s">
        <v>10</v>
      </c>
      <c r="E35" s="14" t="s">
        <v>19</v>
      </c>
      <c r="F35" s="12" t="str">
        <f>'TitleData texts.mobileApp'!E110</f>
        <v>STANDARD LAUNCHER</v>
      </c>
      <c r="G35" s="15" t="s">
        <v>12</v>
      </c>
      <c r="I35" s="13"/>
    </row>
    <row r="36" spans="1:9" ht="15.75" customHeight="1" x14ac:dyDescent="0.15">
      <c r="A36" s="11" t="s">
        <v>26</v>
      </c>
      <c r="B36" s="18" t="str">
        <f>'TitleData texts.mobileApp'!C111</f>
        <v>lab.standard.header.description</v>
      </c>
      <c r="C36" s="13"/>
      <c r="D36" s="13" t="s">
        <v>10</v>
      </c>
      <c r="E36" s="14" t="s">
        <v>20</v>
      </c>
      <c r="F36" s="13" t="str">
        <f>'TitleData texts.mobileApp'!E111</f>
        <v>Select one special projectile!</v>
      </c>
      <c r="G36" s="15" t="s">
        <v>12</v>
      </c>
      <c r="I36" s="13"/>
    </row>
    <row r="37" spans="1:9" ht="42" x14ac:dyDescent="0.15">
      <c r="A37" s="11" t="s">
        <v>26</v>
      </c>
      <c r="B37" s="12" t="str">
        <f>'TitleData texts.mobileApp'!C112</f>
        <v>lab.standard.msg.help</v>
      </c>
      <c r="C37" s="13"/>
      <c r="D37" s="13" t="s">
        <v>10</v>
      </c>
      <c r="E37" s="14" t="s">
        <v>21</v>
      </c>
      <c r="F37" s="13" t="str">
        <f>'TitleData texts.mobileApp'!E112</f>
        <v>USE SPARINGLY
You have a limited number of launchers until you pick up more!</v>
      </c>
      <c r="G37" s="15" t="s">
        <v>12</v>
      </c>
      <c r="I37" s="13"/>
    </row>
    <row r="38" spans="1:9" ht="15.75" customHeight="1" x14ac:dyDescent="0.15">
      <c r="A38" s="11" t="s">
        <v>26</v>
      </c>
      <c r="B38" s="12" t="str">
        <f>Catalog!$E$29</f>
        <v>launcherGeneral</v>
      </c>
      <c r="C38" s="17">
        <f>Catalog!$BD$29</f>
        <v>2</v>
      </c>
      <c r="D38" s="17" t="str">
        <f>Catalog!$BE$29</f>
        <v>unlocked</v>
      </c>
      <c r="E38" s="14" t="s">
        <v>23</v>
      </c>
      <c r="F38" s="17" t="str">
        <f>Catalog!$BI$29</f>
        <v>Banana Bomb</v>
      </c>
      <c r="G38" s="15" t="s">
        <v>14</v>
      </c>
      <c r="I38" s="13"/>
    </row>
    <row r="39" spans="1:9" ht="15.75" customHeight="1" x14ac:dyDescent="0.15">
      <c r="A39" s="11" t="s">
        <v>26</v>
      </c>
      <c r="B39" s="12" t="str">
        <f>Catalog!$E$29</f>
        <v>launcherGeneral</v>
      </c>
      <c r="C39" s="17">
        <f>Catalog!$BD$29</f>
        <v>2</v>
      </c>
      <c r="D39" s="17" t="str">
        <f>Catalog!$BE$29</f>
        <v>unlocked</v>
      </c>
      <c r="E39" s="14" t="s">
        <v>24</v>
      </c>
      <c r="F39" s="17" t="str">
        <f>Catalog!$BK$29</f>
        <v>An exploding banana</v>
      </c>
      <c r="G39" s="15" t="s">
        <v>14</v>
      </c>
      <c r="I39" s="13"/>
    </row>
    <row r="40" spans="1:9" ht="15.75" customHeight="1" x14ac:dyDescent="0.15">
      <c r="A40" s="11" t="s">
        <v>26</v>
      </c>
      <c r="B40" s="12" t="str">
        <f>Catalog!$E$29</f>
        <v>launcherGeneral</v>
      </c>
      <c r="C40" s="17">
        <f>Catalog!$BD$29</f>
        <v>2</v>
      </c>
      <c r="D40" s="17" t="str">
        <f>Catalog!$BE$29</f>
        <v>unlocked</v>
      </c>
      <c r="E40" s="14" t="s">
        <v>25</v>
      </c>
      <c r="F40" s="17" t="str">
        <f>Catalog!$BL$29</f>
        <v>Fires a banana that explodes!</v>
      </c>
      <c r="G40" s="15" t="s">
        <v>14</v>
      </c>
      <c r="I40" s="13"/>
    </row>
    <row r="41" spans="1:9" ht="15.75" customHeight="1" x14ac:dyDescent="0.15">
      <c r="A41" s="11" t="s">
        <v>26</v>
      </c>
      <c r="B41" s="12" t="str">
        <f>Catalog!$E$31</f>
        <v>launcherFart</v>
      </c>
      <c r="C41" s="17">
        <f>Catalog!$BD$31</f>
        <v>2</v>
      </c>
      <c r="D41" s="17" t="str">
        <f>Catalog!$BE$31</f>
        <v>unlocked</v>
      </c>
      <c r="E41" s="14" t="s">
        <v>23</v>
      </c>
      <c r="F41" s="17" t="str">
        <f>Catalog!$BI$31</f>
        <v>Fart Bomb</v>
      </c>
      <c r="G41" s="15" t="s">
        <v>12</v>
      </c>
      <c r="I41" s="13"/>
    </row>
    <row r="42" spans="1:9" ht="15.75" customHeight="1" x14ac:dyDescent="0.15">
      <c r="A42" s="11" t="s">
        <v>26</v>
      </c>
      <c r="B42" s="12" t="str">
        <f>Catalog!$E$31</f>
        <v>launcherFart</v>
      </c>
      <c r="C42" s="17">
        <f>Catalog!$BD$31</f>
        <v>2</v>
      </c>
      <c r="D42" s="17" t="str">
        <f>Catalog!$BE$31</f>
        <v>unlocked</v>
      </c>
      <c r="E42" s="14" t="s">
        <v>24</v>
      </c>
      <c r="F42" s="17" t="str">
        <f>Catalog!$BK$31</f>
        <v>Releases a toxic fart cloud</v>
      </c>
      <c r="G42" s="15" t="s">
        <v>12</v>
      </c>
      <c r="I42" s="13"/>
    </row>
    <row r="43" spans="1:9" ht="15.75" customHeight="1" x14ac:dyDescent="0.15">
      <c r="A43" s="11" t="s">
        <v>26</v>
      </c>
      <c r="B43" s="12" t="str">
        <f>Catalog!$E$31</f>
        <v>launcherFart</v>
      </c>
      <c r="C43" s="17">
        <f>Catalog!$BD$31</f>
        <v>2</v>
      </c>
      <c r="D43" s="17" t="str">
        <f>Catalog!$BE$31</f>
        <v>unlocked</v>
      </c>
      <c r="E43" s="14" t="s">
        <v>25</v>
      </c>
      <c r="F43" s="17" t="str">
        <f>Catalog!$BL$31</f>
        <v>Lobs a toxic fart bomb that destroys everything around it!</v>
      </c>
      <c r="G43" s="15" t="s">
        <v>12</v>
      </c>
      <c r="I43" s="13"/>
    </row>
    <row r="44" spans="1:9" ht="15.75" customHeight="1" x14ac:dyDescent="0.15">
      <c r="A44" s="11" t="s">
        <v>26</v>
      </c>
      <c r="B44" s="12" t="str">
        <f>Catalog!$E$32</f>
        <v>launcherPinball</v>
      </c>
      <c r="C44" s="17">
        <f>Catalog!$BD$32</f>
        <v>2</v>
      </c>
      <c r="D44" s="17" t="str">
        <f>Catalog!$BE$32</f>
        <v>unlocked</v>
      </c>
      <c r="E44" s="14" t="s">
        <v>23</v>
      </c>
      <c r="F44" s="17" t="str">
        <f>Catalog!$BI$32</f>
        <v>Pulverizing Pinballer</v>
      </c>
      <c r="G44" s="15" t="s">
        <v>12</v>
      </c>
      <c r="I44" s="13"/>
    </row>
    <row r="45" spans="1:9" ht="15.75" customHeight="1" x14ac:dyDescent="0.15">
      <c r="A45" s="11" t="s">
        <v>26</v>
      </c>
      <c r="B45" s="12" t="str">
        <f>Catalog!$E$32</f>
        <v>launcherPinball</v>
      </c>
      <c r="C45" s="17">
        <f>Catalog!$BD$32</f>
        <v>2</v>
      </c>
      <c r="D45" s="17" t="str">
        <f>Catalog!$BE$32</f>
        <v>unlocked</v>
      </c>
      <c r="E45" s="14" t="s">
        <v>24</v>
      </c>
      <c r="F45" s="17" t="str">
        <f>Catalog!$BK$32</f>
        <v>Ricocheting steel balls</v>
      </c>
      <c r="G45" s="15" t="s">
        <v>12</v>
      </c>
      <c r="I45" s="13"/>
    </row>
    <row r="46" spans="1:9" ht="15.75" customHeight="1" x14ac:dyDescent="0.15">
      <c r="A46" s="11" t="s">
        <v>26</v>
      </c>
      <c r="B46" s="12" t="str">
        <f>Catalog!$E$32</f>
        <v>launcherPinball</v>
      </c>
      <c r="C46" s="17">
        <f>Catalog!$BD$32</f>
        <v>2</v>
      </c>
      <c r="D46" s="17" t="str">
        <f>Catalog!$BE$32</f>
        <v>unlocked</v>
      </c>
      <c r="E46" s="14" t="s">
        <v>25</v>
      </c>
      <c r="F46" s="17" t="str">
        <f>Catalog!$BL$32</f>
        <v>These ricocheting steel balls bounce around creating chaos!</v>
      </c>
      <c r="G46" s="15" t="s">
        <v>12</v>
      </c>
      <c r="I46" s="13"/>
    </row>
    <row r="47" spans="1:9" ht="15.75" customHeight="1" x14ac:dyDescent="0.15">
      <c r="A47" s="11" t="s">
        <v>26</v>
      </c>
      <c r="B47" s="12" t="str">
        <f>Catalog!$E$39</f>
        <v>launcherStronghold</v>
      </c>
      <c r="C47" s="17">
        <f>Catalog!$W$39</f>
        <v>0</v>
      </c>
      <c r="D47" s="17" t="str">
        <f>Catalog!$X$39</f>
        <v>locked</v>
      </c>
      <c r="E47" s="14" t="s">
        <v>23</v>
      </c>
      <c r="F47" s="17" t="str">
        <f>Catalog!$AB$39</f>
        <v>Iron Fists</v>
      </c>
      <c r="G47" s="15" t="s">
        <v>12</v>
      </c>
      <c r="I47" s="13"/>
    </row>
    <row r="48" spans="1:9" ht="15.75" customHeight="1" x14ac:dyDescent="0.15">
      <c r="A48" s="11" t="s">
        <v>26</v>
      </c>
      <c r="B48" s="12" t="str">
        <f>Catalog!$E$39</f>
        <v>launcherStronghold</v>
      </c>
      <c r="C48" s="17">
        <f>Catalog!$W$39</f>
        <v>0</v>
      </c>
      <c r="D48" s="17" t="str">
        <f>Catalog!$X$39</f>
        <v>locked</v>
      </c>
      <c r="E48" s="14" t="s">
        <v>24</v>
      </c>
      <c r="F48" s="17" t="str">
        <f>Catalog!$AC$39</f>
        <v>Stronghold's exploding Iron Fists</v>
      </c>
      <c r="G48" s="15" t="s">
        <v>12</v>
      </c>
      <c r="I48" s="13"/>
    </row>
    <row r="49" spans="1:9" ht="15.75" customHeight="1" x14ac:dyDescent="0.15">
      <c r="A49" s="11" t="s">
        <v>26</v>
      </c>
      <c r="B49" s="12" t="str">
        <f>Catalog!$E$39</f>
        <v>launcherStronghold</v>
      </c>
      <c r="C49" s="17">
        <f>Catalog!$W$39</f>
        <v>0</v>
      </c>
      <c r="D49" s="17" t="str">
        <f>Catalog!$X$39</f>
        <v>locked</v>
      </c>
      <c r="E49" s="14" t="s">
        <v>25</v>
      </c>
      <c r="F49" s="17" t="str">
        <f>Catalog!AD39</f>
        <v>You must complete Stronghold's mission to unlock the Iron Fists Launcher!</v>
      </c>
      <c r="G49" s="15" t="s">
        <v>14</v>
      </c>
      <c r="I49" s="13"/>
    </row>
    <row r="50" spans="1:9" ht="15.75" customHeight="1" x14ac:dyDescent="0.15">
      <c r="A50" s="11" t="s">
        <v>26</v>
      </c>
      <c r="B50" s="12" t="str">
        <f>Catalog!$E$39</f>
        <v>launcherStronghold</v>
      </c>
      <c r="C50" s="17">
        <f>Catalog!$BD$39</f>
        <v>2</v>
      </c>
      <c r="D50" s="17" t="str">
        <f>Catalog!$BE$39</f>
        <v>unlocked</v>
      </c>
      <c r="E50" s="14" t="s">
        <v>23</v>
      </c>
      <c r="F50" s="17" t="str">
        <f>Catalog!$BI$39</f>
        <v>Iron Fists</v>
      </c>
      <c r="G50" s="15" t="s">
        <v>12</v>
      </c>
      <c r="I50" s="13"/>
    </row>
    <row r="51" spans="1:9" ht="15.75" customHeight="1" x14ac:dyDescent="0.15">
      <c r="A51" s="11" t="s">
        <v>26</v>
      </c>
      <c r="B51" s="12" t="str">
        <f>Catalog!$E$39</f>
        <v>launcherStronghold</v>
      </c>
      <c r="C51" s="17">
        <f>Catalog!$BD$39</f>
        <v>2</v>
      </c>
      <c r="D51" s="17" t="str">
        <f>Catalog!$BE$39</f>
        <v>unlocked</v>
      </c>
      <c r="E51" s="14" t="s">
        <v>24</v>
      </c>
      <c r="F51" s="17" t="str">
        <f>Catalog!$BK$39</f>
        <v>Stronghold's exploding Iron Fists</v>
      </c>
      <c r="G51" s="15" t="s">
        <v>12</v>
      </c>
      <c r="I51" s="13"/>
    </row>
    <row r="52" spans="1:9" ht="15.75" customHeight="1" x14ac:dyDescent="0.15">
      <c r="A52" s="11" t="s">
        <v>26</v>
      </c>
      <c r="B52" s="12" t="str">
        <f>Catalog!$E$39</f>
        <v>launcherStronghold</v>
      </c>
      <c r="C52" s="17">
        <f>Catalog!$BD$39</f>
        <v>2</v>
      </c>
      <c r="D52" s="17" t="str">
        <f>Catalog!$BE$39</f>
        <v>unlocked</v>
      </c>
      <c r="E52" s="14" t="s">
        <v>25</v>
      </c>
      <c r="F52" s="17" t="str">
        <f>Catalog!$BL$39</f>
        <v>Iron Fists crash through multiple targets before exploding!</v>
      </c>
      <c r="G52" s="15" t="s">
        <v>12</v>
      </c>
      <c r="I52" s="13"/>
    </row>
    <row r="53" spans="1:9" ht="15.75" customHeight="1" x14ac:dyDescent="0.15">
      <c r="A53" s="11" t="s">
        <v>26</v>
      </c>
      <c r="B53" s="12" t="str">
        <f>Catalog!$E$41</f>
        <v>launcherNunchuck</v>
      </c>
      <c r="C53" s="17">
        <f>Catalog!$W$41</f>
        <v>0</v>
      </c>
      <c r="D53" s="17" t="str">
        <f>Catalog!$X$41</f>
        <v>locked</v>
      </c>
      <c r="E53" s="14" t="s">
        <v>23</v>
      </c>
      <c r="F53" s="17" t="str">
        <f>Catalog!$AB$41</f>
        <v>Bomb Chucks</v>
      </c>
      <c r="G53" s="15" t="s">
        <v>12</v>
      </c>
      <c r="I53" s="13"/>
    </row>
    <row r="54" spans="1:9" ht="15.75" customHeight="1" x14ac:dyDescent="0.15">
      <c r="A54" s="11" t="s">
        <v>26</v>
      </c>
      <c r="B54" s="12" t="str">
        <f>Catalog!$E$41</f>
        <v>launcherNunchuck</v>
      </c>
      <c r="C54" s="17">
        <f>Catalog!$W$41</f>
        <v>0</v>
      </c>
      <c r="D54" s="17" t="str">
        <f>Catalog!$X$41</f>
        <v>locked</v>
      </c>
      <c r="E54" s="14" t="s">
        <v>24</v>
      </c>
      <c r="F54" s="17" t="str">
        <f>Catalog!$AC$41</f>
        <v>Exploding Nunchucks of TNT</v>
      </c>
      <c r="G54" s="15" t="s">
        <v>12</v>
      </c>
      <c r="I54" s="13"/>
    </row>
    <row r="55" spans="1:9" ht="28" x14ac:dyDescent="0.15">
      <c r="A55" s="11" t="s">
        <v>26</v>
      </c>
      <c r="B55" s="12" t="str">
        <f>Catalog!$E$41</f>
        <v>launcherNunchuck</v>
      </c>
      <c r="C55" s="17">
        <f>Catalog!$W$41</f>
        <v>0</v>
      </c>
      <c r="D55" s="17" t="str">
        <f>Catalog!$X$41</f>
        <v>locked</v>
      </c>
      <c r="E55" s="14" t="s">
        <v>25</v>
      </c>
      <c r="F55" s="17" t="str">
        <f>Catalog!AD41</f>
        <v>You must complete Nunchuck's mission to unlock the Bomb Chucks!</v>
      </c>
      <c r="G55" s="15" t="s">
        <v>14</v>
      </c>
      <c r="I55" s="13"/>
    </row>
    <row r="56" spans="1:9" ht="15" x14ac:dyDescent="0.15">
      <c r="A56" s="11" t="s">
        <v>26</v>
      </c>
      <c r="B56" s="12" t="str">
        <f>Catalog!$E$41</f>
        <v>launcherNunchuck</v>
      </c>
      <c r="C56" s="17">
        <f>Catalog!$BD$41</f>
        <v>2</v>
      </c>
      <c r="D56" s="17" t="str">
        <f>Catalog!$BE$41</f>
        <v>unlocked</v>
      </c>
      <c r="E56" s="14" t="s">
        <v>23</v>
      </c>
      <c r="F56" s="17" t="str">
        <f>Catalog!$BI$41</f>
        <v>Bomb Chucks</v>
      </c>
      <c r="G56" s="15" t="s">
        <v>12</v>
      </c>
      <c r="I56" s="13"/>
    </row>
    <row r="57" spans="1:9" ht="15" x14ac:dyDescent="0.15">
      <c r="A57" s="11" t="s">
        <v>26</v>
      </c>
      <c r="B57" s="12" t="str">
        <f>Catalog!$E$41</f>
        <v>launcherNunchuck</v>
      </c>
      <c r="C57" s="17">
        <f>Catalog!$BD$41</f>
        <v>2</v>
      </c>
      <c r="D57" s="17" t="str">
        <f>Catalog!$BE$41</f>
        <v>unlocked</v>
      </c>
      <c r="E57" s="14" t="s">
        <v>24</v>
      </c>
      <c r="F57" s="17" t="str">
        <f>Catalog!$BK$41</f>
        <v>Exploding Nunchucks of TNT</v>
      </c>
      <c r="G57" s="15" t="s">
        <v>12</v>
      </c>
      <c r="I57" s="13"/>
    </row>
    <row r="58" spans="1:9" ht="15" x14ac:dyDescent="0.15">
      <c r="A58" s="11" t="s">
        <v>26</v>
      </c>
      <c r="B58" s="12" t="str">
        <f>Catalog!$E$41</f>
        <v>launcherNunchuck</v>
      </c>
      <c r="C58" s="17">
        <f>Catalog!$BD$41</f>
        <v>2</v>
      </c>
      <c r="D58" s="17" t="str">
        <f>Catalog!$BE$41</f>
        <v>unlocked</v>
      </c>
      <c r="E58" s="14" t="s">
        <v>25</v>
      </c>
      <c r="F58" s="17" t="str">
        <f>Catalog!$BL$41</f>
        <v>Bomb Chucks will make targets go bang!</v>
      </c>
      <c r="G58" s="15" t="s">
        <v>12</v>
      </c>
      <c r="I58" s="13"/>
    </row>
    <row r="59" spans="1:9" ht="15" x14ac:dyDescent="0.15">
      <c r="A59" s="11" t="s">
        <v>26</v>
      </c>
      <c r="B59" s="12" t="str">
        <f>Catalog!$E$43</f>
        <v>launcherJeanClawed</v>
      </c>
      <c r="C59" s="17">
        <f>Catalog!$W$43</f>
        <v>0</v>
      </c>
      <c r="D59" s="17" t="str">
        <f>Catalog!$X$43</f>
        <v>locked</v>
      </c>
      <c r="E59" s="14" t="s">
        <v>23</v>
      </c>
      <c r="F59" s="17" t="str">
        <f>Catalog!$AB$43</f>
        <v>Sonique Blast</v>
      </c>
      <c r="G59" s="15" t="s">
        <v>12</v>
      </c>
      <c r="I59" s="13"/>
    </row>
    <row r="60" spans="1:9" ht="15" x14ac:dyDescent="0.15">
      <c r="A60" s="11" t="s">
        <v>26</v>
      </c>
      <c r="B60" s="12" t="str">
        <f>Catalog!$E$43</f>
        <v>launcherJeanClawed</v>
      </c>
      <c r="C60" s="17">
        <f>Catalog!$W$43</f>
        <v>0</v>
      </c>
      <c r="D60" s="17" t="str">
        <f>Catalog!$X$43</f>
        <v>locked</v>
      </c>
      <c r="E60" s="14" t="s">
        <v>24</v>
      </c>
      <c r="F60" s="17" t="str">
        <f>Catalog!$AC$43</f>
        <v>An explosive wave of sound</v>
      </c>
      <c r="G60" s="15" t="s">
        <v>12</v>
      </c>
      <c r="I60" s="13"/>
    </row>
    <row r="61" spans="1:9" ht="28" x14ac:dyDescent="0.15">
      <c r="A61" s="11" t="s">
        <v>26</v>
      </c>
      <c r="B61" s="12" t="str">
        <f>Catalog!$E$43</f>
        <v>launcherJeanClawed</v>
      </c>
      <c r="C61" s="17">
        <f>Catalog!$W$43</f>
        <v>0</v>
      </c>
      <c r="D61" s="17" t="str">
        <f>Catalog!$X$43</f>
        <v>locked</v>
      </c>
      <c r="E61" s="14" t="s">
        <v>25</v>
      </c>
      <c r="F61" s="17" t="str">
        <f>Catalog!AD43</f>
        <v>You must complete Jean Clawed's mission to unlock the Sonique Blast!</v>
      </c>
      <c r="G61" s="15" t="s">
        <v>14</v>
      </c>
      <c r="I61" s="13"/>
    </row>
    <row r="62" spans="1:9" ht="15" x14ac:dyDescent="0.15">
      <c r="A62" s="11" t="s">
        <v>26</v>
      </c>
      <c r="B62" s="12" t="str">
        <f>Catalog!$E$43</f>
        <v>launcherJeanClawed</v>
      </c>
      <c r="C62" s="17">
        <f>Catalog!$BD$43</f>
        <v>2</v>
      </c>
      <c r="D62" s="17" t="str">
        <f>Catalog!$BE$43</f>
        <v>unlocked</v>
      </c>
      <c r="E62" s="14" t="s">
        <v>23</v>
      </c>
      <c r="F62" s="17" t="str">
        <f>Catalog!$BI$43</f>
        <v>Sonique Blast</v>
      </c>
      <c r="G62" s="15" t="s">
        <v>12</v>
      </c>
      <c r="I62" s="13"/>
    </row>
    <row r="63" spans="1:9" ht="15" x14ac:dyDescent="0.15">
      <c r="A63" s="11" t="s">
        <v>26</v>
      </c>
      <c r="B63" s="12" t="str">
        <f>Catalog!$E$43</f>
        <v>launcherJeanClawed</v>
      </c>
      <c r="C63" s="17">
        <f>Catalog!$BD$43</f>
        <v>2</v>
      </c>
      <c r="D63" s="17" t="str">
        <f>Catalog!$BE$43</f>
        <v>unlocked</v>
      </c>
      <c r="E63" s="14" t="s">
        <v>24</v>
      </c>
      <c r="F63" s="17" t="str">
        <f>Catalog!$BK$43</f>
        <v>An explosive wave of sound</v>
      </c>
      <c r="G63" s="15" t="s">
        <v>12</v>
      </c>
      <c r="I63" s="13"/>
    </row>
    <row r="64" spans="1:9" ht="15" x14ac:dyDescent="0.15">
      <c r="A64" s="11" t="s">
        <v>26</v>
      </c>
      <c r="B64" s="12" t="str">
        <f>Catalog!$E$43</f>
        <v>launcherJeanClawed</v>
      </c>
      <c r="C64" s="17">
        <f>Catalog!$BD$43</f>
        <v>2</v>
      </c>
      <c r="D64" s="17" t="str">
        <f>Catalog!$BE$43</f>
        <v>unlocked</v>
      </c>
      <c r="E64" s="14" t="s">
        <v>25</v>
      </c>
      <c r="F64" s="17" t="str">
        <f>Catalog!$BL$43</f>
        <v>Pulverize targets with a shockwave of sound!</v>
      </c>
      <c r="G64" s="15" t="s">
        <v>12</v>
      </c>
      <c r="I64" s="13"/>
    </row>
    <row r="65" spans="1:9" ht="15" x14ac:dyDescent="0.15">
      <c r="A65" s="11" t="s">
        <v>26</v>
      </c>
      <c r="B65" s="12" t="str">
        <f>Catalog!$E$44</f>
        <v>launcherSvengeance</v>
      </c>
      <c r="C65" s="17">
        <f>Catalog!$W$44</f>
        <v>0</v>
      </c>
      <c r="D65" s="17" t="str">
        <f>Catalog!$X$44</f>
        <v>locked</v>
      </c>
      <c r="E65" s="14" t="s">
        <v>23</v>
      </c>
      <c r="F65" s="17" t="str">
        <f>Catalog!$AB$44</f>
        <v>Spiked Vengeance</v>
      </c>
      <c r="G65" s="15" t="s">
        <v>12</v>
      </c>
      <c r="I65" s="13"/>
    </row>
    <row r="66" spans="1:9" ht="15" x14ac:dyDescent="0.15">
      <c r="A66" s="11" t="s">
        <v>26</v>
      </c>
      <c r="B66" s="12" t="str">
        <f>Catalog!$E$44</f>
        <v>launcherSvengeance</v>
      </c>
      <c r="C66" s="17">
        <f>Catalog!$W$44</f>
        <v>0</v>
      </c>
      <c r="D66" s="17" t="str">
        <f>Catalog!$X$44</f>
        <v>locked</v>
      </c>
      <c r="E66" s="14" t="s">
        <v>24</v>
      </c>
      <c r="F66" s="17" t="str">
        <f>Catalog!$AC$44</f>
        <v>Sticky spiked ball</v>
      </c>
      <c r="G66" s="15" t="s">
        <v>12</v>
      </c>
      <c r="I66" s="13"/>
    </row>
    <row r="67" spans="1:9" ht="28" x14ac:dyDescent="0.15">
      <c r="A67" s="11" t="s">
        <v>26</v>
      </c>
      <c r="B67" s="12" t="str">
        <f>Catalog!$E$44</f>
        <v>launcherSvengeance</v>
      </c>
      <c r="C67" s="17">
        <f>Catalog!$W$44</f>
        <v>0</v>
      </c>
      <c r="D67" s="17" t="str">
        <f>Catalog!$X$44</f>
        <v>locked</v>
      </c>
      <c r="E67" s="14" t="s">
        <v>25</v>
      </c>
      <c r="F67" s="17" t="str">
        <f>Catalog!AD44</f>
        <v>You must complete Svengeance's mission to unlock the Spiked Vengeance!</v>
      </c>
      <c r="G67" s="15" t="s">
        <v>14</v>
      </c>
      <c r="I67" s="13"/>
    </row>
    <row r="68" spans="1:9" ht="15" x14ac:dyDescent="0.15">
      <c r="A68" s="11" t="s">
        <v>26</v>
      </c>
      <c r="B68" s="12" t="str">
        <f>Catalog!$E$44</f>
        <v>launcherSvengeance</v>
      </c>
      <c r="C68" s="17">
        <f>Catalog!$BD$44</f>
        <v>2</v>
      </c>
      <c r="D68" s="17" t="str">
        <f>Catalog!$BE$44</f>
        <v>unlocked</v>
      </c>
      <c r="E68" s="14" t="s">
        <v>23</v>
      </c>
      <c r="F68" s="17" t="str">
        <f>Catalog!$BI$44</f>
        <v>Spiked Vengeance</v>
      </c>
      <c r="G68" s="15" t="s">
        <v>12</v>
      </c>
      <c r="I68" s="13"/>
    </row>
    <row r="69" spans="1:9" ht="15" x14ac:dyDescent="0.15">
      <c r="A69" s="11" t="s">
        <v>26</v>
      </c>
      <c r="B69" s="12" t="str">
        <f>Catalog!$E$44</f>
        <v>launcherSvengeance</v>
      </c>
      <c r="C69" s="17">
        <f>Catalog!$BD$44</f>
        <v>2</v>
      </c>
      <c r="D69" s="17" t="str">
        <f>Catalog!$BE$44</f>
        <v>unlocked</v>
      </c>
      <c r="E69" s="14" t="s">
        <v>24</v>
      </c>
      <c r="F69" s="17" t="str">
        <f>Catalog!$BK$44</f>
        <v>Sticky spiked ball</v>
      </c>
      <c r="G69" s="15" t="s">
        <v>12</v>
      </c>
      <c r="I69" s="13"/>
    </row>
    <row r="70" spans="1:9" ht="15" x14ac:dyDescent="0.15">
      <c r="A70" s="11" t="s">
        <v>26</v>
      </c>
      <c r="B70" s="12" t="str">
        <f>Catalog!$E$44</f>
        <v>launcherSvengeance</v>
      </c>
      <c r="C70" s="17">
        <f>Catalog!$BD$44</f>
        <v>2</v>
      </c>
      <c r="D70" s="17" t="str">
        <f>Catalog!$BE$44</f>
        <v>unlocked</v>
      </c>
      <c r="E70" s="14" t="s">
        <v>25</v>
      </c>
      <c r="F70" s="17" t="str">
        <f>Catalog!$BL$44</f>
        <v>A sticky spiked ball that explodes!</v>
      </c>
      <c r="G70" s="15" t="s">
        <v>12</v>
      </c>
      <c r="I70" s="13"/>
    </row>
    <row r="71" spans="1:9" ht="15" x14ac:dyDescent="0.15">
      <c r="A71" s="11" t="s">
        <v>26</v>
      </c>
      <c r="B71" s="12" t="str">
        <f>Catalog!$E$46</f>
        <v>launcherBelle</v>
      </c>
      <c r="C71" s="17">
        <f>Catalog!$W$46</f>
        <v>0</v>
      </c>
      <c r="D71" s="17" t="str">
        <f>Catalog!$X$46</f>
        <v>locked</v>
      </c>
      <c r="E71" s="14" t="s">
        <v>23</v>
      </c>
      <c r="F71" s="17" t="str">
        <f>Catalog!$AB$46</f>
        <v>Laser Party Ball</v>
      </c>
      <c r="G71" s="15" t="s">
        <v>12</v>
      </c>
      <c r="I71" s="13"/>
    </row>
    <row r="72" spans="1:9" ht="15" x14ac:dyDescent="0.15">
      <c r="A72" s="11" t="s">
        <v>26</v>
      </c>
      <c r="B72" s="12" t="str">
        <f>Catalog!$E$46</f>
        <v>launcherBelle</v>
      </c>
      <c r="C72" s="17">
        <f>Catalog!$W$46</f>
        <v>0</v>
      </c>
      <c r="D72" s="17" t="str">
        <f>Catalog!$X$46</f>
        <v>locked</v>
      </c>
      <c r="E72" s="14" t="s">
        <v>24</v>
      </c>
      <c r="F72" s="17" t="str">
        <f>Catalog!$AC$46</f>
        <v>Spinning laser ball</v>
      </c>
      <c r="G72" s="15" t="s">
        <v>12</v>
      </c>
      <c r="I72" s="13"/>
    </row>
    <row r="73" spans="1:9" ht="28" x14ac:dyDescent="0.15">
      <c r="A73" s="11" t="s">
        <v>26</v>
      </c>
      <c r="B73" s="12" t="str">
        <f>Catalog!$E$46</f>
        <v>launcherBelle</v>
      </c>
      <c r="C73" s="17">
        <f>Catalog!$W$46</f>
        <v>0</v>
      </c>
      <c r="D73" s="17" t="str">
        <f>Catalog!$X$46</f>
        <v>locked</v>
      </c>
      <c r="E73" s="14" t="s">
        <v>25</v>
      </c>
      <c r="F73" s="17" t="str">
        <f>Catalog!AD46</f>
        <v>You must complete Belle Bottom's mission to unlock the Laser Party Ball!</v>
      </c>
      <c r="G73" s="15" t="s">
        <v>14</v>
      </c>
      <c r="I73" s="13"/>
    </row>
    <row r="74" spans="1:9" ht="15" x14ac:dyDescent="0.15">
      <c r="A74" s="11" t="s">
        <v>26</v>
      </c>
      <c r="B74" s="12" t="str">
        <f>Catalog!$E$46</f>
        <v>launcherBelle</v>
      </c>
      <c r="C74" s="17">
        <f>Catalog!$BD$46</f>
        <v>2</v>
      </c>
      <c r="D74" s="17" t="str">
        <f>Catalog!$BE$46</f>
        <v>unlocked</v>
      </c>
      <c r="E74" s="14" t="s">
        <v>23</v>
      </c>
      <c r="F74" s="17" t="str">
        <f>Catalog!$BI$46</f>
        <v>Laser Party Ball</v>
      </c>
      <c r="G74" s="15" t="s">
        <v>12</v>
      </c>
      <c r="I74" s="13"/>
    </row>
    <row r="75" spans="1:9" ht="15" x14ac:dyDescent="0.15">
      <c r="A75" s="11" t="s">
        <v>26</v>
      </c>
      <c r="B75" s="12" t="str">
        <f>Catalog!$E$46</f>
        <v>launcherBelle</v>
      </c>
      <c r="C75" s="17">
        <f>Catalog!$BD$46</f>
        <v>2</v>
      </c>
      <c r="D75" s="17" t="str">
        <f>Catalog!$BE$46</f>
        <v>unlocked</v>
      </c>
      <c r="E75" s="14" t="s">
        <v>24</v>
      </c>
      <c r="F75" s="17" t="str">
        <f>Catalog!$BK$46</f>
        <v>Spinning laser ball</v>
      </c>
      <c r="G75" s="15" t="s">
        <v>12</v>
      </c>
      <c r="I75" s="13"/>
    </row>
    <row r="76" spans="1:9" ht="15" x14ac:dyDescent="0.15">
      <c r="A76" s="11" t="s">
        <v>26</v>
      </c>
      <c r="B76" s="12" t="str">
        <f>Catalog!$E$46</f>
        <v>launcherBelle</v>
      </c>
      <c r="C76" s="17">
        <f>Catalog!$BD$46</f>
        <v>2</v>
      </c>
      <c r="D76" s="17" t="str">
        <f>Catalog!$BE$46</f>
        <v>unlocked</v>
      </c>
      <c r="E76" s="14" t="s">
        <v>25</v>
      </c>
      <c r="F76" s="17" t="str">
        <f>Catalog!$BL$46</f>
        <v>Cause disco destruction with this laser party ball!</v>
      </c>
      <c r="G76" s="15" t="s">
        <v>12</v>
      </c>
      <c r="I76" s="13"/>
    </row>
    <row r="77" spans="1:9" ht="15" x14ac:dyDescent="0.15">
      <c r="A77" s="11" t="s">
        <v>27</v>
      </c>
      <c r="B77" s="12" t="str">
        <f>Catalog!$E$17</f>
        <v>skinJanuary</v>
      </c>
      <c r="C77" s="17">
        <f>Catalog!$W$17</f>
        <v>0</v>
      </c>
      <c r="D77" s="17" t="str">
        <f>Catalog!$X$17</f>
        <v>locked</v>
      </c>
      <c r="E77" s="14" t="s">
        <v>23</v>
      </c>
      <c r="F77" s="17" t="str">
        <f>Catalog!$AB$17</f>
        <v>January Skin</v>
      </c>
      <c r="G77" s="15" t="s">
        <v>12</v>
      </c>
      <c r="I77" s="13"/>
    </row>
    <row r="78" spans="1:9" ht="15" x14ac:dyDescent="0.15">
      <c r="A78" s="11" t="s">
        <v>27</v>
      </c>
      <c r="B78" s="12" t="str">
        <f>Catalog!$E$17</f>
        <v>skinJanuary</v>
      </c>
      <c r="C78" s="17">
        <f>Catalog!$BD$17</f>
        <v>2</v>
      </c>
      <c r="D78" s="17" t="str">
        <f>Catalog!$BE$17</f>
        <v>unlocked</v>
      </c>
      <c r="E78" s="14" t="s">
        <v>23</v>
      </c>
      <c r="F78" s="17" t="str">
        <f>Catalog!$BI$17</f>
        <v>New Years Ball</v>
      </c>
      <c r="G78" s="15" t="s">
        <v>12</v>
      </c>
      <c r="I78" s="13"/>
    </row>
    <row r="79" spans="1:9" ht="15" x14ac:dyDescent="0.15">
      <c r="A79" s="11" t="s">
        <v>27</v>
      </c>
      <c r="B79" s="12" t="str">
        <f>Catalog!$E$18</f>
        <v>skinFebruary</v>
      </c>
      <c r="C79" s="17">
        <f>Catalog!$W$18</f>
        <v>0</v>
      </c>
      <c r="D79" s="17" t="str">
        <f>Catalog!$X$18</f>
        <v>locked</v>
      </c>
      <c r="E79" s="14" t="s">
        <v>23</v>
      </c>
      <c r="F79" s="17" t="str">
        <f>Catalog!$AB$18</f>
        <v>February Skin</v>
      </c>
      <c r="G79" s="15" t="s">
        <v>12</v>
      </c>
      <c r="I79" s="13"/>
    </row>
    <row r="80" spans="1:9" ht="15" x14ac:dyDescent="0.15">
      <c r="A80" s="11" t="s">
        <v>27</v>
      </c>
      <c r="B80" s="12" t="str">
        <f>Catalog!$E$18</f>
        <v>skinFebruary</v>
      </c>
      <c r="C80" s="17">
        <f>Catalog!$BD$18</f>
        <v>2</v>
      </c>
      <c r="D80" s="17" t="str">
        <f>Catalog!$BE$18</f>
        <v>unlocked</v>
      </c>
      <c r="E80" s="14" t="s">
        <v>23</v>
      </c>
      <c r="F80" s="17" t="str">
        <f>Catalog!$BI$18</f>
        <v>Mardi Gras Beads</v>
      </c>
      <c r="G80" s="15" t="s">
        <v>12</v>
      </c>
      <c r="I80" s="13"/>
    </row>
    <row r="81" spans="1:9" ht="15" x14ac:dyDescent="0.15">
      <c r="A81" s="11" t="s">
        <v>27</v>
      </c>
      <c r="B81" s="12" t="str">
        <f>Catalog!$E$19</f>
        <v>skinMarch</v>
      </c>
      <c r="C81" s="17">
        <f>Catalog!$W$19</f>
        <v>0</v>
      </c>
      <c r="D81" s="17" t="str">
        <f>Catalog!$X$19</f>
        <v>locked</v>
      </c>
      <c r="E81" s="14" t="s">
        <v>23</v>
      </c>
      <c r="F81" s="17" t="str">
        <f>Catalog!$AB$19</f>
        <v>March Skin</v>
      </c>
      <c r="G81" s="15" t="s">
        <v>12</v>
      </c>
      <c r="I81" s="13"/>
    </row>
    <row r="82" spans="1:9" ht="15" x14ac:dyDescent="0.15">
      <c r="A82" s="11" t="s">
        <v>27</v>
      </c>
      <c r="B82" s="12" t="str">
        <f>Catalog!$E$19</f>
        <v>skinMarch</v>
      </c>
      <c r="C82" s="17">
        <f>Catalog!$BD$19</f>
        <v>2</v>
      </c>
      <c r="D82" s="17" t="str">
        <f>Catalog!$BE$19</f>
        <v>unlocked</v>
      </c>
      <c r="E82" s="14" t="s">
        <v>23</v>
      </c>
      <c r="F82" s="17" t="str">
        <f>Catalog!BI19</f>
        <v>Shamrock Stars</v>
      </c>
      <c r="G82" s="15" t="s">
        <v>28</v>
      </c>
      <c r="I82" s="13"/>
    </row>
    <row r="83" spans="1:9" ht="15" x14ac:dyDescent="0.15">
      <c r="A83" s="11" t="s">
        <v>27</v>
      </c>
      <c r="B83" s="12" t="str">
        <f>Catalog!$E$20</f>
        <v>skinApril</v>
      </c>
      <c r="C83" s="17">
        <f>Catalog!$W$20</f>
        <v>0</v>
      </c>
      <c r="D83" s="17" t="str">
        <f>Catalog!$X$20</f>
        <v>locked</v>
      </c>
      <c r="E83" s="14" t="s">
        <v>23</v>
      </c>
      <c r="F83" s="17" t="str">
        <f>Catalog!$AB$20</f>
        <v>April Skin</v>
      </c>
      <c r="G83" s="15" t="s">
        <v>12</v>
      </c>
      <c r="I83" s="13"/>
    </row>
    <row r="84" spans="1:9" ht="15" x14ac:dyDescent="0.15">
      <c r="A84" s="11" t="s">
        <v>27</v>
      </c>
      <c r="B84" s="12" t="str">
        <f>Catalog!$E$20</f>
        <v>skinApril</v>
      </c>
      <c r="C84" s="17">
        <f>Catalog!$BD$20</f>
        <v>2</v>
      </c>
      <c r="D84" s="17" t="str">
        <f>Catalog!$BE$20</f>
        <v>unlocked</v>
      </c>
      <c r="E84" s="14" t="s">
        <v>23</v>
      </c>
      <c r="F84" s="17" t="str">
        <f>Catalog!$BI$20</f>
        <v>Easter Eggs</v>
      </c>
      <c r="G84" s="15" t="s">
        <v>12</v>
      </c>
      <c r="I84" s="13"/>
    </row>
    <row r="85" spans="1:9" ht="15" x14ac:dyDescent="0.15">
      <c r="A85" s="11" t="s">
        <v>27</v>
      </c>
      <c r="B85" s="12" t="str">
        <f>Catalog!$E$21</f>
        <v>skinMay</v>
      </c>
      <c r="C85" s="17">
        <f>Catalog!$W$21</f>
        <v>0</v>
      </c>
      <c r="D85" s="17" t="str">
        <f>Catalog!$X$21</f>
        <v>locked</v>
      </c>
      <c r="E85" s="14" t="s">
        <v>23</v>
      </c>
      <c r="F85" s="17" t="str">
        <f>Catalog!$AB$21</f>
        <v>May Skin</v>
      </c>
      <c r="G85" s="15" t="s">
        <v>12</v>
      </c>
      <c r="I85" s="13"/>
    </row>
    <row r="86" spans="1:9" ht="15" x14ac:dyDescent="0.15">
      <c r="A86" s="11" t="s">
        <v>27</v>
      </c>
      <c r="B86" s="12" t="str">
        <f>Catalog!$E$21</f>
        <v>skinMay</v>
      </c>
      <c r="C86" s="17">
        <f>Catalog!$BD$21</f>
        <v>2</v>
      </c>
      <c r="D86" s="17" t="str">
        <f>Catalog!$BE$21</f>
        <v>unlocked</v>
      </c>
      <c r="E86" s="14" t="s">
        <v>23</v>
      </c>
      <c r="F86" s="17" t="str">
        <f>Catalog!$BI$21</f>
        <v>Pollito Piñata</v>
      </c>
      <c r="G86" s="15" t="s">
        <v>12</v>
      </c>
      <c r="I86" s="13"/>
    </row>
    <row r="87" spans="1:9" ht="15" x14ac:dyDescent="0.15">
      <c r="A87" s="11" t="s">
        <v>27</v>
      </c>
      <c r="B87" s="12" t="str">
        <f>Catalog!$E$22</f>
        <v>skinJune</v>
      </c>
      <c r="C87" s="17">
        <f>Catalog!$W$22</f>
        <v>0</v>
      </c>
      <c r="D87" s="17" t="str">
        <f>Catalog!$X$22</f>
        <v>locked</v>
      </c>
      <c r="E87" s="14" t="s">
        <v>23</v>
      </c>
      <c r="F87" s="17" t="str">
        <f>Catalog!$AB$22</f>
        <v>June Skin</v>
      </c>
      <c r="G87" s="15" t="s">
        <v>12</v>
      </c>
      <c r="I87" s="13"/>
    </row>
    <row r="88" spans="1:9" ht="15" x14ac:dyDescent="0.15">
      <c r="A88" s="11" t="s">
        <v>27</v>
      </c>
      <c r="B88" s="12" t="str">
        <f>Catalog!$E$22</f>
        <v>skinJune</v>
      </c>
      <c r="C88" s="17">
        <f>Catalog!$BD$22</f>
        <v>2</v>
      </c>
      <c r="D88" s="17" t="str">
        <f>Catalog!$BE$22</f>
        <v>unlocked</v>
      </c>
      <c r="E88" s="14" t="s">
        <v>23</v>
      </c>
      <c r="F88" s="17" t="str">
        <f>Catalog!$BI$22</f>
        <v>Red-Hot Sausage</v>
      </c>
      <c r="G88" s="15" t="s">
        <v>12</v>
      </c>
      <c r="I88" s="13"/>
    </row>
    <row r="89" spans="1:9" ht="15" x14ac:dyDescent="0.15">
      <c r="A89" s="11" t="s">
        <v>27</v>
      </c>
      <c r="B89" s="12" t="str">
        <f>Catalog!$E$23</f>
        <v>skinJuly</v>
      </c>
      <c r="C89" s="17">
        <f>Catalog!$W$23</f>
        <v>0</v>
      </c>
      <c r="D89" s="17" t="str">
        <f>Catalog!$X$23</f>
        <v>locked</v>
      </c>
      <c r="E89" s="14" t="s">
        <v>23</v>
      </c>
      <c r="F89" s="17" t="str">
        <f>Catalog!$AB$23</f>
        <v>July Skin</v>
      </c>
      <c r="G89" s="15" t="s">
        <v>12</v>
      </c>
      <c r="I89" s="13"/>
    </row>
    <row r="90" spans="1:9" ht="15" x14ac:dyDescent="0.15">
      <c r="A90" s="11" t="s">
        <v>27</v>
      </c>
      <c r="B90" s="12" t="str">
        <f>Catalog!$E$23</f>
        <v>skinJuly</v>
      </c>
      <c r="C90" s="17">
        <f>Catalog!$BD$23</f>
        <v>2</v>
      </c>
      <c r="D90" s="17" t="str">
        <f>Catalog!$BE$23</f>
        <v>unlocked</v>
      </c>
      <c r="E90" s="14" t="s">
        <v>23</v>
      </c>
      <c r="F90" s="17" t="str">
        <f>Catalog!$BI$23</f>
        <v>Fireworks</v>
      </c>
      <c r="G90" s="15" t="s">
        <v>12</v>
      </c>
      <c r="I90" s="13"/>
    </row>
    <row r="91" spans="1:9" ht="15" x14ac:dyDescent="0.15">
      <c r="A91" s="11" t="s">
        <v>27</v>
      </c>
      <c r="B91" s="12" t="str">
        <f>Catalog!$E$24</f>
        <v>skinAugust</v>
      </c>
      <c r="C91" s="17">
        <f>Catalog!$W$24</f>
        <v>0</v>
      </c>
      <c r="D91" s="17" t="str">
        <f>Catalog!$X$24</f>
        <v>locked</v>
      </c>
      <c r="E91" s="14" t="s">
        <v>23</v>
      </c>
      <c r="F91" s="17" t="str">
        <f>Catalog!$AB$24</f>
        <v>August Skin</v>
      </c>
      <c r="G91" s="15" t="s">
        <v>12</v>
      </c>
      <c r="I91" s="13"/>
    </row>
    <row r="92" spans="1:9" ht="15" x14ac:dyDescent="0.15">
      <c r="A92" s="11" t="s">
        <v>27</v>
      </c>
      <c r="B92" s="12" t="str">
        <f>Catalog!$E$24</f>
        <v>skinAugust</v>
      </c>
      <c r="C92" s="17">
        <f>Catalog!$BD$24</f>
        <v>2</v>
      </c>
      <c r="D92" s="17" t="str">
        <f>Catalog!$BE$24</f>
        <v>unlocked</v>
      </c>
      <c r="E92" s="14" t="s">
        <v>23</v>
      </c>
      <c r="F92" s="17" t="str">
        <f>Catalog!$BI$24</f>
        <v>Gelato Grenade</v>
      </c>
      <c r="G92" s="15" t="s">
        <v>12</v>
      </c>
      <c r="I92" s="13"/>
    </row>
    <row r="93" spans="1:9" ht="15" x14ac:dyDescent="0.15">
      <c r="A93" s="11" t="s">
        <v>27</v>
      </c>
      <c r="B93" s="12" t="str">
        <f>Catalog!$E$25</f>
        <v>skinSeptember</v>
      </c>
      <c r="C93" s="17">
        <f>Catalog!$W$25</f>
        <v>0</v>
      </c>
      <c r="D93" s="17" t="str">
        <f>Catalog!$X$25</f>
        <v>locked</v>
      </c>
      <c r="E93" s="14" t="s">
        <v>23</v>
      </c>
      <c r="F93" s="17" t="str">
        <f>Catalog!$AB$25</f>
        <v>September Skin</v>
      </c>
      <c r="G93" s="15" t="s">
        <v>12</v>
      </c>
      <c r="I93" s="13"/>
    </row>
    <row r="94" spans="1:9" ht="15" x14ac:dyDescent="0.15">
      <c r="A94" s="11" t="s">
        <v>27</v>
      </c>
      <c r="B94" s="12" t="str">
        <f>Catalog!$E$25</f>
        <v>skinSeptember</v>
      </c>
      <c r="C94" s="17">
        <f>Catalog!$BD$25</f>
        <v>2</v>
      </c>
      <c r="D94" s="17" t="str">
        <f>Catalog!$BE$25</f>
        <v>unlocked</v>
      </c>
      <c r="E94" s="14" t="s">
        <v>23</v>
      </c>
      <c r="F94" s="17" t="str">
        <f>Catalog!$BI$25</f>
        <v>Bratt's Lunchbox</v>
      </c>
      <c r="G94" s="15" t="s">
        <v>12</v>
      </c>
      <c r="I94" s="13"/>
    </row>
    <row r="95" spans="1:9" ht="15" x14ac:dyDescent="0.15">
      <c r="A95" s="11" t="s">
        <v>27</v>
      </c>
      <c r="B95" s="12" t="str">
        <f>Catalog!$E$26</f>
        <v>skinOctober</v>
      </c>
      <c r="C95" s="17">
        <f>Catalog!$W$26</f>
        <v>0</v>
      </c>
      <c r="D95" s="17" t="str">
        <f>Catalog!$X$26</f>
        <v>locked</v>
      </c>
      <c r="E95" s="14" t="s">
        <v>23</v>
      </c>
      <c r="F95" s="17" t="str">
        <f>Catalog!$AB$26</f>
        <v>October Skin</v>
      </c>
      <c r="G95" s="15" t="s">
        <v>12</v>
      </c>
      <c r="I95" s="13"/>
    </row>
    <row r="96" spans="1:9" ht="15" x14ac:dyDescent="0.15">
      <c r="A96" s="11" t="s">
        <v>27</v>
      </c>
      <c r="B96" s="12" t="str">
        <f>Catalog!$E$26</f>
        <v>skinOctober</v>
      </c>
      <c r="C96" s="17">
        <f>Catalog!$BD$26</f>
        <v>2</v>
      </c>
      <c r="D96" s="17" t="str">
        <f>Catalog!$BE$26</f>
        <v>unlocked</v>
      </c>
      <c r="E96" s="14" t="s">
        <v>23</v>
      </c>
      <c r="F96" s="17" t="str">
        <f>Catalog!$BI$26</f>
        <v>Jack O'Launcher</v>
      </c>
      <c r="G96" s="15" t="s">
        <v>12</v>
      </c>
      <c r="I96" s="13"/>
    </row>
    <row r="97" spans="1:9" ht="15" x14ac:dyDescent="0.15">
      <c r="A97" s="11" t="s">
        <v>27</v>
      </c>
      <c r="B97" s="12" t="str">
        <f>Catalog!$E$27</f>
        <v>skinNovember</v>
      </c>
      <c r="C97" s="17">
        <f>Catalog!$W$27</f>
        <v>0</v>
      </c>
      <c r="D97" s="17" t="str">
        <f>Catalog!$X$27</f>
        <v>locked</v>
      </c>
      <c r="E97" s="14" t="s">
        <v>23</v>
      </c>
      <c r="F97" s="17" t="str">
        <f>Catalog!$AB$27</f>
        <v>November Skin</v>
      </c>
      <c r="G97" s="15" t="s">
        <v>12</v>
      </c>
      <c r="I97" s="13"/>
    </row>
    <row r="98" spans="1:9" ht="15" x14ac:dyDescent="0.15">
      <c r="A98" s="11" t="s">
        <v>27</v>
      </c>
      <c r="B98" s="12" t="str">
        <f>Catalog!$E$27</f>
        <v>skinNovember</v>
      </c>
      <c r="C98" s="17">
        <f>Catalog!$BD$27</f>
        <v>2</v>
      </c>
      <c r="D98" s="17" t="str">
        <f>Catalog!$BE$27</f>
        <v>unlocked</v>
      </c>
      <c r="E98" s="14" t="s">
        <v>23</v>
      </c>
      <c r="F98" s="17" t="str">
        <f>Catalog!$BI$27</f>
        <v>Flaming Turkey</v>
      </c>
      <c r="G98" s="15" t="s">
        <v>12</v>
      </c>
      <c r="I98" s="13"/>
    </row>
    <row r="99" spans="1:9" ht="15" x14ac:dyDescent="0.15">
      <c r="A99" s="11" t="s">
        <v>27</v>
      </c>
      <c r="B99" s="12" t="str">
        <f>Catalog!$E$28</f>
        <v>skinDecember</v>
      </c>
      <c r="C99" s="17">
        <f>Catalog!$W$28</f>
        <v>0</v>
      </c>
      <c r="D99" s="17" t="str">
        <f>Catalog!$X$28</f>
        <v>locked</v>
      </c>
      <c r="E99" s="14" t="s">
        <v>23</v>
      </c>
      <c r="F99" s="17" t="str">
        <f>Catalog!$AB$28</f>
        <v>December Skin</v>
      </c>
      <c r="G99" s="15" t="s">
        <v>12</v>
      </c>
      <c r="I99" s="13"/>
    </row>
    <row r="100" spans="1:9" ht="15" x14ac:dyDescent="0.15">
      <c r="A100" s="11" t="s">
        <v>27</v>
      </c>
      <c r="B100" s="12" t="str">
        <f>Catalog!$E$28</f>
        <v>skinDecember</v>
      </c>
      <c r="C100" s="17">
        <f>Catalog!$BD$28</f>
        <v>2</v>
      </c>
      <c r="D100" s="17" t="str">
        <f>Catalog!$BE$28</f>
        <v>unlocked</v>
      </c>
      <c r="E100" s="14" t="s">
        <v>23</v>
      </c>
      <c r="F100" s="17" t="str">
        <f>Catalog!BI28</f>
        <v>Secret Santa</v>
      </c>
      <c r="G100" s="15" t="s">
        <v>28</v>
      </c>
      <c r="I100" s="13"/>
    </row>
    <row r="101" spans="1:9" ht="15" x14ac:dyDescent="0.15">
      <c r="A101" s="11" t="s">
        <v>29</v>
      </c>
      <c r="B101" s="12" t="str">
        <f>'TitleData texts.mobileApp'!C117</f>
        <v>lab.ultimate.header.ultimate</v>
      </c>
      <c r="C101" s="19"/>
      <c r="D101" s="13" t="s">
        <v>10</v>
      </c>
      <c r="E101" s="14" t="s">
        <v>19</v>
      </c>
      <c r="F101" s="19" t="str">
        <f>'TitleData texts.mobileApp'!E117</f>
        <v>ULTIMATE BLASTER</v>
      </c>
      <c r="G101" s="15" t="s">
        <v>12</v>
      </c>
      <c r="I101" s="13"/>
    </row>
    <row r="102" spans="1:9" ht="15" x14ac:dyDescent="0.15">
      <c r="A102" s="11" t="s">
        <v>29</v>
      </c>
      <c r="B102" s="12" t="str">
        <f>'TitleData texts.mobileApp'!C118</f>
        <v>lab.ultimate.header.description</v>
      </c>
      <c r="C102" s="19"/>
      <c r="D102" s="13" t="s">
        <v>10</v>
      </c>
      <c r="E102" s="14" t="s">
        <v>20</v>
      </c>
      <c r="F102" s="18" t="str">
        <f>'TitleData texts.mobileApp'!E118</f>
        <v>A mega-powerful one-time blast!</v>
      </c>
      <c r="G102" s="15" t="s">
        <v>12</v>
      </c>
      <c r="I102" s="13"/>
    </row>
    <row r="103" spans="1:9" ht="84" x14ac:dyDescent="0.15">
      <c r="A103" s="11" t="s">
        <v>29</v>
      </c>
      <c r="B103" s="12" t="str">
        <f>'TitleData texts.mobileApp'!C119</f>
        <v>lab.ultimate.msg.help</v>
      </c>
      <c r="C103" s="19"/>
      <c r="D103" s="13" t="s">
        <v>10</v>
      </c>
      <c r="E103" s="14" t="s">
        <v>21</v>
      </c>
      <c r="F103" s="19" t="str">
        <f>'TitleData texts.mobileApp'!E119</f>
        <v>USE WISELY
You have only one blast per charge!
RECHARGE
Your ultimate by gaining points, earning an achievement, or blasting ultimate power-ups.</v>
      </c>
      <c r="G103" s="15" t="s">
        <v>12</v>
      </c>
      <c r="I103" s="13"/>
    </row>
    <row r="104" spans="1:9" ht="15" x14ac:dyDescent="0.15">
      <c r="A104" s="11" t="s">
        <v>29</v>
      </c>
      <c r="B104" s="12" t="str">
        <f>Catalog!$E$48</f>
        <v>ultimateGeneral</v>
      </c>
      <c r="C104" s="20">
        <f>Catalog!BD48</f>
        <v>2</v>
      </c>
      <c r="D104" s="20" t="str">
        <f>Catalog!$BE$48</f>
        <v>unlocked</v>
      </c>
      <c r="E104" s="19" t="s">
        <v>23</v>
      </c>
      <c r="F104" s="20" t="str">
        <f>Catalog!$BI$48</f>
        <v>Omniblaster</v>
      </c>
      <c r="G104" s="15" t="s">
        <v>12</v>
      </c>
      <c r="I104" s="13"/>
    </row>
    <row r="105" spans="1:9" ht="15" x14ac:dyDescent="0.15">
      <c r="A105" s="11" t="s">
        <v>29</v>
      </c>
      <c r="B105" s="12" t="str">
        <f>Catalog!$E$48</f>
        <v>ultimateGeneral</v>
      </c>
      <c r="C105" s="20">
        <f>Catalog!BD48</f>
        <v>2</v>
      </c>
      <c r="D105" s="20" t="str">
        <f>Catalog!$BE$48</f>
        <v>unlocked</v>
      </c>
      <c r="E105" s="19" t="s">
        <v>24</v>
      </c>
      <c r="F105" s="20" t="str">
        <f>Catalog!$BK$48</f>
        <v>A blast of each super-charged elemental!</v>
      </c>
      <c r="G105" s="15" t="s">
        <v>12</v>
      </c>
      <c r="I105" s="13"/>
    </row>
    <row r="106" spans="1:9" ht="15" x14ac:dyDescent="0.15">
      <c r="A106" s="11" t="s">
        <v>29</v>
      </c>
      <c r="B106" s="12" t="str">
        <f>Catalog!$E$48</f>
        <v>ultimateGeneral</v>
      </c>
      <c r="C106" s="20">
        <f>Catalog!BD48</f>
        <v>2</v>
      </c>
      <c r="D106" s="20" t="str">
        <f>Catalog!$BE$48</f>
        <v>unlocked</v>
      </c>
      <c r="E106" s="19" t="s">
        <v>25</v>
      </c>
      <c r="F106" s="20" t="str">
        <f>Catalog!$BL$48</f>
        <v>Cycles through a powerful blast of each elemental!</v>
      </c>
      <c r="G106" s="15" t="s">
        <v>12</v>
      </c>
      <c r="I106" s="13"/>
    </row>
    <row r="107" spans="1:9" ht="15" x14ac:dyDescent="0.15">
      <c r="A107" s="11" t="s">
        <v>29</v>
      </c>
      <c r="B107" s="12" t="str">
        <f>Catalog!$E$49</f>
        <v>ultimateForce</v>
      </c>
      <c r="C107" s="20">
        <f>Catalog!W49</f>
        <v>0</v>
      </c>
      <c r="D107" s="20" t="str">
        <f>Catalog!$X$49</f>
        <v>locked</v>
      </c>
      <c r="E107" s="19" t="s">
        <v>23</v>
      </c>
      <c r="F107" s="20" t="str">
        <f>Catalog!$AB$49</f>
        <v>Unholy Guacamole</v>
      </c>
      <c r="G107" s="15" t="s">
        <v>12</v>
      </c>
      <c r="I107" s="13"/>
    </row>
    <row r="108" spans="1:9" ht="15" x14ac:dyDescent="0.15">
      <c r="A108" s="11" t="s">
        <v>29</v>
      </c>
      <c r="B108" s="12" t="str">
        <f>Catalog!$E$49</f>
        <v>ultimateForce</v>
      </c>
      <c r="C108" s="20">
        <f>Catalog!W49</f>
        <v>0</v>
      </c>
      <c r="D108" s="20" t="str">
        <f>Catalog!$X$49</f>
        <v>locked</v>
      </c>
      <c r="E108" s="19" t="s">
        <v>24</v>
      </c>
      <c r="F108" s="20" t="str">
        <f>Catalog!AC49</f>
        <v>El Macho's Unholy Guacamole</v>
      </c>
      <c r="G108" s="15" t="s">
        <v>12</v>
      </c>
      <c r="I108" s="13"/>
    </row>
    <row r="109" spans="1:9" ht="28" x14ac:dyDescent="0.15">
      <c r="A109" s="11" t="s">
        <v>29</v>
      </c>
      <c r="B109" s="12" t="str">
        <f>Catalog!$E$49</f>
        <v>ultimateForce</v>
      </c>
      <c r="C109" s="20">
        <f>Catalog!W50</f>
        <v>0</v>
      </c>
      <c r="D109" s="20" t="str">
        <f>Catalog!$X$49</f>
        <v>locked</v>
      </c>
      <c r="E109" s="19" t="s">
        <v>25</v>
      </c>
      <c r="F109" s="20" t="str">
        <f>Catalog!AD49</f>
        <v>You must complete El Macho's mission to unlock his ultimate blaster!</v>
      </c>
      <c r="G109" s="15" t="s">
        <v>28</v>
      </c>
      <c r="I109" s="13"/>
    </row>
    <row r="110" spans="1:9" ht="15" x14ac:dyDescent="0.15">
      <c r="A110" s="11" t="s">
        <v>29</v>
      </c>
      <c r="B110" s="12" t="str">
        <f>Catalog!$E$49</f>
        <v>ultimateForce</v>
      </c>
      <c r="C110" s="20">
        <f>Catalog!BD49</f>
        <v>2</v>
      </c>
      <c r="D110" s="20" t="str">
        <f>Catalog!$BE$49</f>
        <v>unlocked</v>
      </c>
      <c r="E110" s="19" t="s">
        <v>24</v>
      </c>
      <c r="F110" s="20" t="str">
        <f>Catalog!BK49</f>
        <v>El Macho's Unholy Guacamole</v>
      </c>
      <c r="G110" s="15" t="s">
        <v>12</v>
      </c>
      <c r="I110" s="13"/>
    </row>
    <row r="111" spans="1:9" ht="28" x14ac:dyDescent="0.15">
      <c r="A111" s="11" t="s">
        <v>29</v>
      </c>
      <c r="B111" s="12" t="str">
        <f>Catalog!$E$49</f>
        <v>ultimateForce</v>
      </c>
      <c r="C111" s="20">
        <f>Catalog!BD49</f>
        <v>2</v>
      </c>
      <c r="D111" s="20" t="str">
        <f>Catalog!$BE$49</f>
        <v>unlocked</v>
      </c>
      <c r="E111" s="19" t="s">
        <v>25</v>
      </c>
      <c r="F111" s="20" t="str">
        <f>Catalog!$BL$49</f>
        <v>Chunks of deadly guacamole explode and splatter everywhere!</v>
      </c>
      <c r="G111" s="15" t="s">
        <v>12</v>
      </c>
      <c r="I111" s="13"/>
    </row>
    <row r="112" spans="1:9" ht="15" x14ac:dyDescent="0.15">
      <c r="A112" s="11" t="s">
        <v>29</v>
      </c>
      <c r="B112" s="12" t="str">
        <f>Catalog!E50</f>
        <v>ultimateFire</v>
      </c>
      <c r="C112" s="20">
        <f>Catalog!W50</f>
        <v>0</v>
      </c>
      <c r="D112" s="20" t="str">
        <f>Catalog!X50</f>
        <v>locked</v>
      </c>
      <c r="E112" s="19" t="s">
        <v>23</v>
      </c>
      <c r="F112" s="20" t="str">
        <f>Catalog!AB50</f>
        <v>Lethal Lava Lamp</v>
      </c>
      <c r="G112" s="15" t="s">
        <v>12</v>
      </c>
      <c r="I112" s="13"/>
    </row>
    <row r="113" spans="1:9" ht="15" x14ac:dyDescent="0.15">
      <c r="A113" s="11" t="s">
        <v>29</v>
      </c>
      <c r="B113" s="12" t="str">
        <f>Catalog!E50</f>
        <v>ultimateFire</v>
      </c>
      <c r="C113" s="20">
        <f>Catalog!W50</f>
        <v>0</v>
      </c>
      <c r="D113" s="20" t="str">
        <f>Catalog!X50</f>
        <v>locked</v>
      </c>
      <c r="E113" s="19" t="s">
        <v>24</v>
      </c>
      <c r="F113" s="20" t="str">
        <f>Catalog!AC50</f>
        <v>Scarlet's Lethal Lava Lamp</v>
      </c>
      <c r="G113" s="15" t="s">
        <v>12</v>
      </c>
      <c r="I113" s="13"/>
    </row>
    <row r="114" spans="1:9" ht="28" x14ac:dyDescent="0.15">
      <c r="A114" s="11" t="s">
        <v>29</v>
      </c>
      <c r="B114" s="12" t="str">
        <f>Catalog!E50</f>
        <v>ultimateFire</v>
      </c>
      <c r="C114" s="20">
        <f>Catalog!W51</f>
        <v>0</v>
      </c>
      <c r="D114" s="20" t="str">
        <f>Catalog!X51</f>
        <v>locked</v>
      </c>
      <c r="E114" s="19" t="s">
        <v>25</v>
      </c>
      <c r="F114" s="20" t="str">
        <f>Catalog!AD50</f>
        <v>You must complete Scarlet's mission to unlock her ultimate blaster!</v>
      </c>
      <c r="G114" s="15" t="s">
        <v>28</v>
      </c>
      <c r="I114" s="13"/>
    </row>
    <row r="115" spans="1:9" ht="15" x14ac:dyDescent="0.15">
      <c r="A115" s="11" t="s">
        <v>29</v>
      </c>
      <c r="B115" s="12" t="str">
        <f>Catalog!E50</f>
        <v>ultimateFire</v>
      </c>
      <c r="C115" s="20">
        <f>Catalog!BD50</f>
        <v>2</v>
      </c>
      <c r="D115" s="20" t="str">
        <f>Catalog!BE50</f>
        <v>unlocked</v>
      </c>
      <c r="E115" s="19" t="s">
        <v>24</v>
      </c>
      <c r="F115" s="20" t="str">
        <f>Catalog!BK50</f>
        <v>Scarlet's Lethal Lava Lamp</v>
      </c>
      <c r="G115" s="15" t="s">
        <v>12</v>
      </c>
      <c r="I115" s="13"/>
    </row>
    <row r="116" spans="1:9" ht="15" x14ac:dyDescent="0.15">
      <c r="A116" s="11" t="s">
        <v>29</v>
      </c>
      <c r="B116" s="12" t="str">
        <f>Catalog!E50</f>
        <v>ultimateFire</v>
      </c>
      <c r="C116" s="20">
        <f>Catalog!BD50</f>
        <v>2</v>
      </c>
      <c r="D116" s="20" t="str">
        <f>Catalog!BE50</f>
        <v>unlocked</v>
      </c>
      <c r="E116" s="19" t="s">
        <v>25</v>
      </c>
      <c r="F116" s="20" t="str">
        <f>Catalog!$BL$50</f>
        <v>Lava Lamps rain blazing magma down on your targets!</v>
      </c>
      <c r="G116" s="15" t="s">
        <v>12</v>
      </c>
      <c r="I116" s="13"/>
    </row>
    <row r="117" spans="1:9" ht="15" x14ac:dyDescent="0.15">
      <c r="A117" s="11" t="s">
        <v>29</v>
      </c>
      <c r="B117" s="12" t="str">
        <f>Catalog!E51</f>
        <v>ultimateFreeze</v>
      </c>
      <c r="C117" s="20">
        <f>Catalog!W51</f>
        <v>0</v>
      </c>
      <c r="D117" s="20" t="str">
        <f>Catalog!X51</f>
        <v>locked</v>
      </c>
      <c r="E117" s="19" t="s">
        <v>23</v>
      </c>
      <c r="F117" s="20" t="str">
        <f>Catalog!AB51</f>
        <v>Piranha-sicle</v>
      </c>
      <c r="G117" s="15" t="s">
        <v>12</v>
      </c>
      <c r="I117" s="13"/>
    </row>
    <row r="118" spans="1:9" ht="15" x14ac:dyDescent="0.15">
      <c r="A118" s="11" t="s">
        <v>29</v>
      </c>
      <c r="B118" s="12" t="str">
        <f>Catalog!E51</f>
        <v>ultimateFreeze</v>
      </c>
      <c r="C118" s="20">
        <f>Catalog!W51</f>
        <v>0</v>
      </c>
      <c r="D118" s="20" t="str">
        <f>Catalog!X51</f>
        <v>locked</v>
      </c>
      <c r="E118" s="19" t="s">
        <v>24</v>
      </c>
      <c r="F118" s="20" t="str">
        <f>Catalog!AC51</f>
        <v>Vector's Piranha-sicle</v>
      </c>
      <c r="G118" s="15" t="s">
        <v>12</v>
      </c>
      <c r="I118" s="13"/>
    </row>
    <row r="119" spans="1:9" ht="28" x14ac:dyDescent="0.15">
      <c r="A119" s="11" t="s">
        <v>29</v>
      </c>
      <c r="B119" s="12" t="str">
        <f>Catalog!E51</f>
        <v>ultimateFreeze</v>
      </c>
      <c r="C119" s="20">
        <f>Catalog!W52</f>
        <v>0</v>
      </c>
      <c r="D119" s="20" t="str">
        <f>Catalog!X52</f>
        <v>locked</v>
      </c>
      <c r="E119" s="19" t="s">
        <v>25</v>
      </c>
      <c r="F119" s="20" t="str">
        <f>Catalog!AD51</f>
        <v>You must complete Vector's mission to unlock his ultimate blaster!</v>
      </c>
      <c r="G119" s="15" t="s">
        <v>28</v>
      </c>
      <c r="I119" s="13"/>
    </row>
    <row r="120" spans="1:9" ht="15" x14ac:dyDescent="0.15">
      <c r="A120" s="11" t="s">
        <v>29</v>
      </c>
      <c r="B120" s="12" t="str">
        <f>Catalog!E51</f>
        <v>ultimateFreeze</v>
      </c>
      <c r="C120" s="20">
        <f>Catalog!BD51</f>
        <v>2</v>
      </c>
      <c r="D120" s="20" t="str">
        <f>Catalog!BE51</f>
        <v>unlocked</v>
      </c>
      <c r="E120" s="19" t="s">
        <v>24</v>
      </c>
      <c r="F120" s="20" t="str">
        <f>Catalog!BK51</f>
        <v>Vector's Piranha-sicle</v>
      </c>
      <c r="G120" s="15" t="s">
        <v>12</v>
      </c>
      <c r="I120" s="13"/>
    </row>
    <row r="121" spans="1:9" ht="28" x14ac:dyDescent="0.15">
      <c r="A121" s="11" t="s">
        <v>29</v>
      </c>
      <c r="B121" s="12" t="str">
        <f>Catalog!E51</f>
        <v>ultimateFreeze</v>
      </c>
      <c r="C121" s="20">
        <f>Catalog!BD51</f>
        <v>2</v>
      </c>
      <c r="D121" s="20" t="str">
        <f>Catalog!BE51</f>
        <v>unlocked</v>
      </c>
      <c r="E121" s="19" t="s">
        <v>25</v>
      </c>
      <c r="F121" s="20" t="str">
        <f>Catalog!$BL$51</f>
        <v>A frozen Piranha-sicle latches onto targets before shattering!</v>
      </c>
      <c r="G121" s="15" t="s">
        <v>12</v>
      </c>
      <c r="I121" s="13"/>
    </row>
    <row r="122" spans="1:9" ht="15" x14ac:dyDescent="0.15">
      <c r="A122" s="11" t="s">
        <v>29</v>
      </c>
      <c r="B122" s="12" t="str">
        <f>Catalog!E52</f>
        <v>ultimateLightning</v>
      </c>
      <c r="C122" s="20">
        <f>Catalog!W52</f>
        <v>0</v>
      </c>
      <c r="D122" s="20" t="str">
        <f>Catalog!X52</f>
        <v>locked</v>
      </c>
      <c r="E122" s="19" t="s">
        <v>23</v>
      </c>
      <c r="F122" s="20" t="str">
        <f>Catalog!AB52</f>
        <v>BOOM! (TM) Box</v>
      </c>
      <c r="G122" s="15" t="s">
        <v>12</v>
      </c>
      <c r="I122" s="13"/>
    </row>
    <row r="123" spans="1:9" ht="15" x14ac:dyDescent="0.15">
      <c r="A123" s="11" t="s">
        <v>29</v>
      </c>
      <c r="B123" s="12" t="str">
        <f>Catalog!E52</f>
        <v>ultimateLightning</v>
      </c>
      <c r="C123" s="20">
        <f>Catalog!W52</f>
        <v>0</v>
      </c>
      <c r="D123" s="20" t="str">
        <f>Catalog!X52</f>
        <v>locked</v>
      </c>
      <c r="E123" s="19" t="s">
        <v>24</v>
      </c>
      <c r="F123" s="20" t="str">
        <f>Catalog!AC52</f>
        <v>Bratt's BOOM! (TM) Box</v>
      </c>
      <c r="G123" s="15" t="s">
        <v>12</v>
      </c>
      <c r="I123" s="13"/>
    </row>
    <row r="124" spans="1:9" ht="28" x14ac:dyDescent="0.15">
      <c r="A124" s="11" t="s">
        <v>29</v>
      </c>
      <c r="B124" s="12" t="str">
        <f>Catalog!E52</f>
        <v>ultimateLightning</v>
      </c>
      <c r="C124" s="20">
        <f>Catalog!W53</f>
        <v>0</v>
      </c>
      <c r="D124" s="20" t="str">
        <f>Catalog!X52</f>
        <v>locked</v>
      </c>
      <c r="E124" s="19" t="s">
        <v>25</v>
      </c>
      <c r="F124" s="20" t="str">
        <f>Catalog!AD52</f>
        <v>You must complete Bratt's mission to unlock his ultimate blaster!</v>
      </c>
      <c r="G124" s="15" t="s">
        <v>28</v>
      </c>
      <c r="I124" s="13"/>
    </row>
    <row r="125" spans="1:9" ht="15" x14ac:dyDescent="0.15">
      <c r="A125" s="11" t="s">
        <v>29</v>
      </c>
      <c r="B125" s="12" t="str">
        <f>Catalog!E52</f>
        <v>ultimateLightning</v>
      </c>
      <c r="C125" s="20">
        <f>Catalog!BD52</f>
        <v>2</v>
      </c>
      <c r="D125" s="20" t="str">
        <f>Catalog!BE52</f>
        <v>unlocked</v>
      </c>
      <c r="E125" s="19" t="s">
        <v>24</v>
      </c>
      <c r="F125" s="20" t="str">
        <f>Catalog!BK52</f>
        <v>Bratt's BOOM! (TM) Box</v>
      </c>
      <c r="G125" s="15" t="s">
        <v>12</v>
      </c>
      <c r="I125" s="13"/>
    </row>
    <row r="126" spans="1:9" ht="15" x14ac:dyDescent="0.15">
      <c r="A126" s="11" t="s">
        <v>29</v>
      </c>
      <c r="B126" s="12" t="str">
        <f>Catalog!E52</f>
        <v>ultimateLightning</v>
      </c>
      <c r="C126" s="20">
        <f>Catalog!BD52</f>
        <v>2</v>
      </c>
      <c r="D126" s="20" t="str">
        <f>Catalog!BE52</f>
        <v>unlocked</v>
      </c>
      <c r="E126" s="19" t="s">
        <v>25</v>
      </c>
      <c r="F126" s="20" t="str">
        <f>Catalog!$BL$52</f>
        <v>A storm of exploding musical notes!</v>
      </c>
      <c r="G126" s="15" t="s">
        <v>12</v>
      </c>
      <c r="I126" s="13"/>
    </row>
    <row r="127" spans="1:9" ht="15" x14ac:dyDescent="0.15">
      <c r="A127" s="11" t="s">
        <v>30</v>
      </c>
      <c r="B127" s="12" t="str">
        <f>'TitleData texts.mobileApp'!C102</f>
        <v>lab.perks.header.perks</v>
      </c>
      <c r="C127" s="19"/>
      <c r="D127" s="13" t="s">
        <v>10</v>
      </c>
      <c r="E127" s="14" t="s">
        <v>19</v>
      </c>
      <c r="F127" s="19" t="str">
        <f>'TitleData texts.mobileApp'!E102</f>
        <v>PERKS</v>
      </c>
      <c r="G127" s="15" t="s">
        <v>12</v>
      </c>
      <c r="I127" s="13"/>
    </row>
    <row r="128" spans="1:9" ht="15" x14ac:dyDescent="0.15">
      <c r="A128" s="11" t="s">
        <v>30</v>
      </c>
      <c r="B128" s="12" t="str">
        <f>'TitleData texts.mobileApp'!C103</f>
        <v>lab.perks.header.description</v>
      </c>
      <c r="C128" s="19"/>
      <c r="D128" s="13" t="s">
        <v>10</v>
      </c>
      <c r="E128" s="14" t="s">
        <v>20</v>
      </c>
      <c r="F128" s="19" t="str">
        <f>'TitleData texts.mobileApp'!E103</f>
        <v>Mod your blaster to make it more powerful!</v>
      </c>
      <c r="G128" s="15" t="s">
        <v>12</v>
      </c>
      <c r="I128" s="13"/>
    </row>
    <row r="129" spans="1:9" ht="70" x14ac:dyDescent="0.15">
      <c r="A129" s="11" t="s">
        <v>30</v>
      </c>
      <c r="B129" s="12" t="str">
        <f>'TitleData texts.mobileApp'!C104</f>
        <v>lab.perks.msg.help</v>
      </c>
      <c r="C129" s="19"/>
      <c r="D129" s="13" t="s">
        <v>10</v>
      </c>
      <c r="E129" s="14" t="s">
        <v>21</v>
      </c>
      <c r="F129" s="19" t="str">
        <f>'TitleData texts.mobileApp'!E104</f>
        <v>IMPROVE
Your blaster with perks to blast through the challenge!
INCREASE PLAYER LEVEL
To unlock new perks and perk slots!</v>
      </c>
      <c r="G129" s="15" t="s">
        <v>12</v>
      </c>
      <c r="I129" s="13"/>
    </row>
    <row r="130" spans="1:9" ht="15" x14ac:dyDescent="0.15">
      <c r="A130" s="11" t="s">
        <v>30</v>
      </c>
      <c r="B130" s="12" t="str">
        <f>'TitleData texts.mobileApp'!C105</f>
        <v>lab.perks.msg.perkSlotAvailable</v>
      </c>
      <c r="C130" s="19"/>
      <c r="D130" s="13" t="s">
        <v>10</v>
      </c>
      <c r="E130" s="14" t="s">
        <v>31</v>
      </c>
      <c r="F130" s="19" t="str">
        <f>'TitleData texts.mobileApp'!E105</f>
        <v>Select a perk!</v>
      </c>
      <c r="G130" s="15" t="s">
        <v>12</v>
      </c>
      <c r="I130" s="13"/>
    </row>
    <row r="131" spans="1:9" ht="15" x14ac:dyDescent="0.15">
      <c r="A131" s="11" t="s">
        <v>30</v>
      </c>
      <c r="B131" s="12" t="str">
        <f>'TitleData texts.mobileApp'!C106</f>
        <v>lab.perks.msg.perkSlotLocked</v>
      </c>
      <c r="C131" s="19"/>
      <c r="D131" s="13" t="s">
        <v>10</v>
      </c>
      <c r="E131" s="14" t="s">
        <v>31</v>
      </c>
      <c r="F131" s="19" t="str">
        <f>'TitleData texts.mobileApp'!E106</f>
        <v>Unlock at Level ${level}</v>
      </c>
      <c r="G131" s="15" t="s">
        <v>12</v>
      </c>
      <c r="I131" s="13"/>
    </row>
    <row r="132" spans="1:9" ht="15" x14ac:dyDescent="0.15">
      <c r="A132" s="11" t="s">
        <v>30</v>
      </c>
      <c r="B132" s="12" t="str">
        <f>Catalog!E61</f>
        <v>perkMultiLightning</v>
      </c>
      <c r="C132" s="20">
        <f>Catalog!W61</f>
        <v>0</v>
      </c>
      <c r="D132" s="20" t="str">
        <f>Catalog!X61</f>
        <v>locked</v>
      </c>
      <c r="E132" s="19" t="s">
        <v>23</v>
      </c>
      <c r="F132" s="19" t="str">
        <f>Catalog!AB61</f>
        <v>Lightning Multiburst</v>
      </c>
      <c r="G132" s="15" t="s">
        <v>28</v>
      </c>
      <c r="I132" s="13"/>
    </row>
    <row r="133" spans="1:9" ht="15" x14ac:dyDescent="0.15">
      <c r="A133" s="11" t="s">
        <v>30</v>
      </c>
      <c r="B133" s="12" t="str">
        <f>Catalog!E61</f>
        <v>perkMultiLightning</v>
      </c>
      <c r="C133" s="20">
        <f>Catalog!W61</f>
        <v>0</v>
      </c>
      <c r="D133" s="20" t="str">
        <f>Catalog!X61</f>
        <v>locked</v>
      </c>
      <c r="E133" s="19" t="s">
        <v>24</v>
      </c>
      <c r="F133" s="19" t="str">
        <f>Catalog!AC61</f>
        <v>Activate a multiburst of Lightning!</v>
      </c>
      <c r="G133" s="15" t="s">
        <v>12</v>
      </c>
      <c r="I133" s="13"/>
    </row>
    <row r="134" spans="1:9" ht="15" x14ac:dyDescent="0.15">
      <c r="A134" s="11" t="s">
        <v>30</v>
      </c>
      <c r="B134" s="12" t="str">
        <f>Catalog!E61</f>
        <v>perkMultiLightning</v>
      </c>
      <c r="C134" s="20">
        <f>Catalog!W61</f>
        <v>0</v>
      </c>
      <c r="D134" s="20" t="str">
        <f>Catalog!X61</f>
        <v>locked</v>
      </c>
      <c r="E134" s="19" t="s">
        <v>25</v>
      </c>
      <c r="F134" s="19" t="str">
        <f>Catalog!AD61</f>
        <v>Get multiple consecutive blasts for the Lightning elemental</v>
      </c>
      <c r="G134" s="15" t="s">
        <v>12</v>
      </c>
      <c r="I134" s="13"/>
    </row>
    <row r="135" spans="1:9" ht="15" x14ac:dyDescent="0.15">
      <c r="A135" s="11" t="s">
        <v>30</v>
      </c>
      <c r="B135" s="12" t="str">
        <f>Catalog!E61</f>
        <v>perkMultiLightning</v>
      </c>
      <c r="C135" s="19">
        <f>Catalog!BD61</f>
        <v>2</v>
      </c>
      <c r="D135" s="20" t="str">
        <f>Catalog!BE61</f>
        <v>unlocked</v>
      </c>
      <c r="E135" s="19" t="s">
        <v>25</v>
      </c>
      <c r="F135" s="19" t="str">
        <f>Catalog!BL61</f>
        <v>Get multiple consecutive blasts for the Lightning elemental</v>
      </c>
      <c r="G135" s="15" t="s">
        <v>12</v>
      </c>
      <c r="I135" s="13"/>
    </row>
    <row r="136" spans="1:9" ht="15" x14ac:dyDescent="0.15">
      <c r="A136" s="21" t="s">
        <v>30</v>
      </c>
      <c r="B136" s="22" t="str">
        <f>Catalog!E63</f>
        <v>perkMultiForce</v>
      </c>
      <c r="C136" s="23">
        <f>Catalog!W63</f>
        <v>0</v>
      </c>
      <c r="D136" s="24" t="str">
        <f>Catalog!X63</f>
        <v>locked</v>
      </c>
      <c r="E136" s="25" t="s">
        <v>23</v>
      </c>
      <c r="F136" s="25" t="str">
        <f>Catalog!AB63</f>
        <v>Force Multiburst</v>
      </c>
      <c r="G136" s="15" t="s">
        <v>12</v>
      </c>
      <c r="I136" s="13"/>
    </row>
    <row r="137" spans="1:9" ht="15" x14ac:dyDescent="0.15">
      <c r="A137" s="21" t="s">
        <v>30</v>
      </c>
      <c r="B137" s="22" t="str">
        <f>Catalog!E63</f>
        <v>perkMultiForce</v>
      </c>
      <c r="C137" s="23">
        <f>Catalog!W63</f>
        <v>0</v>
      </c>
      <c r="D137" s="24" t="str">
        <f>Catalog!X63</f>
        <v>locked</v>
      </c>
      <c r="E137" s="25" t="s">
        <v>24</v>
      </c>
      <c r="F137" s="25" t="str">
        <f>Catalog!AC63</f>
        <v>Activate a multiburst of Force!</v>
      </c>
      <c r="G137" s="15" t="s">
        <v>12</v>
      </c>
      <c r="I137" s="13"/>
    </row>
    <row r="138" spans="1:9" ht="15" x14ac:dyDescent="0.15">
      <c r="A138" s="21" t="s">
        <v>30</v>
      </c>
      <c r="B138" s="22" t="str">
        <f>Catalog!E63</f>
        <v>perkMultiForce</v>
      </c>
      <c r="C138" s="23">
        <f>Catalog!W63</f>
        <v>0</v>
      </c>
      <c r="D138" s="24" t="str">
        <f>Catalog!X63</f>
        <v>locked</v>
      </c>
      <c r="E138" s="25" t="s">
        <v>25</v>
      </c>
      <c r="F138" s="25" t="str">
        <f>Catalog!AD63</f>
        <v>Get multiple consecutive blasts for the Force elemental</v>
      </c>
      <c r="G138" s="15" t="s">
        <v>12</v>
      </c>
      <c r="I138" s="13"/>
    </row>
    <row r="139" spans="1:9" ht="15" x14ac:dyDescent="0.15">
      <c r="A139" s="21" t="s">
        <v>30</v>
      </c>
      <c r="B139" s="22" t="str">
        <f>Catalog!E63</f>
        <v>perkMultiForce</v>
      </c>
      <c r="C139" s="23">
        <f>Catalog!BD63</f>
        <v>2</v>
      </c>
      <c r="D139" s="24" t="str">
        <f>Catalog!BE63</f>
        <v>unlocked</v>
      </c>
      <c r="E139" s="25" t="s">
        <v>25</v>
      </c>
      <c r="F139" s="25" t="str">
        <f>Catalog!BL63</f>
        <v>Get multiple consecutive blasts for the Force elemental</v>
      </c>
      <c r="G139" s="15" t="s">
        <v>12</v>
      </c>
      <c r="I139" s="13"/>
    </row>
    <row r="140" spans="1:9" ht="15" x14ac:dyDescent="0.15">
      <c r="A140" s="21" t="s">
        <v>30</v>
      </c>
      <c r="B140" s="22" t="str">
        <f>Catalog!E64</f>
        <v>perkMultiFreeze</v>
      </c>
      <c r="C140" s="23">
        <f>Catalog!W64</f>
        <v>0</v>
      </c>
      <c r="D140" s="24" t="str">
        <f>Catalog!X64</f>
        <v>locked</v>
      </c>
      <c r="E140" s="25" t="s">
        <v>23</v>
      </c>
      <c r="F140" s="25" t="str">
        <f>Catalog!AB64</f>
        <v>Freeze Ray Multiburst</v>
      </c>
      <c r="G140" s="15" t="s">
        <v>12</v>
      </c>
      <c r="I140" s="13"/>
    </row>
    <row r="141" spans="1:9" ht="15" x14ac:dyDescent="0.15">
      <c r="A141" s="21" t="s">
        <v>30</v>
      </c>
      <c r="B141" s="22" t="str">
        <f>Catalog!E64</f>
        <v>perkMultiFreeze</v>
      </c>
      <c r="C141" s="23">
        <f>Catalog!W64</f>
        <v>0</v>
      </c>
      <c r="D141" s="24" t="str">
        <f>Catalog!X64</f>
        <v>locked</v>
      </c>
      <c r="E141" s="25" t="s">
        <v>24</v>
      </c>
      <c r="F141" s="25" t="str">
        <f>Catalog!AC64</f>
        <v>Activate a multiburst of Freeze!</v>
      </c>
      <c r="G141" s="15" t="s">
        <v>12</v>
      </c>
      <c r="I141" s="13"/>
    </row>
    <row r="142" spans="1:9" ht="15" x14ac:dyDescent="0.15">
      <c r="A142" s="21" t="s">
        <v>30</v>
      </c>
      <c r="B142" s="22" t="str">
        <f>Catalog!E64</f>
        <v>perkMultiFreeze</v>
      </c>
      <c r="C142" s="23">
        <f>Catalog!W64</f>
        <v>0</v>
      </c>
      <c r="D142" s="24" t="str">
        <f>Catalog!X64</f>
        <v>locked</v>
      </c>
      <c r="E142" s="25" t="s">
        <v>25</v>
      </c>
      <c r="F142" s="25" t="str">
        <f>Catalog!AD64</f>
        <v>Get multiple consecutive blasts for the Freeze elemental</v>
      </c>
      <c r="G142" s="15" t="s">
        <v>12</v>
      </c>
      <c r="I142" s="13"/>
    </row>
    <row r="143" spans="1:9" ht="15" x14ac:dyDescent="0.15">
      <c r="A143" s="21" t="s">
        <v>30</v>
      </c>
      <c r="B143" s="22" t="str">
        <f>Catalog!E64</f>
        <v>perkMultiFreeze</v>
      </c>
      <c r="C143" s="23">
        <f>Catalog!BD64</f>
        <v>2</v>
      </c>
      <c r="D143" s="24" t="str">
        <f>Catalog!BE64</f>
        <v>unlocked</v>
      </c>
      <c r="E143" s="25" t="s">
        <v>25</v>
      </c>
      <c r="F143" s="25" t="str">
        <f>Catalog!BL64</f>
        <v>Get multiple consecutive blasts for the Freeze elemental</v>
      </c>
      <c r="G143" s="15" t="s">
        <v>12</v>
      </c>
      <c r="I143" s="13"/>
    </row>
    <row r="144" spans="1:9" ht="15" x14ac:dyDescent="0.15">
      <c r="A144" s="21" t="s">
        <v>30</v>
      </c>
      <c r="B144" s="22" t="str">
        <f>Catalog!E65</f>
        <v>perkMultiFire</v>
      </c>
      <c r="C144" s="23">
        <f>Catalog!W65</f>
        <v>0</v>
      </c>
      <c r="D144" s="24" t="str">
        <f>Catalog!X65</f>
        <v>locked</v>
      </c>
      <c r="E144" s="25" t="s">
        <v>23</v>
      </c>
      <c r="F144" s="25" t="str">
        <f>Catalog!AB65</f>
        <v>Fire Ball Multiburst</v>
      </c>
      <c r="G144" s="15" t="s">
        <v>12</v>
      </c>
      <c r="I144" s="13"/>
    </row>
    <row r="145" spans="1:9" ht="15" x14ac:dyDescent="0.15">
      <c r="A145" s="21" t="s">
        <v>30</v>
      </c>
      <c r="B145" s="22" t="str">
        <f>Catalog!E65</f>
        <v>perkMultiFire</v>
      </c>
      <c r="C145" s="23">
        <f>Catalog!W65</f>
        <v>0</v>
      </c>
      <c r="D145" s="24" t="str">
        <f>Catalog!X65</f>
        <v>locked</v>
      </c>
      <c r="E145" s="25" t="s">
        <v>24</v>
      </c>
      <c r="F145" s="25" t="str">
        <f>Catalog!AC65</f>
        <v>Activate a multiburst of Fire!</v>
      </c>
      <c r="G145" s="15" t="s">
        <v>12</v>
      </c>
      <c r="I145" s="13"/>
    </row>
    <row r="146" spans="1:9" ht="15" x14ac:dyDescent="0.15">
      <c r="A146" s="21" t="s">
        <v>30</v>
      </c>
      <c r="B146" s="22" t="str">
        <f>Catalog!E65</f>
        <v>perkMultiFire</v>
      </c>
      <c r="C146" s="23">
        <f>Catalog!W65</f>
        <v>0</v>
      </c>
      <c r="D146" s="24" t="str">
        <f>Catalog!X65</f>
        <v>locked</v>
      </c>
      <c r="E146" s="25" t="s">
        <v>25</v>
      </c>
      <c r="F146" s="25" t="str">
        <f>Catalog!AD65</f>
        <v>Get multiple consecutive blasts for the Fire elemental</v>
      </c>
      <c r="G146" s="15" t="s">
        <v>12</v>
      </c>
      <c r="I146" s="13"/>
    </row>
    <row r="147" spans="1:9" ht="15" x14ac:dyDescent="0.15">
      <c r="A147" s="21" t="s">
        <v>30</v>
      </c>
      <c r="B147" s="22" t="str">
        <f>Catalog!E65</f>
        <v>perkMultiFire</v>
      </c>
      <c r="C147" s="23">
        <f>Catalog!BD65</f>
        <v>2</v>
      </c>
      <c r="D147" s="24" t="str">
        <f>Catalog!BE65</f>
        <v>unlocked</v>
      </c>
      <c r="E147" s="25" t="s">
        <v>25</v>
      </c>
      <c r="F147" s="25" t="str">
        <f>Catalog!BL65</f>
        <v>Get multiple consecutive blasts for the Fire elemental</v>
      </c>
      <c r="G147" s="15" t="s">
        <v>12</v>
      </c>
      <c r="I147" s="13"/>
    </row>
    <row r="148" spans="1:9" ht="15" x14ac:dyDescent="0.15">
      <c r="A148" s="21" t="s">
        <v>30</v>
      </c>
      <c r="B148" s="22" t="str">
        <f>Catalog!E66</f>
        <v>perkDamageForce</v>
      </c>
      <c r="C148" s="23">
        <f>Catalog!W66</f>
        <v>0</v>
      </c>
      <c r="D148" s="24" t="str">
        <f>Catalog!X66</f>
        <v>locked</v>
      </c>
      <c r="E148" s="25" t="s">
        <v>23</v>
      </c>
      <c r="F148" s="25" t="str">
        <f>Catalog!AB66</f>
        <v>Force Supercharge</v>
      </c>
      <c r="G148" s="15" t="s">
        <v>12</v>
      </c>
      <c r="I148" s="13"/>
    </row>
    <row r="149" spans="1:9" ht="15" x14ac:dyDescent="0.15">
      <c r="A149" s="21" t="s">
        <v>30</v>
      </c>
      <c r="B149" s="22" t="str">
        <f>Catalog!E66</f>
        <v>perkDamageForce</v>
      </c>
      <c r="C149" s="23">
        <f>Catalog!W66</f>
        <v>0</v>
      </c>
      <c r="D149" s="24" t="str">
        <f>Catalog!X66</f>
        <v>locked</v>
      </c>
      <c r="E149" s="25" t="s">
        <v>24</v>
      </c>
      <c r="F149" s="25" t="str">
        <f>Catalog!AC66</f>
        <v>Bigger Force blasts deal extra damage!</v>
      </c>
      <c r="G149" s="15" t="s">
        <v>12</v>
      </c>
      <c r="I149" s="13"/>
    </row>
    <row r="150" spans="1:9" ht="15" x14ac:dyDescent="0.15">
      <c r="A150" s="21" t="s">
        <v>30</v>
      </c>
      <c r="B150" s="22" t="str">
        <f>Catalog!E66</f>
        <v>perkDamageForce</v>
      </c>
      <c r="C150" s="23">
        <f>Catalog!W66</f>
        <v>0</v>
      </c>
      <c r="D150" s="24" t="str">
        <f>Catalog!X66</f>
        <v>locked</v>
      </c>
      <c r="E150" s="25" t="s">
        <v>25</v>
      </c>
      <c r="F150" s="25" t="str">
        <f>Catalog!AD66</f>
        <v>Your Force elemental is bigger and badder!</v>
      </c>
      <c r="G150" s="15" t="s">
        <v>12</v>
      </c>
      <c r="I150" s="13"/>
    </row>
    <row r="151" spans="1:9" ht="15" x14ac:dyDescent="0.15">
      <c r="A151" s="21" t="s">
        <v>30</v>
      </c>
      <c r="B151" s="22" t="str">
        <f>Catalog!E66</f>
        <v>perkDamageForce</v>
      </c>
      <c r="C151" s="23">
        <f>Catalog!BD66</f>
        <v>2</v>
      </c>
      <c r="D151" s="24" t="str">
        <f>Catalog!BE66</f>
        <v>unlocked</v>
      </c>
      <c r="E151" s="25" t="s">
        <v>25</v>
      </c>
      <c r="F151" s="25" t="str">
        <f>Catalog!BL66</f>
        <v>Your Force elemental is bigger and badder!</v>
      </c>
      <c r="G151" s="15" t="s">
        <v>12</v>
      </c>
      <c r="I151" s="13"/>
    </row>
    <row r="152" spans="1:9" ht="15" x14ac:dyDescent="0.15">
      <c r="A152" s="21" t="s">
        <v>30</v>
      </c>
      <c r="B152" s="22" t="str">
        <f>Catalog!E67</f>
        <v>perkDamageFire</v>
      </c>
      <c r="C152" s="23">
        <f>Catalog!W67</f>
        <v>0</v>
      </c>
      <c r="D152" s="24" t="str">
        <f>Catalog!X67</f>
        <v>locked</v>
      </c>
      <c r="E152" s="25" t="s">
        <v>23</v>
      </c>
      <c r="F152" s="25" t="str">
        <f>Catalog!AB67</f>
        <v>Fire Ball Supercharge</v>
      </c>
      <c r="G152" s="15" t="s">
        <v>12</v>
      </c>
      <c r="I152" s="13"/>
    </row>
    <row r="153" spans="1:9" ht="15" x14ac:dyDescent="0.15">
      <c r="A153" s="21" t="s">
        <v>30</v>
      </c>
      <c r="B153" s="22" t="str">
        <f>Catalog!E67</f>
        <v>perkDamageFire</v>
      </c>
      <c r="C153" s="23">
        <f>Catalog!W67</f>
        <v>0</v>
      </c>
      <c r="D153" s="24" t="str">
        <f>Catalog!X67</f>
        <v>locked</v>
      </c>
      <c r="E153" s="25" t="s">
        <v>24</v>
      </c>
      <c r="F153" s="25" t="str">
        <f>Catalog!AC67</f>
        <v>Bigger Fire blasts deal extra damage!</v>
      </c>
      <c r="G153" s="15" t="s">
        <v>12</v>
      </c>
      <c r="I153" s="13"/>
    </row>
    <row r="154" spans="1:9" ht="15" x14ac:dyDescent="0.15">
      <c r="A154" s="21" t="s">
        <v>30</v>
      </c>
      <c r="B154" s="22" t="str">
        <f>Catalog!E67</f>
        <v>perkDamageFire</v>
      </c>
      <c r="C154" s="23">
        <f>Catalog!W67</f>
        <v>0</v>
      </c>
      <c r="D154" s="24" t="str">
        <f>Catalog!X67</f>
        <v>locked</v>
      </c>
      <c r="E154" s="25" t="s">
        <v>25</v>
      </c>
      <c r="F154" s="25" t="str">
        <f>Catalog!AD67</f>
        <v>Your Fire elemental is bigger and badder!</v>
      </c>
      <c r="G154" s="15" t="s">
        <v>12</v>
      </c>
      <c r="I154" s="13"/>
    </row>
    <row r="155" spans="1:9" ht="15" x14ac:dyDescent="0.15">
      <c r="A155" s="21" t="s">
        <v>30</v>
      </c>
      <c r="B155" s="22" t="str">
        <f>Catalog!E67</f>
        <v>perkDamageFire</v>
      </c>
      <c r="C155" s="23">
        <f>Catalog!BD67</f>
        <v>2</v>
      </c>
      <c r="D155" s="24" t="str">
        <f>Catalog!BE67</f>
        <v>unlocked</v>
      </c>
      <c r="E155" s="25" t="s">
        <v>25</v>
      </c>
      <c r="F155" s="25" t="str">
        <f>Catalog!BL67</f>
        <v>Your Fire elemental is bigger and badder!</v>
      </c>
      <c r="G155" s="15" t="s">
        <v>12</v>
      </c>
      <c r="I155" s="13"/>
    </row>
    <row r="156" spans="1:9" ht="15" x14ac:dyDescent="0.15">
      <c r="A156" s="21" t="s">
        <v>30</v>
      </c>
      <c r="B156" s="22" t="str">
        <f>Catalog!E68</f>
        <v>perkDamageFreeze</v>
      </c>
      <c r="C156" s="23">
        <f>Catalog!W68</f>
        <v>0</v>
      </c>
      <c r="D156" s="24" t="str">
        <f>Catalog!X68</f>
        <v>locked</v>
      </c>
      <c r="E156" s="25" t="s">
        <v>23</v>
      </c>
      <c r="F156" s="25" t="str">
        <f>Catalog!AB68</f>
        <v>Freeze Ray Supercharge</v>
      </c>
      <c r="G156" s="15" t="s">
        <v>12</v>
      </c>
      <c r="I156" s="13"/>
    </row>
    <row r="157" spans="1:9" ht="15" x14ac:dyDescent="0.15">
      <c r="A157" s="21" t="s">
        <v>30</v>
      </c>
      <c r="B157" s="22" t="str">
        <f>Catalog!E68</f>
        <v>perkDamageFreeze</v>
      </c>
      <c r="C157" s="23">
        <f>Catalog!W68</f>
        <v>0</v>
      </c>
      <c r="D157" s="24" t="str">
        <f>Catalog!X68</f>
        <v>locked</v>
      </c>
      <c r="E157" s="25" t="s">
        <v>24</v>
      </c>
      <c r="F157" s="25" t="str">
        <f>Catalog!AC68</f>
        <v>Bigger Freeze blasts deal extra damage!</v>
      </c>
      <c r="G157" s="15" t="s">
        <v>12</v>
      </c>
      <c r="I157" s="13"/>
    </row>
    <row r="158" spans="1:9" ht="15" x14ac:dyDescent="0.15">
      <c r="A158" s="21" t="s">
        <v>30</v>
      </c>
      <c r="B158" s="22" t="str">
        <f>Catalog!E68</f>
        <v>perkDamageFreeze</v>
      </c>
      <c r="C158" s="23">
        <f>Catalog!W68</f>
        <v>0</v>
      </c>
      <c r="D158" s="24" t="str">
        <f>Catalog!X68</f>
        <v>locked</v>
      </c>
      <c r="E158" s="25" t="s">
        <v>25</v>
      </c>
      <c r="F158" s="25" t="str">
        <f>Catalog!AD68</f>
        <v>Your Freeze elemental is bigger and badder!</v>
      </c>
      <c r="G158" s="15" t="s">
        <v>12</v>
      </c>
      <c r="I158" s="13"/>
    </row>
    <row r="159" spans="1:9" ht="15" x14ac:dyDescent="0.15">
      <c r="A159" s="21" t="s">
        <v>30</v>
      </c>
      <c r="B159" s="22" t="str">
        <f>Catalog!E68</f>
        <v>perkDamageFreeze</v>
      </c>
      <c r="C159" s="23">
        <f>Catalog!BD68</f>
        <v>2</v>
      </c>
      <c r="D159" s="24" t="str">
        <f>Catalog!BE68</f>
        <v>unlocked</v>
      </c>
      <c r="E159" s="25" t="s">
        <v>25</v>
      </c>
      <c r="F159" s="25" t="str">
        <f>Catalog!BL68</f>
        <v>Your Freeze elemental is bigger and badder!</v>
      </c>
      <c r="G159" s="15" t="s">
        <v>12</v>
      </c>
      <c r="I159" s="13"/>
    </row>
    <row r="160" spans="1:9" ht="15" x14ac:dyDescent="0.15">
      <c r="A160" s="21" t="s">
        <v>30</v>
      </c>
      <c r="B160" s="22" t="str">
        <f>Catalog!E70</f>
        <v>perkDamageLightning</v>
      </c>
      <c r="C160" s="23">
        <f>Catalog!W70</f>
        <v>0</v>
      </c>
      <c r="D160" s="24" t="str">
        <f>Catalog!X70</f>
        <v>locked</v>
      </c>
      <c r="E160" s="25" t="s">
        <v>23</v>
      </c>
      <c r="F160" s="25" t="str">
        <f>Catalog!AB70</f>
        <v>Lightning Supercharge</v>
      </c>
      <c r="G160" s="15" t="s">
        <v>28</v>
      </c>
      <c r="I160" s="13"/>
    </row>
    <row r="161" spans="1:9" ht="15" x14ac:dyDescent="0.15">
      <c r="A161" s="21" t="s">
        <v>30</v>
      </c>
      <c r="B161" s="22" t="str">
        <f>Catalog!E70</f>
        <v>perkDamageLightning</v>
      </c>
      <c r="C161" s="23">
        <f>Catalog!W70</f>
        <v>0</v>
      </c>
      <c r="D161" s="24" t="str">
        <f>Catalog!X70</f>
        <v>locked</v>
      </c>
      <c r="E161" s="25" t="s">
        <v>24</v>
      </c>
      <c r="F161" s="25" t="str">
        <f>Catalog!AC70</f>
        <v>Bigger Lightning blasts deal extra damage!</v>
      </c>
      <c r="G161" s="15" t="s">
        <v>12</v>
      </c>
      <c r="I161" s="13"/>
    </row>
    <row r="162" spans="1:9" ht="15" x14ac:dyDescent="0.15">
      <c r="A162" s="21" t="s">
        <v>30</v>
      </c>
      <c r="B162" s="22" t="str">
        <f>Catalog!E70</f>
        <v>perkDamageLightning</v>
      </c>
      <c r="C162" s="23">
        <f>Catalog!W70</f>
        <v>0</v>
      </c>
      <c r="D162" s="24" t="str">
        <f>Catalog!X70</f>
        <v>locked</v>
      </c>
      <c r="E162" s="25" t="s">
        <v>25</v>
      </c>
      <c r="F162" s="25" t="str">
        <f>Catalog!AD70</f>
        <v>Your Lightning elemental is bigger and badder!</v>
      </c>
      <c r="G162" s="15" t="s">
        <v>12</v>
      </c>
      <c r="I162" s="13"/>
    </row>
    <row r="163" spans="1:9" ht="15" x14ac:dyDescent="0.15">
      <c r="A163" s="21" t="s">
        <v>30</v>
      </c>
      <c r="B163" s="22" t="str">
        <f>Catalog!E70</f>
        <v>perkDamageLightning</v>
      </c>
      <c r="C163" s="23">
        <f>Catalog!BD70</f>
        <v>2</v>
      </c>
      <c r="D163" s="24" t="str">
        <f>Catalog!BE70</f>
        <v>unlocked</v>
      </c>
      <c r="E163" s="25" t="s">
        <v>25</v>
      </c>
      <c r="F163" s="25" t="str">
        <f>Catalog!BL70</f>
        <v>Your Lightning elemental is bigger and badder!</v>
      </c>
      <c r="G163" s="15" t="s">
        <v>12</v>
      </c>
      <c r="I163" s="13"/>
    </row>
    <row r="164" spans="1:9" ht="15" x14ac:dyDescent="0.15">
      <c r="A164" s="21" t="s">
        <v>30</v>
      </c>
      <c r="B164" s="22" t="str">
        <f>Catalog!E71</f>
        <v>perkSpreadForce</v>
      </c>
      <c r="C164" s="23">
        <f>Catalog!W71</f>
        <v>0</v>
      </c>
      <c r="D164" s="24" t="str">
        <f>Catalog!X71</f>
        <v>locked</v>
      </c>
      <c r="E164" s="25" t="s">
        <v>23</v>
      </c>
      <c r="F164" s="25" t="str">
        <f>Catalog!AB71</f>
        <v>Force Spread Blast</v>
      </c>
      <c r="G164" s="15" t="s">
        <v>12</v>
      </c>
      <c r="I164" s="13"/>
    </row>
    <row r="165" spans="1:9" ht="15" x14ac:dyDescent="0.15">
      <c r="A165" s="21" t="s">
        <v>30</v>
      </c>
      <c r="B165" s="22" t="str">
        <f>Catalog!E71</f>
        <v>perkSpreadForce</v>
      </c>
      <c r="C165" s="23">
        <f>Catalog!W71</f>
        <v>0</v>
      </c>
      <c r="D165" s="24" t="str">
        <f>Catalog!X71</f>
        <v>locked</v>
      </c>
      <c r="E165" s="25" t="s">
        <v>24</v>
      </c>
      <c r="F165" s="25" t="str">
        <f>Catalog!AC71</f>
        <v>Send out a wide spread-blast of Force!</v>
      </c>
      <c r="G165" s="15" t="s">
        <v>12</v>
      </c>
      <c r="I165" s="13"/>
    </row>
    <row r="166" spans="1:9" ht="15" x14ac:dyDescent="0.15">
      <c r="A166" s="21" t="s">
        <v>30</v>
      </c>
      <c r="B166" s="22" t="str">
        <f>Catalog!E71</f>
        <v>perkSpreadForce</v>
      </c>
      <c r="C166" s="23">
        <f>Catalog!W71</f>
        <v>0</v>
      </c>
      <c r="D166" s="24" t="str">
        <f>Catalog!X71</f>
        <v>locked</v>
      </c>
      <c r="E166" s="25" t="s">
        <v>25</v>
      </c>
      <c r="F166" s="25" t="str">
        <f>Catalog!AD71</f>
        <v>Your blaster sends out 3 spreading blasts of Force!</v>
      </c>
      <c r="G166" s="15" t="s">
        <v>12</v>
      </c>
      <c r="I166" s="13"/>
    </row>
    <row r="167" spans="1:9" ht="15" x14ac:dyDescent="0.15">
      <c r="A167" s="21" t="s">
        <v>30</v>
      </c>
      <c r="B167" s="22" t="str">
        <f>Catalog!E71</f>
        <v>perkSpreadForce</v>
      </c>
      <c r="C167" s="23">
        <f>Catalog!BD71</f>
        <v>2</v>
      </c>
      <c r="D167" s="24" t="str">
        <f>Catalog!BE71</f>
        <v>unlocked</v>
      </c>
      <c r="E167" s="25" t="s">
        <v>25</v>
      </c>
      <c r="F167" s="25" t="str">
        <f>Catalog!BL71</f>
        <v>Your blaster sends out 3 spreading blasts of Force!</v>
      </c>
      <c r="G167" s="15" t="s">
        <v>12</v>
      </c>
      <c r="I167" s="13"/>
    </row>
    <row r="168" spans="1:9" ht="15" x14ac:dyDescent="0.15">
      <c r="A168" s="21" t="s">
        <v>30</v>
      </c>
      <c r="B168" s="22" t="str">
        <f>Catalog!E72</f>
        <v>perkSpreadFire</v>
      </c>
      <c r="C168" s="23">
        <f>Catalog!W72</f>
        <v>0</v>
      </c>
      <c r="D168" s="24" t="str">
        <f>Catalog!X72</f>
        <v>locked</v>
      </c>
      <c r="E168" s="25" t="s">
        <v>23</v>
      </c>
      <c r="F168" s="25" t="str">
        <f>Catalog!AB72</f>
        <v>Fire Ball Spread Blast</v>
      </c>
      <c r="G168" s="15" t="s">
        <v>12</v>
      </c>
      <c r="I168" s="13"/>
    </row>
    <row r="169" spans="1:9" ht="15" x14ac:dyDescent="0.15">
      <c r="A169" s="21" t="s">
        <v>30</v>
      </c>
      <c r="B169" s="22" t="str">
        <f>Catalog!E72</f>
        <v>perkSpreadFire</v>
      </c>
      <c r="C169" s="23">
        <f>Catalog!W72</f>
        <v>0</v>
      </c>
      <c r="D169" s="24" t="str">
        <f>Catalog!X72</f>
        <v>locked</v>
      </c>
      <c r="E169" s="25" t="s">
        <v>24</v>
      </c>
      <c r="F169" s="25" t="str">
        <f>Catalog!AC72</f>
        <v>Send out a wide spread-blast of Fire!</v>
      </c>
      <c r="G169" s="15" t="s">
        <v>12</v>
      </c>
      <c r="I169" s="13"/>
    </row>
    <row r="170" spans="1:9" ht="15" x14ac:dyDescent="0.15">
      <c r="A170" s="21" t="s">
        <v>30</v>
      </c>
      <c r="B170" s="22" t="str">
        <f>Catalog!E72</f>
        <v>perkSpreadFire</v>
      </c>
      <c r="C170" s="23">
        <f>Catalog!W72</f>
        <v>0</v>
      </c>
      <c r="D170" s="24" t="str">
        <f>Catalog!X72</f>
        <v>locked</v>
      </c>
      <c r="E170" s="25" t="s">
        <v>25</v>
      </c>
      <c r="F170" s="25" t="str">
        <f>Catalog!AD72</f>
        <v>Your blaster sends out 3 spreading blasts of Fire!</v>
      </c>
      <c r="G170" s="15" t="s">
        <v>12</v>
      </c>
      <c r="I170" s="13"/>
    </row>
    <row r="171" spans="1:9" ht="15" x14ac:dyDescent="0.15">
      <c r="A171" s="21" t="s">
        <v>30</v>
      </c>
      <c r="B171" s="22" t="str">
        <f>Catalog!E72</f>
        <v>perkSpreadFire</v>
      </c>
      <c r="C171" s="23">
        <f>Catalog!BD72</f>
        <v>2</v>
      </c>
      <c r="D171" s="24" t="str">
        <f>Catalog!BE72</f>
        <v>unlocked</v>
      </c>
      <c r="E171" s="25" t="s">
        <v>25</v>
      </c>
      <c r="F171" s="25" t="str">
        <f>Catalog!BL72</f>
        <v>Your blaster sends out 3 spreading blasts of Fire!</v>
      </c>
      <c r="G171" s="15" t="s">
        <v>12</v>
      </c>
      <c r="I171" s="13"/>
    </row>
    <row r="172" spans="1:9" ht="15" x14ac:dyDescent="0.15">
      <c r="A172" s="21" t="s">
        <v>30</v>
      </c>
      <c r="B172" s="22" t="str">
        <f>Catalog!E73</f>
        <v>perkSpreadFreeze</v>
      </c>
      <c r="C172" s="23">
        <f>Catalog!W73</f>
        <v>0</v>
      </c>
      <c r="D172" s="24" t="str">
        <f>Catalog!X73</f>
        <v>locked</v>
      </c>
      <c r="E172" s="25" t="s">
        <v>23</v>
      </c>
      <c r="F172" s="25" t="str">
        <f>Catalog!AB73</f>
        <v>Freeze Ray Spread Blast</v>
      </c>
      <c r="G172" s="15" t="s">
        <v>12</v>
      </c>
      <c r="I172" s="13"/>
    </row>
    <row r="173" spans="1:9" ht="15" x14ac:dyDescent="0.15">
      <c r="A173" s="21" t="s">
        <v>30</v>
      </c>
      <c r="B173" s="22" t="str">
        <f>Catalog!E73</f>
        <v>perkSpreadFreeze</v>
      </c>
      <c r="C173" s="23">
        <f>Catalog!W73</f>
        <v>0</v>
      </c>
      <c r="D173" s="24" t="str">
        <f>Catalog!X73</f>
        <v>locked</v>
      </c>
      <c r="E173" s="25" t="s">
        <v>24</v>
      </c>
      <c r="F173" s="25" t="str">
        <f>Catalog!AC73</f>
        <v>Send out a wide spread-blast of Freeze!</v>
      </c>
      <c r="G173" s="15" t="s">
        <v>12</v>
      </c>
      <c r="I173" s="13"/>
    </row>
    <row r="174" spans="1:9" ht="15" x14ac:dyDescent="0.15">
      <c r="A174" s="21" t="s">
        <v>30</v>
      </c>
      <c r="B174" s="22" t="str">
        <f>Catalog!E73</f>
        <v>perkSpreadFreeze</v>
      </c>
      <c r="C174" s="23">
        <f>Catalog!W73</f>
        <v>0</v>
      </c>
      <c r="D174" s="24" t="str">
        <f>Catalog!X73</f>
        <v>locked</v>
      </c>
      <c r="E174" s="25" t="s">
        <v>25</v>
      </c>
      <c r="F174" s="25" t="str">
        <f>Catalog!AD73</f>
        <v>Your blaster sends out 3 spreading blasts of Freeze!</v>
      </c>
      <c r="G174" s="15" t="s">
        <v>12</v>
      </c>
      <c r="I174" s="13"/>
    </row>
    <row r="175" spans="1:9" ht="15" x14ac:dyDescent="0.15">
      <c r="A175" s="21" t="s">
        <v>30</v>
      </c>
      <c r="B175" s="22" t="str">
        <f>Catalog!E73</f>
        <v>perkSpreadFreeze</v>
      </c>
      <c r="C175" s="26">
        <f>Catalog!BD73</f>
        <v>2</v>
      </c>
      <c r="D175" s="24" t="str">
        <f>Catalog!BE73</f>
        <v>unlocked</v>
      </c>
      <c r="E175" s="25" t="s">
        <v>25</v>
      </c>
      <c r="F175" s="25" t="str">
        <f>Catalog!BL73</f>
        <v>Your blaster sends out 3 spreading blasts of Freeze!</v>
      </c>
      <c r="G175" s="15" t="s">
        <v>12</v>
      </c>
      <c r="I175" s="13"/>
    </row>
    <row r="176" spans="1:9" ht="15" x14ac:dyDescent="0.15">
      <c r="A176" s="21" t="s">
        <v>30</v>
      </c>
      <c r="B176" s="22" t="str">
        <f>Catalog!E74</f>
        <v>perkSpreadLightning</v>
      </c>
      <c r="C176" s="23">
        <f>Catalog!W74</f>
        <v>0</v>
      </c>
      <c r="D176" s="24" t="str">
        <f>Catalog!X74</f>
        <v>locked</v>
      </c>
      <c r="E176" s="25" t="s">
        <v>23</v>
      </c>
      <c r="F176" s="25" t="str">
        <f>Catalog!AB74</f>
        <v>Lightning Spread Blast</v>
      </c>
      <c r="G176" s="15" t="s">
        <v>28</v>
      </c>
      <c r="H176" s="18"/>
      <c r="I176" s="13"/>
    </row>
    <row r="177" spans="1:9" ht="15" x14ac:dyDescent="0.15">
      <c r="A177" s="21" t="s">
        <v>30</v>
      </c>
      <c r="B177" s="22" t="str">
        <f>Catalog!E74</f>
        <v>perkSpreadLightning</v>
      </c>
      <c r="C177" s="23">
        <f>Catalog!W74</f>
        <v>0</v>
      </c>
      <c r="D177" s="24" t="str">
        <f>Catalog!X74</f>
        <v>locked</v>
      </c>
      <c r="E177" s="25" t="s">
        <v>24</v>
      </c>
      <c r="F177" s="25" t="str">
        <f>Catalog!AC74</f>
        <v>Send out a wide spread-blast of Lightning!</v>
      </c>
      <c r="G177" s="15" t="s">
        <v>12</v>
      </c>
      <c r="I177" s="13"/>
    </row>
    <row r="178" spans="1:9" ht="15" x14ac:dyDescent="0.15">
      <c r="A178" s="21" t="s">
        <v>30</v>
      </c>
      <c r="B178" s="22" t="str">
        <f>Catalog!E74</f>
        <v>perkSpreadLightning</v>
      </c>
      <c r="C178" s="23">
        <f>Catalog!W74</f>
        <v>0</v>
      </c>
      <c r="D178" s="24" t="str">
        <f>Catalog!X74</f>
        <v>locked</v>
      </c>
      <c r="E178" s="25" t="s">
        <v>25</v>
      </c>
      <c r="F178" s="25" t="str">
        <f>Catalog!AD74</f>
        <v>Your blaster sends out 3 spreading blasts of Lightning!</v>
      </c>
      <c r="G178" s="15" t="s">
        <v>12</v>
      </c>
      <c r="I178" s="13"/>
    </row>
    <row r="179" spans="1:9" ht="15" x14ac:dyDescent="0.15">
      <c r="A179" s="21" t="s">
        <v>30</v>
      </c>
      <c r="B179" s="22" t="str">
        <f>Catalog!E74</f>
        <v>perkSpreadLightning</v>
      </c>
      <c r="C179" s="26">
        <f>Catalog!BD74</f>
        <v>2</v>
      </c>
      <c r="D179" s="24" t="str">
        <f>Catalog!BE74</f>
        <v>unlocked</v>
      </c>
      <c r="E179" s="25" t="s">
        <v>25</v>
      </c>
      <c r="F179" s="25" t="str">
        <f>Catalog!BL74</f>
        <v>Your blaster sends out 3 spreading blasts of Lightning!</v>
      </c>
      <c r="G179" s="15" t="s">
        <v>12</v>
      </c>
      <c r="I179" s="13"/>
    </row>
    <row r="180" spans="1:9" ht="15" x14ac:dyDescent="0.15">
      <c r="A180" s="21" t="s">
        <v>30</v>
      </c>
      <c r="B180" s="22" t="str">
        <f>Catalog!E75</f>
        <v>perkLauncherDamage</v>
      </c>
      <c r="C180" s="23">
        <f>Catalog!W75</f>
        <v>0</v>
      </c>
      <c r="D180" s="24" t="str">
        <f>Catalog!X75</f>
        <v>locked</v>
      </c>
      <c r="E180" s="25" t="s">
        <v>23</v>
      </c>
      <c r="F180" s="25" t="str">
        <f>Catalog!AB75</f>
        <v>Launcher Supercharge</v>
      </c>
      <c r="G180" s="15" t="s">
        <v>12</v>
      </c>
      <c r="I180" s="13"/>
    </row>
    <row r="181" spans="1:9" ht="15" x14ac:dyDescent="0.15">
      <c r="A181" s="21" t="s">
        <v>30</v>
      </c>
      <c r="B181" s="22" t="str">
        <f>Catalog!E75</f>
        <v>perkLauncherDamage</v>
      </c>
      <c r="C181" s="23">
        <f>Catalog!W75</f>
        <v>0</v>
      </c>
      <c r="D181" s="24" t="str">
        <f>Catalog!X75</f>
        <v>locked</v>
      </c>
      <c r="E181" s="25" t="s">
        <v>24</v>
      </c>
      <c r="F181" s="24" t="str">
        <f>Catalog!AC75</f>
        <v>Bigger Launchers deal extra damage!</v>
      </c>
      <c r="G181" s="15" t="s">
        <v>12</v>
      </c>
      <c r="I181" s="13"/>
    </row>
    <row r="182" spans="1:9" ht="15" x14ac:dyDescent="0.15">
      <c r="A182" s="21" t="s">
        <v>30</v>
      </c>
      <c r="B182" s="22" t="str">
        <f>Catalog!E75</f>
        <v>perkLauncherDamage</v>
      </c>
      <c r="C182" s="23">
        <f>Catalog!W75</f>
        <v>0</v>
      </c>
      <c r="D182" s="24" t="str">
        <f>Catalog!X75</f>
        <v>locked</v>
      </c>
      <c r="E182" s="25" t="s">
        <v>25</v>
      </c>
      <c r="F182" s="25" t="str">
        <f>Catalog!AD75</f>
        <v>Your Launchers are bigger and badder!</v>
      </c>
      <c r="G182" s="15" t="s">
        <v>12</v>
      </c>
      <c r="I182" s="13"/>
    </row>
    <row r="183" spans="1:9" ht="15" x14ac:dyDescent="0.15">
      <c r="A183" s="21" t="s">
        <v>30</v>
      </c>
      <c r="B183" s="22" t="str">
        <f>Catalog!E75</f>
        <v>perkLauncherDamage</v>
      </c>
      <c r="C183" s="26">
        <f>Catalog!BD75</f>
        <v>2</v>
      </c>
      <c r="D183" s="24" t="str">
        <f>Catalog!BE75</f>
        <v>unlocked</v>
      </c>
      <c r="E183" s="25" t="s">
        <v>25</v>
      </c>
      <c r="F183" s="25" t="str">
        <f>Catalog!BL75</f>
        <v>Your Launchers are bigger and badder!</v>
      </c>
      <c r="G183" s="15" t="s">
        <v>12</v>
      </c>
      <c r="I183" s="13"/>
    </row>
    <row r="184" spans="1:9" ht="15" x14ac:dyDescent="0.15">
      <c r="A184" s="21" t="s">
        <v>30</v>
      </c>
      <c r="B184" s="22" t="str">
        <f>Catalog!E77</f>
        <v>perkLauncherAmmo</v>
      </c>
      <c r="C184" s="23">
        <f>Catalog!W77</f>
        <v>0</v>
      </c>
      <c r="D184" s="24" t="str">
        <f>Catalog!X77</f>
        <v>locked</v>
      </c>
      <c r="E184" s="25" t="s">
        <v>23</v>
      </c>
      <c r="F184" s="25" t="str">
        <f>Catalog!AB77</f>
        <v>Increase Launcher Ammo</v>
      </c>
      <c r="G184" s="15" t="s">
        <v>12</v>
      </c>
      <c r="I184" s="13"/>
    </row>
    <row r="185" spans="1:9" ht="15" x14ac:dyDescent="0.15">
      <c r="A185" s="21" t="s">
        <v>30</v>
      </c>
      <c r="B185" s="22" t="str">
        <f>Catalog!E77</f>
        <v>perkLauncherAmmo</v>
      </c>
      <c r="C185" s="23">
        <f>Catalog!W77</f>
        <v>0</v>
      </c>
      <c r="D185" s="24" t="str">
        <f>Catalog!X77</f>
        <v>locked</v>
      </c>
      <c r="E185" s="25" t="s">
        <v>24</v>
      </c>
      <c r="F185" s="24" t="str">
        <f>Catalog!AC77</f>
        <v>Get four extra Launcher blasts!</v>
      </c>
      <c r="G185" s="15" t="s">
        <v>12</v>
      </c>
      <c r="I185" s="13"/>
    </row>
    <row r="186" spans="1:9" ht="28" x14ac:dyDescent="0.15">
      <c r="A186" s="21" t="s">
        <v>30</v>
      </c>
      <c r="B186" s="22" t="str">
        <f>Catalog!E77</f>
        <v>perkLauncherAmmo</v>
      </c>
      <c r="C186" s="23">
        <f>Catalog!W77</f>
        <v>0</v>
      </c>
      <c r="D186" s="24" t="str">
        <f>Catalog!X77</f>
        <v>locked</v>
      </c>
      <c r="E186" s="25" t="s">
        <v>25</v>
      </c>
      <c r="F186" s="25" t="str">
        <f>Catalog!AD77</f>
        <v>When you load or reload a Launcher, you get 4 extra blasts!</v>
      </c>
      <c r="G186" s="15" t="s">
        <v>12</v>
      </c>
      <c r="I186" s="13"/>
    </row>
    <row r="187" spans="1:9" ht="28" x14ac:dyDescent="0.15">
      <c r="A187" s="21" t="s">
        <v>30</v>
      </c>
      <c r="B187" s="22" t="str">
        <f>Catalog!E77</f>
        <v>perkLauncherAmmo</v>
      </c>
      <c r="C187" s="26">
        <f>Catalog!BD77</f>
        <v>2</v>
      </c>
      <c r="D187" s="24" t="str">
        <f>Catalog!BE77</f>
        <v>unlocked</v>
      </c>
      <c r="E187" s="25" t="s">
        <v>25</v>
      </c>
      <c r="F187" s="25" t="str">
        <f>Catalog!BL77</f>
        <v>When you load or reload a Launcher, you get 4 extra blasts!</v>
      </c>
      <c r="G187" s="15" t="s">
        <v>12</v>
      </c>
      <c r="I187" s="13"/>
    </row>
    <row r="188" spans="1:9" ht="15" x14ac:dyDescent="0.15">
      <c r="A188" s="21" t="s">
        <v>30</v>
      </c>
      <c r="B188" s="22" t="str">
        <f>Catalog!E78</f>
        <v>perkUltimateAmmo</v>
      </c>
      <c r="C188" s="23">
        <f>Catalog!W78</f>
        <v>0</v>
      </c>
      <c r="D188" s="24" t="str">
        <f>Catalog!X78</f>
        <v>locked</v>
      </c>
      <c r="E188" s="25" t="s">
        <v>23</v>
      </c>
      <c r="F188" s="25" t="str">
        <f>Catalog!AB78</f>
        <v>Increase Ultimate Ammo</v>
      </c>
      <c r="G188" s="15" t="s">
        <v>12</v>
      </c>
      <c r="I188" s="13"/>
    </row>
    <row r="189" spans="1:9" ht="15" x14ac:dyDescent="0.15">
      <c r="A189" s="21" t="s">
        <v>30</v>
      </c>
      <c r="B189" s="22" t="str">
        <f>Catalog!E78</f>
        <v>perkUltimateAmmo</v>
      </c>
      <c r="C189" s="23">
        <f>Catalog!W78</f>
        <v>0</v>
      </c>
      <c r="D189" s="24" t="str">
        <f>Catalog!X78</f>
        <v>locked</v>
      </c>
      <c r="E189" s="25" t="s">
        <v>24</v>
      </c>
      <c r="F189" s="24" t="str">
        <f>Catalog!AC78</f>
        <v>Get three extra Ultimate blasts!</v>
      </c>
      <c r="G189" s="15" t="s">
        <v>12</v>
      </c>
      <c r="I189" s="13"/>
    </row>
    <row r="190" spans="1:9" ht="15" x14ac:dyDescent="0.15">
      <c r="A190" s="21" t="s">
        <v>30</v>
      </c>
      <c r="B190" s="22" t="str">
        <f>Catalog!E78</f>
        <v>perkUltimateAmmo</v>
      </c>
      <c r="C190" s="23">
        <f>Catalog!W78</f>
        <v>0</v>
      </c>
      <c r="D190" s="24" t="str">
        <f>Catalog!X78</f>
        <v>locked</v>
      </c>
      <c r="E190" s="25" t="s">
        <v>25</v>
      </c>
      <c r="F190" s="25" t="str">
        <f>Catalog!AD78</f>
        <v>You get 3 extra blasts when you recharge your Ultimate!</v>
      </c>
      <c r="G190" s="15" t="s">
        <v>12</v>
      </c>
      <c r="I190" s="13"/>
    </row>
    <row r="191" spans="1:9" ht="15" x14ac:dyDescent="0.15">
      <c r="A191" s="21" t="s">
        <v>30</v>
      </c>
      <c r="B191" s="22" t="str">
        <f>Catalog!E78</f>
        <v>perkUltimateAmmo</v>
      </c>
      <c r="C191" s="26">
        <f>Catalog!BD78</f>
        <v>2</v>
      </c>
      <c r="D191" s="24" t="str">
        <f>Catalog!BE78</f>
        <v>unlocked</v>
      </c>
      <c r="E191" s="25" t="s">
        <v>25</v>
      </c>
      <c r="F191" s="25" t="str">
        <f>Catalog!BL78</f>
        <v>You get 3 extra blasts when you recharge your Ultimate!</v>
      </c>
      <c r="G191" s="15" t="s">
        <v>12</v>
      </c>
      <c r="I191" s="13"/>
    </row>
    <row r="192" spans="1:9" ht="15" x14ac:dyDescent="0.15">
      <c r="A192" s="21" t="s">
        <v>30</v>
      </c>
      <c r="B192" s="22" t="str">
        <f>Catalog!E79</f>
        <v>perkUltimateCharger</v>
      </c>
      <c r="C192" s="23">
        <f>Catalog!W79</f>
        <v>0</v>
      </c>
      <c r="D192" s="24" t="str">
        <f>Catalog!X79</f>
        <v>locked</v>
      </c>
      <c r="E192" s="25" t="s">
        <v>23</v>
      </c>
      <c r="F192" s="25" t="str">
        <f>Catalog!AB79</f>
        <v>Ultimate Rapid Charge</v>
      </c>
      <c r="G192" s="15" t="s">
        <v>12</v>
      </c>
      <c r="I192" s="13"/>
    </row>
    <row r="193" spans="1:9" ht="15" x14ac:dyDescent="0.15">
      <c r="A193" s="21" t="s">
        <v>30</v>
      </c>
      <c r="B193" s="22" t="str">
        <f>Catalog!E79</f>
        <v>perkUltimateCharger</v>
      </c>
      <c r="C193" s="23">
        <f>Catalog!W79</f>
        <v>0</v>
      </c>
      <c r="D193" s="24" t="str">
        <f>Catalog!X79</f>
        <v>locked</v>
      </c>
      <c r="E193" s="25" t="s">
        <v>24</v>
      </c>
      <c r="F193" s="25" t="str">
        <f>Catalog!AC79</f>
        <v>Recharge your Ultimate faster!</v>
      </c>
      <c r="G193" s="15" t="s">
        <v>12</v>
      </c>
      <c r="I193" s="13"/>
    </row>
    <row r="194" spans="1:9" ht="15" x14ac:dyDescent="0.15">
      <c r="A194" s="21" t="s">
        <v>30</v>
      </c>
      <c r="B194" s="22" t="str">
        <f>Catalog!E79</f>
        <v>perkUltimateCharger</v>
      </c>
      <c r="C194" s="23">
        <f>Catalog!W79</f>
        <v>0</v>
      </c>
      <c r="D194" s="24" t="str">
        <f>Catalog!X79</f>
        <v>locked</v>
      </c>
      <c r="E194" s="25" t="s">
        <v>25</v>
      </c>
      <c r="F194" s="25" t="str">
        <f>Catalog!AD79</f>
        <v>Your Ultimate recharges 10% faster!</v>
      </c>
      <c r="G194" s="15" t="s">
        <v>12</v>
      </c>
      <c r="I194" s="13"/>
    </row>
    <row r="195" spans="1:9" ht="15" x14ac:dyDescent="0.15">
      <c r="A195" s="21" t="s">
        <v>30</v>
      </c>
      <c r="B195" s="22" t="str">
        <f>Catalog!E79</f>
        <v>perkUltimateCharger</v>
      </c>
      <c r="C195" s="23">
        <f>Catalog!BD79</f>
        <v>2</v>
      </c>
      <c r="D195" s="24" t="str">
        <f>Catalog!BE79</f>
        <v>unlocked</v>
      </c>
      <c r="E195" s="25" t="s">
        <v>25</v>
      </c>
      <c r="F195" s="25" t="str">
        <f>Catalog!BL79</f>
        <v>Your Ultimate recharges 10% faster!</v>
      </c>
      <c r="G195" s="15" t="s">
        <v>12</v>
      </c>
      <c r="I195" s="13"/>
    </row>
    <row r="196" spans="1:9" ht="15" x14ac:dyDescent="0.15">
      <c r="A196" s="11" t="s">
        <v>32</v>
      </c>
      <c r="B196" s="27" t="str">
        <f>'TitleData texts.mobileApp'!C145</f>
        <v>missions.main.header.missions</v>
      </c>
      <c r="C196" s="13"/>
      <c r="D196" s="13" t="s">
        <v>10</v>
      </c>
      <c r="E196" s="14" t="s">
        <v>19</v>
      </c>
      <c r="F196" s="13" t="str">
        <f>'TitleData texts.mobileApp'!E145</f>
        <v>MISSIONS</v>
      </c>
      <c r="G196" s="15" t="s">
        <v>12</v>
      </c>
      <c r="I196" s="13"/>
    </row>
    <row r="197" spans="1:9" ht="15" x14ac:dyDescent="0.15">
      <c r="A197" s="11" t="s">
        <v>32</v>
      </c>
      <c r="B197" s="27" t="str">
        <f>'TitleData texts.mobileApp'!C146</f>
        <v>missions.main.header.description</v>
      </c>
      <c r="C197" s="13"/>
      <c r="D197" s="13" t="s">
        <v>10</v>
      </c>
      <c r="E197" s="14" t="s">
        <v>20</v>
      </c>
      <c r="F197" s="13" t="str">
        <f>'TitleData texts.mobileApp'!E146</f>
        <v>Evil challenges from your despicable peers</v>
      </c>
      <c r="G197" s="15" t="s">
        <v>12</v>
      </c>
      <c r="I197" s="13"/>
    </row>
    <row r="198" spans="1:9" ht="70" x14ac:dyDescent="0.15">
      <c r="A198" s="11" t="s">
        <v>32</v>
      </c>
      <c r="B198" s="27" t="str">
        <f>'TitleData texts.mobileApp'!C147</f>
        <v>missions.main.msg.help</v>
      </c>
      <c r="C198" s="13"/>
      <c r="D198" s="13" t="s">
        <v>10</v>
      </c>
      <c r="E198" s="14" t="s">
        <v>21</v>
      </c>
      <c r="F198" s="13" t="str">
        <f>'TitleData texts.mobileApp'!E147</f>
        <v>CHOOSE
Your mission before getting your blaster.
COMPLETE
Your mission within one visit to Villain-Con!</v>
      </c>
      <c r="G198" s="15" t="s">
        <v>12</v>
      </c>
      <c r="I198" s="13"/>
    </row>
    <row r="199" spans="1:9" ht="15" x14ac:dyDescent="0.15">
      <c r="A199" s="11" t="s">
        <v>32</v>
      </c>
      <c r="B199" s="27" t="str">
        <f>Catalog!$E$91</f>
        <v>missionVector</v>
      </c>
      <c r="C199" s="17">
        <f>Catalog!$AN$91</f>
        <v>1</v>
      </c>
      <c r="D199" s="17" t="str">
        <f>Catalog!$AO$91</f>
        <v>Available</v>
      </c>
      <c r="E199" s="14" t="s">
        <v>33</v>
      </c>
      <c r="F199" s="17" t="str">
        <f>Catalog!$AS$91</f>
        <v>V6 Super Fan!</v>
      </c>
      <c r="G199" s="15" t="s">
        <v>28</v>
      </c>
      <c r="I199" s="13"/>
    </row>
    <row r="200" spans="1:9" ht="15" x14ac:dyDescent="0.15">
      <c r="A200" s="11" t="s">
        <v>32</v>
      </c>
      <c r="B200" s="27" t="str">
        <f>Catalog!$E$91</f>
        <v>missionVector</v>
      </c>
      <c r="C200" s="17">
        <f>Catalog!$AN$91</f>
        <v>1</v>
      </c>
      <c r="D200" s="17" t="str">
        <f>Catalog!$AO$91</f>
        <v>Available</v>
      </c>
      <c r="E200" s="14" t="s">
        <v>24</v>
      </c>
      <c r="F200" s="17" t="str">
        <f>Catalog!$AT$91</f>
        <v>Blast 12 V6 medallions!</v>
      </c>
      <c r="G200" s="15" t="s">
        <v>12</v>
      </c>
      <c r="I200" s="13"/>
    </row>
    <row r="201" spans="1:9" ht="28" x14ac:dyDescent="0.15">
      <c r="A201" s="11" t="s">
        <v>32</v>
      </c>
      <c r="B201" s="27" t="str">
        <f>Catalog!$E$91</f>
        <v>missionVector</v>
      </c>
      <c r="C201" s="17">
        <f>Catalog!$AN$91</f>
        <v>1</v>
      </c>
      <c r="D201" s="17" t="str">
        <f>Catalog!$AO$91</f>
        <v>Available</v>
      </c>
      <c r="E201" s="14" t="s">
        <v>25</v>
      </c>
      <c r="F201" s="17" t="str">
        <f>Catalog!$AU$91</f>
        <v>Blast 12 V6 medallions in a single round. Prove yourself to the Vicious 6.</v>
      </c>
      <c r="G201" s="15" t="s">
        <v>12</v>
      </c>
      <c r="I201" s="13"/>
    </row>
    <row r="202" spans="1:9" ht="28" x14ac:dyDescent="0.15">
      <c r="A202" s="11" t="s">
        <v>32</v>
      </c>
      <c r="B202" s="27" t="str">
        <f>Catalog!$E$91</f>
        <v>missionVector</v>
      </c>
      <c r="C202" s="17">
        <f>Catalog!$AN$91</f>
        <v>1</v>
      </c>
      <c r="D202" s="17" t="str">
        <f>Catalog!$AO$91</f>
        <v>Available</v>
      </c>
      <c r="E202" s="14" t="s">
        <v>34</v>
      </c>
      <c r="F202" s="17" t="str">
        <f>Catalog!$AV$91</f>
        <v>Completing this mission unlocks an Ultimate and a new mission!</v>
      </c>
      <c r="G202" s="15" t="s">
        <v>12</v>
      </c>
      <c r="I202" s="13"/>
    </row>
    <row r="203" spans="1:9" ht="15" x14ac:dyDescent="0.15">
      <c r="A203" s="11" t="s">
        <v>32</v>
      </c>
      <c r="B203" s="27" t="str">
        <f>Catalog!$E$91</f>
        <v>missionVector</v>
      </c>
      <c r="C203" s="17">
        <f>Catalog!$BD$91</f>
        <v>2</v>
      </c>
      <c r="D203" s="17" t="str">
        <f>Catalog!$BE$91</f>
        <v>complete</v>
      </c>
      <c r="E203" s="28" t="s">
        <v>33</v>
      </c>
      <c r="F203" s="17" t="str">
        <f>Catalog!$BI$91</f>
        <v>V6 Super Fan!</v>
      </c>
      <c r="G203" s="15" t="s">
        <v>28</v>
      </c>
      <c r="I203" s="13"/>
    </row>
    <row r="204" spans="1:9" ht="15" x14ac:dyDescent="0.15">
      <c r="A204" s="11" t="s">
        <v>32</v>
      </c>
      <c r="B204" s="27" t="str">
        <f>Catalog!$E$91</f>
        <v>missionVector</v>
      </c>
      <c r="C204" s="17">
        <f>Catalog!$BD$91</f>
        <v>2</v>
      </c>
      <c r="D204" s="17" t="str">
        <f>Catalog!$BE$91</f>
        <v>complete</v>
      </c>
      <c r="E204" s="14" t="s">
        <v>24</v>
      </c>
      <c r="F204" s="17" t="str">
        <f>Catalog!$BK$91</f>
        <v>You blasted 12 V6 medallions!</v>
      </c>
      <c r="G204" s="15" t="s">
        <v>12</v>
      </c>
      <c r="I204" s="13"/>
    </row>
    <row r="205" spans="1:9" ht="28" x14ac:dyDescent="0.15">
      <c r="A205" s="11" t="s">
        <v>32</v>
      </c>
      <c r="B205" s="27" t="str">
        <f>Catalog!$E$91</f>
        <v>missionVector</v>
      </c>
      <c r="C205" s="17">
        <f>Catalog!$BD$91</f>
        <v>2</v>
      </c>
      <c r="D205" s="17" t="str">
        <f>Catalog!$BE$91</f>
        <v>complete</v>
      </c>
      <c r="E205" s="14" t="s">
        <v>25</v>
      </c>
      <c r="F205" s="17" t="str">
        <f>Catalog!$BL$91</f>
        <v>You blasted at least 12 V6 medallions this round! That'll get the Vicious 6's attention.</v>
      </c>
      <c r="G205" s="15" t="s">
        <v>12</v>
      </c>
      <c r="I205" s="13"/>
    </row>
    <row r="206" spans="1:9" ht="28" x14ac:dyDescent="0.15">
      <c r="A206" s="11" t="s">
        <v>32</v>
      </c>
      <c r="B206" s="27" t="str">
        <f>Catalog!$E$91</f>
        <v>missionVector</v>
      </c>
      <c r="C206" s="17">
        <f>Catalog!$BD$91</f>
        <v>2</v>
      </c>
      <c r="D206" s="17" t="str">
        <f>Catalog!$BE$91</f>
        <v>complete</v>
      </c>
      <c r="E206" s="14" t="s">
        <v>34</v>
      </c>
      <c r="F206" s="17" t="str">
        <f>Catalog!$BM$91</f>
        <v>You've unlocked Vector's Piranha-sicle Blaster and a new mission!</v>
      </c>
      <c r="G206" s="15" t="s">
        <v>12</v>
      </c>
      <c r="I206" s="13"/>
    </row>
    <row r="207" spans="1:9" ht="28" x14ac:dyDescent="0.15">
      <c r="A207" s="11" t="s">
        <v>35</v>
      </c>
      <c r="B207" s="12" t="str">
        <f>Catalog!$E$290</f>
        <v>achievementMissionVector</v>
      </c>
      <c r="C207" s="20">
        <f>Catalog!$W$290</f>
        <v>0</v>
      </c>
      <c r="D207" s="20" t="str">
        <f>Catalog!$X$290</f>
        <v>unearned</v>
      </c>
      <c r="E207" s="19" t="s">
        <v>25</v>
      </c>
      <c r="F207" s="20" t="str">
        <f>Catalog!$AD$92</f>
        <v>You must complete mission Vicious 6 Super Fan to get this achievement!</v>
      </c>
      <c r="G207" s="15" t="s">
        <v>12</v>
      </c>
      <c r="I207" s="13"/>
    </row>
    <row r="208" spans="1:9" ht="15" x14ac:dyDescent="0.15">
      <c r="A208" s="11" t="s">
        <v>35</v>
      </c>
      <c r="B208" s="12" t="str">
        <f>Catalog!$E$290</f>
        <v>achievementMissionVector</v>
      </c>
      <c r="C208" s="20">
        <f>Catalog!$BD$290</f>
        <v>2</v>
      </c>
      <c r="D208" s="20" t="str">
        <f>Catalog!$BE$290</f>
        <v>bronze</v>
      </c>
      <c r="E208" s="19" t="s">
        <v>23</v>
      </c>
      <c r="F208" s="20" t="str">
        <f>Catalog!$BI$92</f>
        <v>OH YEAH!!!!!!!!</v>
      </c>
      <c r="G208" s="15" t="s">
        <v>12</v>
      </c>
      <c r="I208" s="13"/>
    </row>
    <row r="209" spans="1:9" ht="28" x14ac:dyDescent="0.15">
      <c r="A209" s="11" t="s">
        <v>35</v>
      </c>
      <c r="B209" s="12" t="str">
        <f>Catalog!$E$290</f>
        <v>achievementMissionVector</v>
      </c>
      <c r="C209" s="20">
        <f>Catalog!$BD$290</f>
        <v>2</v>
      </c>
      <c r="D209" s="20" t="str">
        <f>Catalog!$BE$290</f>
        <v>bronze</v>
      </c>
      <c r="E209" s="19" t="s">
        <v>25</v>
      </c>
      <c r="F209" s="20" t="str">
        <f>Catalog!$BL$92</f>
        <v>You blasted at least 12 V6 medaillions in one round! You’re a true Vicious 6 Super Fan!</v>
      </c>
      <c r="G209" s="15" t="s">
        <v>12</v>
      </c>
      <c r="I209" s="13"/>
    </row>
    <row r="210" spans="1:9" ht="15" x14ac:dyDescent="0.15">
      <c r="A210" s="11" t="s">
        <v>32</v>
      </c>
      <c r="B210" s="27" t="str">
        <f>Catalog!$E$99</f>
        <v>missionScarlet</v>
      </c>
      <c r="C210" s="17">
        <f>Catalog!$W$99</f>
        <v>0</v>
      </c>
      <c r="D210" s="17" t="str">
        <f>Catalog!$X$99</f>
        <v>locked</v>
      </c>
      <c r="E210" s="28" t="s">
        <v>33</v>
      </c>
      <c r="F210" s="17" t="str">
        <f>Catalog!$AB$99</f>
        <v>Secret Mission</v>
      </c>
      <c r="G210" s="15" t="s">
        <v>12</v>
      </c>
      <c r="I210" s="13"/>
    </row>
    <row r="211" spans="1:9" ht="15" x14ac:dyDescent="0.15">
      <c r="A211" s="11" t="s">
        <v>32</v>
      </c>
      <c r="B211" s="27" t="str">
        <f>Catalog!$E$99</f>
        <v>missionScarlet</v>
      </c>
      <c r="C211" s="17">
        <f>Catalog!$W$99</f>
        <v>0</v>
      </c>
      <c r="D211" s="17" t="str">
        <f>Catalog!$X$99</f>
        <v>locked</v>
      </c>
      <c r="E211" s="14" t="s">
        <v>25</v>
      </c>
      <c r="F211" s="17" t="str">
        <f>Catalog!$AD$99</f>
        <v>You must complete Vector's mission to unlock this mission!</v>
      </c>
      <c r="G211" s="15" t="s">
        <v>12</v>
      </c>
      <c r="I211" s="13"/>
    </row>
    <row r="212" spans="1:9" ht="15" x14ac:dyDescent="0.15">
      <c r="A212" s="11" t="s">
        <v>32</v>
      </c>
      <c r="B212" s="27" t="str">
        <f>Catalog!$E$99</f>
        <v>missionScarlet</v>
      </c>
      <c r="C212" s="17">
        <f>Catalog!$AN$99</f>
        <v>1</v>
      </c>
      <c r="D212" s="17" t="str">
        <f>Catalog!$AO$99</f>
        <v>Available</v>
      </c>
      <c r="E212" s="28" t="s">
        <v>33</v>
      </c>
      <c r="F212" s="17" t="str">
        <f>Catalog!$AS$99</f>
        <v>Minion Marksman</v>
      </c>
      <c r="G212" s="15" t="s">
        <v>12</v>
      </c>
      <c r="I212" s="13"/>
    </row>
    <row r="213" spans="1:9" ht="15" x14ac:dyDescent="0.15">
      <c r="A213" s="11" t="s">
        <v>32</v>
      </c>
      <c r="B213" s="27" t="str">
        <f>Catalog!$E$99</f>
        <v>missionScarlet</v>
      </c>
      <c r="C213" s="17">
        <f>Catalog!$AN$99</f>
        <v>1</v>
      </c>
      <c r="D213" s="17" t="str">
        <f>Catalog!$AO$99</f>
        <v>Available</v>
      </c>
      <c r="E213" s="14" t="s">
        <v>24</v>
      </c>
      <c r="F213" s="17" t="str">
        <f>Catalog!$AT$99</f>
        <v>Cause elemental damage to 20 Minions!</v>
      </c>
      <c r="G213" s="15" t="s">
        <v>12</v>
      </c>
      <c r="I213" s="13"/>
    </row>
    <row r="214" spans="1:9" ht="28" x14ac:dyDescent="0.15">
      <c r="A214" s="11" t="s">
        <v>32</v>
      </c>
      <c r="B214" s="27" t="str">
        <f>Catalog!$E$99</f>
        <v>missionScarlet</v>
      </c>
      <c r="C214" s="17">
        <f>Catalog!$AN$99</f>
        <v>1</v>
      </c>
      <c r="D214" s="17" t="str">
        <f>Catalog!$AO$99</f>
        <v>Available</v>
      </c>
      <c r="E214" s="14" t="s">
        <v>25</v>
      </c>
      <c r="F214" s="17" t="str">
        <f>Catalog!$AU$99</f>
        <v>Cause elemental damage to 20 Minions in a single round! The VNC Newscaster will thank you!</v>
      </c>
      <c r="G214" s="15" t="s">
        <v>12</v>
      </c>
      <c r="I214" s="13"/>
    </row>
    <row r="215" spans="1:9" ht="28" x14ac:dyDescent="0.15">
      <c r="A215" s="11" t="s">
        <v>32</v>
      </c>
      <c r="B215" s="27" t="str">
        <f>Catalog!$E$99</f>
        <v>missionScarlet</v>
      </c>
      <c r="C215" s="17">
        <f>Catalog!$AN$99</f>
        <v>1</v>
      </c>
      <c r="D215" s="17" t="str">
        <f>Catalog!$AO$99</f>
        <v>Available</v>
      </c>
      <c r="E215" s="14" t="s">
        <v>34</v>
      </c>
      <c r="F215" s="17" t="str">
        <f>Catalog!$AV$99</f>
        <v>Completing this mission unlocks an Ultimate and a new mission!</v>
      </c>
      <c r="G215" s="15" t="s">
        <v>12</v>
      </c>
      <c r="I215" s="13"/>
    </row>
    <row r="216" spans="1:9" ht="15" x14ac:dyDescent="0.15">
      <c r="A216" s="11" t="s">
        <v>32</v>
      </c>
      <c r="B216" s="27" t="str">
        <f>Catalog!$E$99</f>
        <v>missionScarlet</v>
      </c>
      <c r="C216" s="17">
        <f>Catalog!$BD$99</f>
        <v>2</v>
      </c>
      <c r="D216" s="17" t="str">
        <f>Catalog!$BE$99</f>
        <v>complete</v>
      </c>
      <c r="E216" s="28" t="s">
        <v>33</v>
      </c>
      <c r="F216" s="17" t="str">
        <f>Catalog!$BI$99</f>
        <v>Minion Marksman</v>
      </c>
      <c r="G216" s="15" t="s">
        <v>12</v>
      </c>
      <c r="I216" s="13"/>
    </row>
    <row r="217" spans="1:9" ht="15" x14ac:dyDescent="0.15">
      <c r="A217" s="11" t="s">
        <v>32</v>
      </c>
      <c r="B217" s="27" t="str">
        <f>Catalog!$E$99</f>
        <v>missionScarlet</v>
      </c>
      <c r="C217" s="17">
        <f>Catalog!$BD$99</f>
        <v>2</v>
      </c>
      <c r="D217" s="17" t="str">
        <f>Catalog!$BE$99</f>
        <v>complete</v>
      </c>
      <c r="E217" s="14" t="s">
        <v>24</v>
      </c>
      <c r="F217" s="17" t="str">
        <f>Catalog!$BK$99</f>
        <v>You caused elemental damage to 20 Minions!</v>
      </c>
      <c r="G217" s="15" t="s">
        <v>12</v>
      </c>
      <c r="I217" s="13"/>
    </row>
    <row r="218" spans="1:9" ht="28" x14ac:dyDescent="0.15">
      <c r="A218" s="11" t="s">
        <v>32</v>
      </c>
      <c r="B218" s="27" t="str">
        <f>Catalog!$E$99</f>
        <v>missionScarlet</v>
      </c>
      <c r="C218" s="17">
        <f>Catalog!$BD$99</f>
        <v>2</v>
      </c>
      <c r="D218" s="17" t="str">
        <f>Catalog!$BE$99</f>
        <v>complete</v>
      </c>
      <c r="E218" s="14" t="s">
        <v>25</v>
      </c>
      <c r="F218" s="17" t="str">
        <f>Catalog!$BL$99</f>
        <v>You caused elemental damage to at least 20 Minions in a single round! They were basically asking for it!</v>
      </c>
      <c r="G218" s="15" t="s">
        <v>12</v>
      </c>
      <c r="I218" s="13"/>
    </row>
    <row r="219" spans="1:9" ht="15" x14ac:dyDescent="0.15">
      <c r="A219" s="11" t="s">
        <v>32</v>
      </c>
      <c r="B219" s="27" t="str">
        <f>Catalog!$E$99</f>
        <v>missionScarlet</v>
      </c>
      <c r="C219" s="17">
        <f>Catalog!$BD$99</f>
        <v>2</v>
      </c>
      <c r="D219" s="17" t="str">
        <f>Catalog!$BE$99</f>
        <v>complete</v>
      </c>
      <c r="E219" s="14" t="s">
        <v>34</v>
      </c>
      <c r="F219" s="17" t="str">
        <f>Catalog!$BM$99</f>
        <v>You've unlocked Scarlet's Lava Lamp and a new mission!</v>
      </c>
      <c r="G219" s="15" t="s">
        <v>28</v>
      </c>
      <c r="I219" s="13"/>
    </row>
    <row r="220" spans="1:9" ht="28" x14ac:dyDescent="0.15">
      <c r="A220" s="11" t="s">
        <v>35</v>
      </c>
      <c r="B220" s="12" t="str">
        <f>Catalog!E100</f>
        <v>achievementMissionScarlet</v>
      </c>
      <c r="C220" s="20">
        <f>Catalog!W100</f>
        <v>0</v>
      </c>
      <c r="D220" s="20" t="str">
        <f>Catalog!$X$100</f>
        <v>unearned</v>
      </c>
      <c r="E220" s="19" t="s">
        <v>25</v>
      </c>
      <c r="F220" s="20" t="str">
        <f>Catalog!$AD$100</f>
        <v>You must complete mission Minion Marksman to get this achievement!</v>
      </c>
      <c r="G220" s="15" t="s">
        <v>28</v>
      </c>
      <c r="I220" s="13"/>
    </row>
    <row r="221" spans="1:9" ht="15" x14ac:dyDescent="0.15">
      <c r="A221" s="11" t="s">
        <v>35</v>
      </c>
      <c r="B221" s="12" t="str">
        <f>Catalog!E100</f>
        <v>achievementMissionScarlet</v>
      </c>
      <c r="C221" s="20">
        <f>Catalog!BD100</f>
        <v>2</v>
      </c>
      <c r="D221" s="19" t="str">
        <f>Catalog!BE100</f>
        <v>earned</v>
      </c>
      <c r="E221" s="19" t="s">
        <v>23</v>
      </c>
      <c r="F221" s="20" t="str">
        <f>Catalog!$BI$100</f>
        <v>Minion Marksman</v>
      </c>
      <c r="G221" s="15" t="s">
        <v>12</v>
      </c>
      <c r="I221" s="13"/>
    </row>
    <row r="222" spans="1:9" ht="28" x14ac:dyDescent="0.15">
      <c r="A222" s="11" t="s">
        <v>35</v>
      </c>
      <c r="B222" s="12" t="str">
        <f>Catalog!E100</f>
        <v>achievementMissionScarlet</v>
      </c>
      <c r="C222" s="20">
        <f>Catalog!BD100</f>
        <v>2</v>
      </c>
      <c r="D222" s="19" t="str">
        <f>Catalog!BE100</f>
        <v>earned</v>
      </c>
      <c r="E222" s="19" t="s">
        <v>25</v>
      </c>
      <c r="F222" s="19" t="str">
        <f>Catalog!$BL$100</f>
        <v>You caused elemental damage to at least 20 Minions! Take that grandma memers!</v>
      </c>
      <c r="G222" s="15" t="s">
        <v>12</v>
      </c>
      <c r="I222" s="13"/>
    </row>
    <row r="223" spans="1:9" ht="15" x14ac:dyDescent="0.15">
      <c r="A223" s="11" t="s">
        <v>32</v>
      </c>
      <c r="B223" s="27" t="str">
        <f>Catalog!$E$104</f>
        <v>missionElMacho</v>
      </c>
      <c r="C223" s="17">
        <f>Catalog!$W$104</f>
        <v>0</v>
      </c>
      <c r="D223" s="17" t="str">
        <f>Catalog!$X$104</f>
        <v>locked</v>
      </c>
      <c r="E223" s="28" t="s">
        <v>33</v>
      </c>
      <c r="F223" s="17" t="str">
        <f>Catalog!$AB$104</f>
        <v>Secret Mission</v>
      </c>
      <c r="G223" s="15" t="s">
        <v>12</v>
      </c>
      <c r="I223" s="13"/>
    </row>
    <row r="224" spans="1:9" ht="15" x14ac:dyDescent="0.15">
      <c r="A224" s="11" t="s">
        <v>32</v>
      </c>
      <c r="B224" s="27" t="str">
        <f>Catalog!$E$104</f>
        <v>missionElMacho</v>
      </c>
      <c r="C224" s="17">
        <f>Catalog!$W$104</f>
        <v>0</v>
      </c>
      <c r="D224" s="17" t="str">
        <f>Catalog!$X$104</f>
        <v>locked</v>
      </c>
      <c r="E224" s="14" t="s">
        <v>25</v>
      </c>
      <c r="F224" s="17" t="str">
        <f>Catalog!$AD$104</f>
        <v>You must complete Scarlet's mission to unlock this mission!</v>
      </c>
      <c r="G224" s="15" t="s">
        <v>12</v>
      </c>
      <c r="I224" s="13"/>
    </row>
    <row r="225" spans="1:9" ht="15" x14ac:dyDescent="0.15">
      <c r="A225" s="11" t="s">
        <v>32</v>
      </c>
      <c r="B225" s="27" t="str">
        <f>Catalog!$E$104</f>
        <v>missionElMacho</v>
      </c>
      <c r="C225" s="17">
        <f>Catalog!$AN$104</f>
        <v>1</v>
      </c>
      <c r="D225" s="17" t="str">
        <f>Catalog!$AO$104</f>
        <v>Available</v>
      </c>
      <c r="E225" s="28" t="s">
        <v>33</v>
      </c>
      <c r="F225" s="17" t="str">
        <f>Catalog!$AS$104</f>
        <v>Guac ‘em Out</v>
      </c>
      <c r="G225" s="15" t="s">
        <v>12</v>
      </c>
      <c r="I225" s="13"/>
    </row>
    <row r="226" spans="1:9" ht="15" x14ac:dyDescent="0.15">
      <c r="A226" s="11" t="s">
        <v>32</v>
      </c>
      <c r="B226" s="27" t="str">
        <f>Catalog!$E$104</f>
        <v>missionElMacho</v>
      </c>
      <c r="C226" s="17">
        <f>Catalog!$AN$104</f>
        <v>1</v>
      </c>
      <c r="D226" s="17" t="str">
        <f>Catalog!$AO$104</f>
        <v>Available</v>
      </c>
      <c r="E226" s="14" t="s">
        <v>24</v>
      </c>
      <c r="F226" s="17" t="str">
        <f>Catalog!$AT$104</f>
        <v>Score 100,000 points in one playthrough</v>
      </c>
      <c r="G226" s="15" t="s">
        <v>12</v>
      </c>
      <c r="I226" s="13"/>
    </row>
    <row r="227" spans="1:9" ht="28" x14ac:dyDescent="0.15">
      <c r="A227" s="11" t="s">
        <v>32</v>
      </c>
      <c r="B227" s="27" t="str">
        <f>Catalog!$E$104</f>
        <v>missionElMacho</v>
      </c>
      <c r="C227" s="17">
        <f>Catalog!$AN$104</f>
        <v>1</v>
      </c>
      <c r="D227" s="17" t="str">
        <f>Catalog!$AO$104</f>
        <v>Available</v>
      </c>
      <c r="E227" s="14" t="s">
        <v>25</v>
      </c>
      <c r="F227" s="17" t="str">
        <f>Catalog!$AU$104</f>
        <v>Score 100,000 points in a single round! Take on big targets!  Do you have what it takes?</v>
      </c>
      <c r="G227" s="15" t="s">
        <v>12</v>
      </c>
      <c r="I227" s="13"/>
    </row>
    <row r="228" spans="1:9" ht="28" x14ac:dyDescent="0.15">
      <c r="A228" s="11" t="s">
        <v>32</v>
      </c>
      <c r="B228" s="27" t="str">
        <f>Catalog!$E$104</f>
        <v>missionElMacho</v>
      </c>
      <c r="C228" s="17">
        <f>Catalog!$AN$104</f>
        <v>1</v>
      </c>
      <c r="D228" s="17" t="str">
        <f>Catalog!$AO$104</f>
        <v>Available</v>
      </c>
      <c r="E228" s="14" t="s">
        <v>34</v>
      </c>
      <c r="F228" s="17" t="str">
        <f>Catalog!$AV$104</f>
        <v>Completing this mission unlocks an Ultimate and a new mission!</v>
      </c>
      <c r="G228" s="15" t="s">
        <v>12</v>
      </c>
      <c r="I228" s="13"/>
    </row>
    <row r="229" spans="1:9" ht="15" x14ac:dyDescent="0.15">
      <c r="A229" s="11" t="s">
        <v>32</v>
      </c>
      <c r="B229" s="27" t="str">
        <f>Catalog!$E$104</f>
        <v>missionElMacho</v>
      </c>
      <c r="C229" s="17">
        <f>Catalog!$BD$104</f>
        <v>2</v>
      </c>
      <c r="D229" s="17" t="str">
        <f>Catalog!$BE$104</f>
        <v>complete</v>
      </c>
      <c r="E229" s="28" t="s">
        <v>33</v>
      </c>
      <c r="F229" s="17" t="str">
        <f>Catalog!$BI$104</f>
        <v>Guac ‘em Out</v>
      </c>
      <c r="G229" s="15" t="s">
        <v>12</v>
      </c>
      <c r="I229" s="13"/>
    </row>
    <row r="230" spans="1:9" ht="15" x14ac:dyDescent="0.15">
      <c r="A230" s="11" t="s">
        <v>32</v>
      </c>
      <c r="B230" s="27" t="str">
        <f>Catalog!$E$104</f>
        <v>missionElMacho</v>
      </c>
      <c r="C230" s="17">
        <f>Catalog!$BD$104</f>
        <v>2</v>
      </c>
      <c r="D230" s="17" t="str">
        <f>Catalog!$BE$104</f>
        <v>complete</v>
      </c>
      <c r="E230" s="14" t="s">
        <v>24</v>
      </c>
      <c r="F230" s="17" t="str">
        <f>Catalog!$BK$104</f>
        <v>You scored over 100,000 points!</v>
      </c>
      <c r="G230" s="15" t="s">
        <v>12</v>
      </c>
      <c r="I230" s="13"/>
    </row>
    <row r="231" spans="1:9" ht="28" x14ac:dyDescent="0.15">
      <c r="A231" s="11" t="s">
        <v>32</v>
      </c>
      <c r="B231" s="27" t="str">
        <f>Catalog!$E$104</f>
        <v>missionElMacho</v>
      </c>
      <c r="C231" s="17">
        <f>Catalog!$BD$104</f>
        <v>2</v>
      </c>
      <c r="D231" s="17" t="str">
        <f>Catalog!$BE$104</f>
        <v>complete</v>
      </c>
      <c r="E231" s="14" t="s">
        <v>25</v>
      </c>
      <c r="F231" s="17" t="str">
        <f>Catalog!$BL$104</f>
        <v>You scored over 100,000 points in one round! You've got what it takes to join the Vicious 6.</v>
      </c>
      <c r="G231" s="15" t="s">
        <v>12</v>
      </c>
      <c r="I231" s="13"/>
    </row>
    <row r="232" spans="1:9" ht="28" x14ac:dyDescent="0.15">
      <c r="A232" s="11" t="s">
        <v>32</v>
      </c>
      <c r="B232" s="27" t="str">
        <f>Catalog!$E$104</f>
        <v>missionElMacho</v>
      </c>
      <c r="C232" s="17">
        <f>Catalog!$BD$104</f>
        <v>2</v>
      </c>
      <c r="D232" s="17" t="str">
        <f>Catalog!$BE$104</f>
        <v>complete</v>
      </c>
      <c r="E232" s="14" t="s">
        <v>34</v>
      </c>
      <c r="F232" s="17" t="str">
        <f>Catalog!$BM$104</f>
        <v>You've unlocked El Macho's Unholy Guacamole and a new mission!</v>
      </c>
      <c r="G232" s="15" t="s">
        <v>12</v>
      </c>
      <c r="I232" s="13"/>
    </row>
    <row r="233" spans="1:9" ht="26" x14ac:dyDescent="0.15">
      <c r="A233" s="11" t="s">
        <v>35</v>
      </c>
      <c r="B233" s="27" t="str">
        <f>Catalog!$E$105</f>
        <v>achievementMissionElMacho</v>
      </c>
      <c r="C233" s="20">
        <f>Catalog!$W$105</f>
        <v>0</v>
      </c>
      <c r="D233" s="29" t="str">
        <f>Catalog!$X$105</f>
        <v>unearned</v>
      </c>
      <c r="E233" s="30" t="s">
        <v>25</v>
      </c>
      <c r="F233" s="31" t="str">
        <f>Catalog!$AD$105</f>
        <v>You must complete mission Guac 'em Out to get this achievement!</v>
      </c>
      <c r="G233" s="15" t="s">
        <v>12</v>
      </c>
      <c r="I233" s="13"/>
    </row>
    <row r="234" spans="1:9" ht="15" x14ac:dyDescent="0.15">
      <c r="A234" s="11" t="s">
        <v>35</v>
      </c>
      <c r="B234" s="27" t="str">
        <f>Catalog!$E$105</f>
        <v>achievementMissionElMacho</v>
      </c>
      <c r="C234" s="17">
        <f>Catalog!$BD$105</f>
        <v>2</v>
      </c>
      <c r="D234" s="32" t="str">
        <f>Catalog!$BE$105</f>
        <v>earned</v>
      </c>
      <c r="E234" s="30" t="s">
        <v>23</v>
      </c>
      <c r="F234" s="31" t="str">
        <f>Catalog!$BI$105</f>
        <v>Muy Macho</v>
      </c>
      <c r="G234" s="15" t="s">
        <v>12</v>
      </c>
      <c r="I234" s="13"/>
    </row>
    <row r="235" spans="1:9" ht="28" x14ac:dyDescent="0.15">
      <c r="A235" s="11" t="s">
        <v>35</v>
      </c>
      <c r="B235" s="27" t="str">
        <f>Catalog!$E$105</f>
        <v>achievementMissionElMacho</v>
      </c>
      <c r="C235" s="17">
        <f>Catalog!$BD$105</f>
        <v>2</v>
      </c>
      <c r="D235" s="17" t="str">
        <f>Catalog!$BE$105</f>
        <v>earned</v>
      </c>
      <c r="E235" s="14" t="s">
        <v>25</v>
      </c>
      <c r="F235" s="20" t="str">
        <f>Catalog!$BL$105</f>
        <v>Has anyone blasted through the challenge with such undeniable machoness before?</v>
      </c>
      <c r="G235" s="15" t="s">
        <v>12</v>
      </c>
      <c r="I235" s="13"/>
    </row>
    <row r="236" spans="1:9" ht="15" x14ac:dyDescent="0.15">
      <c r="A236" s="11" t="s">
        <v>32</v>
      </c>
      <c r="B236" s="27" t="str">
        <f>Catalog!$E$108</f>
        <v>missionBratt</v>
      </c>
      <c r="C236" s="17">
        <f>Catalog!$W$108</f>
        <v>0</v>
      </c>
      <c r="D236" s="17" t="str">
        <f>Catalog!$X$108</f>
        <v>locked</v>
      </c>
      <c r="E236" s="28" t="s">
        <v>33</v>
      </c>
      <c r="F236" s="17" t="str">
        <f>Catalog!$AB$108</f>
        <v>Secret Mission</v>
      </c>
      <c r="G236" s="15" t="s">
        <v>12</v>
      </c>
      <c r="I236" s="13"/>
    </row>
    <row r="237" spans="1:9" ht="28" x14ac:dyDescent="0.15">
      <c r="A237" s="11" t="s">
        <v>32</v>
      </c>
      <c r="B237" s="27" t="str">
        <f>Catalog!$E$108</f>
        <v>missionBratt</v>
      </c>
      <c r="C237" s="17">
        <f>Catalog!$W$108</f>
        <v>0</v>
      </c>
      <c r="D237" s="17" t="str">
        <f>Catalog!$X$108</f>
        <v>locked</v>
      </c>
      <c r="E237" s="14" t="s">
        <v>25</v>
      </c>
      <c r="F237" s="17" t="str">
        <f>Catalog!$AD$108</f>
        <v>You must complete El Macho's mission to unlock this mission!</v>
      </c>
      <c r="G237" s="15" t="s">
        <v>28</v>
      </c>
      <c r="I237" s="13"/>
    </row>
    <row r="238" spans="1:9" ht="15" x14ac:dyDescent="0.15">
      <c r="A238" s="11" t="s">
        <v>32</v>
      </c>
      <c r="B238" s="27" t="str">
        <f>Catalog!$E$108</f>
        <v>missionBratt</v>
      </c>
      <c r="C238" s="17">
        <f>Catalog!$AN$108</f>
        <v>1</v>
      </c>
      <c r="D238" s="17" t="str">
        <f>Catalog!$AO$108</f>
        <v>Available</v>
      </c>
      <c r="E238" s="28" t="s">
        <v>33</v>
      </c>
      <c r="F238" s="17" t="str">
        <f>Catalog!$AS$108</f>
        <v>Swag Snatch</v>
      </c>
      <c r="G238" s="15" t="s">
        <v>12</v>
      </c>
      <c r="I238" s="13"/>
    </row>
    <row r="239" spans="1:9" ht="15" x14ac:dyDescent="0.15">
      <c r="A239" s="11" t="s">
        <v>32</v>
      </c>
      <c r="B239" s="27" t="str">
        <f>Catalog!$E$108</f>
        <v>missionBratt</v>
      </c>
      <c r="C239" s="17">
        <f>Catalog!$AN$108</f>
        <v>1</v>
      </c>
      <c r="D239" s="17" t="str">
        <f>Catalog!$AO$108</f>
        <v>Available</v>
      </c>
      <c r="E239" s="14" t="s">
        <v>24</v>
      </c>
      <c r="F239" s="17" t="str">
        <f>Catalog!$AT$108</f>
        <v>Blast 20 collectibles!</v>
      </c>
      <c r="G239" s="15" t="s">
        <v>12</v>
      </c>
      <c r="I239" s="13"/>
    </row>
    <row r="240" spans="1:9" ht="15" x14ac:dyDescent="0.15">
      <c r="A240" s="11" t="s">
        <v>32</v>
      </c>
      <c r="B240" s="27" t="str">
        <f>Catalog!$E$108</f>
        <v>missionBratt</v>
      </c>
      <c r="C240" s="17">
        <f>Catalog!$AN$108</f>
        <v>1</v>
      </c>
      <c r="D240" s="17" t="str">
        <f>Catalog!$AO$108</f>
        <v>Available</v>
      </c>
      <c r="E240" s="14" t="s">
        <v>25</v>
      </c>
      <c r="F240" s="17" t="str">
        <f>Catalog!$AU$108</f>
        <v xml:space="preserve">Get 20 collectibles in a single round! Grab &amp; go!  </v>
      </c>
      <c r="G240" s="15" t="s">
        <v>12</v>
      </c>
      <c r="I240" s="13"/>
    </row>
    <row r="241" spans="1:9" ht="15" x14ac:dyDescent="0.15">
      <c r="A241" s="11" t="s">
        <v>32</v>
      </c>
      <c r="B241" s="27" t="str">
        <f>Catalog!$E$108</f>
        <v>missionBratt</v>
      </c>
      <c r="C241" s="17">
        <f>Catalog!$AN$108</f>
        <v>1</v>
      </c>
      <c r="D241" s="17" t="str">
        <f>Catalog!$AO$108</f>
        <v>Available</v>
      </c>
      <c r="E241" s="14" t="s">
        <v>34</v>
      </c>
      <c r="F241" s="17" t="str">
        <f>Catalog!$AV$108</f>
        <v>Completing this mission unlocks a new Ultimate!</v>
      </c>
      <c r="G241" s="15" t="s">
        <v>12</v>
      </c>
      <c r="I241" s="13"/>
    </row>
    <row r="242" spans="1:9" ht="15" x14ac:dyDescent="0.15">
      <c r="A242" s="11" t="s">
        <v>32</v>
      </c>
      <c r="B242" s="27" t="str">
        <f>Catalog!$E$108</f>
        <v>missionBratt</v>
      </c>
      <c r="C242" s="17">
        <f>Catalog!$BD$108</f>
        <v>2</v>
      </c>
      <c r="D242" s="17" t="str">
        <f>Catalog!$BE$108</f>
        <v>complete</v>
      </c>
      <c r="E242" s="28" t="s">
        <v>33</v>
      </c>
      <c r="F242" s="17" t="str">
        <f>Catalog!$BI$108</f>
        <v>Swag Snatch</v>
      </c>
      <c r="G242" s="15" t="s">
        <v>12</v>
      </c>
      <c r="I242" s="13"/>
    </row>
    <row r="243" spans="1:9" ht="15" x14ac:dyDescent="0.15">
      <c r="A243" s="11" t="s">
        <v>32</v>
      </c>
      <c r="B243" s="27" t="str">
        <f>Catalog!$E$108</f>
        <v>missionBratt</v>
      </c>
      <c r="C243" s="17">
        <f>Catalog!$BD$108</f>
        <v>2</v>
      </c>
      <c r="D243" s="17" t="str">
        <f>Catalog!$BE$108</f>
        <v>complete</v>
      </c>
      <c r="E243" s="14" t="s">
        <v>24</v>
      </c>
      <c r="F243" s="17" t="str">
        <f>Catalog!$BK$108</f>
        <v>You blasted 20 collectibles!</v>
      </c>
      <c r="G243" s="15" t="s">
        <v>12</v>
      </c>
      <c r="I243" s="13"/>
    </row>
    <row r="244" spans="1:9" ht="28" x14ac:dyDescent="0.15">
      <c r="A244" s="11" t="s">
        <v>32</v>
      </c>
      <c r="B244" s="27" t="str">
        <f>Catalog!$E$108</f>
        <v>missionBratt</v>
      </c>
      <c r="C244" s="17">
        <f>Catalog!$BD$108</f>
        <v>2</v>
      </c>
      <c r="D244" s="17" t="str">
        <f>Catalog!$BE$108</f>
        <v>complete</v>
      </c>
      <c r="E244" s="14" t="s">
        <v>25</v>
      </c>
      <c r="F244" s="17" t="str">
        <f>Catalog!$BL$108</f>
        <v>You blasted at least 20 collectibles! Go on and brag, you got that swag!</v>
      </c>
      <c r="G244" s="15" t="s">
        <v>12</v>
      </c>
      <c r="I244" s="13"/>
    </row>
    <row r="245" spans="1:9" ht="15" x14ac:dyDescent="0.15">
      <c r="A245" s="11" t="s">
        <v>32</v>
      </c>
      <c r="B245" s="27" t="str">
        <f>Catalog!$E$108</f>
        <v>missionBratt</v>
      </c>
      <c r="C245" s="17">
        <f>Catalog!$BD$108</f>
        <v>2</v>
      </c>
      <c r="D245" s="17" t="str">
        <f>Catalog!$BE$108</f>
        <v>complete</v>
      </c>
      <c r="E245" s="14" t="s">
        <v>34</v>
      </c>
      <c r="F245" s="17" t="str">
        <f>Catalog!$BM$108</f>
        <v>You've unlocked Bratt's BOOM! (TM) Box!</v>
      </c>
      <c r="G245" s="15" t="s">
        <v>12</v>
      </c>
      <c r="I245" s="13"/>
    </row>
    <row r="246" spans="1:9" ht="28" x14ac:dyDescent="0.15">
      <c r="A246" s="11" t="s">
        <v>35</v>
      </c>
      <c r="B246" s="12" t="str">
        <f>Catalog!E109</f>
        <v>achievementMissionBratt</v>
      </c>
      <c r="C246" s="20">
        <f>Catalog!$W$109</f>
        <v>0</v>
      </c>
      <c r="D246" s="20" t="str">
        <f>Catalog!$X$109</f>
        <v>unearned</v>
      </c>
      <c r="E246" s="19" t="s">
        <v>25</v>
      </c>
      <c r="F246" s="20" t="str">
        <f>Catalog!$AD$109</f>
        <v>You must complete mission Swag Snatch to get this achievement!</v>
      </c>
      <c r="G246" s="15" t="s">
        <v>28</v>
      </c>
      <c r="I246" s="13"/>
    </row>
    <row r="247" spans="1:9" ht="15" x14ac:dyDescent="0.15">
      <c r="A247" s="11" t="s">
        <v>35</v>
      </c>
      <c r="B247" s="12" t="str">
        <f>Catalog!E109</f>
        <v>achievementMissionBratt</v>
      </c>
      <c r="C247" s="17">
        <f>Catalog!$BD$109</f>
        <v>2</v>
      </c>
      <c r="D247" s="17" t="str">
        <f>Catalog!$BE$109</f>
        <v>earned</v>
      </c>
      <c r="E247" s="19" t="s">
        <v>23</v>
      </c>
      <c r="F247" s="31" t="str">
        <f>Catalog!$BI$109</f>
        <v>Swag Champion</v>
      </c>
      <c r="G247" s="15" t="s">
        <v>28</v>
      </c>
      <c r="I247" s="13"/>
    </row>
    <row r="248" spans="1:9" ht="28" x14ac:dyDescent="0.15">
      <c r="A248" s="11" t="s">
        <v>35</v>
      </c>
      <c r="B248" s="12" t="str">
        <f>Catalog!E109</f>
        <v>achievementMissionBratt</v>
      </c>
      <c r="C248" s="17">
        <f>Catalog!$BD$109</f>
        <v>2</v>
      </c>
      <c r="D248" s="17" t="str">
        <f>Catalog!$BE$109</f>
        <v>earned</v>
      </c>
      <c r="E248" s="19" t="s">
        <v>25</v>
      </c>
      <c r="F248" s="20" t="str">
        <f>Catalog!$BL$109</f>
        <v xml:space="preserve">You blasted at least 20 collectibles in one round! Save some swag for the rest of the villains! </v>
      </c>
      <c r="G248" s="15" t="s">
        <v>14</v>
      </c>
      <c r="I248" s="13"/>
    </row>
    <row r="249" spans="1:9" ht="15" x14ac:dyDescent="0.15">
      <c r="A249" s="11" t="s">
        <v>32</v>
      </c>
      <c r="B249" s="18" t="str">
        <f>Catalog!$E$118</f>
        <v>missionStronghold</v>
      </c>
      <c r="C249" s="17">
        <f>Catalog!$W$118</f>
        <v>0</v>
      </c>
      <c r="D249" s="17" t="str">
        <f>Catalog!$X$118</f>
        <v>locked</v>
      </c>
      <c r="E249" s="28" t="s">
        <v>33</v>
      </c>
      <c r="F249" s="17" t="str">
        <f>Catalog!$AB$118</f>
        <v>Secret Mission</v>
      </c>
      <c r="G249" s="15" t="s">
        <v>12</v>
      </c>
      <c r="I249" s="13"/>
    </row>
    <row r="250" spans="1:9" ht="15" x14ac:dyDescent="0.15">
      <c r="A250" s="11" t="s">
        <v>32</v>
      </c>
      <c r="B250" s="18" t="str">
        <f>Catalog!$E$118</f>
        <v>missionStronghold</v>
      </c>
      <c r="C250" s="17">
        <f>Catalog!$W$118</f>
        <v>0</v>
      </c>
      <c r="D250" s="17" t="str">
        <f>Catalog!$X$118</f>
        <v>locked</v>
      </c>
      <c r="E250" s="14" t="s">
        <v>25</v>
      </c>
      <c r="F250" s="17" t="str">
        <f>Catalog!$AD$118</f>
        <v>You must find Stronghold's launcher to unlock this mission!</v>
      </c>
      <c r="G250" s="15" t="s">
        <v>12</v>
      </c>
      <c r="I250" s="13"/>
    </row>
    <row r="251" spans="1:9" ht="15" x14ac:dyDescent="0.15">
      <c r="A251" s="11" t="s">
        <v>32</v>
      </c>
      <c r="B251" s="18" t="str">
        <f>Catalog!$E$118</f>
        <v>missionStronghold</v>
      </c>
      <c r="C251" s="17">
        <f>Catalog!$AN$118</f>
        <v>1</v>
      </c>
      <c r="D251" s="17" t="str">
        <f>Catalog!$AO$118</f>
        <v>Available</v>
      </c>
      <c r="E251" s="28" t="s">
        <v>33</v>
      </c>
      <c r="F251" s="17" t="str">
        <f>Catalog!$AS$118</f>
        <v>Fists of Fury</v>
      </c>
      <c r="G251" s="15" t="s">
        <v>12</v>
      </c>
      <c r="I251" s="13"/>
    </row>
    <row r="252" spans="1:9" ht="15" x14ac:dyDescent="0.15">
      <c r="A252" s="11" t="s">
        <v>32</v>
      </c>
      <c r="B252" s="18" t="str">
        <f>Catalog!$E$118</f>
        <v>missionStronghold</v>
      </c>
      <c r="C252" s="17">
        <f>Catalog!$AN$118</f>
        <v>1</v>
      </c>
      <c r="D252" s="17" t="str">
        <f>Catalog!$AO$118</f>
        <v>Available</v>
      </c>
      <c r="E252" s="14" t="s">
        <v>24</v>
      </c>
      <c r="F252" s="17" t="str">
        <f>Catalog!$AT$118</f>
        <v>Damage the environment with at least 70 hits!</v>
      </c>
      <c r="G252" s="15" t="s">
        <v>28</v>
      </c>
      <c r="I252" s="13"/>
    </row>
    <row r="253" spans="1:9" ht="28" x14ac:dyDescent="0.15">
      <c r="A253" s="11" t="s">
        <v>32</v>
      </c>
      <c r="B253" s="18" t="str">
        <f>Catalog!$E$118</f>
        <v>missionStronghold</v>
      </c>
      <c r="C253" s="17">
        <f>Catalog!$AN$118</f>
        <v>1</v>
      </c>
      <c r="D253" s="17" t="str">
        <f>Catalog!$AO$118</f>
        <v>Available</v>
      </c>
      <c r="E253" s="14" t="s">
        <v>25</v>
      </c>
      <c r="F253" s="17" t="str">
        <f>Catalog!$AU$118</f>
        <v>Destroy decor, furniture, everything! Villain-Con is your rage room now!</v>
      </c>
      <c r="G253" s="15" t="s">
        <v>28</v>
      </c>
      <c r="I253" s="13"/>
    </row>
    <row r="254" spans="1:9" ht="15" x14ac:dyDescent="0.15">
      <c r="A254" s="11" t="s">
        <v>32</v>
      </c>
      <c r="B254" s="18" t="str">
        <f>Catalog!$E$118</f>
        <v>missionStronghold</v>
      </c>
      <c r="C254" s="17">
        <f>Catalog!$AN$118</f>
        <v>1</v>
      </c>
      <c r="D254" s="17" t="str">
        <f>Catalog!$AO$118</f>
        <v>Available</v>
      </c>
      <c r="E254" s="14" t="s">
        <v>34</v>
      </c>
      <c r="F254" s="17" t="str">
        <f>Catalog!$AV$118</f>
        <v>Completing this mission unlocks a new launcher!</v>
      </c>
      <c r="G254" s="15" t="s">
        <v>12</v>
      </c>
      <c r="I254" s="13"/>
    </row>
    <row r="255" spans="1:9" ht="15" x14ac:dyDescent="0.15">
      <c r="A255" s="11" t="s">
        <v>32</v>
      </c>
      <c r="B255" s="18" t="str">
        <f>Catalog!$E$118</f>
        <v>missionStronghold</v>
      </c>
      <c r="C255" s="17">
        <f>Catalog!$BD$118</f>
        <v>2</v>
      </c>
      <c r="D255" s="17" t="str">
        <f>Catalog!$BE$118</f>
        <v>complete</v>
      </c>
      <c r="E255" s="28" t="s">
        <v>33</v>
      </c>
      <c r="F255" s="17" t="str">
        <f>Catalog!$BI$118</f>
        <v>Fists of Fury</v>
      </c>
      <c r="G255" s="15" t="s">
        <v>12</v>
      </c>
      <c r="I255" s="13"/>
    </row>
    <row r="256" spans="1:9" ht="15" x14ac:dyDescent="0.15">
      <c r="A256" s="11" t="s">
        <v>32</v>
      </c>
      <c r="B256" s="18" t="str">
        <f>Catalog!$E$118</f>
        <v>missionStronghold</v>
      </c>
      <c r="C256" s="17">
        <f>Catalog!$BD$118</f>
        <v>2</v>
      </c>
      <c r="D256" s="17" t="str">
        <f>Catalog!$BE$118</f>
        <v>complete</v>
      </c>
      <c r="E256" s="14" t="s">
        <v>24</v>
      </c>
      <c r="F256" s="17" t="str">
        <f>Catalog!$BK$118</f>
        <v>You landed at least 70 hits of Environmental Damage!</v>
      </c>
      <c r="G256" s="15" t="s">
        <v>28</v>
      </c>
      <c r="I256" s="13"/>
    </row>
    <row r="257" spans="1:9" ht="28" x14ac:dyDescent="0.15">
      <c r="A257" s="11" t="s">
        <v>32</v>
      </c>
      <c r="B257" s="18" t="str">
        <f>Catalog!$E$118</f>
        <v>missionStronghold</v>
      </c>
      <c r="C257" s="17">
        <f>Catalog!$BD$118</f>
        <v>2</v>
      </c>
      <c r="D257" s="17" t="str">
        <f>Catalog!$BE$118</f>
        <v>complete</v>
      </c>
      <c r="E257" s="14" t="s">
        <v>25</v>
      </c>
      <c r="F257" s="17" t="str">
        <f>Catalog!$BL$118</f>
        <v>You turned all of Villain-Con into your rage room! Those walls were lookin' real breakable...</v>
      </c>
      <c r="G257" s="15" t="s">
        <v>12</v>
      </c>
      <c r="I257" s="13"/>
    </row>
    <row r="258" spans="1:9" ht="15" x14ac:dyDescent="0.15">
      <c r="A258" s="11" t="s">
        <v>32</v>
      </c>
      <c r="B258" s="18" t="str">
        <f>Catalog!$E$118</f>
        <v>missionStronghold</v>
      </c>
      <c r="C258" s="17">
        <f>Catalog!$BD$118</f>
        <v>2</v>
      </c>
      <c r="D258" s="17" t="str">
        <f>Catalog!$BE$118</f>
        <v>complete</v>
      </c>
      <c r="E258" s="14" t="s">
        <v>34</v>
      </c>
      <c r="F258" s="17" t="str">
        <f>Catalog!$BM$118</f>
        <v>You've unlocked Stronghold's Iron Fists Launcher!</v>
      </c>
      <c r="G258" s="15" t="s">
        <v>12</v>
      </c>
      <c r="I258" s="13"/>
    </row>
    <row r="259" spans="1:9" ht="28" x14ac:dyDescent="0.15">
      <c r="A259" s="11" t="s">
        <v>35</v>
      </c>
      <c r="B259" s="12" t="str">
        <f>Catalog!$E$119</f>
        <v>achievementMissionStronghold</v>
      </c>
      <c r="C259" s="20">
        <f>Catalog!$W$119</f>
        <v>0</v>
      </c>
      <c r="D259" s="20" t="str">
        <f>Catalog!$X$119</f>
        <v>unearned</v>
      </c>
      <c r="E259" s="19" t="s">
        <v>25</v>
      </c>
      <c r="F259" s="20" t="str">
        <f>Catalog!$AD$119</f>
        <v>You must complete mission Fists of Fury to get this achievement!</v>
      </c>
      <c r="G259" s="15" t="s">
        <v>28</v>
      </c>
      <c r="I259" s="13"/>
    </row>
    <row r="260" spans="1:9" ht="15" x14ac:dyDescent="0.15">
      <c r="A260" s="11" t="s">
        <v>35</v>
      </c>
      <c r="B260" s="12" t="str">
        <f>Catalog!$E$119</f>
        <v>achievementMissionStronghold</v>
      </c>
      <c r="C260" s="20">
        <f>Catalog!$BD$119</f>
        <v>2</v>
      </c>
      <c r="D260" s="20" t="str">
        <f>Catalog!$BE$119</f>
        <v>earned</v>
      </c>
      <c r="E260" s="19" t="s">
        <v>23</v>
      </c>
      <c r="F260" s="20" t="str">
        <f>Catalog!$BI$119</f>
        <v>Certified Smasher</v>
      </c>
      <c r="G260" s="15" t="s">
        <v>12</v>
      </c>
      <c r="I260" s="13"/>
    </row>
    <row r="261" spans="1:9" ht="28" x14ac:dyDescent="0.15">
      <c r="A261" s="11" t="s">
        <v>35</v>
      </c>
      <c r="B261" s="12" t="str">
        <f>Catalog!$E$119</f>
        <v>achievementMissionStronghold</v>
      </c>
      <c r="C261" s="20">
        <f>Catalog!$BD$119</f>
        <v>2</v>
      </c>
      <c r="D261" s="20" t="str">
        <f>Catalog!$BE$119</f>
        <v>earned</v>
      </c>
      <c r="E261" s="19" t="s">
        <v>25</v>
      </c>
      <c r="F261" s="20" t="str">
        <f>Catalog!$BL$119</f>
        <v>You caused massive environmental damage! You make the oil companies look like amateurs!</v>
      </c>
      <c r="G261" s="15" t="s">
        <v>28</v>
      </c>
      <c r="I261" s="13"/>
    </row>
    <row r="262" spans="1:9" ht="15" x14ac:dyDescent="0.15">
      <c r="A262" s="11" t="s">
        <v>32</v>
      </c>
      <c r="B262" s="18" t="str">
        <f>Catalog!$E$123</f>
        <v>missionNunchuck</v>
      </c>
      <c r="C262" s="17">
        <f>Catalog!$W$123</f>
        <v>0</v>
      </c>
      <c r="D262" s="17" t="str">
        <f>Catalog!$X$123</f>
        <v>locked</v>
      </c>
      <c r="E262" s="28" t="s">
        <v>33</v>
      </c>
      <c r="F262" s="17" t="str">
        <f>Catalog!$AB$123</f>
        <v>Secret Mission</v>
      </c>
      <c r="G262" s="15" t="s">
        <v>12</v>
      </c>
      <c r="I262" s="13"/>
    </row>
    <row r="263" spans="1:9" ht="15" x14ac:dyDescent="0.15">
      <c r="A263" s="11" t="s">
        <v>32</v>
      </c>
      <c r="B263" s="18" t="str">
        <f>Catalog!$E$123</f>
        <v>missionNunchuck</v>
      </c>
      <c r="C263" s="17">
        <f>Catalog!$W$123</f>
        <v>0</v>
      </c>
      <c r="D263" s="17" t="str">
        <f>Catalog!$X$123</f>
        <v>locked</v>
      </c>
      <c r="E263" s="14" t="s">
        <v>25</v>
      </c>
      <c r="F263" s="17" t="str">
        <f>Catalog!$AD$123</f>
        <v>You must find Nun Chuck's launcher to unlock this mission!</v>
      </c>
      <c r="G263" s="15" t="s">
        <v>12</v>
      </c>
      <c r="I263" s="13"/>
    </row>
    <row r="264" spans="1:9" ht="15" x14ac:dyDescent="0.15">
      <c r="A264" s="11" t="s">
        <v>32</v>
      </c>
      <c r="B264" s="18" t="str">
        <f>Catalog!$E$123</f>
        <v>missionNunchuck</v>
      </c>
      <c r="C264" s="17">
        <f>Catalog!$AN$123</f>
        <v>1</v>
      </c>
      <c r="D264" s="17" t="str">
        <f>Catalog!$AO$123</f>
        <v>Available</v>
      </c>
      <c r="E264" s="28" t="s">
        <v>33</v>
      </c>
      <c r="F264" s="17" t="str">
        <f>Catalog!$AS$123</f>
        <v>No Fly Drone</v>
      </c>
      <c r="G264" s="15" t="s">
        <v>12</v>
      </c>
      <c r="I264" s="13"/>
    </row>
    <row r="265" spans="1:9" ht="15" x14ac:dyDescent="0.15">
      <c r="A265" s="11" t="s">
        <v>32</v>
      </c>
      <c r="B265" s="18" t="str">
        <f>Catalog!$E$123</f>
        <v>missionNunchuck</v>
      </c>
      <c r="C265" s="17">
        <f>Catalog!$AN$123</f>
        <v>1</v>
      </c>
      <c r="D265" s="17" t="str">
        <f>Catalog!$AO$123</f>
        <v>Available</v>
      </c>
      <c r="E265" s="14" t="s">
        <v>24</v>
      </c>
      <c r="F265" s="17" t="str">
        <f>Catalog!$AT$123</f>
        <v>Destroy 20 flying targets!</v>
      </c>
      <c r="G265" s="15" t="s">
        <v>12</v>
      </c>
      <c r="I265" s="13"/>
    </row>
    <row r="266" spans="1:9" ht="28" x14ac:dyDescent="0.15">
      <c r="A266" s="11" t="s">
        <v>32</v>
      </c>
      <c r="B266" s="18" t="str">
        <f>Catalog!$E$123</f>
        <v>missionNunchuck</v>
      </c>
      <c r="C266" s="17">
        <f>Catalog!$AN$123</f>
        <v>1</v>
      </c>
      <c r="D266" s="17" t="str">
        <f>Catalog!$AO$123</f>
        <v>Available</v>
      </c>
      <c r="E266" s="14" t="s">
        <v>25</v>
      </c>
      <c r="F266" s="17" t="str">
        <f>Catalog!$AU$123</f>
        <v>Destroy 20 flying targets: drones, music notes, jetpack Minions, bubbles, records!</v>
      </c>
      <c r="G266" s="15" t="s">
        <v>12</v>
      </c>
      <c r="I266" s="13"/>
    </row>
    <row r="267" spans="1:9" ht="15" x14ac:dyDescent="0.15">
      <c r="A267" s="11" t="s">
        <v>32</v>
      </c>
      <c r="B267" s="18" t="str">
        <f>Catalog!$E$123</f>
        <v>missionNunchuck</v>
      </c>
      <c r="C267" s="17">
        <f>Catalog!$AN$123</f>
        <v>1</v>
      </c>
      <c r="D267" s="17" t="str">
        <f>Catalog!$AO$123</f>
        <v>Available</v>
      </c>
      <c r="E267" s="14" t="s">
        <v>34</v>
      </c>
      <c r="F267" s="17" t="str">
        <f>Catalog!$AV$123</f>
        <v>Completing this mission unlocks a new launcher!</v>
      </c>
      <c r="G267" s="15" t="s">
        <v>12</v>
      </c>
      <c r="I267" s="13"/>
    </row>
    <row r="268" spans="1:9" ht="15" x14ac:dyDescent="0.15">
      <c r="A268" s="11" t="s">
        <v>32</v>
      </c>
      <c r="B268" s="18" t="str">
        <f>Catalog!$E$123</f>
        <v>missionNunchuck</v>
      </c>
      <c r="C268" s="17">
        <f>Catalog!$BD$123</f>
        <v>2</v>
      </c>
      <c r="D268" s="17" t="str">
        <f>Catalog!$BE$123</f>
        <v>complete</v>
      </c>
      <c r="E268" s="28" t="s">
        <v>33</v>
      </c>
      <c r="F268" s="17" t="str">
        <f>Catalog!$BI$123</f>
        <v>No Fly Drone</v>
      </c>
      <c r="G268" s="15" t="s">
        <v>12</v>
      </c>
      <c r="I268" s="13"/>
    </row>
    <row r="269" spans="1:9" ht="15" x14ac:dyDescent="0.15">
      <c r="A269" s="11" t="s">
        <v>32</v>
      </c>
      <c r="B269" s="18" t="str">
        <f>Catalog!$E$123</f>
        <v>missionNunchuck</v>
      </c>
      <c r="C269" s="17">
        <f>Catalog!$BD$123</f>
        <v>2</v>
      </c>
      <c r="D269" s="17" t="str">
        <f>Catalog!$BE$123</f>
        <v>complete</v>
      </c>
      <c r="E269" s="14" t="s">
        <v>24</v>
      </c>
      <c r="F269" s="17" t="str">
        <f>Catalog!$BK$123</f>
        <v>You destroyed 20 flying targets!</v>
      </c>
      <c r="G269" s="15" t="s">
        <v>12</v>
      </c>
      <c r="I269" s="13"/>
    </row>
    <row r="270" spans="1:9" ht="28" x14ac:dyDescent="0.15">
      <c r="A270" s="11" t="s">
        <v>32</v>
      </c>
      <c r="B270" s="18" t="str">
        <f>Catalog!$E$123</f>
        <v>missionNunchuck</v>
      </c>
      <c r="C270" s="17">
        <f>Catalog!$BD$123</f>
        <v>2</v>
      </c>
      <c r="D270" s="17" t="str">
        <f>Catalog!$BE$123</f>
        <v>complete</v>
      </c>
      <c r="E270" s="14" t="s">
        <v>25</v>
      </c>
      <c r="F270" s="17" t="str">
        <f>Catalog!$BL$123</f>
        <v>You destroyed at least 20 flying targets! Now YOU rule the skies.</v>
      </c>
      <c r="G270" s="15" t="s">
        <v>12</v>
      </c>
      <c r="I270" s="13"/>
    </row>
    <row r="271" spans="1:9" ht="15" x14ac:dyDescent="0.15">
      <c r="A271" s="11" t="s">
        <v>32</v>
      </c>
      <c r="B271" s="18" t="str">
        <f>Catalog!$E$123</f>
        <v>missionNunchuck</v>
      </c>
      <c r="C271" s="17">
        <f>Catalog!$BD$123</f>
        <v>2</v>
      </c>
      <c r="D271" s="17" t="str">
        <f>Catalog!$BE$123</f>
        <v>complete</v>
      </c>
      <c r="E271" s="14" t="s">
        <v>34</v>
      </c>
      <c r="F271" s="17" t="str">
        <f>Catalog!$BM$123</f>
        <v>You've unlocked Nunchuck's Boom Chucks!</v>
      </c>
      <c r="G271" s="15" t="s">
        <v>28</v>
      </c>
      <c r="I271" s="13"/>
    </row>
    <row r="272" spans="1:9" ht="28" x14ac:dyDescent="0.15">
      <c r="A272" s="11" t="s">
        <v>35</v>
      </c>
      <c r="B272" s="12" t="str">
        <f>Catalog!$E$124</f>
        <v>achievementMissionNunchuck</v>
      </c>
      <c r="C272" s="20">
        <f>Catalog!$W$124</f>
        <v>0</v>
      </c>
      <c r="D272" s="20" t="str">
        <f>Catalog!$X$124</f>
        <v>unearned</v>
      </c>
      <c r="E272" s="19" t="s">
        <v>25</v>
      </c>
      <c r="F272" s="20" t="str">
        <f>Catalog!$AD$124</f>
        <v>You must complete mission No Fly Drone to get this achievement!</v>
      </c>
      <c r="G272" s="15" t="s">
        <v>28</v>
      </c>
      <c r="I272" s="13"/>
    </row>
    <row r="273" spans="1:9" ht="15" x14ac:dyDescent="0.15">
      <c r="A273" s="11" t="s">
        <v>35</v>
      </c>
      <c r="B273" s="12" t="str">
        <f>Catalog!$E$124</f>
        <v>achievementMissionNunchuck</v>
      </c>
      <c r="C273" s="20">
        <f>Catalog!$BD$124</f>
        <v>2</v>
      </c>
      <c r="D273" s="20" t="str">
        <f>Catalog!$BE$124</f>
        <v>earned</v>
      </c>
      <c r="E273" s="19" t="s">
        <v>23</v>
      </c>
      <c r="F273" s="20" t="str">
        <f>Catalog!$BI$124</f>
        <v>High Flier</v>
      </c>
      <c r="G273" s="15" t="s">
        <v>36</v>
      </c>
      <c r="H273" s="18"/>
      <c r="I273" s="13"/>
    </row>
    <row r="274" spans="1:9" ht="28" x14ac:dyDescent="0.15">
      <c r="A274" s="11" t="s">
        <v>35</v>
      </c>
      <c r="B274" s="12" t="str">
        <f>Catalog!$E$124</f>
        <v>achievementMissionNunchuck</v>
      </c>
      <c r="C274" s="20">
        <f>Catalog!$BD$124</f>
        <v>2</v>
      </c>
      <c r="D274" s="20" t="str">
        <f>Catalog!$BE$124</f>
        <v>earned</v>
      </c>
      <c r="E274" s="19" t="s">
        <v>25</v>
      </c>
      <c r="F274" s="20" t="str">
        <f>Catalog!$BL$124</f>
        <v>You destroyed over 20 flying targets! With your new Boom Chucks, you can take explosiveness to new heights!</v>
      </c>
      <c r="G274" s="15" t="s">
        <v>12</v>
      </c>
      <c r="I274" s="13"/>
    </row>
    <row r="275" spans="1:9" ht="15" x14ac:dyDescent="0.15">
      <c r="A275" s="11" t="s">
        <v>32</v>
      </c>
      <c r="B275" s="27" t="str">
        <f>Catalog!$E$133</f>
        <v>missionJeanClawed</v>
      </c>
      <c r="C275" s="17">
        <f>Catalog!$W$133</f>
        <v>0</v>
      </c>
      <c r="D275" s="17" t="str">
        <f>Catalog!$X$133</f>
        <v>locked</v>
      </c>
      <c r="E275" s="28" t="s">
        <v>33</v>
      </c>
      <c r="F275" s="17" t="str">
        <f>Catalog!$AB$133</f>
        <v>Secret Mission</v>
      </c>
      <c r="G275" s="15" t="s">
        <v>12</v>
      </c>
      <c r="I275" s="13"/>
    </row>
    <row r="276" spans="1:9" ht="28" x14ac:dyDescent="0.15">
      <c r="A276" s="11" t="s">
        <v>32</v>
      </c>
      <c r="B276" s="27" t="str">
        <f>Catalog!$E$133</f>
        <v>missionJeanClawed</v>
      </c>
      <c r="C276" s="17">
        <f>Catalog!$W$133</f>
        <v>0</v>
      </c>
      <c r="D276" s="17" t="str">
        <f>Catalog!$X$133</f>
        <v>locked</v>
      </c>
      <c r="E276" s="14" t="s">
        <v>25</v>
      </c>
      <c r="F276" s="17" t="str">
        <f>Catalog!$AD$133</f>
        <v>You must find Jean Clawed's launcher to unlock this mission!</v>
      </c>
      <c r="G276" s="15" t="s">
        <v>12</v>
      </c>
      <c r="I276" s="13"/>
    </row>
    <row r="277" spans="1:9" ht="15" x14ac:dyDescent="0.15">
      <c r="A277" s="11" t="s">
        <v>32</v>
      </c>
      <c r="B277" s="27" t="str">
        <f>Catalog!$E$133</f>
        <v>missionJeanClawed</v>
      </c>
      <c r="C277" s="17">
        <f>Catalog!$AN$133</f>
        <v>1</v>
      </c>
      <c r="D277" s="17" t="str">
        <f>Catalog!$AO$133</f>
        <v>Available</v>
      </c>
      <c r="E277" s="28" t="s">
        <v>33</v>
      </c>
      <c r="F277" s="17" t="str">
        <f>Catalog!$AS$133</f>
        <v>Buried Treasure</v>
      </c>
      <c r="G277" s="15" t="s">
        <v>12</v>
      </c>
      <c r="I277" s="13"/>
    </row>
    <row r="278" spans="1:9" ht="15" x14ac:dyDescent="0.15">
      <c r="A278" s="11" t="s">
        <v>32</v>
      </c>
      <c r="B278" s="27" t="str">
        <f>Catalog!$E$133</f>
        <v>missionJeanClawed</v>
      </c>
      <c r="C278" s="17">
        <f>Catalog!$AN$133</f>
        <v>1</v>
      </c>
      <c r="D278" s="17" t="str">
        <f>Catalog!$AO$133</f>
        <v>Available</v>
      </c>
      <c r="E278" s="14" t="s">
        <v>24</v>
      </c>
      <c r="F278" s="17" t="str">
        <f>Catalog!$AT$133</f>
        <v>Collect 2500 points' worth of V6 medallions!</v>
      </c>
      <c r="G278" s="15" t="s">
        <v>28</v>
      </c>
      <c r="I278" s="13"/>
    </row>
    <row r="279" spans="1:9" ht="28" x14ac:dyDescent="0.15">
      <c r="A279" s="11" t="s">
        <v>32</v>
      </c>
      <c r="B279" s="27" t="str">
        <f>Catalog!$E$133</f>
        <v>missionJeanClawed</v>
      </c>
      <c r="C279" s="17">
        <f>Catalog!$AN$133</f>
        <v>1</v>
      </c>
      <c r="D279" s="17" t="str">
        <f>Catalog!$AO$133</f>
        <v>Available</v>
      </c>
      <c r="E279" s="14" t="s">
        <v>25</v>
      </c>
      <c r="F279" s="17" t="str">
        <f>Catalog!$AU$133</f>
        <v>Collect 2500 points' worth of V6 medallions! Go for the gold. (Silver will do too.)</v>
      </c>
      <c r="G279" s="15" t="s">
        <v>28</v>
      </c>
      <c r="I279" s="13"/>
    </row>
    <row r="280" spans="1:9" ht="15" x14ac:dyDescent="0.15">
      <c r="A280" s="11" t="s">
        <v>32</v>
      </c>
      <c r="B280" s="27" t="str">
        <f>Catalog!$E$133</f>
        <v>missionJeanClawed</v>
      </c>
      <c r="C280" s="17">
        <f>Catalog!$AN$133</f>
        <v>1</v>
      </c>
      <c r="D280" s="17" t="str">
        <f>Catalog!$AO$133</f>
        <v>Available</v>
      </c>
      <c r="E280" s="14" t="s">
        <v>34</v>
      </c>
      <c r="F280" s="17" t="str">
        <f>Catalog!$AV$133</f>
        <v>Completing this mission unlocks a new launcher!</v>
      </c>
      <c r="G280" s="15" t="s">
        <v>12</v>
      </c>
      <c r="I280" s="13"/>
    </row>
    <row r="281" spans="1:9" ht="15" x14ac:dyDescent="0.15">
      <c r="A281" s="11" t="s">
        <v>32</v>
      </c>
      <c r="B281" s="27" t="str">
        <f>Catalog!$E$133</f>
        <v>missionJeanClawed</v>
      </c>
      <c r="C281" s="17">
        <f>Catalog!$BD$133</f>
        <v>2</v>
      </c>
      <c r="D281" s="17" t="str">
        <f>Catalog!$BE$133</f>
        <v>complete</v>
      </c>
      <c r="E281" s="28" t="s">
        <v>33</v>
      </c>
      <c r="F281" s="17" t="str">
        <f>Catalog!$BI$133</f>
        <v>Buried Treasure</v>
      </c>
      <c r="G281" s="15" t="s">
        <v>12</v>
      </c>
      <c r="I281" s="13"/>
    </row>
    <row r="282" spans="1:9" ht="15" x14ac:dyDescent="0.15">
      <c r="A282" s="11" t="s">
        <v>32</v>
      </c>
      <c r="B282" s="27" t="str">
        <f>Catalog!$E$133</f>
        <v>missionJeanClawed</v>
      </c>
      <c r="C282" s="17">
        <f>Catalog!$BD$133</f>
        <v>2</v>
      </c>
      <c r="D282" s="17" t="str">
        <f>Catalog!$BE$133</f>
        <v>complete</v>
      </c>
      <c r="E282" s="14" t="s">
        <v>24</v>
      </c>
      <c r="F282" s="17" t="str">
        <f>Catalog!$BK$133</f>
        <v>You collected 2500 points' worth of V6 medallions!</v>
      </c>
      <c r="G282" s="15" t="s">
        <v>12</v>
      </c>
      <c r="I282" s="13"/>
    </row>
    <row r="283" spans="1:9" ht="28" x14ac:dyDescent="0.15">
      <c r="A283" s="11" t="s">
        <v>32</v>
      </c>
      <c r="B283" s="27" t="str">
        <f>Catalog!$E$133</f>
        <v>missionJeanClawed</v>
      </c>
      <c r="C283" s="17">
        <f>Catalog!$BD$133</f>
        <v>2</v>
      </c>
      <c r="D283" s="17" t="str">
        <f>Catalog!$BE$133</f>
        <v>complete</v>
      </c>
      <c r="E283" s="14" t="s">
        <v>25</v>
      </c>
      <c r="F283" s="17" t="str">
        <f>Catalog!$BL$133</f>
        <v>You collected over 2500 points' worth of V6 medallions. That'll impress 'em for sure.</v>
      </c>
      <c r="G283" s="15" t="s">
        <v>12</v>
      </c>
      <c r="I283" s="13"/>
    </row>
    <row r="284" spans="1:9" ht="15" x14ac:dyDescent="0.15">
      <c r="A284" s="11" t="s">
        <v>32</v>
      </c>
      <c r="B284" s="27" t="str">
        <f>Catalog!$E$133</f>
        <v>missionJeanClawed</v>
      </c>
      <c r="C284" s="17">
        <f>Catalog!$BD$133</f>
        <v>2</v>
      </c>
      <c r="D284" s="17" t="str">
        <f>Catalog!$BE$133</f>
        <v>complete</v>
      </c>
      <c r="E284" s="14" t="s">
        <v>34</v>
      </c>
      <c r="F284" s="17" t="str">
        <f>Catalog!$BM$133</f>
        <v>You've unlocked Jean-Clawed's Sonique Blast Launcher!</v>
      </c>
      <c r="G284" s="15" t="s">
        <v>12</v>
      </c>
      <c r="I284" s="13"/>
    </row>
    <row r="285" spans="1:9" ht="28" x14ac:dyDescent="0.15">
      <c r="A285" s="11" t="s">
        <v>35</v>
      </c>
      <c r="B285" s="12" t="str">
        <f>Catalog!$E$135</f>
        <v>achievementMissionJeanClawed</v>
      </c>
      <c r="C285" s="20">
        <f>Catalog!$W$135</f>
        <v>0</v>
      </c>
      <c r="D285" s="20" t="str">
        <f>Catalog!$X$135</f>
        <v>unearned</v>
      </c>
      <c r="E285" s="19" t="s">
        <v>25</v>
      </c>
      <c r="F285" s="20" t="str">
        <f>Catalog!$AD$135</f>
        <v>You must complete mission Buried Treasure to get this achievement!</v>
      </c>
      <c r="G285" s="15" t="s">
        <v>28</v>
      </c>
      <c r="I285" s="13"/>
    </row>
    <row r="286" spans="1:9" ht="15" x14ac:dyDescent="0.15">
      <c r="A286" s="11" t="s">
        <v>35</v>
      </c>
      <c r="B286" s="12" t="str">
        <f>Catalog!$E$135</f>
        <v>achievementMissionJeanClawed</v>
      </c>
      <c r="C286" s="20">
        <f>Catalog!$BD$135</f>
        <v>2</v>
      </c>
      <c r="D286" s="20" t="str">
        <f>Catalog!$BE$135</f>
        <v>earned</v>
      </c>
      <c r="E286" s="19" t="s">
        <v>23</v>
      </c>
      <c r="F286" s="20" t="str">
        <f>Catalog!$BI$135</f>
        <v>Claw Cracker</v>
      </c>
      <c r="G286" s="15" t="s">
        <v>12</v>
      </c>
      <c r="I286" s="13"/>
    </row>
    <row r="287" spans="1:9" ht="28" x14ac:dyDescent="0.15">
      <c r="A287" s="11" t="s">
        <v>35</v>
      </c>
      <c r="B287" s="12" t="str">
        <f>Catalog!$E$135</f>
        <v>achievementMissionJeanClawed</v>
      </c>
      <c r="C287" s="20">
        <f>Catalog!$BD$135</f>
        <v>2</v>
      </c>
      <c r="D287" s="20" t="str">
        <f>Catalog!$BE$135</f>
        <v>earned</v>
      </c>
      <c r="E287" s="19" t="s">
        <v>25</v>
      </c>
      <c r="F287" s="20" t="str">
        <f>Catalog!$BL$135</f>
        <v>You collected over 2500 points' worth of V6 medallions. Everyone around you is jealous!</v>
      </c>
      <c r="G287" s="15" t="s">
        <v>12</v>
      </c>
      <c r="I287" s="13"/>
    </row>
    <row r="288" spans="1:9" ht="15" x14ac:dyDescent="0.15">
      <c r="A288" s="11" t="s">
        <v>32</v>
      </c>
      <c r="B288" s="27" t="str">
        <f>Catalog!$E$128</f>
        <v>missionSvengeance</v>
      </c>
      <c r="C288" s="17">
        <f>Catalog!$W$128</f>
        <v>0</v>
      </c>
      <c r="D288" s="17" t="str">
        <f>Catalog!$X$128</f>
        <v>locked</v>
      </c>
      <c r="E288" s="28" t="s">
        <v>33</v>
      </c>
      <c r="F288" s="17" t="str">
        <f>Catalog!$AB$128</f>
        <v>Secret Mission</v>
      </c>
      <c r="G288" s="15" t="s">
        <v>12</v>
      </c>
      <c r="I288" s="13"/>
    </row>
    <row r="289" spans="1:9" ht="28" x14ac:dyDescent="0.15">
      <c r="A289" s="11" t="s">
        <v>32</v>
      </c>
      <c r="B289" s="27" t="str">
        <f>Catalog!$E$128</f>
        <v>missionSvengeance</v>
      </c>
      <c r="C289" s="17">
        <f>Catalog!$W$128</f>
        <v>0</v>
      </c>
      <c r="D289" s="17" t="str">
        <f>Catalog!$X$128</f>
        <v>locked</v>
      </c>
      <c r="E289" s="14" t="s">
        <v>25</v>
      </c>
      <c r="F289" s="17" t="str">
        <f>Catalog!$AD$128</f>
        <v>You must find Svengeance's launcher to unlock this mission!</v>
      </c>
      <c r="G289" s="15" t="s">
        <v>12</v>
      </c>
      <c r="I289" s="13"/>
    </row>
    <row r="290" spans="1:9" ht="15" x14ac:dyDescent="0.15">
      <c r="A290" s="11" t="s">
        <v>32</v>
      </c>
      <c r="B290" s="27" t="str">
        <f>Catalog!$E$128</f>
        <v>missionSvengeance</v>
      </c>
      <c r="C290" s="17">
        <f>Catalog!$AN$128</f>
        <v>1</v>
      </c>
      <c r="D290" s="17" t="str">
        <f>Catalog!$AO$128</f>
        <v>Available</v>
      </c>
      <c r="E290" s="28" t="s">
        <v>33</v>
      </c>
      <c r="F290" s="17" t="str">
        <f>Catalog!$AS$128</f>
        <v>Svender Bender</v>
      </c>
      <c r="G290" s="15" t="s">
        <v>12</v>
      </c>
      <c r="I290" s="13"/>
    </row>
    <row r="291" spans="1:9" ht="15" x14ac:dyDescent="0.15">
      <c r="A291" s="11" t="s">
        <v>32</v>
      </c>
      <c r="B291" s="27" t="str">
        <f>Catalog!$E$128</f>
        <v>missionSvengeance</v>
      </c>
      <c r="C291" s="17">
        <f>Catalog!$AN$128</f>
        <v>1</v>
      </c>
      <c r="D291" s="17" t="str">
        <f>Catalog!$AO$128</f>
        <v>Available</v>
      </c>
      <c r="E291" s="14" t="s">
        <v>24</v>
      </c>
      <c r="F291" s="17" t="str">
        <f>Catalog!$AT$128</f>
        <v>Destroy 10 rolling targets!</v>
      </c>
      <c r="G291" s="15" t="s">
        <v>12</v>
      </c>
      <c r="I291" s="13"/>
    </row>
    <row r="292" spans="1:9" ht="28" x14ac:dyDescent="0.15">
      <c r="A292" s="11" t="s">
        <v>32</v>
      </c>
      <c r="B292" s="27" t="str">
        <f>Catalog!$E$128</f>
        <v>missionSvengeance</v>
      </c>
      <c r="C292" s="17">
        <f>Catalog!$AN$128</f>
        <v>1</v>
      </c>
      <c r="D292" s="17" t="str">
        <f>Catalog!$AO$128</f>
        <v>Available</v>
      </c>
      <c r="E292" s="14" t="s">
        <v>25</v>
      </c>
      <c r="F292" s="17" t="str">
        <f>Catalog!$AU$128</f>
        <v>Destroy 10 rolling targets: pedestals, roller Minions, rollerskating bots...if they're on wheels, get 'em!</v>
      </c>
      <c r="G292" s="15" t="s">
        <v>28</v>
      </c>
      <c r="I292" s="13"/>
    </row>
    <row r="293" spans="1:9" ht="15" x14ac:dyDescent="0.15">
      <c r="A293" s="11" t="s">
        <v>32</v>
      </c>
      <c r="B293" s="27" t="str">
        <f>Catalog!$E$128</f>
        <v>missionSvengeance</v>
      </c>
      <c r="C293" s="17">
        <f>Catalog!$AN$128</f>
        <v>1</v>
      </c>
      <c r="D293" s="17" t="str">
        <f>Catalog!$AO$128</f>
        <v>Available</v>
      </c>
      <c r="E293" s="14" t="s">
        <v>34</v>
      </c>
      <c r="F293" s="17" t="str">
        <f>Catalog!$AV$128</f>
        <v>Completing this mission unlocks a new launcher!</v>
      </c>
      <c r="G293" s="15" t="s">
        <v>12</v>
      </c>
      <c r="I293" s="13"/>
    </row>
    <row r="294" spans="1:9" ht="15" x14ac:dyDescent="0.15">
      <c r="A294" s="11" t="s">
        <v>32</v>
      </c>
      <c r="B294" s="27" t="str">
        <f>Catalog!$E$128</f>
        <v>missionSvengeance</v>
      </c>
      <c r="C294" s="17">
        <f>Catalog!$BD$128</f>
        <v>2</v>
      </c>
      <c r="D294" s="17" t="str">
        <f>Catalog!$BE$128</f>
        <v>complete</v>
      </c>
      <c r="E294" s="28" t="s">
        <v>33</v>
      </c>
      <c r="F294" s="17" t="str">
        <f>Catalog!$BI$128</f>
        <v>Svender Bender</v>
      </c>
      <c r="G294" s="15" t="s">
        <v>12</v>
      </c>
      <c r="I294" s="13"/>
    </row>
    <row r="295" spans="1:9" ht="15" x14ac:dyDescent="0.15">
      <c r="A295" s="11" t="s">
        <v>32</v>
      </c>
      <c r="B295" s="27" t="str">
        <f>Catalog!$E$128</f>
        <v>missionSvengeance</v>
      </c>
      <c r="C295" s="17">
        <f>Catalog!$BD$128</f>
        <v>2</v>
      </c>
      <c r="D295" s="17" t="str">
        <f>Catalog!$BE$128</f>
        <v>complete</v>
      </c>
      <c r="E295" s="14" t="s">
        <v>24</v>
      </c>
      <c r="F295" s="17" t="str">
        <f>Catalog!$BK$128</f>
        <v>You destroyed 10 rolling targets!</v>
      </c>
      <c r="G295" s="15" t="s">
        <v>12</v>
      </c>
      <c r="I295" s="13"/>
    </row>
    <row r="296" spans="1:9" ht="28" x14ac:dyDescent="0.15">
      <c r="A296" s="11" t="s">
        <v>32</v>
      </c>
      <c r="B296" s="27" t="str">
        <f>Catalog!$E$128</f>
        <v>missionSvengeance</v>
      </c>
      <c r="C296" s="17">
        <f>Catalog!$BD$128</f>
        <v>2</v>
      </c>
      <c r="D296" s="17" t="str">
        <f>Catalog!$BE$128</f>
        <v>complete</v>
      </c>
      <c r="E296" s="14" t="s">
        <v>25</v>
      </c>
      <c r="F296" s="17" t="str">
        <f>Catalog!$BL$128</f>
        <v>You've unlocked the Spiked Vengeance Launcher. You're the MVV (Most Valuable Villain)!</v>
      </c>
      <c r="G296" s="15" t="s">
        <v>12</v>
      </c>
      <c r="I296" s="13"/>
    </row>
    <row r="297" spans="1:9" ht="28" x14ac:dyDescent="0.15">
      <c r="A297" s="11" t="s">
        <v>32</v>
      </c>
      <c r="B297" s="27" t="str">
        <f>Catalog!$E$128</f>
        <v>missionSvengeance</v>
      </c>
      <c r="C297" s="17">
        <f>Catalog!$BD$128</f>
        <v>2</v>
      </c>
      <c r="D297" s="17" t="str">
        <f>Catalog!$BE$128</f>
        <v>complete</v>
      </c>
      <c r="E297" s="14" t="s">
        <v>34</v>
      </c>
      <c r="F297" s="17" t="str">
        <f>Catalog!$BM$128</f>
        <v>You've unlocked Svengeance's Spiked Vengeance Launcher!</v>
      </c>
      <c r="G297" s="15" t="s">
        <v>12</v>
      </c>
      <c r="I297" s="13"/>
    </row>
    <row r="298" spans="1:9" ht="28" x14ac:dyDescent="0.15">
      <c r="A298" s="11" t="s">
        <v>35</v>
      </c>
      <c r="B298" s="12" t="str">
        <f>Catalog!$E$129</f>
        <v>achievementMissionSvengeance</v>
      </c>
      <c r="C298" s="20">
        <f>Catalog!$W$129</f>
        <v>0</v>
      </c>
      <c r="D298" s="20" t="str">
        <f>Catalog!$X$129</f>
        <v>unearned</v>
      </c>
      <c r="E298" s="19" t="s">
        <v>25</v>
      </c>
      <c r="F298" s="20" t="str">
        <f>Catalog!$AD$129</f>
        <v>You must complete mission Svender Bender to get this achievement!</v>
      </c>
      <c r="G298" s="15" t="s">
        <v>28</v>
      </c>
      <c r="I298" s="13"/>
    </row>
    <row r="299" spans="1:9" ht="15" x14ac:dyDescent="0.15">
      <c r="A299" s="11" t="s">
        <v>35</v>
      </c>
      <c r="B299" s="12" t="str">
        <f>Catalog!$E$129</f>
        <v>achievementMissionSvengeance</v>
      </c>
      <c r="C299" s="20">
        <f>Catalog!$BD$129</f>
        <v>2</v>
      </c>
      <c r="D299" s="20" t="str">
        <f>Catalog!$BE$129</f>
        <v>earned</v>
      </c>
      <c r="E299" s="19" t="s">
        <v>23</v>
      </c>
      <c r="F299" s="20" t="str">
        <f>Catalog!$AB$129</f>
        <v>Skate Star</v>
      </c>
      <c r="G299" s="15" t="s">
        <v>12</v>
      </c>
      <c r="I299" s="13"/>
    </row>
    <row r="300" spans="1:9" ht="28" x14ac:dyDescent="0.15">
      <c r="A300" s="11" t="s">
        <v>35</v>
      </c>
      <c r="B300" s="12" t="str">
        <f>Catalog!$E$129</f>
        <v>achievementMissionSvengeance</v>
      </c>
      <c r="C300" s="20">
        <f>Catalog!$BD$135</f>
        <v>2</v>
      </c>
      <c r="D300" s="20" t="str">
        <f>Catalog!$BE$129</f>
        <v>earned</v>
      </c>
      <c r="E300" s="19" t="s">
        <v>25</v>
      </c>
      <c r="F300" s="20" t="str">
        <f>Catalog!$BL$129</f>
        <v>You destroyed at least 10 rolling targets! That's an entire team!</v>
      </c>
      <c r="G300" s="15" t="s">
        <v>28</v>
      </c>
      <c r="I300" s="13"/>
    </row>
    <row r="301" spans="1:9" ht="15" x14ac:dyDescent="0.15">
      <c r="A301" s="11" t="s">
        <v>32</v>
      </c>
      <c r="B301" s="27" t="str">
        <f>Catalog!$E$113</f>
        <v>missionBelle</v>
      </c>
      <c r="C301" s="17">
        <f>Catalog!$W$113</f>
        <v>0</v>
      </c>
      <c r="D301" s="17" t="str">
        <f>Catalog!$X$113</f>
        <v>locked</v>
      </c>
      <c r="E301" s="28" t="s">
        <v>33</v>
      </c>
      <c r="F301" s="17" t="str">
        <f>Catalog!$AB$113</f>
        <v>Secret Mission</v>
      </c>
      <c r="G301" s="15" t="s">
        <v>12</v>
      </c>
      <c r="I301" s="13"/>
    </row>
    <row r="302" spans="1:9" ht="28" x14ac:dyDescent="0.15">
      <c r="A302" s="11" t="s">
        <v>32</v>
      </c>
      <c r="B302" s="27" t="str">
        <f>Catalog!$E$113</f>
        <v>missionBelle</v>
      </c>
      <c r="C302" s="17">
        <f>Catalog!$W$113</f>
        <v>0</v>
      </c>
      <c r="D302" s="17" t="str">
        <f>Catalog!$X$113</f>
        <v>locked</v>
      </c>
      <c r="E302" s="14" t="s">
        <v>25</v>
      </c>
      <c r="F302" s="17" t="str">
        <f>Catalog!$AD$113</f>
        <v>You must find Belle Bottom's launcher to unlock this mission!</v>
      </c>
      <c r="G302" s="15" t="s">
        <v>12</v>
      </c>
      <c r="I302" s="13"/>
    </row>
    <row r="303" spans="1:9" ht="15" x14ac:dyDescent="0.15">
      <c r="A303" s="11" t="s">
        <v>32</v>
      </c>
      <c r="B303" s="27" t="str">
        <f>Catalog!$E$113</f>
        <v>missionBelle</v>
      </c>
      <c r="C303" s="17">
        <f>Catalog!$AN$113</f>
        <v>1</v>
      </c>
      <c r="D303" s="17" t="str">
        <f>Catalog!$AO$113</f>
        <v>Available</v>
      </c>
      <c r="E303" s="28" t="s">
        <v>33</v>
      </c>
      <c r="F303" s="17" t="str">
        <f>Catalog!$AS$113</f>
        <v>Boss Battle</v>
      </c>
      <c r="G303" s="15" t="s">
        <v>12</v>
      </c>
      <c r="I303" s="13"/>
    </row>
    <row r="304" spans="1:9" ht="15" x14ac:dyDescent="0.15">
      <c r="A304" s="11" t="s">
        <v>32</v>
      </c>
      <c r="B304" s="27" t="str">
        <f>Catalog!$E$113</f>
        <v>missionBelle</v>
      </c>
      <c r="C304" s="17">
        <f>Catalog!$AN$113</f>
        <v>1</v>
      </c>
      <c r="D304" s="17" t="str">
        <f>Catalog!$AO$113</f>
        <v>Available</v>
      </c>
      <c r="E304" s="14" t="s">
        <v>24</v>
      </c>
      <c r="F304" s="17" t="str">
        <f>Catalog!$AT$113</f>
        <v>Blast other bosses at least 99 times!</v>
      </c>
      <c r="G304" s="15" t="s">
        <v>28</v>
      </c>
      <c r="I304" s="13"/>
    </row>
    <row r="305" spans="1:9" ht="15" x14ac:dyDescent="0.15">
      <c r="A305" s="11" t="s">
        <v>32</v>
      </c>
      <c r="B305" s="27" t="str">
        <f>Catalog!$E$113</f>
        <v>missionBelle</v>
      </c>
      <c r="C305" s="17">
        <f>Catalog!$AN$113</f>
        <v>1</v>
      </c>
      <c r="D305" s="17" t="str">
        <f>Catalog!$AO$113</f>
        <v>Available</v>
      </c>
      <c r="E305" s="14" t="s">
        <v>25</v>
      </c>
      <c r="F305" s="17" t="str">
        <f>Catalog!$AU$113</f>
        <v>Land 99 hits on other villains during a single playthrough!</v>
      </c>
      <c r="G305" s="15" t="s">
        <v>28</v>
      </c>
      <c r="I305" s="13"/>
    </row>
    <row r="306" spans="1:9" ht="15" x14ac:dyDescent="0.15">
      <c r="A306" s="11" t="s">
        <v>32</v>
      </c>
      <c r="B306" s="27" t="str">
        <f>Catalog!$E$113</f>
        <v>missionBelle</v>
      </c>
      <c r="C306" s="17">
        <f>Catalog!$AN$113</f>
        <v>1</v>
      </c>
      <c r="D306" s="17" t="str">
        <f>Catalog!$AO$113</f>
        <v>Available</v>
      </c>
      <c r="E306" s="14" t="s">
        <v>34</v>
      </c>
      <c r="F306" s="17" t="str">
        <f>Catalog!$AV$113</f>
        <v>Completing this mission unlocks a new launcher!</v>
      </c>
      <c r="G306" s="15" t="s">
        <v>12</v>
      </c>
      <c r="I306" s="13"/>
    </row>
    <row r="307" spans="1:9" ht="15" x14ac:dyDescent="0.15">
      <c r="A307" s="11" t="s">
        <v>32</v>
      </c>
      <c r="B307" s="27" t="str">
        <f>Catalog!$E$113</f>
        <v>missionBelle</v>
      </c>
      <c r="C307" s="17">
        <f>Catalog!$BD$113</f>
        <v>2</v>
      </c>
      <c r="D307" s="17" t="str">
        <f>Catalog!$BE$113</f>
        <v>complete</v>
      </c>
      <c r="E307" s="28" t="s">
        <v>33</v>
      </c>
      <c r="F307" s="17" t="str">
        <f>Catalog!$BI$113</f>
        <v>Boss Battle</v>
      </c>
      <c r="G307" s="15" t="s">
        <v>12</v>
      </c>
      <c r="I307" s="13"/>
    </row>
    <row r="308" spans="1:9" ht="15" x14ac:dyDescent="0.15">
      <c r="A308" s="11" t="s">
        <v>32</v>
      </c>
      <c r="B308" s="27" t="str">
        <f>Catalog!$E$113</f>
        <v>missionBelle</v>
      </c>
      <c r="C308" s="17">
        <f>Catalog!$BD$113</f>
        <v>2</v>
      </c>
      <c r="D308" s="17" t="str">
        <f>Catalog!$BE$113</f>
        <v>complete</v>
      </c>
      <c r="E308" s="14" t="s">
        <v>24</v>
      </c>
      <c r="F308" s="17" t="str">
        <f>Catalog!$BK$113</f>
        <v>You blasted other bosses at least 99 times!</v>
      </c>
      <c r="G308" s="15" t="s">
        <v>28</v>
      </c>
      <c r="I308" s="13"/>
    </row>
    <row r="309" spans="1:9" ht="28" x14ac:dyDescent="0.15">
      <c r="A309" s="11" t="s">
        <v>32</v>
      </c>
      <c r="B309" s="27" t="str">
        <f>Catalog!$E$113</f>
        <v>missionBelle</v>
      </c>
      <c r="C309" s="17">
        <f>Catalog!$BD$113</f>
        <v>2</v>
      </c>
      <c r="D309" s="17" t="str">
        <f>Catalog!$BE$113</f>
        <v>complete</v>
      </c>
      <c r="E309" s="14" t="s">
        <v>25</v>
      </c>
      <c r="F309" s="17" t="str">
        <f>Catalog!$BL$113</f>
        <v>You landed at least 99 hits on other bosses! They'd be proud if they weren't in so much pain.</v>
      </c>
      <c r="G309" s="15" t="s">
        <v>28</v>
      </c>
      <c r="I309" s="13"/>
    </row>
    <row r="310" spans="1:9" ht="15" x14ac:dyDescent="0.15">
      <c r="A310" s="11" t="s">
        <v>32</v>
      </c>
      <c r="B310" s="27" t="str">
        <f>Catalog!$E$113</f>
        <v>missionBelle</v>
      </c>
      <c r="C310" s="17">
        <f>Catalog!$BD$113</f>
        <v>2</v>
      </c>
      <c r="D310" s="17" t="str">
        <f>Catalog!$BE$113</f>
        <v>complete</v>
      </c>
      <c r="E310" s="14" t="s">
        <v>34</v>
      </c>
      <c r="F310" s="17" t="str">
        <f>Catalog!$BM$113</f>
        <v>You've unlocked Belle's Laser Party Ball Launcher!</v>
      </c>
      <c r="G310" s="15" t="s">
        <v>12</v>
      </c>
      <c r="I310" s="13"/>
    </row>
    <row r="311" spans="1:9" ht="28" x14ac:dyDescent="0.15">
      <c r="A311" s="11" t="s">
        <v>35</v>
      </c>
      <c r="B311" s="12" t="str">
        <f>Catalog!$E$114</f>
        <v>achievementMissionBelle</v>
      </c>
      <c r="C311" s="20">
        <f>Catalog!$W$114</f>
        <v>0</v>
      </c>
      <c r="D311" s="20" t="str">
        <f>Catalog!$X$114</f>
        <v>unearned</v>
      </c>
      <c r="E311" s="19" t="s">
        <v>25</v>
      </c>
      <c r="F311" s="20" t="str">
        <f>Catalog!$AD$114</f>
        <v>You must complete mission Boss Battle to get this achievement!</v>
      </c>
      <c r="G311" s="15" t="s">
        <v>28</v>
      </c>
      <c r="I311" s="13"/>
    </row>
    <row r="312" spans="1:9" ht="15" x14ac:dyDescent="0.15">
      <c r="A312" s="11" t="s">
        <v>35</v>
      </c>
      <c r="B312" s="12" t="str">
        <f>Catalog!$E$114</f>
        <v>achievementMissionBelle</v>
      </c>
      <c r="C312" s="20">
        <f>Catalog!$BD$114</f>
        <v>2</v>
      </c>
      <c r="D312" s="20" t="str">
        <f>Catalog!$BE$114</f>
        <v>earned</v>
      </c>
      <c r="E312" s="19" t="s">
        <v>23</v>
      </c>
      <c r="F312" s="20" t="str">
        <f>Catalog!$BI$114</f>
        <v>Boss Battle</v>
      </c>
      <c r="G312" s="15" t="s">
        <v>12</v>
      </c>
      <c r="I312" s="13"/>
    </row>
    <row r="313" spans="1:9" ht="28" x14ac:dyDescent="0.15">
      <c r="A313" s="11" t="s">
        <v>35</v>
      </c>
      <c r="B313" s="12" t="str">
        <f>Catalog!$E$114</f>
        <v>achievementMissionBelle</v>
      </c>
      <c r="C313" s="20">
        <f>Catalog!$BD$114</f>
        <v>2</v>
      </c>
      <c r="D313" s="20" t="str">
        <f>Catalog!$BE$114</f>
        <v>earned</v>
      </c>
      <c r="E313" s="19" t="s">
        <v>25</v>
      </c>
      <c r="F313" s="20" t="str">
        <f>Catalog!$BL$114</f>
        <v>You caused epic boss damage! They'll all be working for you soon.</v>
      </c>
      <c r="G313" s="15" t="s">
        <v>28</v>
      </c>
      <c r="I313" s="13"/>
    </row>
    <row r="314" spans="1:9" ht="15" x14ac:dyDescent="0.15">
      <c r="A314" s="11" t="s">
        <v>35</v>
      </c>
      <c r="B314" s="18" t="str">
        <f>'TitleData texts.mobileApp'!C7</f>
        <v>achievements.main.header.badges</v>
      </c>
      <c r="C314" s="19"/>
      <c r="D314" s="13" t="s">
        <v>10</v>
      </c>
      <c r="E314" s="14" t="s">
        <v>19</v>
      </c>
      <c r="F314" s="13" t="str">
        <f>'TitleData texts.mobileApp'!E7</f>
        <v>TROPHIES</v>
      </c>
      <c r="G314" s="15" t="s">
        <v>12</v>
      </c>
      <c r="I314" s="13"/>
    </row>
    <row r="315" spans="1:9" ht="15" x14ac:dyDescent="0.15">
      <c r="A315" s="11" t="s">
        <v>35</v>
      </c>
      <c r="B315" s="18" t="str">
        <f>'TitleData texts.mobileApp'!C8</f>
        <v>achievements.main.header.description</v>
      </c>
      <c r="C315" s="19"/>
      <c r="D315" s="13" t="s">
        <v>10</v>
      </c>
      <c r="E315" s="14" t="s">
        <v>20</v>
      </c>
      <c r="F315" s="19" t="str">
        <f>'TitleData texts.mobileApp'!E8</f>
        <v>Earn special Villain-Con trophies!</v>
      </c>
      <c r="G315" s="15" t="s">
        <v>12</v>
      </c>
      <c r="I315" s="13"/>
    </row>
    <row r="316" spans="1:9" ht="84" x14ac:dyDescent="0.15">
      <c r="A316" s="11" t="s">
        <v>35</v>
      </c>
      <c r="B316" s="18" t="str">
        <f>'TitleData texts.mobileApp'!C9</f>
        <v>achievements.main.msg.help</v>
      </c>
      <c r="C316" s="19"/>
      <c r="D316" s="13" t="s">
        <v>10</v>
      </c>
      <c r="E316" s="14" t="s">
        <v>21</v>
      </c>
      <c r="F316" s="19" t="str">
        <f>'TitleData texts.mobileApp'!E9</f>
        <v>COMPLETE EACH TASK
To earn a trophy.
ACCUMULATE TROPHIES
Unless specifically noted, you can complete these tasks over multiple Villain-Con visits!</v>
      </c>
      <c r="G316" s="15" t="s">
        <v>12</v>
      </c>
      <c r="I316" s="13"/>
    </row>
    <row r="317" spans="1:9" ht="15" x14ac:dyDescent="0.15">
      <c r="A317" s="11" t="s">
        <v>35</v>
      </c>
      <c r="B317" s="12" t="str">
        <f>Catalog!E87</f>
        <v>achievementVCBadge</v>
      </c>
      <c r="C317" s="20">
        <f>Catalog!$BD$87</f>
        <v>2</v>
      </c>
      <c r="D317" s="20" t="str">
        <f>Catalog!$BE$87</f>
        <v>earned</v>
      </c>
      <c r="E317" s="19" t="s">
        <v>23</v>
      </c>
      <c r="F317" s="33" t="str">
        <f>Catalog!$BI$87</f>
        <v>New Recruit</v>
      </c>
      <c r="G317" s="15" t="s">
        <v>12</v>
      </c>
      <c r="I317" s="13"/>
    </row>
    <row r="318" spans="1:9" ht="28" x14ac:dyDescent="0.15">
      <c r="A318" s="11" t="s">
        <v>35</v>
      </c>
      <c r="B318" s="12" t="str">
        <f>Catalog!E87</f>
        <v>achievementVCBadge</v>
      </c>
      <c r="C318" s="29">
        <f>Catalog!$BD$87</f>
        <v>2</v>
      </c>
      <c r="D318" s="20" t="str">
        <f>Catalog!$BE$87</f>
        <v>earned</v>
      </c>
      <c r="E318" s="19" t="s">
        <v>25</v>
      </c>
      <c r="F318" s="19" t="str">
        <f>Catalog!$BL$87</f>
        <v>Welcome to Villain-Con! We hope you enjoy your time at the convention.</v>
      </c>
      <c r="G318" s="15" t="s">
        <v>12</v>
      </c>
      <c r="I318" s="13"/>
    </row>
    <row r="319" spans="1:9" ht="15" x14ac:dyDescent="0.15">
      <c r="A319" s="11" t="s">
        <v>35</v>
      </c>
      <c r="B319" s="12" t="str">
        <f>Catalog!E88</f>
        <v>achievementPlaySyncBlaster</v>
      </c>
      <c r="C319" s="20">
        <f>Catalog!W88</f>
        <v>0</v>
      </c>
      <c r="D319" s="20" t="str">
        <f>Catalog!X88</f>
        <v>unearned</v>
      </c>
      <c r="E319" s="19" t="s">
        <v>25</v>
      </c>
      <c r="F319" s="20" t="str">
        <f>Catalog!$AD$88</f>
        <v>Sync your blaster by tapping with your phone!</v>
      </c>
      <c r="G319" s="15" t="s">
        <v>12</v>
      </c>
      <c r="I319" s="13"/>
    </row>
    <row r="320" spans="1:9" ht="15" x14ac:dyDescent="0.15">
      <c r="A320" s="11" t="s">
        <v>35</v>
      </c>
      <c r="B320" s="12" t="str">
        <f>Catalog!E88</f>
        <v>achievementPlaySyncBlaster</v>
      </c>
      <c r="C320" s="20">
        <f>Catalog!BD88</f>
        <v>2</v>
      </c>
      <c r="D320" s="20" t="str">
        <f>Catalog!BE88</f>
        <v>earned</v>
      </c>
      <c r="E320" s="19" t="s">
        <v>23</v>
      </c>
      <c r="F320" s="20" t="str">
        <f>Catalog!$BI$88</f>
        <v>In Sync</v>
      </c>
      <c r="G320" s="15" t="s">
        <v>12</v>
      </c>
      <c r="I320" s="13"/>
    </row>
    <row r="321" spans="1:9" ht="28" x14ac:dyDescent="0.15">
      <c r="A321" s="11" t="s">
        <v>35</v>
      </c>
      <c r="B321" s="12" t="str">
        <f>Catalog!E88</f>
        <v>achievementPlaySyncBlaster</v>
      </c>
      <c r="C321" s="20">
        <f>Catalog!BD88</f>
        <v>2</v>
      </c>
      <c r="D321" s="20" t="str">
        <f>Catalog!BE88</f>
        <v>earned</v>
      </c>
      <c r="E321" s="19" t="s">
        <v>25</v>
      </c>
      <c r="F321" s="20" t="str">
        <f>Catalog!$BL$88</f>
        <v>You synced your player profile to your blaster! You're ready to do evil.</v>
      </c>
      <c r="G321" s="15" t="s">
        <v>12</v>
      </c>
      <c r="I321" s="13"/>
    </row>
    <row r="322" spans="1:9" ht="15" x14ac:dyDescent="0.15">
      <c r="A322" s="11" t="s">
        <v>35</v>
      </c>
      <c r="B322" s="12" t="str">
        <f>Catalog!E164</f>
        <v>achievementPlayerNerfed</v>
      </c>
      <c r="C322" s="20">
        <f>Catalog!$W$164</f>
        <v>0</v>
      </c>
      <c r="D322" s="20" t="str">
        <f>Catalog!$X$164</f>
        <v>unearned</v>
      </c>
      <c r="E322" s="19" t="s">
        <v>25</v>
      </c>
      <c r="F322" s="20" t="str">
        <f>Catalog!$AD$164</f>
        <v>Shoot bubbles during battle.</v>
      </c>
      <c r="G322" s="15" t="s">
        <v>12</v>
      </c>
      <c r="I322" s="13"/>
    </row>
    <row r="323" spans="1:9" ht="15" x14ac:dyDescent="0.15">
      <c r="A323" s="11" t="s">
        <v>35</v>
      </c>
      <c r="B323" s="12" t="str">
        <f>Catalog!E164</f>
        <v>achievementPlayerNerfed</v>
      </c>
      <c r="C323" s="20">
        <f>Catalog!$BD$164</f>
        <v>2</v>
      </c>
      <c r="D323" s="20" t="str">
        <f>Catalog!$BE$164</f>
        <v>earned</v>
      </c>
      <c r="E323" s="19" t="s">
        <v>23</v>
      </c>
      <c r="F323" s="20" t="str">
        <f>Catalog!$BI$164</f>
        <v>Bubbles!</v>
      </c>
      <c r="G323" s="15" t="s">
        <v>36</v>
      </c>
      <c r="I323" s="13"/>
    </row>
    <row r="324" spans="1:9" ht="15" x14ac:dyDescent="0.15">
      <c r="A324" s="11" t="s">
        <v>35</v>
      </c>
      <c r="B324" s="12" t="str">
        <f>Catalog!E164</f>
        <v>achievementPlayerNerfed</v>
      </c>
      <c r="C324" s="20">
        <f>Catalog!$BD$164</f>
        <v>2</v>
      </c>
      <c r="D324" s="20" t="str">
        <f>Catalog!$BE$164</f>
        <v>earned</v>
      </c>
      <c r="E324" s="19" t="s">
        <v>25</v>
      </c>
      <c r="F324" s="20" t="str">
        <f>Catalog!$BL$164</f>
        <v>You shot bubbles!</v>
      </c>
      <c r="G324" s="15" t="s">
        <v>12</v>
      </c>
      <c r="I324" s="13"/>
    </row>
    <row r="325" spans="1:9" ht="28" x14ac:dyDescent="0.15">
      <c r="A325" s="11" t="s">
        <v>35</v>
      </c>
      <c r="B325" s="12" t="str">
        <f>Catalog!E140</f>
        <v>achievementPlayNoMinionHits</v>
      </c>
      <c r="C325" s="20">
        <f>Catalog!W140</f>
        <v>0</v>
      </c>
      <c r="D325" s="20" t="str">
        <f>Catalog!$X$140</f>
        <v>unearned</v>
      </c>
      <c r="E325" s="19" t="s">
        <v>25</v>
      </c>
      <c r="F325" s="19" t="str">
        <f>Catalog!$AD$140</f>
        <v>Complete the challenge without blasting any Minions. It's harder than you think – they're everywhere!</v>
      </c>
      <c r="G325" s="15" t="s">
        <v>12</v>
      </c>
      <c r="I325" s="13"/>
    </row>
    <row r="326" spans="1:9" ht="15" x14ac:dyDescent="0.15">
      <c r="A326" s="11" t="s">
        <v>35</v>
      </c>
      <c r="B326" s="12" t="str">
        <f>Catalog!E140</f>
        <v>achievementPlayNoMinionHits</v>
      </c>
      <c r="C326" s="20">
        <f>Catalog!BD140</f>
        <v>2</v>
      </c>
      <c r="D326" s="20" t="str">
        <f>Catalog!$BE$140</f>
        <v>earned</v>
      </c>
      <c r="E326" s="19" t="s">
        <v>23</v>
      </c>
      <c r="F326" s="19" t="str">
        <f>Catalog!$BI$140</f>
        <v>Big Boss!</v>
      </c>
      <c r="G326" s="15" t="s">
        <v>12</v>
      </c>
      <c r="I326" s="13"/>
    </row>
    <row r="327" spans="1:9" ht="28" x14ac:dyDescent="0.15">
      <c r="A327" s="11" t="s">
        <v>35</v>
      </c>
      <c r="B327" s="12" t="str">
        <f>Catalog!E140</f>
        <v>achievementPlayNoMinionHits</v>
      </c>
      <c r="C327" s="20">
        <f>Catalog!BD140</f>
        <v>2</v>
      </c>
      <c r="D327" s="20" t="str">
        <f>Catalog!$BE$140</f>
        <v>earned</v>
      </c>
      <c r="E327" s="19" t="s">
        <v>25</v>
      </c>
      <c r="F327" s="19" t="str">
        <f>Catalog!$BL$140</f>
        <v>You completed the challenge without blasting any Minions. They might consider you for their next boss.</v>
      </c>
      <c r="G327" s="15" t="s">
        <v>12</v>
      </c>
      <c r="I327" s="13"/>
    </row>
    <row r="328" spans="1:9" ht="15" x14ac:dyDescent="0.15">
      <c r="A328" s="11" t="s">
        <v>35</v>
      </c>
      <c r="B328" s="18" t="str">
        <f>Catalog!E136</f>
        <v>achievementPlayRankDaily</v>
      </c>
      <c r="C328" s="20">
        <f>Catalog!W136</f>
        <v>0</v>
      </c>
      <c r="D328" s="20" t="str">
        <f>Catalog!X136</f>
        <v>unearned</v>
      </c>
      <c r="E328" s="19" t="s">
        <v>25</v>
      </c>
      <c r="F328" s="19" t="str">
        <f>Catalog!$AD$136</f>
        <v>Reach the Top 50 of the Daily Leaderboard!</v>
      </c>
      <c r="G328" s="15" t="s">
        <v>12</v>
      </c>
      <c r="I328" s="13"/>
    </row>
    <row r="329" spans="1:9" ht="15" x14ac:dyDescent="0.15">
      <c r="A329" s="11" t="s">
        <v>35</v>
      </c>
      <c r="B329" s="18" t="str">
        <f>Catalog!E136</f>
        <v>achievementPlayRankDaily</v>
      </c>
      <c r="C329" s="20">
        <f>Catalog!BD136</f>
        <v>2</v>
      </c>
      <c r="D329" s="20" t="str">
        <f>Catalog!BE136</f>
        <v>earned</v>
      </c>
      <c r="E329" s="19" t="s">
        <v>23</v>
      </c>
      <c r="F329" s="20" t="str">
        <f>Catalog!$BI$136</f>
        <v>Seized the Day</v>
      </c>
      <c r="G329" s="15" t="s">
        <v>12</v>
      </c>
      <c r="I329" s="13"/>
    </row>
    <row r="330" spans="1:9" ht="28" x14ac:dyDescent="0.15">
      <c r="A330" s="11" t="s">
        <v>35</v>
      </c>
      <c r="B330" s="18" t="str">
        <f>Catalog!E136</f>
        <v>achievementPlayRankDaily</v>
      </c>
      <c r="C330" s="20">
        <f>Catalog!BD136</f>
        <v>2</v>
      </c>
      <c r="D330" s="20" t="str">
        <f>Catalog!BE136</f>
        <v>earned</v>
      </c>
      <c r="E330" s="19" t="s">
        <v>25</v>
      </c>
      <c r="F330" s="19" t="str">
        <f>Catalog!$BL$136</f>
        <v>You reached the Top 50 on the Daily Leaderboard. Let the bragging commence.</v>
      </c>
      <c r="G330" s="15" t="s">
        <v>12</v>
      </c>
      <c r="I330" s="13"/>
    </row>
    <row r="331" spans="1:9" ht="15" x14ac:dyDescent="0.15">
      <c r="A331" s="11" t="s">
        <v>35</v>
      </c>
      <c r="B331" s="12" t="str">
        <f>Catalog!$E$166</f>
        <v>achievementPlayCharacterPickup</v>
      </c>
      <c r="C331" s="20">
        <f>Catalog!$W$166</f>
        <v>0</v>
      </c>
      <c r="D331" s="20" t="str">
        <f>Catalog!$X$166</f>
        <v>unearned</v>
      </c>
      <c r="E331" s="19" t="s">
        <v>25</v>
      </c>
      <c r="F331" s="19" t="str">
        <f>Catalog!$AD$166</f>
        <v>Blast 25 pickups from a bot or Minion!</v>
      </c>
      <c r="G331" s="15" t="s">
        <v>28</v>
      </c>
      <c r="I331" s="13"/>
    </row>
    <row r="332" spans="1:9" ht="15" x14ac:dyDescent="0.15">
      <c r="A332" s="11" t="s">
        <v>35</v>
      </c>
      <c r="B332" s="12" t="str">
        <f>Catalog!$E$166</f>
        <v>achievementPlayCharacterPickup</v>
      </c>
      <c r="C332" s="20">
        <f>Catalog!$BD$166</f>
        <v>2</v>
      </c>
      <c r="D332" s="20" t="str">
        <f>Catalog!$BE$166</f>
        <v>earned</v>
      </c>
      <c r="E332" s="19" t="s">
        <v>23</v>
      </c>
      <c r="F332" s="20" t="str">
        <f>Catalog!$BI$166</f>
        <v>Pick-Me-Up</v>
      </c>
      <c r="G332" s="15" t="s">
        <v>36</v>
      </c>
      <c r="H332" s="18"/>
      <c r="I332" s="13"/>
    </row>
    <row r="333" spans="1:9" ht="28" x14ac:dyDescent="0.15">
      <c r="A333" s="11" t="s">
        <v>35</v>
      </c>
      <c r="B333" s="12" t="str">
        <f>Catalog!$E$166</f>
        <v>achievementPlayCharacterPickup</v>
      </c>
      <c r="C333" s="20">
        <f>Catalog!$BD$166</f>
        <v>2</v>
      </c>
      <c r="D333" s="20" t="str">
        <f>Catalog!$BE$166</f>
        <v>earned</v>
      </c>
      <c r="E333" s="19" t="s">
        <v>25</v>
      </c>
      <c r="F333" s="19" t="str">
        <f>Catalog!$BL$166</f>
        <v>You got 25 pickups from bots and Minions! Guess they're good for something.</v>
      </c>
      <c r="G333" s="15" t="s">
        <v>28</v>
      </c>
      <c r="I333" s="13"/>
    </row>
    <row r="334" spans="1:9" ht="28" x14ac:dyDescent="0.15">
      <c r="A334" s="11" t="s">
        <v>35</v>
      </c>
      <c r="B334" s="12" t="str">
        <f>Catalog!E172</f>
        <v>achievementPlayAmmoSwap</v>
      </c>
      <c r="C334" s="20">
        <f>Catalog!W172</f>
        <v>0</v>
      </c>
      <c r="D334" s="20" t="str">
        <f>Catalog!X172</f>
        <v>unearned</v>
      </c>
      <c r="E334" s="19" t="s">
        <v>25</v>
      </c>
      <c r="F334" s="19" t="str">
        <f>Catalog!$AD$172</f>
        <v>Swap your Elemental or Launcher type while playing by blasting a new elemental or launcher...25 times!</v>
      </c>
      <c r="G334" s="15" t="s">
        <v>12</v>
      </c>
      <c r="I334" s="13"/>
    </row>
    <row r="335" spans="1:9" ht="15" x14ac:dyDescent="0.15">
      <c r="A335" s="11" t="s">
        <v>35</v>
      </c>
      <c r="B335" s="12" t="str">
        <f>Catalog!E172</f>
        <v>achievementPlayAmmoSwap</v>
      </c>
      <c r="C335" s="20">
        <f>Catalog!BD172</f>
        <v>2</v>
      </c>
      <c r="D335" s="20" t="str">
        <f>Catalog!BE172</f>
        <v>earned</v>
      </c>
      <c r="E335" s="19" t="s">
        <v>23</v>
      </c>
      <c r="F335" s="20" t="str">
        <f>Catalog!$BI$172</f>
        <v>Ele-mental!</v>
      </c>
      <c r="G335" s="15" t="s">
        <v>12</v>
      </c>
      <c r="I335" s="13"/>
    </row>
    <row r="336" spans="1:9" ht="42" x14ac:dyDescent="0.15">
      <c r="A336" s="11" t="s">
        <v>35</v>
      </c>
      <c r="B336" s="12" t="str">
        <f>Catalog!E172</f>
        <v>achievementPlayAmmoSwap</v>
      </c>
      <c r="C336" s="20">
        <f>Catalog!BD172</f>
        <v>2</v>
      </c>
      <c r="D336" s="20" t="str">
        <f>Catalog!BE172</f>
        <v>earned</v>
      </c>
      <c r="E336" s="19" t="s">
        <v>25</v>
      </c>
      <c r="F336" s="19" t="str">
        <f>Catalog!$BL$172</f>
        <v>You swapped your elemental or launcher 25 times while blasting through the challenge! A versatile villain is unstoppable.</v>
      </c>
      <c r="G336" s="15" t="s">
        <v>12</v>
      </c>
      <c r="I336" s="13"/>
    </row>
    <row r="337" spans="1:9" ht="28" x14ac:dyDescent="0.15">
      <c r="A337" s="11" t="s">
        <v>35</v>
      </c>
      <c r="B337" s="12" t="str">
        <f>Catalog!$E$142</f>
        <v>achievementPlayLauncherUse</v>
      </c>
      <c r="C337" s="20">
        <f>Catalog!W142</f>
        <v>0</v>
      </c>
      <c r="D337" s="19" t="s">
        <v>37</v>
      </c>
      <c r="E337" s="19" t="s">
        <v>25</v>
      </c>
      <c r="F337" s="19" t="str">
        <f>Catalog!AD142</f>
        <v>Land 50 hits with your equipped Launcher! Banana Boom, Fart Bomb, Pinballer...we love it all.</v>
      </c>
      <c r="G337" s="15" t="s">
        <v>28</v>
      </c>
      <c r="I337" s="13"/>
    </row>
    <row r="338" spans="1:9" ht="15" x14ac:dyDescent="0.15">
      <c r="A338" s="11" t="s">
        <v>35</v>
      </c>
      <c r="B338" s="12" t="str">
        <f>Catalog!$E$142</f>
        <v>achievementPlayLauncherUse</v>
      </c>
      <c r="C338" s="20">
        <f>Catalog!$BD$142</f>
        <v>2</v>
      </c>
      <c r="D338" s="19" t="s">
        <v>38</v>
      </c>
      <c r="E338" s="19" t="s">
        <v>23</v>
      </c>
      <c r="F338" s="20" t="str">
        <f>Catalog!BI142</f>
        <v>Launch-a-Lot</v>
      </c>
      <c r="G338" s="15" t="s">
        <v>28</v>
      </c>
      <c r="I338" s="13"/>
    </row>
    <row r="339" spans="1:9" ht="15" x14ac:dyDescent="0.15">
      <c r="A339" s="11" t="s">
        <v>35</v>
      </c>
      <c r="B339" s="12" t="str">
        <f>Catalog!$E$142</f>
        <v>achievementPlayLauncherUse</v>
      </c>
      <c r="C339" s="20">
        <f>Catalog!$BD$142</f>
        <v>2</v>
      </c>
      <c r="D339" s="19" t="s">
        <v>38</v>
      </c>
      <c r="E339" s="19" t="s">
        <v>25</v>
      </c>
      <c r="F339" s="19" t="str">
        <f>Catalog!BL142</f>
        <v>You landed 50 hits with your Launcher!</v>
      </c>
      <c r="G339" s="15" t="s">
        <v>28</v>
      </c>
      <c r="I339" s="13"/>
    </row>
    <row r="340" spans="1:9" ht="15" x14ac:dyDescent="0.15">
      <c r="A340" s="11" t="s">
        <v>35</v>
      </c>
      <c r="B340" s="12" t="str">
        <f>Catalog!E144</f>
        <v>achievementPlayUltimateUse</v>
      </c>
      <c r="C340" s="20">
        <f>Catalog!W144</f>
        <v>0</v>
      </c>
      <c r="D340" s="20" t="str">
        <f>Catalog!X144</f>
        <v>unearned</v>
      </c>
      <c r="E340" s="19" t="s">
        <v>25</v>
      </c>
      <c r="F340" s="19" t="str">
        <f>Catalog!$AD$144</f>
        <v>Land 25 hits with your Ultimate Blaster!</v>
      </c>
      <c r="G340" s="15" t="s">
        <v>28</v>
      </c>
      <c r="I340" s="13"/>
    </row>
    <row r="341" spans="1:9" ht="15" x14ac:dyDescent="0.15">
      <c r="A341" s="11" t="s">
        <v>35</v>
      </c>
      <c r="B341" s="12" t="str">
        <f>Catalog!E144</f>
        <v>achievementPlayUltimateUse</v>
      </c>
      <c r="C341" s="20">
        <f>Catalog!$BD$144</f>
        <v>2</v>
      </c>
      <c r="D341" s="20" t="str">
        <f>Catalog!$BE$144</f>
        <v>earned</v>
      </c>
      <c r="E341" s="19" t="s">
        <v>23</v>
      </c>
      <c r="F341" s="20" t="str">
        <f>Catalog!$BI$144</f>
        <v>Real Ultimate Power</v>
      </c>
      <c r="G341" s="15" t="s">
        <v>12</v>
      </c>
      <c r="I341" s="13"/>
    </row>
    <row r="342" spans="1:9" ht="15" x14ac:dyDescent="0.15">
      <c r="A342" s="11" t="s">
        <v>35</v>
      </c>
      <c r="B342" s="12" t="str">
        <f>Catalog!E144</f>
        <v>achievementPlayUltimateUse</v>
      </c>
      <c r="C342" s="20">
        <f>Catalog!$BD$144</f>
        <v>2</v>
      </c>
      <c r="D342" s="20" t="str">
        <f>Catalog!$BE$144</f>
        <v>earned</v>
      </c>
      <c r="E342" s="19" t="s">
        <v>25</v>
      </c>
      <c r="F342" s="19" t="str">
        <f>Catalog!$BL$144</f>
        <v>You landed 25 hits with your Ultimate Blaster!</v>
      </c>
      <c r="G342" s="15" t="s">
        <v>28</v>
      </c>
      <c r="I342" s="13"/>
    </row>
    <row r="343" spans="1:9" ht="15" x14ac:dyDescent="0.15">
      <c r="A343" s="11" t="s">
        <v>35</v>
      </c>
      <c r="B343" s="12" t="str">
        <f>Catalog!E146</f>
        <v>achievementPlayObjectsFreeze</v>
      </c>
      <c r="C343" s="20">
        <f>Catalog!W146</f>
        <v>0</v>
      </c>
      <c r="D343" s="20" t="str">
        <f>Catalog!X146</f>
        <v>unearned</v>
      </c>
      <c r="E343" s="19" t="s">
        <v>25</v>
      </c>
      <c r="F343" s="19" t="str">
        <f>Catalog!$AD$146</f>
        <v>Freeze 25 targets with your Freeze Elemental!</v>
      </c>
      <c r="G343" s="15" t="s">
        <v>12</v>
      </c>
      <c r="I343" s="13"/>
    </row>
    <row r="344" spans="1:9" ht="15" x14ac:dyDescent="0.15">
      <c r="A344" s="11" t="s">
        <v>35</v>
      </c>
      <c r="B344" s="12" t="str">
        <f>Catalog!E146</f>
        <v>achievementPlayObjectsFreeze</v>
      </c>
      <c r="C344" s="20">
        <f>Catalog!BD146</f>
        <v>2</v>
      </c>
      <c r="D344" s="20" t="str">
        <f>Catalog!BE146</f>
        <v>earned</v>
      </c>
      <c r="E344" s="19" t="s">
        <v>23</v>
      </c>
      <c r="F344" s="20" t="str">
        <f>Catalog!$BI$146</f>
        <v>Cold-Hearted</v>
      </c>
      <c r="G344" s="15" t="s">
        <v>12</v>
      </c>
      <c r="I344" s="13"/>
    </row>
    <row r="345" spans="1:9" ht="15" x14ac:dyDescent="0.15">
      <c r="A345" s="11" t="s">
        <v>35</v>
      </c>
      <c r="B345" s="12" t="str">
        <f>Catalog!E146</f>
        <v>achievementPlayObjectsFreeze</v>
      </c>
      <c r="C345" s="20">
        <f>Catalog!BD146</f>
        <v>2</v>
      </c>
      <c r="D345" s="20" t="str">
        <f>Catalog!BE146</f>
        <v>earned</v>
      </c>
      <c r="E345" s="19" t="s">
        <v>25</v>
      </c>
      <c r="F345" s="19" t="str">
        <f>Catalog!$BL$146</f>
        <v>You froze 25 targets with your Freeze Elemental!</v>
      </c>
      <c r="G345" s="15" t="s">
        <v>12</v>
      </c>
      <c r="I345" s="13"/>
    </row>
    <row r="346" spans="1:9" ht="15" x14ac:dyDescent="0.15">
      <c r="A346" s="11" t="s">
        <v>35</v>
      </c>
      <c r="B346" s="12" t="str">
        <f>Catalog!E148</f>
        <v>achievementPlayObjectsBurn</v>
      </c>
      <c r="C346" s="20">
        <f>Catalog!W148</f>
        <v>0</v>
      </c>
      <c r="D346" s="20" t="str">
        <f>Catalog!X148</f>
        <v>unearned</v>
      </c>
      <c r="E346" s="19" t="s">
        <v>25</v>
      </c>
      <c r="F346" s="19" t="str">
        <f>Catalog!$AD$148</f>
        <v>Set 25 targets on fire with your Fire Elemental!</v>
      </c>
      <c r="G346" s="15" t="s">
        <v>12</v>
      </c>
      <c r="I346" s="13"/>
    </row>
    <row r="347" spans="1:9" ht="15" x14ac:dyDescent="0.15">
      <c r="A347" s="11" t="s">
        <v>35</v>
      </c>
      <c r="B347" s="12" t="str">
        <f>Catalog!E148</f>
        <v>achievementPlayObjectsBurn</v>
      </c>
      <c r="C347" s="20">
        <f>Catalog!BD148</f>
        <v>2</v>
      </c>
      <c r="D347" s="20" t="str">
        <f>Catalog!BE148</f>
        <v>earned</v>
      </c>
      <c r="E347" s="19" t="s">
        <v>23</v>
      </c>
      <c r="F347" s="20" t="str">
        <f>Catalog!$BI$148</f>
        <v>Fired Up</v>
      </c>
      <c r="G347" s="15" t="s">
        <v>12</v>
      </c>
      <c r="I347" s="13"/>
    </row>
    <row r="348" spans="1:9" ht="15" x14ac:dyDescent="0.15">
      <c r="A348" s="11" t="s">
        <v>35</v>
      </c>
      <c r="B348" s="12" t="str">
        <f>Catalog!E148</f>
        <v>achievementPlayObjectsBurn</v>
      </c>
      <c r="C348" s="20">
        <f>Catalog!BD148</f>
        <v>2</v>
      </c>
      <c r="D348" s="20" t="str">
        <f>Catalog!BE148</f>
        <v>earned</v>
      </c>
      <c r="E348" s="19" t="s">
        <v>25</v>
      </c>
      <c r="F348" s="19" t="str">
        <f>Catalog!$BL$148</f>
        <v>You set 25 targets on fire with your Fire Elemental!</v>
      </c>
      <c r="G348" s="15" t="s">
        <v>12</v>
      </c>
      <c r="I348" s="13"/>
    </row>
    <row r="349" spans="1:9" ht="15" x14ac:dyDescent="0.15">
      <c r="A349" s="11" t="s">
        <v>35</v>
      </c>
      <c r="B349" s="12" t="str">
        <f>Catalog!E150</f>
        <v>achievementPlayObjectsElectrify</v>
      </c>
      <c r="C349" s="20">
        <f>Catalog!W150</f>
        <v>0</v>
      </c>
      <c r="D349" s="20" t="str">
        <f>Catalog!X150</f>
        <v>unearned</v>
      </c>
      <c r="E349" s="19" t="s">
        <v>25</v>
      </c>
      <c r="F349" s="19" t="str">
        <f>Catalog!$AD$150</f>
        <v>Electrify 25 targets with your Lightning Elemental!</v>
      </c>
      <c r="G349" s="15" t="s">
        <v>12</v>
      </c>
      <c r="I349" s="13"/>
    </row>
    <row r="350" spans="1:9" ht="15" x14ac:dyDescent="0.15">
      <c r="A350" s="11" t="s">
        <v>35</v>
      </c>
      <c r="B350" s="12" t="str">
        <f>Catalog!E150</f>
        <v>achievementPlayObjectsElectrify</v>
      </c>
      <c r="C350" s="20">
        <f>Catalog!BD150</f>
        <v>2</v>
      </c>
      <c r="D350" s="20" t="str">
        <f>Catalog!BE150</f>
        <v>earned</v>
      </c>
      <c r="E350" s="19" t="s">
        <v>23</v>
      </c>
      <c r="F350" s="20" t="str">
        <f>Catalog!$BI$150</f>
        <v>Shock &amp; Roll</v>
      </c>
      <c r="G350" s="15" t="s">
        <v>12</v>
      </c>
      <c r="I350" s="13"/>
    </row>
    <row r="351" spans="1:9" ht="15" x14ac:dyDescent="0.15">
      <c r="A351" s="11" t="s">
        <v>35</v>
      </c>
      <c r="B351" s="12" t="str">
        <f>Catalog!E150</f>
        <v>achievementPlayObjectsElectrify</v>
      </c>
      <c r="C351" s="20">
        <f>Catalog!BD150</f>
        <v>2</v>
      </c>
      <c r="D351" s="20" t="str">
        <f>Catalog!BE150</f>
        <v>earned</v>
      </c>
      <c r="E351" s="19" t="s">
        <v>25</v>
      </c>
      <c r="F351" s="19" t="str">
        <f>Catalog!$BL$150</f>
        <v>You electrified 25 targets with your Lightning Elemental!</v>
      </c>
      <c r="G351" s="15" t="s">
        <v>12</v>
      </c>
      <c r="I351" s="13"/>
    </row>
    <row r="352" spans="1:9" ht="15" x14ac:dyDescent="0.15">
      <c r="A352" s="11" t="s">
        <v>35</v>
      </c>
      <c r="B352" s="12" t="str">
        <f>Catalog!E152</f>
        <v>achievementPlayObjectsCrush</v>
      </c>
      <c r="C352" s="20">
        <f>Catalog!W152</f>
        <v>0</v>
      </c>
      <c r="D352" s="20" t="str">
        <f>Catalog!X152</f>
        <v>unearned</v>
      </c>
      <c r="E352" s="19" t="s">
        <v>25</v>
      </c>
      <c r="F352" s="19" t="str">
        <f>Catalog!$AD$152</f>
        <v>Crush 25 targets with your Force Elemental!</v>
      </c>
      <c r="G352" s="15" t="s">
        <v>28</v>
      </c>
      <c r="I352" s="13"/>
    </row>
    <row r="353" spans="1:9" ht="15" x14ac:dyDescent="0.15">
      <c r="A353" s="11" t="s">
        <v>35</v>
      </c>
      <c r="B353" s="12" t="str">
        <f>Catalog!E152</f>
        <v>achievementPlayObjectsCrush</v>
      </c>
      <c r="C353" s="20">
        <f>Catalog!BD152</f>
        <v>2</v>
      </c>
      <c r="D353" s="20" t="str">
        <f>Catalog!BE152</f>
        <v>earned</v>
      </c>
      <c r="E353" s="19" t="s">
        <v>23</v>
      </c>
      <c r="F353" s="20" t="str">
        <f>Catalog!$BI$152</f>
        <v>Tour de Force</v>
      </c>
      <c r="G353" s="15" t="s">
        <v>12</v>
      </c>
      <c r="I353" s="13"/>
    </row>
    <row r="354" spans="1:9" ht="15" x14ac:dyDescent="0.15">
      <c r="A354" s="11" t="s">
        <v>35</v>
      </c>
      <c r="B354" s="12" t="str">
        <f>Catalog!E152</f>
        <v>achievementPlayObjectsCrush</v>
      </c>
      <c r="C354" s="20">
        <f>Catalog!BD152</f>
        <v>2</v>
      </c>
      <c r="D354" s="20" t="str">
        <f>Catalog!BE152</f>
        <v>earned</v>
      </c>
      <c r="E354" s="19" t="s">
        <v>25</v>
      </c>
      <c r="F354" s="19" t="str">
        <f>Catalog!$BL$152</f>
        <v>You crushed 25 targets with your Force Elemental!</v>
      </c>
      <c r="G354" s="15" t="s">
        <v>28</v>
      </c>
      <c r="I354" s="13"/>
    </row>
    <row r="355" spans="1:9" ht="15" x14ac:dyDescent="0.15">
      <c r="A355" s="11" t="s">
        <v>35</v>
      </c>
      <c r="B355" s="12" t="str">
        <f>Catalog!E154</f>
        <v>achievementPlayBombsExplode</v>
      </c>
      <c r="C355" s="20">
        <f>Catalog!W154</f>
        <v>0</v>
      </c>
      <c r="D355" s="20" t="str">
        <f>Catalog!X154</f>
        <v>unearned</v>
      </c>
      <c r="E355" s="19" t="s">
        <v>25</v>
      </c>
      <c r="F355" s="19" t="str">
        <f>Catalog!$AD$154</f>
        <v>Explode 25 bombs!</v>
      </c>
      <c r="G355" s="15" t="s">
        <v>12</v>
      </c>
      <c r="I355" s="13"/>
    </row>
    <row r="356" spans="1:9" ht="15" x14ac:dyDescent="0.15">
      <c r="A356" s="11" t="s">
        <v>35</v>
      </c>
      <c r="B356" s="12" t="str">
        <f>Catalog!E154</f>
        <v>achievementPlayBombsExplode</v>
      </c>
      <c r="C356" s="20">
        <f>Catalog!BD154</f>
        <v>2</v>
      </c>
      <c r="D356" s="20" t="str">
        <f>Catalog!BE154</f>
        <v>earned</v>
      </c>
      <c r="E356" s="19" t="s">
        <v>23</v>
      </c>
      <c r="F356" s="20" t="str">
        <f>Catalog!$BI$154</f>
        <v>You da Bomb!</v>
      </c>
      <c r="G356" s="15" t="s">
        <v>12</v>
      </c>
      <c r="I356" s="13"/>
    </row>
    <row r="357" spans="1:9" ht="15" x14ac:dyDescent="0.15">
      <c r="A357" s="11" t="s">
        <v>35</v>
      </c>
      <c r="B357" s="12" t="str">
        <f>Catalog!E154</f>
        <v>achievementPlayBombsExplode</v>
      </c>
      <c r="C357" s="20">
        <f>Catalog!BD154</f>
        <v>2</v>
      </c>
      <c r="D357" s="20" t="str">
        <f>Catalog!BE154</f>
        <v>earned</v>
      </c>
      <c r="E357" s="19" t="s">
        <v>25</v>
      </c>
      <c r="F357" s="19" t="str">
        <f>Catalog!$BL$154</f>
        <v>You exploded 25 bombs!</v>
      </c>
      <c r="G357" s="15" t="s">
        <v>12</v>
      </c>
      <c r="I357" s="13"/>
    </row>
    <row r="358" spans="1:9" ht="15" x14ac:dyDescent="0.15">
      <c r="A358" s="11" t="s">
        <v>35</v>
      </c>
      <c r="B358" s="12" t="str">
        <f>Catalog!E183</f>
        <v>achievementPlayBelleRecordBreak</v>
      </c>
      <c r="C358" s="20">
        <f>Catalog!$W$183</f>
        <v>0</v>
      </c>
      <c r="D358" s="20" t="str">
        <f>Catalog!X183</f>
        <v>unearned</v>
      </c>
      <c r="E358" s="19" t="s">
        <v>25</v>
      </c>
      <c r="F358" s="19" t="str">
        <f>Catalog!$AD$183</f>
        <v>Break 25 records at Belle Bottom's Disco!</v>
      </c>
      <c r="G358" s="15" t="s">
        <v>12</v>
      </c>
      <c r="I358" s="13"/>
    </row>
    <row r="359" spans="1:9" ht="15" x14ac:dyDescent="0.15">
      <c r="A359" s="11" t="s">
        <v>35</v>
      </c>
      <c r="B359" s="12" t="str">
        <f>Catalog!E183</f>
        <v>achievementPlayBelleRecordBreak</v>
      </c>
      <c r="C359" s="20">
        <f>Catalog!$BD$183</f>
        <v>2</v>
      </c>
      <c r="D359" s="20" t="str">
        <f>Catalog!$BE$183</f>
        <v>earned</v>
      </c>
      <c r="E359" s="19" t="s">
        <v>23</v>
      </c>
      <c r="F359" s="20" t="str">
        <f>Catalog!$BI$183</f>
        <v>Record Breaker</v>
      </c>
      <c r="G359" s="15" t="s">
        <v>12</v>
      </c>
      <c r="I359" s="13"/>
    </row>
    <row r="360" spans="1:9" ht="28" x14ac:dyDescent="0.15">
      <c r="A360" s="11" t="s">
        <v>35</v>
      </c>
      <c r="B360" s="12" t="str">
        <f>Catalog!E183</f>
        <v>achievementPlayBelleRecordBreak</v>
      </c>
      <c r="C360" s="20">
        <f>Catalog!$BD$183</f>
        <v>2</v>
      </c>
      <c r="D360" s="20" t="str">
        <f>Catalog!$BE$183</f>
        <v>earned</v>
      </c>
      <c r="E360" s="19" t="s">
        <v>25</v>
      </c>
      <c r="F360" s="19" t="str">
        <f>Catalog!$BL$183</f>
        <v xml:space="preserve">You destroyed 25 records! Won't someone think of the DJs! </v>
      </c>
      <c r="G360" s="15" t="s">
        <v>28</v>
      </c>
      <c r="I360" s="13"/>
    </row>
    <row r="361" spans="1:9" ht="15" x14ac:dyDescent="0.15">
      <c r="A361" s="11" t="s">
        <v>35</v>
      </c>
      <c r="B361" s="12" t="str">
        <f>Catalog!E177</f>
        <v>achievementPlayNunchuckMusicNotes</v>
      </c>
      <c r="C361" s="20">
        <f>Catalog!W177</f>
        <v>0</v>
      </c>
      <c r="D361" s="20" t="str">
        <f>Catalog!X177</f>
        <v>unearned</v>
      </c>
      <c r="E361" s="19" t="s">
        <v>25</v>
      </c>
      <c r="F361" s="19" t="str">
        <f>Catalog!$AD$177</f>
        <v>Change Nun-Chuck's music 25 times!</v>
      </c>
      <c r="G361" s="15" t="s">
        <v>12</v>
      </c>
      <c r="I361" s="13"/>
    </row>
    <row r="362" spans="1:9" ht="15" x14ac:dyDescent="0.15">
      <c r="A362" s="11" t="s">
        <v>35</v>
      </c>
      <c r="B362" s="12" t="str">
        <f>Catalog!E177</f>
        <v>achievementPlayNunchuckMusicNotes</v>
      </c>
      <c r="C362" s="20">
        <f>Catalog!$BD$177</f>
        <v>2</v>
      </c>
      <c r="D362" s="20" t="str">
        <f>Catalog!$BE$177</f>
        <v>earned</v>
      </c>
      <c r="E362" s="19" t="s">
        <v>23</v>
      </c>
      <c r="F362" s="20" t="str">
        <f>Catalog!$BI$177</f>
        <v>Holy Shot</v>
      </c>
      <c r="G362" s="15" t="s">
        <v>12</v>
      </c>
      <c r="I362" s="13"/>
    </row>
    <row r="363" spans="1:9" ht="15" x14ac:dyDescent="0.15">
      <c r="A363" s="11" t="s">
        <v>35</v>
      </c>
      <c r="B363" s="12" t="str">
        <f>Catalog!E177</f>
        <v>achievementPlayNunchuckMusicNotes</v>
      </c>
      <c r="C363" s="20">
        <f>Catalog!$BD$177</f>
        <v>2</v>
      </c>
      <c r="D363" s="20" t="str">
        <f>Catalog!$BE$177</f>
        <v>earned</v>
      </c>
      <c r="E363" s="19" t="s">
        <v>25</v>
      </c>
      <c r="F363" s="19" t="str">
        <f>Catalog!$BL$177</f>
        <v>You changed Nun-Chuck's music 25 times!</v>
      </c>
      <c r="G363" s="15" t="s">
        <v>12</v>
      </c>
      <c r="I363" s="13"/>
    </row>
    <row r="364" spans="1:9" ht="15" x14ac:dyDescent="0.15">
      <c r="A364" s="11" t="s">
        <v>35</v>
      </c>
      <c r="B364" s="12" t="str">
        <f>Catalog!E181</f>
        <v>achievementPlaySvengeanceSkaterbots</v>
      </c>
      <c r="C364" s="20">
        <f>Catalog!W181</f>
        <v>0</v>
      </c>
      <c r="D364" s="20" t="str">
        <f>Catalog!X181</f>
        <v>unearned</v>
      </c>
      <c r="E364" s="19" t="s">
        <v>25</v>
      </c>
      <c r="F364" s="19" t="str">
        <f>Catalog!$AD$181</f>
        <v>Destroy 25 of Svengeance's Roller Derby Bots!</v>
      </c>
      <c r="G364" s="15" t="s">
        <v>12</v>
      </c>
      <c r="I364" s="13"/>
    </row>
    <row r="365" spans="1:9" ht="15" x14ac:dyDescent="0.15">
      <c r="A365" s="11" t="s">
        <v>35</v>
      </c>
      <c r="B365" s="12" t="str">
        <f>Catalog!E181</f>
        <v>achievementPlaySvengeanceSkaterbots</v>
      </c>
      <c r="C365" s="20">
        <f>Catalog!$BD$181</f>
        <v>2</v>
      </c>
      <c r="D365" s="20" t="str">
        <f>Catalog!$BE$181</f>
        <v>earned</v>
      </c>
      <c r="E365" s="19" t="s">
        <v>23</v>
      </c>
      <c r="F365" s="20" t="str">
        <f>Catalog!$BI$181</f>
        <v>Derby Destructor</v>
      </c>
      <c r="G365" s="15" t="s">
        <v>12</v>
      </c>
      <c r="I365" s="13"/>
    </row>
    <row r="366" spans="1:9" ht="15" x14ac:dyDescent="0.15">
      <c r="A366" s="11" t="s">
        <v>35</v>
      </c>
      <c r="B366" s="12" t="str">
        <f>Catalog!E181</f>
        <v>achievementPlaySvengeanceSkaterbots</v>
      </c>
      <c r="C366" s="20">
        <f>Catalog!$BD$181</f>
        <v>2</v>
      </c>
      <c r="D366" s="20" t="str">
        <f>Catalog!$BE$181</f>
        <v>earned</v>
      </c>
      <c r="E366" s="19" t="s">
        <v>25</v>
      </c>
      <c r="F366" s="19" t="str">
        <f>Catalog!$BL$181</f>
        <v>You destroyed 25 of Svengeance's Roller Derby bots!</v>
      </c>
      <c r="G366" s="15" t="s">
        <v>12</v>
      </c>
      <c r="I366" s="13"/>
    </row>
    <row r="367" spans="1:9" ht="15" x14ac:dyDescent="0.15">
      <c r="A367" s="11" t="s">
        <v>35</v>
      </c>
      <c r="B367" s="12" t="str">
        <f>Catalog!E175</f>
        <v>achievementPlayStrongholdTankHaywire</v>
      </c>
      <c r="C367" s="20">
        <f>Catalog!W175</f>
        <v>0</v>
      </c>
      <c r="D367" s="20" t="str">
        <f>Catalog!X175</f>
        <v>unearned</v>
      </c>
      <c r="E367" s="19" t="s">
        <v>25</v>
      </c>
      <c r="F367" s="19" t="str">
        <f>Catalog!$AD$175</f>
        <v>Damage Stronghold's Bulldozer till it goes haywire!</v>
      </c>
      <c r="G367" s="15" t="s">
        <v>12</v>
      </c>
      <c r="I367" s="13"/>
    </row>
    <row r="368" spans="1:9" ht="15" x14ac:dyDescent="0.15">
      <c r="A368" s="11" t="s">
        <v>35</v>
      </c>
      <c r="B368" s="12" t="str">
        <f>Catalog!E175</f>
        <v>achievementPlayStrongholdTankHaywire</v>
      </c>
      <c r="C368" s="20">
        <f>Catalog!$BD$175</f>
        <v>2</v>
      </c>
      <c r="D368" s="20" t="str">
        <f>Catalog!$BE$175</f>
        <v>earned</v>
      </c>
      <c r="E368" s="19" t="s">
        <v>23</v>
      </c>
      <c r="F368" s="19" t="str">
        <f>Catalog!$BI$175</f>
        <v>Bull-Dizzy</v>
      </c>
      <c r="G368" s="15" t="s">
        <v>12</v>
      </c>
      <c r="I368" s="13"/>
    </row>
    <row r="369" spans="1:9" ht="28" x14ac:dyDescent="0.15">
      <c r="A369" s="11" t="s">
        <v>35</v>
      </c>
      <c r="B369" s="12" t="str">
        <f>Catalog!E175</f>
        <v>achievementPlayStrongholdTankHaywire</v>
      </c>
      <c r="C369" s="20">
        <f>Catalog!$BD$175</f>
        <v>2</v>
      </c>
      <c r="D369" s="20" t="str">
        <f>Catalog!$BE$175</f>
        <v>earned</v>
      </c>
      <c r="E369" s="19" t="s">
        <v>25</v>
      </c>
      <c r="F369" s="19" t="str">
        <f>Catalog!$BL$175</f>
        <v>You made Stronghold's bulldozer go haywire! You can smash with the best of them.</v>
      </c>
      <c r="G369" s="15" t="s">
        <v>12</v>
      </c>
      <c r="I369" s="13"/>
    </row>
    <row r="370" spans="1:9" ht="15" x14ac:dyDescent="0.15">
      <c r="A370" s="11" t="s">
        <v>35</v>
      </c>
      <c r="B370" s="12" t="str">
        <f>Catalog!E189</f>
        <v>achievementPlayVectorPiranha</v>
      </c>
      <c r="C370" s="20">
        <f>Catalog!W189</f>
        <v>0</v>
      </c>
      <c r="D370" s="20" t="str">
        <f>Catalog!X189</f>
        <v>unearned</v>
      </c>
      <c r="E370" s="19" t="s">
        <v>25</v>
      </c>
      <c r="F370" s="19" t="str">
        <f>Catalog!AD189</f>
        <v>Destroy 10 of Vector's Piranha drones!</v>
      </c>
      <c r="G370" s="15" t="s">
        <v>12</v>
      </c>
      <c r="I370" s="13"/>
    </row>
    <row r="371" spans="1:9" ht="15" x14ac:dyDescent="0.15">
      <c r="A371" s="11" t="s">
        <v>35</v>
      </c>
      <c r="B371" s="12" t="str">
        <f>Catalog!E189</f>
        <v>achievementPlayVectorPiranha</v>
      </c>
      <c r="C371" s="20">
        <f>Catalog!$BD$189</f>
        <v>2</v>
      </c>
      <c r="D371" s="20" t="str">
        <f>Catalog!$BE$189</f>
        <v>earned</v>
      </c>
      <c r="E371" s="19" t="s">
        <v>23</v>
      </c>
      <c r="F371" s="20" t="str">
        <f>Catalog!$BI$189</f>
        <v>Fish in a Barrel</v>
      </c>
      <c r="G371" s="15" t="s">
        <v>12</v>
      </c>
      <c r="I371" s="13"/>
    </row>
    <row r="372" spans="1:9" ht="28" x14ac:dyDescent="0.15">
      <c r="A372" s="11" t="s">
        <v>35</v>
      </c>
      <c r="B372" s="12" t="str">
        <f>Catalog!E189</f>
        <v>achievementPlayVectorPiranha</v>
      </c>
      <c r="C372" s="20">
        <f>Catalog!$BD$189</f>
        <v>2</v>
      </c>
      <c r="D372" s="20" t="str">
        <f>Catalog!$BE$189</f>
        <v>earned</v>
      </c>
      <c r="E372" s="19" t="s">
        <v>25</v>
      </c>
      <c r="F372" s="19" t="str">
        <f>Catalog!$BL$189</f>
        <v>You destroyed 10 of Vector's Piranha drones! He should've stayed on the moon!</v>
      </c>
      <c r="G372" s="15" t="s">
        <v>28</v>
      </c>
      <c r="I372" s="13"/>
    </row>
    <row r="373" spans="1:9" ht="28" x14ac:dyDescent="0.15">
      <c r="A373" s="11" t="s">
        <v>35</v>
      </c>
      <c r="B373" s="12" t="str">
        <f>Catalog!E167</f>
        <v>achievementPlayEarlyBird</v>
      </c>
      <c r="C373" s="20">
        <f>Catalog!W167</f>
        <v>0</v>
      </c>
      <c r="D373" s="20" t="str">
        <f>Catalog!X167</f>
        <v>unearned</v>
      </c>
      <c r="E373" s="19" t="s">
        <v>25</v>
      </c>
      <c r="F373" s="19" t="str">
        <f>Catalog!AD167</f>
        <v>Blast through the challenge before 11AM. The early villain steals the worm!</v>
      </c>
      <c r="G373" s="15" t="s">
        <v>12</v>
      </c>
      <c r="I373" s="13"/>
    </row>
    <row r="374" spans="1:9" ht="15" x14ac:dyDescent="0.15">
      <c r="A374" s="11" t="s">
        <v>35</v>
      </c>
      <c r="B374" s="12" t="str">
        <f>Catalog!E167</f>
        <v>achievementPlayEarlyBird</v>
      </c>
      <c r="C374" s="20">
        <f>Catalog!$BD$167</f>
        <v>2</v>
      </c>
      <c r="D374" s="20" t="str">
        <f>Catalog!$BE$167</f>
        <v>earned</v>
      </c>
      <c r="E374" s="19" t="s">
        <v>23</v>
      </c>
      <c r="F374" s="19" t="str">
        <f>Catalog!$BI$167</f>
        <v>Early Riser</v>
      </c>
      <c r="G374" s="15" t="s">
        <v>12</v>
      </c>
      <c r="I374" s="13"/>
    </row>
    <row r="375" spans="1:9" ht="28" x14ac:dyDescent="0.15">
      <c r="A375" s="11" t="s">
        <v>35</v>
      </c>
      <c r="B375" s="12" t="str">
        <f>Catalog!E167</f>
        <v>achievementPlayEarlyBird</v>
      </c>
      <c r="C375" s="20">
        <f>Catalog!$BD$167</f>
        <v>2</v>
      </c>
      <c r="D375" s="20" t="str">
        <f>Catalog!$BE$167</f>
        <v>earned</v>
      </c>
      <c r="E375" s="19" t="s">
        <v>25</v>
      </c>
      <c r="F375" s="19" t="str">
        <f>Catalog!$BL$167</f>
        <v>You blasted through the challenge before 11am. Procrastination is not a necessary evil.</v>
      </c>
      <c r="G375" s="15" t="s">
        <v>12</v>
      </c>
      <c r="I375" s="13"/>
    </row>
    <row r="376" spans="1:9" ht="15" x14ac:dyDescent="0.15">
      <c r="A376" s="11" t="s">
        <v>35</v>
      </c>
      <c r="B376" s="12" t="str">
        <f>Catalog!E168</f>
        <v>achievementPlayLateNight</v>
      </c>
      <c r="C376" s="20">
        <f>Catalog!W168</f>
        <v>0</v>
      </c>
      <c r="D376" s="20" t="str">
        <f>Catalog!X168</f>
        <v>unearned</v>
      </c>
      <c r="E376" s="19" t="s">
        <v>25</v>
      </c>
      <c r="F376" s="19" t="str">
        <f>Catalog!AD168</f>
        <v>Take the challenge after 7pm. Blast into the night!</v>
      </c>
      <c r="G376" s="15" t="s">
        <v>12</v>
      </c>
      <c r="I376" s="13"/>
    </row>
    <row r="377" spans="1:9" ht="15" x14ac:dyDescent="0.15">
      <c r="A377" s="11" t="s">
        <v>35</v>
      </c>
      <c r="B377" s="12" t="str">
        <f>Catalog!E168</f>
        <v>achievementPlayLateNight</v>
      </c>
      <c r="C377" s="20">
        <f>Catalog!$BD$169</f>
        <v>2</v>
      </c>
      <c r="D377" s="20" t="str">
        <f>Catalog!$BE$168</f>
        <v>earned</v>
      </c>
      <c r="E377" s="19" t="s">
        <v>23</v>
      </c>
      <c r="F377" s="19" t="str">
        <f>Catalog!$BI$168</f>
        <v>Evil Never Sleeps</v>
      </c>
      <c r="G377" s="15" t="s">
        <v>12</v>
      </c>
      <c r="I377" s="13"/>
    </row>
    <row r="378" spans="1:9" ht="28" x14ac:dyDescent="0.15">
      <c r="A378" s="11" t="s">
        <v>35</v>
      </c>
      <c r="B378" s="12" t="str">
        <f>Catalog!E168</f>
        <v>achievementPlayLateNight</v>
      </c>
      <c r="C378" s="20">
        <f>Catalog!$BD$169</f>
        <v>2</v>
      </c>
      <c r="D378" s="20" t="str">
        <f>Catalog!$BE$168</f>
        <v>earned</v>
      </c>
      <c r="E378" s="19" t="s">
        <v>25</v>
      </c>
      <c r="F378" s="19" t="str">
        <f>Catalog!$BL$168</f>
        <v>You took the challenge after 7PM. Night time is the right time for wrong.</v>
      </c>
      <c r="G378" s="15" t="s">
        <v>12</v>
      </c>
      <c r="I378" s="13"/>
    </row>
    <row r="379" spans="1:9" ht="15" x14ac:dyDescent="0.15">
      <c r="A379" s="11" t="s">
        <v>35</v>
      </c>
      <c r="B379" s="12" t="str">
        <f>Catalog!E170</f>
        <v>achievementPlayTimes</v>
      </c>
      <c r="C379" s="20">
        <f>Catalog!W170</f>
        <v>0</v>
      </c>
      <c r="D379" s="20" t="str">
        <f>Catalog!X170</f>
        <v>unearned</v>
      </c>
      <c r="E379" s="19" t="s">
        <v>25</v>
      </c>
      <c r="F379" s="19" t="str">
        <f>Catalog!AD170</f>
        <v>Take the challenge 10 times!</v>
      </c>
      <c r="G379" s="15" t="s">
        <v>12</v>
      </c>
      <c r="I379" s="13"/>
    </row>
    <row r="380" spans="1:9" ht="15" x14ac:dyDescent="0.15">
      <c r="A380" s="11" t="s">
        <v>35</v>
      </c>
      <c r="B380" s="12" t="str">
        <f>Catalog!E170</f>
        <v>achievementPlayTimes</v>
      </c>
      <c r="C380" s="20">
        <f>Catalog!$BD$170</f>
        <v>2</v>
      </c>
      <c r="D380" s="20" t="str">
        <f>Catalog!$BE$170</f>
        <v>earned</v>
      </c>
      <c r="E380" s="19" t="s">
        <v>23</v>
      </c>
      <c r="F380" s="20" t="str">
        <f>Catalog!$BI$170</f>
        <v>Repeat Offender</v>
      </c>
      <c r="G380" s="15" t="s">
        <v>12</v>
      </c>
      <c r="I380" s="13"/>
    </row>
    <row r="381" spans="1:9" ht="28" x14ac:dyDescent="0.15">
      <c r="A381" s="11" t="s">
        <v>35</v>
      </c>
      <c r="B381" s="12" t="str">
        <f>Catalog!E170</f>
        <v>achievementPlayTimes</v>
      </c>
      <c r="C381" s="20">
        <f>Catalog!$BD$170</f>
        <v>2</v>
      </c>
      <c r="D381" s="20" t="str">
        <f>Catalog!$BE$170</f>
        <v>earned</v>
      </c>
      <c r="E381" s="19" t="s">
        <v>25</v>
      </c>
      <c r="F381" s="19" t="str">
        <f>Catalog!$BL$170</f>
        <v>You took the challenge 10 times. This is becoming an obsession.</v>
      </c>
      <c r="G381" s="15" t="s">
        <v>12</v>
      </c>
      <c r="I381" s="13"/>
    </row>
    <row r="382" spans="1:9" ht="28" x14ac:dyDescent="0.15">
      <c r="A382" s="11" t="s">
        <v>35</v>
      </c>
      <c r="B382" s="12" t="str">
        <f>Catalog!$E$402</f>
        <v>achievementPlayBestStudent</v>
      </c>
      <c r="C382" s="20">
        <f>Catalog!$W$402</f>
        <v>0</v>
      </c>
      <c r="D382" s="20" t="str">
        <f>Catalog!$X$416</f>
        <v>unearned</v>
      </c>
      <c r="E382" s="19" t="s">
        <v>25</v>
      </c>
      <c r="F382" s="19" t="str">
        <f>Catalog!$AD$402</f>
        <v>Complete all Vicious Six missions and prove your dedication!</v>
      </c>
      <c r="G382" s="15" t="s">
        <v>12</v>
      </c>
      <c r="I382" s="13"/>
    </row>
    <row r="383" spans="1:9" ht="15" x14ac:dyDescent="0.15">
      <c r="A383" s="11" t="s">
        <v>35</v>
      </c>
      <c r="B383" s="12" t="str">
        <f>Catalog!$E$402</f>
        <v>achievementPlayBestStudent</v>
      </c>
      <c r="C383" s="19">
        <f>Catalog!$BD$402</f>
        <v>2</v>
      </c>
      <c r="D383" s="19" t="str">
        <f>Catalog!$BE$402</f>
        <v>earned</v>
      </c>
      <c r="E383" s="19" t="s">
        <v>23</v>
      </c>
      <c r="F383" s="19" t="str">
        <f>Catalog!$BI$402</f>
        <v>Hall of Infamy</v>
      </c>
      <c r="G383" s="15" t="s">
        <v>12</v>
      </c>
      <c r="I383" s="13"/>
    </row>
    <row r="384" spans="1:9" ht="28" x14ac:dyDescent="0.15">
      <c r="A384" s="11" t="s">
        <v>35</v>
      </c>
      <c r="B384" s="12" t="str">
        <f>Catalog!$E$402</f>
        <v>achievementPlayBestStudent</v>
      </c>
      <c r="C384" s="19">
        <f>Catalog!$BD$402</f>
        <v>2</v>
      </c>
      <c r="D384" s="19" t="str">
        <f>Catalog!$BE$402</f>
        <v>earned</v>
      </c>
      <c r="E384" s="19" t="s">
        <v>25</v>
      </c>
      <c r="F384" s="19" t="str">
        <f>Catalog!$BL$402</f>
        <v>You completed all the Vicious Six Missions! Your dedication to the V6 is inspiring.</v>
      </c>
      <c r="G384" s="15" t="s">
        <v>12</v>
      </c>
      <c r="I384" s="13"/>
    </row>
    <row r="385" spans="1:9" ht="15" x14ac:dyDescent="0.15">
      <c r="A385" s="11" t="s">
        <v>35</v>
      </c>
      <c r="B385" s="12" t="str">
        <f>Catalog!$E$416</f>
        <v>achievementMissionAll</v>
      </c>
      <c r="C385" s="20">
        <f>Catalog!$W$416</f>
        <v>0</v>
      </c>
      <c r="D385" s="20" t="str">
        <f>Catalog!$X$416</f>
        <v>unearned</v>
      </c>
      <c r="E385" s="19" t="s">
        <v>25</v>
      </c>
      <c r="F385" s="20" t="str">
        <f>Catalog!$AD$416</f>
        <v>Can you do all the missions?</v>
      </c>
      <c r="G385" s="15" t="s">
        <v>12</v>
      </c>
      <c r="I385" s="13"/>
    </row>
    <row r="386" spans="1:9" ht="15" x14ac:dyDescent="0.15">
      <c r="A386" s="11" t="s">
        <v>35</v>
      </c>
      <c r="B386" s="12" t="str">
        <f>Catalog!$E$416</f>
        <v>achievementMissionAll</v>
      </c>
      <c r="C386" s="20">
        <f>Catalog!$BD$416</f>
        <v>2</v>
      </c>
      <c r="D386" s="20" t="str">
        <f>Catalog!$BE$416</f>
        <v>earned</v>
      </c>
      <c r="E386" s="19" t="s">
        <v>23</v>
      </c>
      <c r="F386" s="20" t="str">
        <f>Catalog!$BI$416</f>
        <v>100% Evil</v>
      </c>
      <c r="G386" s="15" t="s">
        <v>12</v>
      </c>
      <c r="I386" s="13"/>
    </row>
    <row r="387" spans="1:9" ht="28" x14ac:dyDescent="0.15">
      <c r="A387" s="11" t="s">
        <v>35</v>
      </c>
      <c r="B387" s="12" t="str">
        <f>Catalog!$E$416</f>
        <v>achievementMissionAll</v>
      </c>
      <c r="C387" s="20">
        <f>Catalog!$BD$416</f>
        <v>2</v>
      </c>
      <c r="D387" s="20" t="str">
        <f>Catalog!$BE$416</f>
        <v>earned</v>
      </c>
      <c r="E387" s="19" t="s">
        <v>25</v>
      </c>
      <c r="F387" s="20" t="str">
        <f>Catalog!$BL$416</f>
        <v>You completed every mission in the challenge! Your legend will live on forever.</v>
      </c>
      <c r="G387" s="15" t="s">
        <v>12</v>
      </c>
      <c r="I387" s="13"/>
    </row>
    <row r="388" spans="1:9" ht="15" x14ac:dyDescent="0.15">
      <c r="A388" s="11" t="s">
        <v>35</v>
      </c>
      <c r="B388" s="12" t="str">
        <f>Catalog!E169</f>
        <v>achievementPlaySameDay</v>
      </c>
      <c r="C388" s="20">
        <f>Catalog!W169</f>
        <v>0</v>
      </c>
      <c r="D388" s="20" t="str">
        <f>Catalog!X169</f>
        <v>unearned</v>
      </c>
      <c r="E388" s="19" t="s">
        <v>25</v>
      </c>
      <c r="F388" s="19" t="str">
        <f>Catalog!AD169</f>
        <v>Take the challenge 3 times in one day!</v>
      </c>
      <c r="G388" s="15" t="s">
        <v>12</v>
      </c>
      <c r="I388" s="13"/>
    </row>
    <row r="389" spans="1:9" ht="15" x14ac:dyDescent="0.15">
      <c r="A389" s="11" t="s">
        <v>35</v>
      </c>
      <c r="B389" s="12" t="str">
        <f>Catalog!E169</f>
        <v>achievementPlaySameDay</v>
      </c>
      <c r="C389" s="20">
        <f>Catalog!BD169</f>
        <v>2</v>
      </c>
      <c r="D389" s="20" t="str">
        <f>Catalog!BE169</f>
        <v>earned</v>
      </c>
      <c r="E389" s="19" t="s">
        <v>23</v>
      </c>
      <c r="F389" s="19" t="str">
        <f>Catalog!BI169</f>
        <v>Vicious VIP</v>
      </c>
      <c r="G389" s="15" t="s">
        <v>12</v>
      </c>
      <c r="I389" s="13"/>
    </row>
    <row r="390" spans="1:9" ht="28" x14ac:dyDescent="0.15">
      <c r="A390" s="11" t="s">
        <v>35</v>
      </c>
      <c r="B390" s="12" t="str">
        <f>Catalog!E169</f>
        <v>achievementPlaySameDay</v>
      </c>
      <c r="C390" s="20">
        <f>Catalog!BD169</f>
        <v>2</v>
      </c>
      <c r="D390" s="20" t="str">
        <f>Catalog!BE169</f>
        <v>earned</v>
      </c>
      <c r="E390" s="19" t="s">
        <v>25</v>
      </c>
      <c r="F390" s="19" t="str">
        <f>Catalog!BL169</f>
        <v xml:space="preserve">You took the challenge 3 times in one day! Third time's the charm for harm. </v>
      </c>
      <c r="G390" s="15" t="s">
        <v>12</v>
      </c>
      <c r="I390" s="13"/>
    </row>
    <row r="391" spans="1:9" ht="15" x14ac:dyDescent="0.15">
      <c r="A391" s="11" t="s">
        <v>39</v>
      </c>
      <c r="B391" s="12" t="str">
        <f>'TitleData texts.mobileApp'!C124</f>
        <v>loot.all.header.loot</v>
      </c>
      <c r="C391" s="19"/>
      <c r="D391" s="13" t="s">
        <v>10</v>
      </c>
      <c r="E391" s="14" t="s">
        <v>19</v>
      </c>
      <c r="F391" s="19" t="str">
        <f>'TitleData texts.mobileApp'!E124</f>
        <v>COLLECTIBLES</v>
      </c>
      <c r="G391" s="15" t="s">
        <v>12</v>
      </c>
      <c r="I391" s="13"/>
    </row>
    <row r="392" spans="1:9" ht="15" x14ac:dyDescent="0.15">
      <c r="A392" s="11" t="s">
        <v>39</v>
      </c>
      <c r="B392" s="12" t="str">
        <f>'TitleData texts.mobileApp'!C125</f>
        <v>loot.all.header.description</v>
      </c>
      <c r="C392" s="19"/>
      <c r="D392" s="13" t="s">
        <v>10</v>
      </c>
      <c r="E392" s="14" t="s">
        <v>20</v>
      </c>
      <c r="F392" s="19" t="str">
        <f>'TitleData texts.mobileApp'!E125</f>
        <v>Find collectibles in and around Villain-Con!</v>
      </c>
      <c r="G392" s="15" t="s">
        <v>12</v>
      </c>
      <c r="I392" s="13"/>
    </row>
    <row r="393" spans="1:9" ht="98" x14ac:dyDescent="0.15">
      <c r="A393" s="11" t="s">
        <v>39</v>
      </c>
      <c r="B393" s="12" t="str">
        <f>'TitleData texts.mobileApp'!C126</f>
        <v>loot.all.msg.help</v>
      </c>
      <c r="C393" s="19"/>
      <c r="D393" s="13" t="s">
        <v>10</v>
      </c>
      <c r="E393" s="14" t="s">
        <v>21</v>
      </c>
      <c r="F393" s="19" t="str">
        <f>'TitleData texts.mobileApp'!E126</f>
        <v>TAP OUTSIDE
Tap with your phone to collect loot outside the Vicious 6 Challenge and around the park!
BLAST INSIDE
Blast collectibles in the challenge to unlock launchers and more!</v>
      </c>
      <c r="G393" s="15" t="s">
        <v>28</v>
      </c>
      <c r="I393" s="13"/>
    </row>
    <row r="394" spans="1:9" ht="15" x14ac:dyDescent="0.15">
      <c r="A394" s="11" t="s">
        <v>40</v>
      </c>
      <c r="B394" s="12" t="str">
        <f>Catalog!E245</f>
        <v>lootTap1</v>
      </c>
      <c r="C394" s="20">
        <f>Catalog!W245</f>
        <v>0</v>
      </c>
      <c r="D394" s="20" t="str">
        <f>Catalog!X245</f>
        <v>unearned</v>
      </c>
      <c r="E394" s="19" t="s">
        <v>23</v>
      </c>
      <c r="F394" s="20" t="str">
        <f>Catalog!AB245</f>
        <v>Villain Network Channel Mug</v>
      </c>
      <c r="G394" s="15" t="s">
        <v>12</v>
      </c>
      <c r="I394" s="13"/>
    </row>
    <row r="395" spans="1:9" ht="15" x14ac:dyDescent="0.15">
      <c r="A395" s="11" t="s">
        <v>40</v>
      </c>
      <c r="B395" s="12" t="str">
        <f>Catalog!E245</f>
        <v>lootTap1</v>
      </c>
      <c r="C395" s="20">
        <f>Catalog!W245</f>
        <v>0</v>
      </c>
      <c r="D395" s="20" t="str">
        <f>Catalog!X245</f>
        <v>unearned</v>
      </c>
      <c r="E395" s="19" t="s">
        <v>25</v>
      </c>
      <c r="F395" s="20" t="str">
        <f>Catalog!AD245</f>
        <v>Find the tap point in the Villain-Con queue!</v>
      </c>
      <c r="G395" s="15" t="s">
        <v>12</v>
      </c>
      <c r="I395" s="13"/>
    </row>
    <row r="396" spans="1:9" ht="15" x14ac:dyDescent="0.15">
      <c r="A396" s="11" t="s">
        <v>40</v>
      </c>
      <c r="B396" s="12" t="str">
        <f>Catalog!E245</f>
        <v>lootTap1</v>
      </c>
      <c r="C396" s="20">
        <f>Catalog!W245</f>
        <v>0</v>
      </c>
      <c r="D396" s="20" t="str">
        <f>Catalog!X245</f>
        <v>unearned</v>
      </c>
      <c r="E396" s="19" t="s">
        <v>34</v>
      </c>
      <c r="F396" s="20" t="str">
        <f>Catalog!AE245</f>
        <v>2,000 points</v>
      </c>
      <c r="G396" s="15" t="s">
        <v>12</v>
      </c>
      <c r="I396" s="13"/>
    </row>
    <row r="397" spans="1:9" ht="28" x14ac:dyDescent="0.15">
      <c r="A397" s="11" t="s">
        <v>40</v>
      </c>
      <c r="B397" s="12" t="str">
        <f>Catalog!E245</f>
        <v>lootTap1</v>
      </c>
      <c r="C397" s="20">
        <f>Catalog!BD245</f>
        <v>2</v>
      </c>
      <c r="D397" s="20" t="str">
        <f>Catalog!BE245</f>
        <v>earned</v>
      </c>
      <c r="E397" s="19" t="s">
        <v>25</v>
      </c>
      <c r="F397" s="20" t="str">
        <f>Catalog!BL245</f>
        <v>You found a Villain Network Channel Mug in the Villain-Con queue!</v>
      </c>
      <c r="G397" s="15" t="s">
        <v>12</v>
      </c>
      <c r="I397" s="13"/>
    </row>
    <row r="398" spans="1:9" ht="15" x14ac:dyDescent="0.15">
      <c r="A398" s="11" t="s">
        <v>40</v>
      </c>
      <c r="B398" s="12" t="str">
        <f>Catalog!E247</f>
        <v>lootTap2</v>
      </c>
      <c r="C398" s="20">
        <f>Catalog!W247</f>
        <v>0</v>
      </c>
      <c r="D398" s="20" t="str">
        <f>Catalog!X247</f>
        <v>unearned</v>
      </c>
      <c r="E398" s="19" t="s">
        <v>23</v>
      </c>
      <c r="F398" s="20" t="str">
        <f>Catalog!AB247</f>
        <v>Binky Nelson's Pacifier</v>
      </c>
      <c r="G398" s="15" t="s">
        <v>12</v>
      </c>
      <c r="I398" s="13"/>
    </row>
    <row r="399" spans="1:9" ht="15" x14ac:dyDescent="0.15">
      <c r="A399" s="11" t="s">
        <v>40</v>
      </c>
      <c r="B399" s="12" t="str">
        <f>Catalog!E247</f>
        <v>lootTap2</v>
      </c>
      <c r="C399" s="20">
        <f>Catalog!W247</f>
        <v>0</v>
      </c>
      <c r="D399" s="20" t="str">
        <f>Catalog!X247</f>
        <v>unearned</v>
      </c>
      <c r="E399" s="19" t="s">
        <v>25</v>
      </c>
      <c r="F399" s="20" t="str">
        <f>Catalog!AD247</f>
        <v>Find the tap point in the Villain-Con queue!</v>
      </c>
      <c r="G399" s="15" t="s">
        <v>12</v>
      </c>
      <c r="I399" s="13"/>
    </row>
    <row r="400" spans="1:9" ht="15" x14ac:dyDescent="0.15">
      <c r="A400" s="11" t="s">
        <v>40</v>
      </c>
      <c r="B400" s="12" t="str">
        <f>Catalog!E247</f>
        <v>lootTap2</v>
      </c>
      <c r="C400" s="20">
        <f>Catalog!W247</f>
        <v>0</v>
      </c>
      <c r="D400" s="20" t="str">
        <f>Catalog!X247</f>
        <v>unearned</v>
      </c>
      <c r="E400" s="19" t="s">
        <v>34</v>
      </c>
      <c r="F400" s="20" t="str">
        <f>Catalog!AE247</f>
        <v>2,000 points</v>
      </c>
      <c r="G400" s="15" t="s">
        <v>12</v>
      </c>
      <c r="I400" s="13"/>
    </row>
    <row r="401" spans="1:9" ht="15" x14ac:dyDescent="0.15">
      <c r="A401" s="11" t="s">
        <v>40</v>
      </c>
      <c r="B401" s="12" t="str">
        <f>Catalog!E247</f>
        <v>lootTap2</v>
      </c>
      <c r="C401" s="20">
        <f>Catalog!BD247</f>
        <v>2</v>
      </c>
      <c r="D401" s="20" t="str">
        <f>Catalog!BE247</f>
        <v>earned</v>
      </c>
      <c r="E401" s="19" t="s">
        <v>25</v>
      </c>
      <c r="F401" s="20" t="str">
        <f>Catalog!BL247</f>
        <v>You found Binky's Pacifier! You may want to wash it.</v>
      </c>
      <c r="G401" s="15" t="s">
        <v>12</v>
      </c>
      <c r="I401" s="13"/>
    </row>
    <row r="402" spans="1:9" ht="15" x14ac:dyDescent="0.15">
      <c r="A402" s="11" t="s">
        <v>40</v>
      </c>
      <c r="B402" s="12" t="str">
        <f>Catalog!E249</f>
        <v>lootTap3</v>
      </c>
      <c r="C402" s="20">
        <f>Catalog!$W$249</f>
        <v>0</v>
      </c>
      <c r="D402" s="20" t="str">
        <f>Catalog!X249</f>
        <v>unearned</v>
      </c>
      <c r="E402" s="19" t="s">
        <v>23</v>
      </c>
      <c r="F402" s="20" t="str">
        <f>Catalog!AB249</f>
        <v>Gru's Vicious 6 Underwear</v>
      </c>
      <c r="G402" s="15" t="s">
        <v>12</v>
      </c>
      <c r="I402" s="13"/>
    </row>
    <row r="403" spans="1:9" ht="15" x14ac:dyDescent="0.15">
      <c r="A403" s="11" t="s">
        <v>40</v>
      </c>
      <c r="B403" s="12" t="str">
        <f>Catalog!E249</f>
        <v>lootTap3</v>
      </c>
      <c r="C403" s="20">
        <f>Catalog!$W$249</f>
        <v>0</v>
      </c>
      <c r="D403" s="20" t="str">
        <f>Catalog!X249</f>
        <v>unearned</v>
      </c>
      <c r="E403" s="19" t="s">
        <v>25</v>
      </c>
      <c r="F403" s="20" t="str">
        <f>Catalog!AD249</f>
        <v>Find the tap point at Villain-Con Retail!</v>
      </c>
      <c r="G403" s="15" t="s">
        <v>12</v>
      </c>
      <c r="I403" s="13"/>
    </row>
    <row r="404" spans="1:9" ht="15" x14ac:dyDescent="0.15">
      <c r="A404" s="11" t="s">
        <v>40</v>
      </c>
      <c r="B404" s="12" t="str">
        <f>Catalog!E249</f>
        <v>lootTap3</v>
      </c>
      <c r="C404" s="20">
        <f>Catalog!$W$249</f>
        <v>0</v>
      </c>
      <c r="D404" s="20" t="str">
        <f>Catalog!X249</f>
        <v>unearned</v>
      </c>
      <c r="E404" s="19" t="s">
        <v>34</v>
      </c>
      <c r="F404" s="20" t="str">
        <f>Catalog!AE249</f>
        <v>2,000 points</v>
      </c>
      <c r="G404" s="15" t="s">
        <v>12</v>
      </c>
      <c r="I404" s="13"/>
    </row>
    <row r="405" spans="1:9" ht="15" x14ac:dyDescent="0.15">
      <c r="A405" s="11" t="s">
        <v>40</v>
      </c>
      <c r="B405" s="12" t="str">
        <f>Catalog!E249</f>
        <v>lootTap3</v>
      </c>
      <c r="C405" s="20">
        <f>Catalog!$BD$249</f>
        <v>2</v>
      </c>
      <c r="D405" s="20" t="str">
        <f>Catalog!BE249</f>
        <v>earned</v>
      </c>
      <c r="E405" s="19" t="s">
        <v>25</v>
      </c>
      <c r="F405" s="20" t="str">
        <f>Catalog!BL249</f>
        <v>You found Gru's Vicious 6 Underwear at Villain-Con retail!</v>
      </c>
      <c r="G405" s="15" t="s">
        <v>12</v>
      </c>
      <c r="I405" s="13"/>
    </row>
    <row r="406" spans="1:9" ht="15" x14ac:dyDescent="0.15">
      <c r="A406" s="11" t="s">
        <v>40</v>
      </c>
      <c r="B406" s="12" t="str">
        <f>Catalog!$E$251</f>
        <v>lootTap4</v>
      </c>
      <c r="C406" s="20">
        <f>Catalog!$W$251</f>
        <v>0</v>
      </c>
      <c r="D406" s="20" t="str">
        <f>Catalog!$X$251</f>
        <v>unearned</v>
      </c>
      <c r="E406" s="19" t="s">
        <v>23</v>
      </c>
      <c r="F406" s="20" t="str">
        <f>Catalog!$AB$251</f>
        <v>Gru's Moon Heist Plans</v>
      </c>
      <c r="G406" s="15" t="s">
        <v>12</v>
      </c>
      <c r="I406" s="13"/>
    </row>
    <row r="407" spans="1:9" ht="15" x14ac:dyDescent="0.15">
      <c r="A407" s="11" t="s">
        <v>40</v>
      </c>
      <c r="B407" s="12" t="str">
        <f>Catalog!$E$251</f>
        <v>lootTap4</v>
      </c>
      <c r="C407" s="20">
        <f>Catalog!$W$251</f>
        <v>0</v>
      </c>
      <c r="D407" s="20" t="str">
        <f>Catalog!$X$251</f>
        <v>unearned</v>
      </c>
      <c r="E407" s="19" t="s">
        <v>25</v>
      </c>
      <c r="F407" s="20" t="str">
        <f>Catalog!$AD$251</f>
        <v>Find the tap point in the Minion Mayhem queue!</v>
      </c>
      <c r="G407" s="15" t="s">
        <v>12</v>
      </c>
      <c r="I407" s="13"/>
    </row>
    <row r="408" spans="1:9" ht="15" x14ac:dyDescent="0.15">
      <c r="A408" s="11" t="s">
        <v>40</v>
      </c>
      <c r="B408" s="12" t="str">
        <f>Catalog!$E$251</f>
        <v>lootTap4</v>
      </c>
      <c r="C408" s="20">
        <f>Catalog!$W$251</f>
        <v>0</v>
      </c>
      <c r="D408" s="20" t="str">
        <f>Catalog!$X$251</f>
        <v>unearned</v>
      </c>
      <c r="E408" s="19" t="s">
        <v>34</v>
      </c>
      <c r="F408" s="20" t="str">
        <f>Catalog!$AE$251</f>
        <v>2,000 points</v>
      </c>
      <c r="G408" s="15" t="s">
        <v>12</v>
      </c>
      <c r="I408" s="13"/>
    </row>
    <row r="409" spans="1:9" ht="28" x14ac:dyDescent="0.15">
      <c r="A409" s="11" t="s">
        <v>40</v>
      </c>
      <c r="B409" s="12" t="str">
        <f>Catalog!$E$251</f>
        <v>lootTap4</v>
      </c>
      <c r="C409" s="20">
        <f>Catalog!$BD$251</f>
        <v>2</v>
      </c>
      <c r="D409" s="20" t="str">
        <f>Catalog!$BE$251</f>
        <v>earned</v>
      </c>
      <c r="E409" s="19" t="s">
        <v>25</v>
      </c>
      <c r="F409" s="20" t="str">
        <f>Catalog!$BL$251</f>
        <v>You found Gru's Plans to Steal the Moon in the Minion Mayhem queue!</v>
      </c>
      <c r="G409" s="15" t="s">
        <v>12</v>
      </c>
      <c r="I409" s="13"/>
    </row>
    <row r="410" spans="1:9" ht="15" x14ac:dyDescent="0.15">
      <c r="A410" s="11" t="s">
        <v>40</v>
      </c>
      <c r="B410" s="12" t="str">
        <f>Catalog!$E$253</f>
        <v>lootTap5</v>
      </c>
      <c r="C410" s="20">
        <f>Catalog!$W$253</f>
        <v>0</v>
      </c>
      <c r="D410" s="20" t="str">
        <f>Catalog!$X$253</f>
        <v>unearned</v>
      </c>
      <c r="E410" s="19" t="s">
        <v>23</v>
      </c>
      <c r="F410" s="20" t="str">
        <f>Catalog!$AB$253</f>
        <v>Space Killer Ship</v>
      </c>
      <c r="G410" s="15" t="s">
        <v>12</v>
      </c>
      <c r="I410" s="13"/>
    </row>
    <row r="411" spans="1:9" ht="15" x14ac:dyDescent="0.15">
      <c r="A411" s="11" t="s">
        <v>40</v>
      </c>
      <c r="B411" s="12" t="str">
        <f>Catalog!$E$253</f>
        <v>lootTap5</v>
      </c>
      <c r="C411" s="20">
        <f>Catalog!$W$253</f>
        <v>0</v>
      </c>
      <c r="D411" s="20" t="str">
        <f>Catalog!$X$253</f>
        <v>unearned</v>
      </c>
      <c r="E411" s="19" t="s">
        <v>25</v>
      </c>
      <c r="F411" s="20" t="str">
        <f>Catalog!$AD$253</f>
        <v>Find the tap point at Minion Mayhem Retail!</v>
      </c>
      <c r="G411" s="15" t="s">
        <v>12</v>
      </c>
      <c r="I411" s="13"/>
    </row>
    <row r="412" spans="1:9" ht="15" x14ac:dyDescent="0.15">
      <c r="A412" s="11" t="s">
        <v>40</v>
      </c>
      <c r="B412" s="12" t="str">
        <f>Catalog!$E$253</f>
        <v>lootTap5</v>
      </c>
      <c r="C412" s="20">
        <f>Catalog!$W$253</f>
        <v>0</v>
      </c>
      <c r="D412" s="20" t="str">
        <f>Catalog!$X$253</f>
        <v>unearned</v>
      </c>
      <c r="E412" s="19" t="s">
        <v>34</v>
      </c>
      <c r="F412" s="20" t="str">
        <f>Catalog!$AE$253</f>
        <v>2,000 points</v>
      </c>
      <c r="G412" s="15" t="s">
        <v>12</v>
      </c>
      <c r="I412" s="13"/>
    </row>
    <row r="413" spans="1:9" ht="15" x14ac:dyDescent="0.15">
      <c r="A413" s="11" t="s">
        <v>40</v>
      </c>
      <c r="B413" s="12" t="str">
        <f>Catalog!$E$253</f>
        <v>lootTap5</v>
      </c>
      <c r="C413" s="20">
        <f>Catalog!$BD$253</f>
        <v>2</v>
      </c>
      <c r="D413" s="20" t="str">
        <f>Catalog!$BE$253</f>
        <v>earned</v>
      </c>
      <c r="E413" s="19" t="s">
        <v>25</v>
      </c>
      <c r="F413" s="20" t="str">
        <f>Catalog!$BL$253</f>
        <v>You found the Space Killer Ship at Minion Mayhem Retail!</v>
      </c>
      <c r="G413" s="15" t="s">
        <v>12</v>
      </c>
      <c r="I413" s="13"/>
    </row>
    <row r="414" spans="1:9" ht="15" x14ac:dyDescent="0.15">
      <c r="A414" s="11" t="s">
        <v>40</v>
      </c>
      <c r="B414" s="12" t="str">
        <f>Catalog!$E$255</f>
        <v>lootTap6</v>
      </c>
      <c r="C414" s="20">
        <f>Catalog!$W$255</f>
        <v>0</v>
      </c>
      <c r="D414" s="20" t="str">
        <f>Catalog!$X$255</f>
        <v>unearned</v>
      </c>
      <c r="E414" s="19" t="s">
        <v>23</v>
      </c>
      <c r="F414" s="20" t="str">
        <f>Catalog!$AB$255</f>
        <v>Pop-A-Nana</v>
      </c>
      <c r="G414" s="15" t="s">
        <v>12</v>
      </c>
      <c r="I414" s="13"/>
    </row>
    <row r="415" spans="1:9" ht="15" x14ac:dyDescent="0.15">
      <c r="A415" s="11" t="s">
        <v>40</v>
      </c>
      <c r="B415" s="12" t="str">
        <f>Catalog!$E$255</f>
        <v>lootTap6</v>
      </c>
      <c r="C415" s="20">
        <f>Catalog!$W$255</f>
        <v>0</v>
      </c>
      <c r="D415" s="20" t="str">
        <f>Catalog!$X$255</f>
        <v>unearned</v>
      </c>
      <c r="E415" s="19" t="s">
        <v>25</v>
      </c>
      <c r="F415" s="20" t="str">
        <f>Catalog!$AD$255</f>
        <v>Find the tap point at the entrance to the Minion Cafe!</v>
      </c>
      <c r="G415" s="15" t="s">
        <v>12</v>
      </c>
      <c r="I415" s="13"/>
    </row>
    <row r="416" spans="1:9" ht="15" x14ac:dyDescent="0.15">
      <c r="A416" s="11" t="s">
        <v>40</v>
      </c>
      <c r="B416" s="12" t="str">
        <f>Catalog!$E$255</f>
        <v>lootTap6</v>
      </c>
      <c r="C416" s="20">
        <f>Catalog!$W$255</f>
        <v>0</v>
      </c>
      <c r="D416" s="20" t="str">
        <f>Catalog!$X$255</f>
        <v>unearned</v>
      </c>
      <c r="E416" s="19" t="s">
        <v>34</v>
      </c>
      <c r="F416" s="20" t="str">
        <f>Catalog!$AE$255</f>
        <v>2,000 points</v>
      </c>
      <c r="G416" s="15" t="s">
        <v>12</v>
      </c>
      <c r="I416" s="13"/>
    </row>
    <row r="417" spans="1:9" ht="28" x14ac:dyDescent="0.15">
      <c r="A417" s="11" t="s">
        <v>40</v>
      </c>
      <c r="B417" s="12" t="str">
        <f>Catalog!$E$255</f>
        <v>lootTap6</v>
      </c>
      <c r="C417" s="20">
        <f>Catalog!$BD$255</f>
        <v>2</v>
      </c>
      <c r="D417" s="20" t="str">
        <f>Catalog!$BE$255</f>
        <v>earned</v>
      </c>
      <c r="E417" s="19" t="s">
        <v>25</v>
      </c>
      <c r="F417" s="20" t="str">
        <f>Catalog!$BL$255</f>
        <v>You found the Banana-Flavored Popcorn in front of the Minion Cafe!</v>
      </c>
      <c r="G417" s="15" t="s">
        <v>12</v>
      </c>
      <c r="I417" s="13"/>
    </row>
    <row r="418" spans="1:9" ht="15" x14ac:dyDescent="0.15">
      <c r="A418" s="11" t="s">
        <v>40</v>
      </c>
      <c r="B418" s="12" t="str">
        <f>Catalog!$E$257</f>
        <v>lootTap7</v>
      </c>
      <c r="C418" s="20">
        <f>Catalog!$W$257</f>
        <v>0</v>
      </c>
      <c r="D418" s="20" t="str">
        <f>Catalog!$X$257</f>
        <v>unearned</v>
      </c>
      <c r="E418" s="19" t="s">
        <v>23</v>
      </c>
      <c r="F418" s="20" t="str">
        <f>Catalog!$AB$257</f>
        <v>Minion Cupcake</v>
      </c>
      <c r="G418" s="15" t="s">
        <v>12</v>
      </c>
      <c r="I418" s="13"/>
    </row>
    <row r="419" spans="1:9" ht="15" x14ac:dyDescent="0.15">
      <c r="A419" s="11" t="s">
        <v>40</v>
      </c>
      <c r="B419" s="12" t="str">
        <f>Catalog!$E$257</f>
        <v>lootTap7</v>
      </c>
      <c r="C419" s="20">
        <f>Catalog!$W$257</f>
        <v>0</v>
      </c>
      <c r="D419" s="20" t="str">
        <f>Catalog!$X$257</f>
        <v>unearned</v>
      </c>
      <c r="E419" s="19" t="s">
        <v>25</v>
      </c>
      <c r="F419" s="20" t="str">
        <f>Catalog!$AD$257</f>
        <v>Find the cupcake tap point inside the Minion Cafe!</v>
      </c>
      <c r="G419" s="15" t="s">
        <v>12</v>
      </c>
      <c r="I419" s="13"/>
    </row>
    <row r="420" spans="1:9" ht="15" x14ac:dyDescent="0.15">
      <c r="A420" s="11" t="s">
        <v>40</v>
      </c>
      <c r="B420" s="12" t="str">
        <f>Catalog!$E$257</f>
        <v>lootTap7</v>
      </c>
      <c r="C420" s="20">
        <f>Catalog!$W$257</f>
        <v>0</v>
      </c>
      <c r="D420" s="20" t="str">
        <f>Catalog!$X$257</f>
        <v>unearned</v>
      </c>
      <c r="E420" s="19" t="s">
        <v>34</v>
      </c>
      <c r="F420" s="20" t="str">
        <f>Catalog!$AE$257</f>
        <v>2,000 points</v>
      </c>
      <c r="G420" s="15" t="s">
        <v>12</v>
      </c>
      <c r="I420" s="13"/>
    </row>
    <row r="421" spans="1:9" ht="28" x14ac:dyDescent="0.15">
      <c r="A421" s="11" t="s">
        <v>40</v>
      </c>
      <c r="B421" s="12" t="str">
        <f>Catalog!$E$257</f>
        <v>lootTap7</v>
      </c>
      <c r="C421" s="20">
        <f>Catalog!$BD$257</f>
        <v>2</v>
      </c>
      <c r="D421" s="20" t="str">
        <f>Catalog!$BE$257</f>
        <v>earned</v>
      </c>
      <c r="E421" s="19" t="s">
        <v>25</v>
      </c>
      <c r="F421" s="20" t="str">
        <f>Catalog!$BL$257</f>
        <v>You found the Minion Cupcake inside the Minion Cafe! Bake My Day, indeed.</v>
      </c>
      <c r="G421" s="15" t="s">
        <v>12</v>
      </c>
      <c r="I421" s="13"/>
    </row>
    <row r="422" spans="1:9" ht="15" x14ac:dyDescent="0.15">
      <c r="A422" s="11" t="s">
        <v>40</v>
      </c>
      <c r="B422" s="12" t="str">
        <f>Catalog!$E$261</f>
        <v>lootTap9</v>
      </c>
      <c r="C422" s="20">
        <f>Catalog!$W$261</f>
        <v>0</v>
      </c>
      <c r="D422" s="20" t="str">
        <f>Catalog!$X$261</f>
        <v>unearned</v>
      </c>
      <c r="E422" s="19" t="s">
        <v>23</v>
      </c>
      <c r="F422" s="20" t="str">
        <f>Catalog!$AB$261</f>
        <v>Papagena</v>
      </c>
      <c r="G422" s="15" t="s">
        <v>12</v>
      </c>
      <c r="I422" s="13"/>
    </row>
    <row r="423" spans="1:9" ht="15" x14ac:dyDescent="0.15">
      <c r="A423" s="11" t="s">
        <v>40</v>
      </c>
      <c r="B423" s="12" t="str">
        <f>Catalog!$E$261</f>
        <v>lootTap9</v>
      </c>
      <c r="C423" s="20">
        <f>Catalog!$W$261</f>
        <v>0</v>
      </c>
      <c r="D423" s="20" t="str">
        <f>Catalog!$X$261</f>
        <v>unearned</v>
      </c>
      <c r="E423" s="19" t="s">
        <v>25</v>
      </c>
      <c r="F423" s="20" t="str">
        <f>Catalog!$AD$261</f>
        <v>Find the tap point at the Illumination Land Marquee!</v>
      </c>
      <c r="G423" s="15" t="s">
        <v>12</v>
      </c>
      <c r="I423" s="13"/>
    </row>
    <row r="424" spans="1:9" ht="15" x14ac:dyDescent="0.15">
      <c r="A424" s="11" t="s">
        <v>40</v>
      </c>
      <c r="B424" s="12" t="str">
        <f>Catalog!$E$261</f>
        <v>lootTap9</v>
      </c>
      <c r="C424" s="20">
        <f>Catalog!$W$261</f>
        <v>0</v>
      </c>
      <c r="D424" s="20" t="str">
        <f>Catalog!$X$261</f>
        <v>unearned</v>
      </c>
      <c r="E424" s="19" t="s">
        <v>34</v>
      </c>
      <c r="F424" s="20" t="str">
        <f>Catalog!$AE$261</f>
        <v>2,000 points</v>
      </c>
      <c r="G424" s="15" t="s">
        <v>12</v>
      </c>
      <c r="I424" s="13"/>
    </row>
    <row r="425" spans="1:9" ht="15" x14ac:dyDescent="0.15">
      <c r="A425" s="11" t="s">
        <v>40</v>
      </c>
      <c r="B425" s="12" t="str">
        <f>Catalog!$E$261</f>
        <v>lootTap9</v>
      </c>
      <c r="C425" s="20">
        <f>Catalog!$BD$261</f>
        <v>2</v>
      </c>
      <c r="D425" s="20" t="str">
        <f>Catalog!$BE$261</f>
        <v>earned</v>
      </c>
      <c r="E425" s="19" t="s">
        <v>25</v>
      </c>
      <c r="F425" s="20" t="str">
        <f>Catalog!$BL$261</f>
        <v>You found Papagena by the Illumination Land Marquee!</v>
      </c>
      <c r="G425" s="15" t="s">
        <v>12</v>
      </c>
      <c r="I425" s="13"/>
    </row>
    <row r="426" spans="1:9" ht="15" x14ac:dyDescent="0.15">
      <c r="A426" s="11" t="s">
        <v>40</v>
      </c>
      <c r="B426" s="12" t="str">
        <f>Catalog!$E$263</f>
        <v>lootTap10</v>
      </c>
      <c r="C426" s="20">
        <f>Catalog!$W$263</f>
        <v>0</v>
      </c>
      <c r="D426" s="20" t="str">
        <f>Catalog!$X$263</f>
        <v>unearned</v>
      </c>
      <c r="E426" s="19" t="s">
        <v>23</v>
      </c>
      <c r="F426" s="20" t="str">
        <f>Catalog!$AB$263</f>
        <v>Stuart's Ukelele</v>
      </c>
      <c r="G426" s="15" t="s">
        <v>12</v>
      </c>
      <c r="I426" s="13"/>
    </row>
    <row r="427" spans="1:9" ht="15" x14ac:dyDescent="0.15">
      <c r="A427" s="11" t="s">
        <v>40</v>
      </c>
      <c r="B427" s="12" t="str">
        <f>Catalog!$E$263</f>
        <v>lootTap10</v>
      </c>
      <c r="C427" s="20">
        <f>Catalog!$W$263</f>
        <v>0</v>
      </c>
      <c r="D427" s="20" t="str">
        <f>Catalog!$X$263</f>
        <v>unearned</v>
      </c>
      <c r="E427" s="19" t="s">
        <v>25</v>
      </c>
      <c r="F427" s="20" t="str">
        <f>Catalog!$AD$263</f>
        <v>Find the tap point by a certain Hollywood rockit!</v>
      </c>
      <c r="G427" s="15" t="s">
        <v>12</v>
      </c>
      <c r="I427" s="13"/>
    </row>
    <row r="428" spans="1:9" ht="15" x14ac:dyDescent="0.15">
      <c r="A428" s="11" t="s">
        <v>40</v>
      </c>
      <c r="B428" s="12" t="str">
        <f>Catalog!$E$263</f>
        <v>lootTap10</v>
      </c>
      <c r="C428" s="20">
        <f>Catalog!$W$263</f>
        <v>0</v>
      </c>
      <c r="D428" s="20" t="str">
        <f>Catalog!$X$263</f>
        <v>unearned</v>
      </c>
      <c r="E428" s="19" t="s">
        <v>34</v>
      </c>
      <c r="F428" s="20" t="str">
        <f>Catalog!$AE$263</f>
        <v>2,000 points</v>
      </c>
      <c r="G428" s="15" t="s">
        <v>12</v>
      </c>
      <c r="I428" s="13"/>
    </row>
    <row r="429" spans="1:9" ht="15" x14ac:dyDescent="0.15">
      <c r="A429" s="11" t="s">
        <v>40</v>
      </c>
      <c r="B429" s="12" t="str">
        <f>Catalog!$E$263</f>
        <v>lootTap10</v>
      </c>
      <c r="C429" s="20">
        <f>Catalog!$BD$263</f>
        <v>2</v>
      </c>
      <c r="D429" s="20" t="str">
        <f>Catalog!$BE$263</f>
        <v>earned</v>
      </c>
      <c r="E429" s="19" t="s">
        <v>25</v>
      </c>
      <c r="F429" s="20" t="str">
        <f>Catalog!$BL$263</f>
        <v>You found Stuart's Ukulele. Get ready to rock!</v>
      </c>
      <c r="G429" s="15" t="s">
        <v>12</v>
      </c>
      <c r="I429" s="13"/>
    </row>
    <row r="430" spans="1:9" ht="15" x14ac:dyDescent="0.15">
      <c r="A430" s="11" t="s">
        <v>40</v>
      </c>
      <c r="B430" s="12" t="str">
        <f>Catalog!$E$267</f>
        <v>lootTap12</v>
      </c>
      <c r="C430" s="20">
        <f>Catalog!$W$267</f>
        <v>0</v>
      </c>
      <c r="D430" s="20" t="str">
        <f>Catalog!$X$267</f>
        <v>unearned</v>
      </c>
      <c r="E430" s="19" t="s">
        <v>23</v>
      </c>
      <c r="F430" s="20" t="str">
        <f>Catalog!$AB$267</f>
        <v>Gru's Wig</v>
      </c>
      <c r="G430" s="15" t="s">
        <v>12</v>
      </c>
      <c r="I430" s="13"/>
    </row>
    <row r="431" spans="1:9" ht="15" x14ac:dyDescent="0.15">
      <c r="A431" s="11" t="s">
        <v>40</v>
      </c>
      <c r="B431" s="12" t="str">
        <f>Catalog!$E$267</f>
        <v>lootTap12</v>
      </c>
      <c r="C431" s="20">
        <f>Catalog!$W$267</f>
        <v>0</v>
      </c>
      <c r="D431" s="20" t="str">
        <f>Catalog!$X$267</f>
        <v>unearned</v>
      </c>
      <c r="E431" s="19" t="s">
        <v>25</v>
      </c>
      <c r="F431" s="20" t="str">
        <f>Catalog!$AD$267</f>
        <v>I heard (character TBD) knows where to find this.</v>
      </c>
      <c r="G431" s="15" t="s">
        <v>28</v>
      </c>
      <c r="I431" s="13"/>
    </row>
    <row r="432" spans="1:9" ht="15" x14ac:dyDescent="0.15">
      <c r="A432" s="11" t="s">
        <v>40</v>
      </c>
      <c r="B432" s="12" t="str">
        <f>Catalog!$E$267</f>
        <v>lootTap12</v>
      </c>
      <c r="C432" s="20">
        <f>Catalog!$W$267</f>
        <v>0</v>
      </c>
      <c r="D432" s="20" t="str">
        <f>Catalog!$X$267</f>
        <v>unearned</v>
      </c>
      <c r="E432" s="19" t="s">
        <v>34</v>
      </c>
      <c r="F432" s="20" t="str">
        <f>Catalog!$AE$267</f>
        <v>2,000 points</v>
      </c>
      <c r="G432" s="15" t="s">
        <v>12</v>
      </c>
      <c r="I432" s="13"/>
    </row>
    <row r="433" spans="1:9" ht="28" x14ac:dyDescent="0.15">
      <c r="A433" s="11" t="s">
        <v>40</v>
      </c>
      <c r="B433" s="12" t="str">
        <f>Catalog!$E$267</f>
        <v>lootTap12</v>
      </c>
      <c r="C433" s="20">
        <f>Catalog!$BD$267</f>
        <v>2</v>
      </c>
      <c r="D433" s="20" t="str">
        <f>Catalog!$BE$267</f>
        <v>earned</v>
      </c>
      <c r="E433" s="19" t="s">
        <v>25</v>
      </c>
      <c r="F433" s="20" t="str">
        <f>Catalog!$BL$267</f>
        <v>You found Gru's Wig from Eagle San! Very stylish, not at all fake.</v>
      </c>
      <c r="G433" s="15" t="s">
        <v>12</v>
      </c>
      <c r="I433" s="13"/>
    </row>
    <row r="434" spans="1:9" ht="15" x14ac:dyDescent="0.15">
      <c r="A434" s="11" t="s">
        <v>41</v>
      </c>
      <c r="B434" s="12" t="str">
        <f>Catalog!$E$316</f>
        <v>lootBeeDoh</v>
      </c>
      <c r="C434" s="20">
        <f>Catalog!$W$316</f>
        <v>0</v>
      </c>
      <c r="D434" s="20" t="str">
        <f>Catalog!$X$316</f>
        <v>unearned</v>
      </c>
      <c r="E434" s="19" t="s">
        <v>23</v>
      </c>
      <c r="F434" s="20" t="str">
        <f>Catalog!$AB$316</f>
        <v>Bee-Doh Megaphone</v>
      </c>
      <c r="G434" s="15" t="s">
        <v>12</v>
      </c>
      <c r="I434" s="13"/>
    </row>
    <row r="435" spans="1:9" ht="28" x14ac:dyDescent="0.15">
      <c r="A435" s="11" t="s">
        <v>41</v>
      </c>
      <c r="B435" s="12" t="str">
        <f>Catalog!$E$316</f>
        <v>lootBeeDoh</v>
      </c>
      <c r="C435" s="20">
        <f>Catalog!$W$316</f>
        <v>0</v>
      </c>
      <c r="D435" s="20" t="str">
        <f>Catalog!$X$316</f>
        <v>unearned</v>
      </c>
      <c r="E435" s="19" t="s">
        <v>25</v>
      </c>
      <c r="F435" s="20" t="str">
        <f>Catalog!$AD$316</f>
        <v>A megaphone is useful when you're flying above the competition!</v>
      </c>
      <c r="G435" s="15" t="s">
        <v>12</v>
      </c>
      <c r="H435" s="13" t="s">
        <v>42</v>
      </c>
      <c r="I435" s="13"/>
    </row>
    <row r="436" spans="1:9" ht="15" x14ac:dyDescent="0.15">
      <c r="A436" s="11" t="s">
        <v>41</v>
      </c>
      <c r="B436" s="12" t="str">
        <f>Catalog!$E$316</f>
        <v>lootBeeDoh</v>
      </c>
      <c r="C436" s="20">
        <f>Catalog!$W$316</f>
        <v>0</v>
      </c>
      <c r="D436" s="20" t="str">
        <f>Catalog!$X$316</f>
        <v>unearned</v>
      </c>
      <c r="E436" s="19" t="s">
        <v>34</v>
      </c>
      <c r="F436" s="20" t="str">
        <f>Catalog!$AE$316</f>
        <v>100 points</v>
      </c>
      <c r="G436" s="15" t="s">
        <v>12</v>
      </c>
      <c r="H436" s="13"/>
      <c r="I436" s="13"/>
    </row>
    <row r="437" spans="1:9" ht="15" x14ac:dyDescent="0.15">
      <c r="A437" s="11" t="s">
        <v>41</v>
      </c>
      <c r="B437" s="12" t="str">
        <f>Catalog!$E$316</f>
        <v>lootBeeDoh</v>
      </c>
      <c r="C437" s="20">
        <f>Catalog!$BD$316</f>
        <v>2</v>
      </c>
      <c r="D437" s="20" t="str">
        <f>Catalog!$BE$316</f>
        <v>earned</v>
      </c>
      <c r="E437" s="19" t="s">
        <v>25</v>
      </c>
      <c r="F437" s="20" t="str">
        <f>Catalog!$BL$316</f>
        <v>BEE DOH BEE DOH BEE DOH</v>
      </c>
      <c r="G437" s="15" t="s">
        <v>12</v>
      </c>
      <c r="H437" s="13"/>
      <c r="I437" s="13"/>
    </row>
    <row r="438" spans="1:9" ht="15" x14ac:dyDescent="0.15">
      <c r="A438" s="11" t="s">
        <v>41</v>
      </c>
      <c r="B438" s="12" t="str">
        <f>Catalog!$E$306</f>
        <v>lootBigBenSnowglobe</v>
      </c>
      <c r="C438" s="20">
        <f>Catalog!$W$306</f>
        <v>0</v>
      </c>
      <c r="D438" s="20" t="str">
        <f>Catalog!$X$306</f>
        <v>unearned</v>
      </c>
      <c r="E438" s="19" t="s">
        <v>23</v>
      </c>
      <c r="F438" s="20" t="str">
        <f>Catalog!$AB$306</f>
        <v>Big Ben Snowglobe</v>
      </c>
      <c r="G438" s="15" t="s">
        <v>12</v>
      </c>
      <c r="H438" s="13"/>
      <c r="I438" s="13"/>
    </row>
    <row r="439" spans="1:9" ht="28" x14ac:dyDescent="0.15">
      <c r="A439" s="11" t="s">
        <v>41</v>
      </c>
      <c r="B439" s="12" t="str">
        <f>Catalog!$E$306</f>
        <v>lootBigBenSnowglobe</v>
      </c>
      <c r="C439" s="20">
        <f>Catalog!$W$306</f>
        <v>0</v>
      </c>
      <c r="D439" s="20" t="str">
        <f>Catalog!$X$306</f>
        <v>unearned</v>
      </c>
      <c r="E439" s="19" t="s">
        <v>25</v>
      </c>
      <c r="F439" s="20" t="str">
        <f>Catalog!$AD$306</f>
        <v>This one's artfully hidden.</v>
      </c>
      <c r="G439" s="15" t="s">
        <v>12</v>
      </c>
      <c r="H439" s="13" t="s">
        <v>43</v>
      </c>
      <c r="I439" s="13"/>
    </row>
    <row r="440" spans="1:9" ht="15" x14ac:dyDescent="0.15">
      <c r="A440" s="11" t="s">
        <v>41</v>
      </c>
      <c r="B440" s="12" t="str">
        <f>Catalog!$E$306</f>
        <v>lootBigBenSnowglobe</v>
      </c>
      <c r="C440" s="20">
        <f>Catalog!$W$306</f>
        <v>0</v>
      </c>
      <c r="D440" s="20" t="str">
        <f>Catalog!$X$306</f>
        <v>unearned</v>
      </c>
      <c r="E440" s="19" t="s">
        <v>34</v>
      </c>
      <c r="F440" s="20" t="str">
        <f>Catalog!$AE$306</f>
        <v>100 points</v>
      </c>
      <c r="G440" s="15" t="s">
        <v>12</v>
      </c>
      <c r="H440" s="13"/>
      <c r="I440" s="13"/>
    </row>
    <row r="441" spans="1:9" ht="28" x14ac:dyDescent="0.15">
      <c r="A441" s="11" t="s">
        <v>41</v>
      </c>
      <c r="B441" s="12" t="str">
        <f>Catalog!$E$306</f>
        <v>lootBigBenSnowglobe</v>
      </c>
      <c r="C441" s="20">
        <f>Catalog!$BD$306</f>
        <v>2</v>
      </c>
      <c r="D441" s="20" t="str">
        <f>Catalog!$BE$306</f>
        <v>earned</v>
      </c>
      <c r="E441" s="19" t="s">
        <v>25</v>
      </c>
      <c r="F441" s="20" t="str">
        <f>Catalog!$BL$306</f>
        <v>You found Stuart's Big Ben Snowglobe. Get ready for HOURS of excitement!</v>
      </c>
      <c r="G441" s="15" t="s">
        <v>12</v>
      </c>
      <c r="H441" s="13"/>
      <c r="I441" s="13"/>
    </row>
    <row r="442" spans="1:9" ht="15" x14ac:dyDescent="0.15">
      <c r="A442" s="11" t="s">
        <v>41</v>
      </c>
      <c r="B442" s="12" t="str">
        <f>Catalog!E274</f>
        <v>lootBoogieRobot</v>
      </c>
      <c r="C442" s="20">
        <f>Catalog!W274</f>
        <v>0</v>
      </c>
      <c r="D442" s="20" t="str">
        <f>Catalog!X274</f>
        <v>unearned</v>
      </c>
      <c r="E442" s="19" t="s">
        <v>23</v>
      </c>
      <c r="F442" s="19" t="str">
        <f>Catalog!AB274</f>
        <v>Boogie Robot</v>
      </c>
      <c r="G442" s="15" t="s">
        <v>12</v>
      </c>
      <c r="I442" s="13"/>
    </row>
    <row r="443" spans="1:9" ht="28" x14ac:dyDescent="0.15">
      <c r="A443" s="11" t="s">
        <v>41</v>
      </c>
      <c r="B443" s="12" t="str">
        <f>Catalog!E274</f>
        <v>lootBoogieRobot</v>
      </c>
      <c r="C443" s="20">
        <f>Catalog!W274</f>
        <v>0</v>
      </c>
      <c r="D443" s="20" t="str">
        <f>Catalog!X274</f>
        <v>unearned</v>
      </c>
      <c r="E443" s="19" t="s">
        <v>25</v>
      </c>
      <c r="F443" s="19" t="str">
        <f>Catalog!AD274</f>
        <v>These sneaky robots like to hide out at the disco!</v>
      </c>
      <c r="G443" s="15" t="s">
        <v>12</v>
      </c>
      <c r="H443" s="13" t="s">
        <v>44</v>
      </c>
      <c r="I443" s="13"/>
    </row>
    <row r="444" spans="1:9" ht="15" x14ac:dyDescent="0.15">
      <c r="A444" s="11" t="s">
        <v>41</v>
      </c>
      <c r="B444" s="12" t="str">
        <f>Catalog!E274</f>
        <v>lootBoogieRobot</v>
      </c>
      <c r="C444" s="20">
        <f>Catalog!W274</f>
        <v>0</v>
      </c>
      <c r="D444" s="20" t="str">
        <f>Catalog!X274</f>
        <v>unearned</v>
      </c>
      <c r="E444" s="19" t="s">
        <v>34</v>
      </c>
      <c r="F444" s="20" t="str">
        <f>Catalog!AE274</f>
        <v>100 points</v>
      </c>
      <c r="G444" s="15" t="s">
        <v>12</v>
      </c>
      <c r="H444" s="13"/>
      <c r="I444" s="13"/>
    </row>
    <row r="445" spans="1:9" ht="28" x14ac:dyDescent="0.15">
      <c r="A445" s="11" t="s">
        <v>41</v>
      </c>
      <c r="B445" s="12" t="str">
        <f>Catalog!E274</f>
        <v>lootBoogieRobot</v>
      </c>
      <c r="C445" s="20">
        <f>Catalog!BD274</f>
        <v>2</v>
      </c>
      <c r="D445" s="20" t="str">
        <f>Catalog!BE274</f>
        <v>earned</v>
      </c>
      <c r="E445" s="19" t="s">
        <v>25</v>
      </c>
      <c r="F445" s="19" t="str">
        <f>Catalog!BL274</f>
        <v>You found a boogie robot! These guys can do all kinds of dances (not just the robot!)</v>
      </c>
      <c r="G445" s="15" t="s">
        <v>12</v>
      </c>
      <c r="H445" s="13"/>
      <c r="I445" s="13"/>
    </row>
    <row r="446" spans="1:9" ht="15" x14ac:dyDescent="0.15">
      <c r="A446" s="11" t="s">
        <v>41</v>
      </c>
      <c r="B446" s="12" t="str">
        <f>Catalog!$E$301</f>
        <v>lootBubbleGum</v>
      </c>
      <c r="C446" s="20">
        <f>Catalog!$W$301</f>
        <v>0</v>
      </c>
      <c r="D446" s="20" t="str">
        <f>Catalog!$X$301</f>
        <v>unearned</v>
      </c>
      <c r="E446" s="19" t="s">
        <v>23</v>
      </c>
      <c r="F446" s="20" t="str">
        <f>Catalog!$AB$301</f>
        <v>Bratt’s TroubleGum</v>
      </c>
      <c r="G446" s="15" t="s">
        <v>12</v>
      </c>
      <c r="H446" s="13"/>
      <c r="I446" s="13"/>
    </row>
    <row r="447" spans="1:9" ht="42" x14ac:dyDescent="0.15">
      <c r="A447" s="11" t="s">
        <v>41</v>
      </c>
      <c r="B447" s="12" t="str">
        <f>Catalog!$E$301</f>
        <v>lootBubbleGum</v>
      </c>
      <c r="C447" s="20">
        <f>Catalog!$W$301</f>
        <v>0</v>
      </c>
      <c r="D447" s="20" t="str">
        <f>Catalog!$X$301</f>
        <v>unearned</v>
      </c>
      <c r="E447" s="19" t="s">
        <v>25</v>
      </c>
      <c r="F447" s="20" t="str">
        <f>Catalog!$AD$301</f>
        <v xml:space="preserve">Bratt's Trouble Gum is hidden in plain sight…. with a bunch of other sweet treats! </v>
      </c>
      <c r="G447" s="15" t="s">
        <v>14</v>
      </c>
      <c r="H447" s="34" t="s">
        <v>45</v>
      </c>
      <c r="I447" s="13"/>
    </row>
    <row r="448" spans="1:9" ht="15" x14ac:dyDescent="0.15">
      <c r="A448" s="11" t="s">
        <v>41</v>
      </c>
      <c r="B448" s="12" t="str">
        <f>Catalog!$E$301</f>
        <v>lootBubbleGum</v>
      </c>
      <c r="C448" s="20">
        <f>Catalog!$W$301</f>
        <v>0</v>
      </c>
      <c r="D448" s="20" t="str">
        <f>Catalog!$X$301</f>
        <v>unearned</v>
      </c>
      <c r="E448" s="19" t="s">
        <v>34</v>
      </c>
      <c r="F448" s="20" t="str">
        <f>Catalog!$AE$301</f>
        <v>100 points</v>
      </c>
      <c r="G448" s="15" t="s">
        <v>12</v>
      </c>
      <c r="H448" s="13"/>
      <c r="I448" s="13"/>
    </row>
    <row r="449" spans="1:9" ht="15" x14ac:dyDescent="0.15">
      <c r="A449" s="11" t="s">
        <v>41</v>
      </c>
      <c r="B449" s="12" t="str">
        <f>Catalog!$E$301</f>
        <v>lootBubbleGum</v>
      </c>
      <c r="C449" s="20">
        <f>Catalog!$BD$301</f>
        <v>2</v>
      </c>
      <c r="D449" s="20" t="str">
        <f>Catalog!$BE$301</f>
        <v>earned</v>
      </c>
      <c r="E449" s="19" t="s">
        <v>25</v>
      </c>
      <c r="F449" s="20" t="str">
        <f>Catalog!$BL$301</f>
        <v>You found Bratt's TroubleGum! Way to not blow it!</v>
      </c>
      <c r="G449" s="15" t="s">
        <v>12</v>
      </c>
      <c r="H449" s="13"/>
      <c r="I449" s="13"/>
    </row>
    <row r="450" spans="1:9" ht="15" x14ac:dyDescent="0.15">
      <c r="A450" s="11" t="s">
        <v>41</v>
      </c>
      <c r="B450" s="12" t="str">
        <f>Catalog!$E$291</f>
        <v>lootCoconutties</v>
      </c>
      <c r="C450" s="19">
        <v>0</v>
      </c>
      <c r="D450" s="19" t="s">
        <v>37</v>
      </c>
      <c r="E450" s="19" t="s">
        <v>23</v>
      </c>
      <c r="F450" s="20" t="str">
        <f>Catalog!$AB$291</f>
        <v>Coconutties</v>
      </c>
      <c r="G450" s="15" t="s">
        <v>12</v>
      </c>
      <c r="H450" s="13"/>
      <c r="I450" s="13"/>
    </row>
    <row r="451" spans="1:9" ht="15" x14ac:dyDescent="0.15">
      <c r="A451" s="11" t="s">
        <v>41</v>
      </c>
      <c r="B451" s="12" t="str">
        <f>Catalog!$E$291</f>
        <v>lootCoconutties</v>
      </c>
      <c r="C451" s="19">
        <v>0</v>
      </c>
      <c r="D451" s="19" t="s">
        <v>37</v>
      </c>
      <c r="E451" s="19" t="s">
        <v>25</v>
      </c>
      <c r="F451" s="20" t="str">
        <f>Catalog!$AD$291</f>
        <v>Look, sometimes Jumbotron operators get hungry, alright?</v>
      </c>
      <c r="G451" s="15" t="s">
        <v>12</v>
      </c>
      <c r="H451" s="13" t="s">
        <v>46</v>
      </c>
      <c r="I451" s="13"/>
    </row>
    <row r="452" spans="1:9" ht="15" x14ac:dyDescent="0.15">
      <c r="A452" s="11" t="s">
        <v>41</v>
      </c>
      <c r="B452" s="12" t="str">
        <f>Catalog!$E$291</f>
        <v>lootCoconutties</v>
      </c>
      <c r="C452" s="19">
        <v>0</v>
      </c>
      <c r="D452" s="19" t="s">
        <v>37</v>
      </c>
      <c r="E452" s="19" t="s">
        <v>34</v>
      </c>
      <c r="F452" s="20" t="str">
        <f>Catalog!$AE$291</f>
        <v>100 points</v>
      </c>
      <c r="G452" s="15" t="s">
        <v>12</v>
      </c>
      <c r="H452" s="13"/>
      <c r="I452" s="13"/>
    </row>
    <row r="453" spans="1:9" ht="28" x14ac:dyDescent="0.15">
      <c r="A453" s="11" t="s">
        <v>41</v>
      </c>
      <c r="B453" s="12" t="str">
        <f>Catalog!$E$291</f>
        <v>lootCoconutties</v>
      </c>
      <c r="C453" s="19">
        <v>2</v>
      </c>
      <c r="D453" s="19" t="s">
        <v>38</v>
      </c>
      <c r="E453" s="19" t="s">
        <v>25</v>
      </c>
      <c r="F453" s="20" t="str">
        <f>Catalog!$BL$291</f>
        <v>Coconutties are hands-down the best cookies and ANYONE WHO SAYS OTHERWISE IS WRONG</v>
      </c>
      <c r="G453" s="15" t="s">
        <v>12</v>
      </c>
      <c r="H453" s="13"/>
      <c r="I453" s="13"/>
    </row>
    <row r="454" spans="1:9" ht="15" x14ac:dyDescent="0.15">
      <c r="A454" s="11" t="s">
        <v>41</v>
      </c>
      <c r="B454" s="12" t="str">
        <f>Catalog!E273</f>
        <v>lootCookieRobot</v>
      </c>
      <c r="C454" s="20">
        <f>Catalog!W273</f>
        <v>0</v>
      </c>
      <c r="D454" s="20" t="str">
        <f>Catalog!X273</f>
        <v>unearned</v>
      </c>
      <c r="E454" s="19" t="s">
        <v>23</v>
      </c>
      <c r="F454" s="19" t="str">
        <f>Catalog!AB273</f>
        <v>Cookie Robot</v>
      </c>
      <c r="G454" s="15" t="s">
        <v>12</v>
      </c>
      <c r="H454" s="13"/>
      <c r="I454" s="13"/>
    </row>
    <row r="455" spans="1:9" ht="15" x14ac:dyDescent="0.15">
      <c r="A455" s="11" t="s">
        <v>41</v>
      </c>
      <c r="B455" s="12" t="str">
        <f>Catalog!E273</f>
        <v>lootCookieRobot</v>
      </c>
      <c r="C455" s="20">
        <f>Catalog!W273</f>
        <v>0</v>
      </c>
      <c r="D455" s="20" t="str">
        <f>Catalog!X273</f>
        <v>unearned</v>
      </c>
      <c r="E455" s="19" t="s">
        <v>25</v>
      </c>
      <c r="F455" s="19" t="str">
        <f>Catalog!AD273</f>
        <v>The cookie robots like to hover above the competition!</v>
      </c>
      <c r="G455" s="15" t="s">
        <v>28</v>
      </c>
      <c r="H455" s="13" t="s">
        <v>47</v>
      </c>
      <c r="I455" s="13"/>
    </row>
    <row r="456" spans="1:9" ht="15" x14ac:dyDescent="0.15">
      <c r="A456" s="11" t="s">
        <v>41</v>
      </c>
      <c r="B456" s="12" t="str">
        <f>Catalog!E273</f>
        <v>lootCookieRobot</v>
      </c>
      <c r="C456" s="20">
        <f>Catalog!W273</f>
        <v>0</v>
      </c>
      <c r="D456" s="20" t="str">
        <f>Catalog!X273</f>
        <v>unearned</v>
      </c>
      <c r="E456" s="19" t="s">
        <v>34</v>
      </c>
      <c r="F456" s="20" t="str">
        <f>Catalog!AE273</f>
        <v>100 points</v>
      </c>
      <c r="G456" s="15" t="s">
        <v>12</v>
      </c>
      <c r="H456" s="13"/>
      <c r="I456" s="13"/>
    </row>
    <row r="457" spans="1:9" ht="28" x14ac:dyDescent="0.15">
      <c r="A457" s="11" t="s">
        <v>41</v>
      </c>
      <c r="B457" s="12" t="str">
        <f>Catalog!E273</f>
        <v>lootCookieRobot</v>
      </c>
      <c r="C457" s="20">
        <f>Catalog!BD273</f>
        <v>2</v>
      </c>
      <c r="D457" s="20" t="str">
        <f>Catalog!BE273</f>
        <v>earned</v>
      </c>
      <c r="E457" s="19" t="s">
        <v>25</v>
      </c>
      <c r="F457" s="19" t="str">
        <f>Catalog!BL273</f>
        <v>You found a cookie robot! Not as tasty as chocolate chip, but much more useful!</v>
      </c>
      <c r="G457" s="15" t="s">
        <v>12</v>
      </c>
      <c r="H457" s="13"/>
      <c r="I457" s="13"/>
    </row>
    <row r="458" spans="1:9" ht="15" x14ac:dyDescent="0.15">
      <c r="A458" s="11" t="s">
        <v>41</v>
      </c>
      <c r="B458" s="12" t="str">
        <f>Catalog!$E$326</f>
        <v>lootDrusScarf</v>
      </c>
      <c r="C458" s="19">
        <v>0</v>
      </c>
      <c r="D458" s="19" t="s">
        <v>37</v>
      </c>
      <c r="E458" s="19" t="s">
        <v>23</v>
      </c>
      <c r="F458" s="20" t="str">
        <f>Catalog!AB326</f>
        <v>Dru's Scarf</v>
      </c>
      <c r="G458" s="15" t="s">
        <v>12</v>
      </c>
      <c r="H458" s="13"/>
      <c r="I458" s="13"/>
    </row>
    <row r="459" spans="1:9" ht="28" x14ac:dyDescent="0.15">
      <c r="A459" s="11" t="s">
        <v>41</v>
      </c>
      <c r="B459" s="12" t="str">
        <f>Catalog!$E$326</f>
        <v>lootDrusScarf</v>
      </c>
      <c r="C459" s="19">
        <v>0</v>
      </c>
      <c r="D459" s="19" t="s">
        <v>37</v>
      </c>
      <c r="E459" s="19" t="s">
        <v>25</v>
      </c>
      <c r="F459" s="20" t="str">
        <f>Catalog!AD326</f>
        <v>If you're lucky, you'll find Dru's scarf in storage.</v>
      </c>
      <c r="G459" s="15" t="s">
        <v>12</v>
      </c>
      <c r="H459" s="13" t="s">
        <v>48</v>
      </c>
      <c r="I459" s="13"/>
    </row>
    <row r="460" spans="1:9" ht="15" x14ac:dyDescent="0.15">
      <c r="A460" s="11" t="s">
        <v>41</v>
      </c>
      <c r="B460" s="12" t="str">
        <f>Catalog!$E$326</f>
        <v>lootDrusScarf</v>
      </c>
      <c r="C460" s="19">
        <v>0</v>
      </c>
      <c r="D460" s="19" t="s">
        <v>37</v>
      </c>
      <c r="E460" s="19" t="s">
        <v>34</v>
      </c>
      <c r="F460" s="20" t="str">
        <f>Catalog!AE326</f>
        <v>100 points</v>
      </c>
      <c r="G460" s="15" t="s">
        <v>12</v>
      </c>
      <c r="H460" s="13"/>
      <c r="I460" s="13"/>
    </row>
    <row r="461" spans="1:9" ht="15" x14ac:dyDescent="0.15">
      <c r="A461" s="11" t="s">
        <v>41</v>
      </c>
      <c r="B461" s="12" t="str">
        <f>Catalog!$E$326</f>
        <v>lootDrusScarf</v>
      </c>
      <c r="C461" s="19">
        <v>2</v>
      </c>
      <c r="D461" s="19" t="s">
        <v>38</v>
      </c>
      <c r="E461" s="19" t="s">
        <v>25</v>
      </c>
      <c r="F461" s="20" t="str">
        <f>Catalog!BL326</f>
        <v>You found Dru's scarf! Such flair goes with such hair.</v>
      </c>
      <c r="G461" s="15" t="s">
        <v>12</v>
      </c>
      <c r="H461" s="13"/>
      <c r="I461" s="13"/>
    </row>
    <row r="462" spans="1:9" ht="15" x14ac:dyDescent="0.15">
      <c r="A462" s="11" t="s">
        <v>41</v>
      </c>
      <c r="B462" s="12" t="str">
        <f>Catalog!$E$302</f>
        <v>lootElMachoMask</v>
      </c>
      <c r="C462" s="20">
        <f>Catalog!$W$302</f>
        <v>0</v>
      </c>
      <c r="D462" s="20" t="str">
        <f>Catalog!$X$302</f>
        <v>unearned</v>
      </c>
      <c r="E462" s="19" t="s">
        <v>23</v>
      </c>
      <c r="F462" s="20" t="str">
        <f>Catalog!$AB$302</f>
        <v>El Macho's Luchador Mask</v>
      </c>
      <c r="G462" s="15" t="s">
        <v>12</v>
      </c>
      <c r="H462" s="13"/>
      <c r="I462" s="13"/>
    </row>
    <row r="463" spans="1:9" ht="15" x14ac:dyDescent="0.15">
      <c r="A463" s="11" t="s">
        <v>41</v>
      </c>
      <c r="B463" s="12" t="str">
        <f>Catalog!$E$302</f>
        <v>lootElMachoMask</v>
      </c>
      <c r="C463" s="20">
        <f>Catalog!$W$302</f>
        <v>0</v>
      </c>
      <c r="D463" s="20" t="str">
        <f>Catalog!$X$302</f>
        <v>unearned</v>
      </c>
      <c r="E463" s="19" t="s">
        <v>25</v>
      </c>
      <c r="F463" s="20" t="str">
        <f>Catalog!$AD$302</f>
        <v>The mask is universally feared.</v>
      </c>
      <c r="G463" s="15" t="s">
        <v>12</v>
      </c>
      <c r="H463" s="13" t="s">
        <v>49</v>
      </c>
      <c r="I463" s="13"/>
    </row>
    <row r="464" spans="1:9" ht="15" x14ac:dyDescent="0.15">
      <c r="A464" s="11" t="s">
        <v>41</v>
      </c>
      <c r="B464" s="12" t="str">
        <f>Catalog!$E$302</f>
        <v>lootElMachoMask</v>
      </c>
      <c r="C464" s="20">
        <f>Catalog!$W$302</f>
        <v>0</v>
      </c>
      <c r="D464" s="20" t="str">
        <f>Catalog!$X$302</f>
        <v>unearned</v>
      </c>
      <c r="E464" s="19" t="s">
        <v>34</v>
      </c>
      <c r="F464" s="20" t="str">
        <f>Catalog!$AE$302</f>
        <v>100 points</v>
      </c>
      <c r="G464" s="15" t="s">
        <v>12</v>
      </c>
      <c r="H464" s="13"/>
      <c r="I464" s="13"/>
    </row>
    <row r="465" spans="1:9" ht="15" x14ac:dyDescent="0.15">
      <c r="A465" s="11" t="s">
        <v>41</v>
      </c>
      <c r="B465" s="12" t="str">
        <f>Catalog!$E$302</f>
        <v>lootElMachoMask</v>
      </c>
      <c r="C465" s="20">
        <f>Catalog!$BD$302</f>
        <v>2</v>
      </c>
      <c r="D465" s="20" t="str">
        <f>Catalog!$BE$302</f>
        <v>earned</v>
      </c>
      <c r="E465" s="19" t="s">
        <v>25</v>
      </c>
      <c r="F465" s="20" t="str">
        <f>Catalog!$BL$302</f>
        <v>You found El Macho's mask! Mucho mystery solved!</v>
      </c>
      <c r="G465" s="15" t="s">
        <v>12</v>
      </c>
      <c r="H465" s="13"/>
      <c r="I465" s="13"/>
    </row>
    <row r="466" spans="1:9" ht="15" x14ac:dyDescent="0.15">
      <c r="A466" s="11" t="s">
        <v>41</v>
      </c>
      <c r="B466" s="12" t="str">
        <f>Catalog!$E$311</f>
        <v>lootGrusScarf</v>
      </c>
      <c r="C466" s="19">
        <v>0</v>
      </c>
      <c r="D466" s="19" t="s">
        <v>37</v>
      </c>
      <c r="E466" s="19" t="s">
        <v>23</v>
      </c>
      <c r="F466" s="20" t="str">
        <f>Catalog!AB311</f>
        <v>Gru's Scarf</v>
      </c>
      <c r="G466" s="15" t="s">
        <v>12</v>
      </c>
      <c r="H466" s="13"/>
      <c r="I466" s="13"/>
    </row>
    <row r="467" spans="1:9" ht="28" x14ac:dyDescent="0.15">
      <c r="A467" s="11" t="s">
        <v>41</v>
      </c>
      <c r="B467" s="12" t="str">
        <f>Catalog!$E$311</f>
        <v>lootGrusScarf</v>
      </c>
      <c r="C467" s="19">
        <v>0</v>
      </c>
      <c r="D467" s="19" t="s">
        <v>37</v>
      </c>
      <c r="E467" s="19" t="s">
        <v>25</v>
      </c>
      <c r="F467" s="20" t="str">
        <f>Catalog!AD311</f>
        <v>Gru's scarf is in storage, depending on the season.</v>
      </c>
      <c r="G467" s="15" t="s">
        <v>12</v>
      </c>
      <c r="H467" s="13" t="s">
        <v>50</v>
      </c>
      <c r="I467" s="13"/>
    </row>
    <row r="468" spans="1:9" ht="15" x14ac:dyDescent="0.15">
      <c r="A468" s="11" t="s">
        <v>41</v>
      </c>
      <c r="B468" s="12" t="str">
        <f>Catalog!$E$311</f>
        <v>lootGrusScarf</v>
      </c>
      <c r="C468" s="19">
        <v>0</v>
      </c>
      <c r="D468" s="19" t="s">
        <v>37</v>
      </c>
      <c r="E468" s="19" t="s">
        <v>34</v>
      </c>
      <c r="F468" s="20" t="str">
        <f>Catalog!AE311</f>
        <v>100 points</v>
      </c>
      <c r="G468" s="15" t="s">
        <v>12</v>
      </c>
      <c r="H468" s="13"/>
      <c r="I468" s="13"/>
    </row>
    <row r="469" spans="1:9" ht="28" x14ac:dyDescent="0.15">
      <c r="A469" s="11" t="s">
        <v>41</v>
      </c>
      <c r="B469" s="12" t="str">
        <f>Catalog!$E$311</f>
        <v>lootGrusScarf</v>
      </c>
      <c r="C469" s="19">
        <v>2</v>
      </c>
      <c r="D469" s="19" t="s">
        <v>38</v>
      </c>
      <c r="E469" s="19" t="s">
        <v>25</v>
      </c>
      <c r="F469" s="20" t="str">
        <f>Catalog!BL311</f>
        <v>This classy, iconic scarf goes with everything...that Gru wears.</v>
      </c>
      <c r="G469" s="15" t="s">
        <v>12</v>
      </c>
      <c r="H469" s="13"/>
      <c r="I469" s="13"/>
    </row>
    <row r="470" spans="1:9" ht="15" x14ac:dyDescent="0.15">
      <c r="A470" s="11" t="s">
        <v>41</v>
      </c>
      <c r="B470" s="18" t="str">
        <f>Catalog!E280</f>
        <v>lootHypnoHat</v>
      </c>
      <c r="C470" s="20">
        <f>Catalog!W280</f>
        <v>0</v>
      </c>
      <c r="D470" s="20" t="str">
        <f>Catalog!X280</f>
        <v>unearned</v>
      </c>
      <c r="E470" s="19" t="s">
        <v>23</v>
      </c>
      <c r="F470" s="19" t="str">
        <f>Catalog!AB280</f>
        <v>Hypno Hat</v>
      </c>
      <c r="G470" s="15" t="s">
        <v>12</v>
      </c>
      <c r="H470" s="13"/>
      <c r="I470" s="13"/>
    </row>
    <row r="471" spans="1:9" ht="28" x14ac:dyDescent="0.15">
      <c r="A471" s="11" t="s">
        <v>41</v>
      </c>
      <c r="B471" s="18" t="str">
        <f>Catalog!E280</f>
        <v>lootHypnoHat</v>
      </c>
      <c r="C471" s="20">
        <f>Catalog!W280</f>
        <v>0</v>
      </c>
      <c r="D471" s="20" t="str">
        <f>Catalog!X280</f>
        <v>unearned</v>
      </c>
      <c r="E471" s="19" t="s">
        <v>25</v>
      </c>
      <c r="F471" s="19" t="str">
        <f>Catalog!AD280</f>
        <v>This hat could hypnotize someone to do anything, even destroy a giant skeleton!</v>
      </c>
      <c r="G471" s="15" t="s">
        <v>51</v>
      </c>
      <c r="H471" s="34" t="s">
        <v>52</v>
      </c>
      <c r="I471" s="13"/>
    </row>
    <row r="472" spans="1:9" ht="15" x14ac:dyDescent="0.15">
      <c r="A472" s="11" t="s">
        <v>41</v>
      </c>
      <c r="B472" s="18" t="str">
        <f>Catalog!E280</f>
        <v>lootHypnoHat</v>
      </c>
      <c r="C472" s="20">
        <f>Catalog!W280</f>
        <v>0</v>
      </c>
      <c r="D472" s="20" t="str">
        <f>Catalog!X280</f>
        <v>unearned</v>
      </c>
      <c r="E472" s="19" t="s">
        <v>34</v>
      </c>
      <c r="F472" s="20" t="str">
        <f>Catalog!AE280</f>
        <v>100 points</v>
      </c>
      <c r="G472" s="15" t="s">
        <v>12</v>
      </c>
      <c r="H472" s="13"/>
      <c r="I472" s="13"/>
    </row>
    <row r="473" spans="1:9" ht="28" x14ac:dyDescent="0.15">
      <c r="A473" s="11" t="s">
        <v>41</v>
      </c>
      <c r="B473" s="18" t="str">
        <f>Catalog!E280</f>
        <v>lootHypnoHat</v>
      </c>
      <c r="C473" s="20">
        <f>Catalog!BD280</f>
        <v>2</v>
      </c>
      <c r="D473" s="20" t="str">
        <f>Catalog!BE280</f>
        <v>earned</v>
      </c>
      <c r="E473" s="19" t="s">
        <v>25</v>
      </c>
      <c r="F473" s="19" t="str">
        <f>Catalog!BL280</f>
        <v xml:space="preserve">The Hypno Hat can make your enemies do anything…. Even dance! </v>
      </c>
      <c r="G473" s="15" t="s">
        <v>12</v>
      </c>
      <c r="H473" s="13"/>
      <c r="I473" s="13"/>
    </row>
    <row r="474" spans="1:9" ht="15" x14ac:dyDescent="0.15">
      <c r="A474" s="11" t="s">
        <v>41</v>
      </c>
      <c r="B474" s="12" t="str">
        <f>Catalog!$E$331</f>
        <v>lootKungFuBadge</v>
      </c>
      <c r="C474" s="19">
        <v>0</v>
      </c>
      <c r="D474" s="19" t="s">
        <v>37</v>
      </c>
      <c r="E474" s="19" t="s">
        <v>23</v>
      </c>
      <c r="F474" s="19" t="str">
        <f>Catalog!AB331</f>
        <v>Jr. Kung-Fu Badge</v>
      </c>
      <c r="G474" s="15" t="s">
        <v>12</v>
      </c>
      <c r="H474" s="13"/>
      <c r="I474" s="13"/>
    </row>
    <row r="475" spans="1:9" ht="28" x14ac:dyDescent="0.15">
      <c r="A475" s="11" t="s">
        <v>41</v>
      </c>
      <c r="B475" s="12" t="str">
        <f>Catalog!$E$331</f>
        <v>lootKungFuBadge</v>
      </c>
      <c r="C475" s="19">
        <v>0</v>
      </c>
      <c r="D475" s="19" t="s">
        <v>37</v>
      </c>
      <c r="E475" s="19" t="s">
        <v>25</v>
      </c>
      <c r="F475" s="19" t="str">
        <f>Catalog!AD331</f>
        <v>They might be a little wet, but they're still a mark of progress!</v>
      </c>
      <c r="G475" s="15" t="s">
        <v>12</v>
      </c>
      <c r="H475" s="13" t="s">
        <v>53</v>
      </c>
      <c r="I475" s="13"/>
    </row>
    <row r="476" spans="1:9" ht="15" x14ac:dyDescent="0.15">
      <c r="A476" s="11" t="s">
        <v>41</v>
      </c>
      <c r="B476" s="12" t="str">
        <f>Catalog!$E$331</f>
        <v>lootKungFuBadge</v>
      </c>
      <c r="C476" s="19">
        <v>0</v>
      </c>
      <c r="D476" s="19" t="s">
        <v>37</v>
      </c>
      <c r="E476" s="19" t="s">
        <v>34</v>
      </c>
      <c r="F476" s="20" t="str">
        <f>Catalog!AE331</f>
        <v>100 points</v>
      </c>
      <c r="G476" s="15" t="s">
        <v>12</v>
      </c>
      <c r="H476" s="13"/>
      <c r="I476" s="13"/>
    </row>
    <row r="477" spans="1:9" ht="28" x14ac:dyDescent="0.15">
      <c r="A477" s="11" t="s">
        <v>41</v>
      </c>
      <c r="B477" s="12" t="str">
        <f>Catalog!$E$331</f>
        <v>lootKungFuBadge</v>
      </c>
      <c r="C477" s="19">
        <v>2</v>
      </c>
      <c r="D477" s="19" t="s">
        <v>38</v>
      </c>
      <c r="E477" s="19" t="s">
        <v>25</v>
      </c>
      <c r="F477" s="19" t="str">
        <f>Catalog!BL331</f>
        <v>A Junior Kung-Fu Badge means you're ready for Junior Battles.</v>
      </c>
      <c r="G477" s="15" t="s">
        <v>12</v>
      </c>
      <c r="H477" s="13"/>
      <c r="I477" s="13"/>
    </row>
    <row r="478" spans="1:9" ht="15" x14ac:dyDescent="0.15">
      <c r="A478" s="11" t="s">
        <v>41</v>
      </c>
      <c r="B478" s="12" t="str">
        <f>Catalog!$E$312</f>
        <v>lootManicEnergy</v>
      </c>
      <c r="C478" s="20">
        <f>Catalog!$W$312</f>
        <v>0</v>
      </c>
      <c r="D478" s="20" t="str">
        <f>Catalog!$X$312</f>
        <v>unearned</v>
      </c>
      <c r="E478" s="19" t="s">
        <v>23</v>
      </c>
      <c r="F478" s="20" t="str">
        <f>Catalog!$AB$312</f>
        <v>Manic Energy Drink</v>
      </c>
      <c r="G478" s="15" t="s">
        <v>12</v>
      </c>
      <c r="H478" s="13"/>
      <c r="I478" s="13"/>
    </row>
    <row r="479" spans="1:9" ht="15" x14ac:dyDescent="0.15">
      <c r="A479" s="11" t="s">
        <v>41</v>
      </c>
      <c r="B479" s="12" t="str">
        <f>Catalog!$E$312</f>
        <v>lootManicEnergy</v>
      </c>
      <c r="C479" s="20">
        <f>Catalog!$W$312</f>
        <v>0</v>
      </c>
      <c r="D479" s="20" t="str">
        <f>Catalog!$X$312</f>
        <v>unearned</v>
      </c>
      <c r="E479" s="19" t="s">
        <v>25</v>
      </c>
      <c r="F479" s="20" t="str">
        <f>Catalog!$AD$312</f>
        <v>Best served cold...and a little wet.</v>
      </c>
      <c r="G479" s="15" t="s">
        <v>12</v>
      </c>
      <c r="H479" s="13" t="s">
        <v>53</v>
      </c>
      <c r="I479" s="13"/>
    </row>
    <row r="480" spans="1:9" ht="15" x14ac:dyDescent="0.15">
      <c r="A480" s="11" t="s">
        <v>41</v>
      </c>
      <c r="B480" s="12" t="str">
        <f>Catalog!$E$312</f>
        <v>lootManicEnergy</v>
      </c>
      <c r="C480" s="20">
        <f>Catalog!$W$312</f>
        <v>0</v>
      </c>
      <c r="D480" s="20" t="str">
        <f>Catalog!$X$312</f>
        <v>unearned</v>
      </c>
      <c r="E480" s="19" t="s">
        <v>34</v>
      </c>
      <c r="F480" s="20" t="str">
        <f>Catalog!$AE$312</f>
        <v>100 points</v>
      </c>
      <c r="G480" s="15" t="s">
        <v>12</v>
      </c>
      <c r="H480" s="13"/>
      <c r="I480" s="13"/>
    </row>
    <row r="481" spans="1:9" ht="28" x14ac:dyDescent="0.15">
      <c r="A481" s="11" t="s">
        <v>41</v>
      </c>
      <c r="B481" s="12" t="str">
        <f>Catalog!$E$312</f>
        <v>lootManicEnergy</v>
      </c>
      <c r="C481" s="20">
        <f>Catalog!$BD$312</f>
        <v>2</v>
      </c>
      <c r="D481" s="20" t="str">
        <f>Catalog!$BE$312</f>
        <v>earned</v>
      </c>
      <c r="E481" s="19" t="s">
        <v>25</v>
      </c>
      <c r="F481" s="20" t="str">
        <f>Catalog!$BL$312</f>
        <v>MANIC ENERGY MANIC ENERGY NEVER WEARS OFF SO MUCH ENERGY</v>
      </c>
      <c r="G481" s="15" t="s">
        <v>12</v>
      </c>
      <c r="H481" s="13"/>
      <c r="I481" s="13"/>
    </row>
    <row r="482" spans="1:9" ht="15" x14ac:dyDescent="0.15">
      <c r="A482" s="11" t="s">
        <v>41</v>
      </c>
      <c r="B482" s="12" t="str">
        <f>Catalog!$E$307</f>
        <v>lootBoxOfShame</v>
      </c>
      <c r="C482" s="19">
        <v>0</v>
      </c>
      <c r="D482" s="19" t="s">
        <v>37</v>
      </c>
      <c r="E482" s="19" t="s">
        <v>23</v>
      </c>
      <c r="F482" s="20" t="str">
        <f>Catalog!AB307</f>
        <v>Miss Hattie's Box of Shame</v>
      </c>
      <c r="G482" s="15" t="s">
        <v>12</v>
      </c>
      <c r="H482" s="13"/>
      <c r="I482" s="13"/>
    </row>
    <row r="483" spans="1:9" ht="28" x14ac:dyDescent="0.15">
      <c r="A483" s="11" t="s">
        <v>41</v>
      </c>
      <c r="B483" s="12" t="str">
        <f>Catalog!$E$307</f>
        <v>lootBoxOfShame</v>
      </c>
      <c r="C483" s="19">
        <v>0</v>
      </c>
      <c r="D483" s="19" t="s">
        <v>37</v>
      </c>
      <c r="E483" s="19" t="s">
        <v>25</v>
      </c>
      <c r="F483" s="20" t="str">
        <f>Catalog!AD307</f>
        <v>Miss Hattie hates art as well as children.</v>
      </c>
      <c r="G483" s="15" t="s">
        <v>12</v>
      </c>
      <c r="H483" s="13" t="s">
        <v>54</v>
      </c>
      <c r="I483" s="13"/>
    </row>
    <row r="484" spans="1:9" ht="15" x14ac:dyDescent="0.15">
      <c r="A484" s="11" t="s">
        <v>41</v>
      </c>
      <c r="B484" s="12" t="str">
        <f>Catalog!$E$307</f>
        <v>lootBoxOfShame</v>
      </c>
      <c r="C484" s="19">
        <v>0</v>
      </c>
      <c r="D484" s="19" t="s">
        <v>37</v>
      </c>
      <c r="E484" s="19" t="s">
        <v>34</v>
      </c>
      <c r="F484" s="20" t="str">
        <f>Catalog!AE307</f>
        <v>100 points</v>
      </c>
      <c r="G484" s="15" t="s">
        <v>12</v>
      </c>
      <c r="H484" s="13"/>
      <c r="I484" s="13"/>
    </row>
    <row r="485" spans="1:9" ht="15" x14ac:dyDescent="0.15">
      <c r="A485" s="11" t="s">
        <v>41</v>
      </c>
      <c r="B485" s="12" t="str">
        <f>Catalog!$E$307</f>
        <v>lootBoxOfShame</v>
      </c>
      <c r="C485" s="19">
        <v>2</v>
      </c>
      <c r="D485" s="19" t="s">
        <v>38</v>
      </c>
      <c r="E485" s="19" t="s">
        <v>25</v>
      </c>
      <c r="F485" s="20" t="str">
        <f>Catalog!BL307</f>
        <v>Ah, the Box of Shame. So many...fond memories.</v>
      </c>
      <c r="G485" s="15" t="s">
        <v>12</v>
      </c>
      <c r="H485" s="13"/>
      <c r="I485" s="13"/>
    </row>
    <row r="486" spans="1:9" ht="15" x14ac:dyDescent="0.15">
      <c r="A486" s="11" t="s">
        <v>41</v>
      </c>
      <c r="B486" s="12" t="str">
        <f>Catalog!$E$281</f>
        <v>lootGrusJelly</v>
      </c>
      <c r="C486" s="19">
        <v>0</v>
      </c>
      <c r="D486" s="19" t="s">
        <v>37</v>
      </c>
      <c r="E486" s="19" t="s">
        <v>23</v>
      </c>
      <c r="F486" s="20" t="str">
        <f>Catalog!AB281</f>
        <v>Mr. Gru’s Jelly</v>
      </c>
      <c r="G486" s="15" t="s">
        <v>12</v>
      </c>
      <c r="H486" s="13"/>
      <c r="I486" s="13"/>
    </row>
    <row r="487" spans="1:9" ht="15" x14ac:dyDescent="0.15">
      <c r="A487" s="11" t="s">
        <v>41</v>
      </c>
      <c r="B487" s="12" t="str">
        <f>Catalog!$E$281</f>
        <v>lootGrusJelly</v>
      </c>
      <c r="C487" s="19">
        <v>0</v>
      </c>
      <c r="D487" s="19" t="s">
        <v>37</v>
      </c>
      <c r="E487" s="19" t="s">
        <v>25</v>
      </c>
      <c r="F487" s="20" t="str">
        <f>Catalog!AD281</f>
        <v>The jars are waterproof - can't let anything spoil the taste!</v>
      </c>
      <c r="G487" s="15" t="s">
        <v>12</v>
      </c>
      <c r="H487" s="13" t="s">
        <v>53</v>
      </c>
      <c r="I487" s="13"/>
    </row>
    <row r="488" spans="1:9" ht="15" x14ac:dyDescent="0.15">
      <c r="A488" s="11" t="s">
        <v>41</v>
      </c>
      <c r="B488" s="12" t="str">
        <f>Catalog!$E$281</f>
        <v>lootGrusJelly</v>
      </c>
      <c r="C488" s="19">
        <v>0</v>
      </c>
      <c r="D488" s="19" t="s">
        <v>37</v>
      </c>
      <c r="E488" s="19" t="s">
        <v>34</v>
      </c>
      <c r="F488" s="20" t="str">
        <f>Catalog!AE281</f>
        <v>100 points</v>
      </c>
      <c r="G488" s="15" t="s">
        <v>12</v>
      </c>
      <c r="H488" s="13"/>
      <c r="I488" s="13"/>
    </row>
    <row r="489" spans="1:9" ht="28" x14ac:dyDescent="0.15">
      <c r="A489" s="11" t="s">
        <v>41</v>
      </c>
      <c r="B489" s="12" t="str">
        <f>Catalog!$E$281</f>
        <v>lootGrusJelly</v>
      </c>
      <c r="C489" s="19">
        <v>2</v>
      </c>
      <c r="D489" s="19" t="s">
        <v>38</v>
      </c>
      <c r="E489" s="19" t="s">
        <v>25</v>
      </c>
      <c r="F489" s="20" t="str">
        <f>Catalog!BL281</f>
        <v>A jar of Gru's homemade jelly – like a berry punch to your tongue!</v>
      </c>
      <c r="G489" s="15" t="s">
        <v>12</v>
      </c>
      <c r="H489" s="13"/>
      <c r="I489" s="13"/>
    </row>
    <row r="490" spans="1:9" ht="15" x14ac:dyDescent="0.15">
      <c r="A490" s="11" t="s">
        <v>41</v>
      </c>
      <c r="B490" s="12" t="str">
        <f>Catalog!E319</f>
        <v>lootPetRock</v>
      </c>
      <c r="C490" s="20">
        <f>Catalog!W319</f>
        <v>0</v>
      </c>
      <c r="D490" s="20" t="str">
        <f>Catalog!X319</f>
        <v>unearned</v>
      </c>
      <c r="E490" s="19" t="s">
        <v>23</v>
      </c>
      <c r="F490" s="19" t="str">
        <f>Catalog!AB319</f>
        <v>Otto’s Pet rock</v>
      </c>
      <c r="G490" s="15" t="s">
        <v>12</v>
      </c>
      <c r="H490" s="13"/>
      <c r="I490" s="13"/>
    </row>
    <row r="491" spans="1:9" ht="15" x14ac:dyDescent="0.15">
      <c r="A491" s="11" t="s">
        <v>41</v>
      </c>
      <c r="B491" s="12" t="str">
        <f>Catalog!E319</f>
        <v>lootPetRock</v>
      </c>
      <c r="C491" s="20">
        <f>Catalog!W319</f>
        <v>0</v>
      </c>
      <c r="D491" s="20" t="str">
        <f>Catalog!X319</f>
        <v>unearned</v>
      </c>
      <c r="E491" s="19" t="s">
        <v>25</v>
      </c>
      <c r="F491" s="19" t="str">
        <f>Catalog!AD319</f>
        <v>This rock likes to fly around!</v>
      </c>
      <c r="G491" s="15" t="s">
        <v>12</v>
      </c>
      <c r="H491" s="13" t="s">
        <v>55</v>
      </c>
      <c r="I491" s="13"/>
    </row>
    <row r="492" spans="1:9" ht="15" x14ac:dyDescent="0.15">
      <c r="A492" s="11" t="s">
        <v>41</v>
      </c>
      <c r="B492" s="12" t="str">
        <f>Catalog!E319</f>
        <v>lootPetRock</v>
      </c>
      <c r="C492" s="20">
        <f>Catalog!W319</f>
        <v>0</v>
      </c>
      <c r="D492" s="20" t="str">
        <f>Catalog!X319</f>
        <v>unearned</v>
      </c>
      <c r="E492" s="19" t="s">
        <v>34</v>
      </c>
      <c r="F492" s="20" t="str">
        <f>Catalog!AE319</f>
        <v>100 points</v>
      </c>
      <c r="G492" s="15" t="s">
        <v>12</v>
      </c>
      <c r="H492" s="13"/>
      <c r="I492" s="13"/>
    </row>
    <row r="493" spans="1:9" ht="15" x14ac:dyDescent="0.15">
      <c r="A493" s="11" t="s">
        <v>41</v>
      </c>
      <c r="B493" s="12" t="str">
        <f>Catalog!E319</f>
        <v>lootPetRock</v>
      </c>
      <c r="C493" s="20">
        <f>Catalog!BD319</f>
        <v>2</v>
      </c>
      <c r="D493" s="20" t="str">
        <f>Catalog!BE319</f>
        <v>earned</v>
      </c>
      <c r="E493" s="19" t="s">
        <v>25</v>
      </c>
      <c r="F493" s="19" t="str">
        <f>Catalog!BL319</f>
        <v>Otto will be thrilled to get his Pet Rock back!</v>
      </c>
      <c r="G493" s="15" t="s">
        <v>12</v>
      </c>
      <c r="H493" s="13"/>
      <c r="I493" s="13"/>
    </row>
    <row r="494" spans="1:9" ht="15" x14ac:dyDescent="0.15">
      <c r="A494" s="11" t="s">
        <v>41</v>
      </c>
      <c r="B494" s="12" t="str">
        <f>Catalog!$E$325</f>
        <v>lootTricycle</v>
      </c>
      <c r="C494" s="20">
        <f>Catalog!$W$325</f>
        <v>0</v>
      </c>
      <c r="D494" s="20" t="str">
        <f>Catalog!$X$325</f>
        <v>unearned</v>
      </c>
      <c r="E494" s="19" t="s">
        <v>23</v>
      </c>
      <c r="F494" s="20" t="str">
        <f>Catalog!$AB$325</f>
        <v>Otto's Big Wheel</v>
      </c>
      <c r="G494" s="15" t="s">
        <v>12</v>
      </c>
      <c r="H494" s="13"/>
      <c r="I494" s="13"/>
    </row>
    <row r="495" spans="1:9" ht="15" x14ac:dyDescent="0.15">
      <c r="A495" s="11" t="s">
        <v>41</v>
      </c>
      <c r="B495" s="12" t="str">
        <f>Catalog!$E$325</f>
        <v>lootTricycle</v>
      </c>
      <c r="C495" s="20">
        <f>Catalog!$W$325</f>
        <v>0</v>
      </c>
      <c r="D495" s="20" t="str">
        <f>Catalog!$X$325</f>
        <v>unearned</v>
      </c>
      <c r="E495" s="19" t="s">
        <v>25</v>
      </c>
      <c r="F495" s="20" t="str">
        <f>Catalog!$AD$325</f>
        <v>This Big Wheel is boxed up.</v>
      </c>
      <c r="G495" s="15" t="s">
        <v>12</v>
      </c>
      <c r="H495" s="13" t="s">
        <v>56</v>
      </c>
      <c r="I495" s="13"/>
    </row>
    <row r="496" spans="1:9" ht="15" x14ac:dyDescent="0.15">
      <c r="A496" s="11" t="s">
        <v>41</v>
      </c>
      <c r="B496" s="12" t="str">
        <f>Catalog!$E$325</f>
        <v>lootTricycle</v>
      </c>
      <c r="C496" s="20">
        <f>Catalog!$W$325</f>
        <v>0</v>
      </c>
      <c r="D496" s="20" t="str">
        <f>Catalog!$X$325</f>
        <v>unearned</v>
      </c>
      <c r="E496" s="19" t="s">
        <v>34</v>
      </c>
      <c r="F496" s="20" t="str">
        <f>Catalog!$AE$325</f>
        <v>100 points</v>
      </c>
      <c r="G496" s="15" t="s">
        <v>12</v>
      </c>
      <c r="H496" s="13"/>
      <c r="I496" s="13"/>
    </row>
    <row r="497" spans="1:9" ht="28" x14ac:dyDescent="0.15">
      <c r="A497" s="11" t="s">
        <v>41</v>
      </c>
      <c r="B497" s="12" t="str">
        <f>Catalog!$E$325</f>
        <v>lootTricycle</v>
      </c>
      <c r="C497" s="20">
        <f>Catalog!$BD$325</f>
        <v>2</v>
      </c>
      <c r="D497" s="20" t="str">
        <f>Catalog!$BE$325</f>
        <v>earned</v>
      </c>
      <c r="E497" s="19" t="s">
        <v>25</v>
      </c>
      <c r="F497" s="20" t="str">
        <f>Catalog!$BL$325</f>
        <v>This Big Wheel got Otto halfway across the country! Go Otto go!</v>
      </c>
      <c r="G497" s="15" t="s">
        <v>12</v>
      </c>
      <c r="H497" s="13"/>
      <c r="I497" s="13"/>
    </row>
    <row r="498" spans="1:9" ht="15" x14ac:dyDescent="0.15">
      <c r="A498" s="11" t="s">
        <v>41</v>
      </c>
      <c r="B498" s="12" t="str">
        <f>Catalog!$E$314</f>
        <v>lootV6Figures</v>
      </c>
      <c r="C498" s="20">
        <f>Catalog!$W$314</f>
        <v>0</v>
      </c>
      <c r="D498" s="20" t="str">
        <f>Catalog!$X$314</f>
        <v>unearned</v>
      </c>
      <c r="E498" s="19" t="s">
        <v>23</v>
      </c>
      <c r="F498" s="20" t="str">
        <f>Catalog!$AB$314</f>
        <v>Vicious 6 Action Figures</v>
      </c>
      <c r="G498" s="15" t="s">
        <v>12</v>
      </c>
      <c r="H498" s="13"/>
      <c r="I498" s="13"/>
    </row>
    <row r="499" spans="1:9" ht="15" x14ac:dyDescent="0.15">
      <c r="A499" s="11" t="s">
        <v>41</v>
      </c>
      <c r="B499" s="12" t="str">
        <f>Catalog!$E$314</f>
        <v>lootV6Figures</v>
      </c>
      <c r="C499" s="20">
        <f>Catalog!$W$314</f>
        <v>0</v>
      </c>
      <c r="D499" s="20" t="str">
        <f>Catalog!$X$314</f>
        <v>unearned</v>
      </c>
      <c r="E499" s="19" t="s">
        <v>25</v>
      </c>
      <c r="F499" s="20" t="str">
        <f>Catalog!$AD$314</f>
        <v>These infamous villains deserve to rise on a pedestal!</v>
      </c>
      <c r="G499" s="15" t="s">
        <v>57</v>
      </c>
      <c r="H499" s="13" t="s">
        <v>58</v>
      </c>
      <c r="I499" s="13"/>
    </row>
    <row r="500" spans="1:9" ht="15" x14ac:dyDescent="0.15">
      <c r="A500" s="11" t="s">
        <v>41</v>
      </c>
      <c r="B500" s="12" t="str">
        <f>Catalog!$E$314</f>
        <v>lootV6Figures</v>
      </c>
      <c r="C500" s="20">
        <f>Catalog!$W$314</f>
        <v>0</v>
      </c>
      <c r="D500" s="20" t="str">
        <f>Catalog!$X$314</f>
        <v>unearned</v>
      </c>
      <c r="E500" s="19" t="s">
        <v>34</v>
      </c>
      <c r="F500" s="20" t="str">
        <f>Catalog!$AE$314</f>
        <v>100 points</v>
      </c>
      <c r="G500" s="15" t="s">
        <v>12</v>
      </c>
      <c r="H500" s="13"/>
      <c r="I500" s="13"/>
    </row>
    <row r="501" spans="1:9" ht="28" x14ac:dyDescent="0.15">
      <c r="A501" s="11" t="s">
        <v>41</v>
      </c>
      <c r="B501" s="12" t="str">
        <f>Catalog!$E$314</f>
        <v>lootV6Figures</v>
      </c>
      <c r="C501" s="20">
        <f>Catalog!$BD$314</f>
        <v>2</v>
      </c>
      <c r="D501" s="20" t="str">
        <f>Catalog!$BE$314</f>
        <v>earned</v>
      </c>
      <c r="E501" s="19" t="s">
        <v>25</v>
      </c>
      <c r="F501" s="20" t="str">
        <f>Catalog!$BL$314</f>
        <v>You found a full set of V6 Action Figures! Don't take them out of the box!</v>
      </c>
      <c r="G501" s="15" t="s">
        <v>12</v>
      </c>
      <c r="H501" s="13"/>
      <c r="I501" s="13"/>
    </row>
    <row r="502" spans="1:9" ht="15" x14ac:dyDescent="0.15">
      <c r="A502" s="11" t="s">
        <v>41</v>
      </c>
      <c r="B502" s="12" t="str">
        <f>Catalog!$E$308</f>
        <v>lootSleepyKittens</v>
      </c>
      <c r="C502" s="19">
        <v>0</v>
      </c>
      <c r="D502" s="19" t="s">
        <v>37</v>
      </c>
      <c r="E502" s="19" t="s">
        <v>23</v>
      </c>
      <c r="F502" s="20" t="str">
        <f>Catalog!AB308</f>
        <v>Sleepy Kittens Book</v>
      </c>
      <c r="G502" s="15" t="s">
        <v>12</v>
      </c>
      <c r="H502" s="13"/>
      <c r="I502" s="13"/>
    </row>
    <row r="503" spans="1:9" ht="15" x14ac:dyDescent="0.15">
      <c r="A503" s="11" t="s">
        <v>41</v>
      </c>
      <c r="B503" s="12" t="str">
        <f>Catalog!$E$308</f>
        <v>lootSleepyKittens</v>
      </c>
      <c r="C503" s="19">
        <v>0</v>
      </c>
      <c r="D503" s="19" t="s">
        <v>37</v>
      </c>
      <c r="E503" s="19" t="s">
        <v>25</v>
      </c>
      <c r="F503" s="20" t="str">
        <f>Catalog!AD308</f>
        <v>Why is this book in storage? It's timeless!</v>
      </c>
      <c r="G503" s="15" t="s">
        <v>12</v>
      </c>
      <c r="H503" s="13" t="s">
        <v>56</v>
      </c>
      <c r="I503" s="13"/>
    </row>
    <row r="504" spans="1:9" ht="15" x14ac:dyDescent="0.15">
      <c r="A504" s="11" t="s">
        <v>41</v>
      </c>
      <c r="B504" s="12" t="str">
        <f>Catalog!$E$308</f>
        <v>lootSleepyKittens</v>
      </c>
      <c r="C504" s="19">
        <v>0</v>
      </c>
      <c r="D504" s="19" t="s">
        <v>37</v>
      </c>
      <c r="E504" s="19" t="s">
        <v>34</v>
      </c>
      <c r="F504" s="20" t="str">
        <f>Catalog!AE308</f>
        <v>100 points</v>
      </c>
      <c r="G504" s="15" t="s">
        <v>12</v>
      </c>
      <c r="H504" s="13"/>
      <c r="I504" s="13"/>
    </row>
    <row r="505" spans="1:9" ht="28" x14ac:dyDescent="0.15">
      <c r="A505" s="11" t="s">
        <v>41</v>
      </c>
      <c r="B505" s="12" t="str">
        <f>Catalog!$E$308</f>
        <v>lootSleepyKittens</v>
      </c>
      <c r="C505" s="19">
        <v>2</v>
      </c>
      <c r="D505" s="19" t="s">
        <v>38</v>
      </c>
      <c r="E505" s="19" t="s">
        <v>25</v>
      </c>
      <c r="F505" s="20" t="str">
        <f>Catalog!BL308</f>
        <v>You found the Sleepy Kittens book! Who wrote this garbage?</v>
      </c>
      <c r="G505" s="15" t="s">
        <v>12</v>
      </c>
      <c r="H505" s="13"/>
      <c r="I505" s="13"/>
    </row>
    <row r="506" spans="1:9" ht="15" x14ac:dyDescent="0.15">
      <c r="A506" s="11" t="s">
        <v>41</v>
      </c>
      <c r="B506" s="12" t="str">
        <f>Catalog!$E$304</f>
        <v>lootStickyFingers</v>
      </c>
      <c r="C506" s="20">
        <f>Catalog!$W$304</f>
        <v>0</v>
      </c>
      <c r="D506" s="20" t="str">
        <f>Catalog!$X$304</f>
        <v>unearned</v>
      </c>
      <c r="E506" s="19" t="s">
        <v>23</v>
      </c>
      <c r="F506" s="20" t="str">
        <f>Catalog!$AB$304</f>
        <v>Sticky Fingers</v>
      </c>
      <c r="G506" s="15" t="s">
        <v>12</v>
      </c>
      <c r="H506" s="13"/>
      <c r="I506" s="13"/>
    </row>
    <row r="507" spans="1:9" ht="28" x14ac:dyDescent="0.15">
      <c r="A507" s="11" t="s">
        <v>41</v>
      </c>
      <c r="B507" s="12" t="str">
        <f>Catalog!$E$304</f>
        <v>lootStickyFingers</v>
      </c>
      <c r="C507" s="20">
        <f>Catalog!$W$304</f>
        <v>0</v>
      </c>
      <c r="D507" s="20" t="str">
        <f>Catalog!$X$304</f>
        <v>unearned</v>
      </c>
      <c r="E507" s="19" t="s">
        <v>25</v>
      </c>
      <c r="F507" s="20" t="str">
        <f>Catalog!$AD$304</f>
        <v>This hasn't been used in ages. Maybe it's in storage.</v>
      </c>
      <c r="G507" s="15" t="s">
        <v>12</v>
      </c>
      <c r="H507" s="13" t="s">
        <v>50</v>
      </c>
      <c r="I507" s="13"/>
    </row>
    <row r="508" spans="1:9" ht="15" x14ac:dyDescent="0.15">
      <c r="A508" s="11" t="s">
        <v>41</v>
      </c>
      <c r="B508" s="12" t="str">
        <f>Catalog!$E$304</f>
        <v>lootStickyFingers</v>
      </c>
      <c r="C508" s="20">
        <f>Catalog!$W$304</f>
        <v>0</v>
      </c>
      <c r="D508" s="20" t="str">
        <f>Catalog!$X$304</f>
        <v>unearned</v>
      </c>
      <c r="E508" s="19" t="s">
        <v>34</v>
      </c>
      <c r="F508" s="20" t="str">
        <f>Catalog!$AE$304</f>
        <v>100 points</v>
      </c>
      <c r="G508" s="15" t="s">
        <v>12</v>
      </c>
      <c r="H508" s="13"/>
      <c r="I508" s="13"/>
    </row>
    <row r="509" spans="1:9" ht="28" x14ac:dyDescent="0.15">
      <c r="A509" s="11" t="s">
        <v>41</v>
      </c>
      <c r="B509" s="12" t="str">
        <f>Catalog!$E$304</f>
        <v>lootStickyFingers</v>
      </c>
      <c r="C509" s="20">
        <f>Catalog!$BD$304</f>
        <v>2</v>
      </c>
      <c r="D509" s="20" t="str">
        <f>Catalog!$BE$304</f>
        <v>earned</v>
      </c>
      <c r="E509" s="19" t="s">
        <v>25</v>
      </c>
      <c r="F509" s="20" t="str">
        <f>Catalog!$BL$304</f>
        <v>An early invention of Dr. Nefario that was used to steal the Zodiac Stone!</v>
      </c>
      <c r="G509" s="15" t="s">
        <v>12</v>
      </c>
      <c r="H509" s="13"/>
      <c r="I509" s="13"/>
    </row>
    <row r="510" spans="1:9" ht="15" x14ac:dyDescent="0.15">
      <c r="A510" s="11" t="s">
        <v>41</v>
      </c>
      <c r="B510" s="12" t="str">
        <f>Catalog!$E$313</f>
        <v>lootStretchArm</v>
      </c>
      <c r="C510" s="20">
        <f>Catalog!$W$304</f>
        <v>0</v>
      </c>
      <c r="D510" s="20" t="str">
        <f>Catalog!$X$304</f>
        <v>unearned</v>
      </c>
      <c r="E510" s="19" t="s">
        <v>23</v>
      </c>
      <c r="F510" s="20" t="str">
        <f>Catalog!$AB$313</f>
        <v>Stretch Arm</v>
      </c>
      <c r="G510" s="15" t="s">
        <v>12</v>
      </c>
      <c r="H510" s="13"/>
      <c r="I510" s="13"/>
    </row>
    <row r="511" spans="1:9" ht="15" x14ac:dyDescent="0.15">
      <c r="A511" s="11" t="s">
        <v>41</v>
      </c>
      <c r="B511" s="12" t="str">
        <f>Catalog!$E$313</f>
        <v>lootStretchArm</v>
      </c>
      <c r="C511" s="20">
        <f>Catalog!$W$304</f>
        <v>0</v>
      </c>
      <c r="D511" s="20" t="str">
        <f>Catalog!$X$304</f>
        <v>unearned</v>
      </c>
      <c r="E511" s="19" t="s">
        <v>25</v>
      </c>
      <c r="F511" s="20" t="str">
        <f>Catalog!$AD$313</f>
        <v>This arm’s got reach – as does its hiding spot.</v>
      </c>
      <c r="G511" s="15" t="s">
        <v>57</v>
      </c>
      <c r="H511" s="13" t="s">
        <v>58</v>
      </c>
      <c r="I511" s="13"/>
    </row>
    <row r="512" spans="1:9" ht="15" x14ac:dyDescent="0.15">
      <c r="A512" s="11" t="s">
        <v>41</v>
      </c>
      <c r="B512" s="12" t="str">
        <f>Catalog!$E$313</f>
        <v>lootStretchArm</v>
      </c>
      <c r="C512" s="20">
        <f>Catalog!$W$304</f>
        <v>0</v>
      </c>
      <c r="D512" s="20" t="str">
        <f>Catalog!$X$304</f>
        <v>unearned</v>
      </c>
      <c r="E512" s="19" t="s">
        <v>34</v>
      </c>
      <c r="F512" s="20" t="str">
        <f>Catalog!$AE$313</f>
        <v>100 points</v>
      </c>
      <c r="G512" s="15" t="s">
        <v>12</v>
      </c>
      <c r="H512" s="13"/>
      <c r="I512" s="13"/>
    </row>
    <row r="513" spans="1:9" ht="28" x14ac:dyDescent="0.15">
      <c r="A513" s="11" t="s">
        <v>41</v>
      </c>
      <c r="B513" s="12" t="str">
        <f>Catalog!$E$313</f>
        <v>lootStretchArm</v>
      </c>
      <c r="C513" s="20">
        <f>Catalog!$BD$304</f>
        <v>2</v>
      </c>
      <c r="D513" s="20" t="str">
        <f>Catalog!$BE$304</f>
        <v>earned</v>
      </c>
      <c r="E513" s="19" t="s">
        <v>25</v>
      </c>
      <c r="F513" s="20" t="str">
        <f>Catalog!$BL$313</f>
        <v>The stretch arms may pack small, but they pack a real punch!</v>
      </c>
      <c r="G513" s="15" t="s">
        <v>12</v>
      </c>
      <c r="H513" s="13"/>
      <c r="I513" s="13"/>
    </row>
    <row r="514" spans="1:9" ht="15" x14ac:dyDescent="0.15">
      <c r="A514" s="11" t="s">
        <v>41</v>
      </c>
      <c r="B514" s="12" t="str">
        <f>Catalog!$E$309</f>
        <v>lootVCHat</v>
      </c>
      <c r="C514" s="20">
        <f>Catalog!$W$309</f>
        <v>0</v>
      </c>
      <c r="D514" s="20" t="str">
        <f>Catalog!$X$309</f>
        <v>unearned</v>
      </c>
      <c r="E514" s="19" t="s">
        <v>23</v>
      </c>
      <c r="F514" s="20" t="str">
        <f>Catalog!$AB$309</f>
        <v>Villain-Con Hat</v>
      </c>
      <c r="G514" s="15" t="s">
        <v>12</v>
      </c>
      <c r="H514" s="13"/>
      <c r="I514" s="13"/>
    </row>
    <row r="515" spans="1:9" ht="42" x14ac:dyDescent="0.15">
      <c r="A515" s="11" t="s">
        <v>41</v>
      </c>
      <c r="B515" s="12" t="str">
        <f>Catalog!$E$309</f>
        <v>lootVCHat</v>
      </c>
      <c r="C515" s="20">
        <f>Catalog!$W$309</f>
        <v>0</v>
      </c>
      <c r="D515" s="20" t="str">
        <f>Catalog!$X$309</f>
        <v>unearned</v>
      </c>
      <c r="E515" s="19" t="s">
        <v>25</v>
      </c>
      <c r="F515" s="20" t="str">
        <f>Catalog!$AD$309</f>
        <v>Wearing this hat is a sign that you've got sweet taste.</v>
      </c>
      <c r="G515" s="15" t="s">
        <v>14</v>
      </c>
      <c r="H515" s="34" t="s">
        <v>59</v>
      </c>
      <c r="I515" s="13"/>
    </row>
    <row r="516" spans="1:9" ht="15" x14ac:dyDescent="0.15">
      <c r="A516" s="11" t="s">
        <v>41</v>
      </c>
      <c r="B516" s="12" t="str">
        <f>Catalog!$E$309</f>
        <v>lootVCHat</v>
      </c>
      <c r="C516" s="20">
        <f>Catalog!$W$309</f>
        <v>0</v>
      </c>
      <c r="D516" s="20" t="str">
        <f>Catalog!$X$309</f>
        <v>unearned</v>
      </c>
      <c r="E516" s="19" t="s">
        <v>34</v>
      </c>
      <c r="F516" s="20" t="str">
        <f>Catalog!$AE$309</f>
        <v>100 points</v>
      </c>
      <c r="G516" s="15" t="s">
        <v>12</v>
      </c>
      <c r="I516" s="13"/>
    </row>
    <row r="517" spans="1:9" ht="28" x14ac:dyDescent="0.15">
      <c r="A517" s="11" t="s">
        <v>41</v>
      </c>
      <c r="B517" s="12" t="str">
        <f>Catalog!$E$309</f>
        <v>lootVCHat</v>
      </c>
      <c r="C517" s="20">
        <f>Catalog!$BD$309</f>
        <v>2</v>
      </c>
      <c r="D517" s="20" t="str">
        <f>Catalog!$BE$309</f>
        <v>earned</v>
      </c>
      <c r="E517" s="19" t="s">
        <v>25</v>
      </c>
      <c r="F517" s="20" t="str">
        <f>Catalog!$BL$309</f>
        <v>Can't go to Villain-Con without getting their officially licensed hat!</v>
      </c>
      <c r="G517" s="15" t="s">
        <v>12</v>
      </c>
      <c r="H517" s="13"/>
      <c r="I517" s="13"/>
    </row>
    <row r="518" spans="1:9" ht="15" x14ac:dyDescent="0.15">
      <c r="A518" s="11" t="s">
        <v>41</v>
      </c>
      <c r="B518" s="12" t="str">
        <f>Catalog!$E$310</f>
        <v>lootVCShirt</v>
      </c>
      <c r="C518" s="20">
        <f>Catalog!$W$310</f>
        <v>0</v>
      </c>
      <c r="D518" s="20" t="str">
        <f>Catalog!$X$310</f>
        <v>unearned</v>
      </c>
      <c r="E518" s="19" t="s">
        <v>23</v>
      </c>
      <c r="F518" s="20" t="str">
        <f>Catalog!$AB$310</f>
        <v>Villain-Con Shirt</v>
      </c>
      <c r="G518" s="15" t="s">
        <v>12</v>
      </c>
      <c r="H518" s="13"/>
      <c r="I518" s="13"/>
    </row>
    <row r="519" spans="1:9" ht="28" x14ac:dyDescent="0.15">
      <c r="A519" s="11" t="s">
        <v>41</v>
      </c>
      <c r="B519" s="12" t="str">
        <f>Catalog!$E$310</f>
        <v>lootVCShirt</v>
      </c>
      <c r="C519" s="20">
        <f>Catalog!$W$310</f>
        <v>0</v>
      </c>
      <c r="D519" s="20" t="str">
        <f>Catalog!$X$310</f>
        <v>unearned</v>
      </c>
      <c r="E519" s="19" t="s">
        <v>25</v>
      </c>
      <c r="F519" s="20" t="str">
        <f>Catalog!$AD$310</f>
        <v>Someone accidentally put these in storage...but they should be out for the convention!</v>
      </c>
      <c r="G519" s="15" t="s">
        <v>12</v>
      </c>
      <c r="H519" s="13" t="s">
        <v>56</v>
      </c>
      <c r="I519" s="13"/>
    </row>
    <row r="520" spans="1:9" ht="15" x14ac:dyDescent="0.15">
      <c r="A520" s="11" t="s">
        <v>41</v>
      </c>
      <c r="B520" s="12" t="str">
        <f>Catalog!$E$310</f>
        <v>lootVCShirt</v>
      </c>
      <c r="C520" s="20">
        <f>Catalog!$W$310</f>
        <v>0</v>
      </c>
      <c r="D520" s="20" t="str">
        <f>Catalog!$X$310</f>
        <v>unearned</v>
      </c>
      <c r="E520" s="19" t="s">
        <v>34</v>
      </c>
      <c r="F520" s="20" t="str">
        <f>Catalog!$AE$310</f>
        <v>100 points</v>
      </c>
      <c r="G520" s="15" t="s">
        <v>12</v>
      </c>
      <c r="H520" s="13"/>
      <c r="I520" s="13"/>
    </row>
    <row r="521" spans="1:9" ht="15" x14ac:dyDescent="0.15">
      <c r="A521" s="11" t="s">
        <v>41</v>
      </c>
      <c r="B521" s="12" t="str">
        <f>Catalog!$E$310</f>
        <v>lootVCShirt</v>
      </c>
      <c r="C521" s="20">
        <f>Catalog!$BD$310</f>
        <v>2</v>
      </c>
      <c r="D521" s="20" t="str">
        <f>Catalog!$BE$310</f>
        <v>earned</v>
      </c>
      <c r="E521" s="19" t="s">
        <v>25</v>
      </c>
      <c r="F521" s="20" t="str">
        <f>Catalog!$BL$310</f>
        <v>Nice Villain Con shirt! Ya gotta look good while doing bad.</v>
      </c>
      <c r="G521" s="15" t="s">
        <v>12</v>
      </c>
      <c r="H521" s="13"/>
      <c r="I521" s="13"/>
    </row>
    <row r="522" spans="1:9" ht="15" x14ac:dyDescent="0.15">
      <c r="A522" s="11" t="s">
        <v>41</v>
      </c>
      <c r="B522" s="12" t="str">
        <f>Catalog!$E$318</f>
        <v>lootUnicornReplacement</v>
      </c>
      <c r="C522" s="20">
        <f>Catalog!$W$318</f>
        <v>0</v>
      </c>
      <c r="D522" s="20" t="str">
        <f>Catalog!$X$318</f>
        <v>unearned</v>
      </c>
      <c r="E522" s="19" t="s">
        <v>23</v>
      </c>
      <c r="F522" s="20" t="str">
        <f>Catalog!$AB$318</f>
        <v>Replacement Unicorn</v>
      </c>
      <c r="G522" s="15" t="s">
        <v>12</v>
      </c>
      <c r="H522" s="13"/>
      <c r="I522" s="13"/>
    </row>
    <row r="523" spans="1:9" ht="28" x14ac:dyDescent="0.15">
      <c r="A523" s="11" t="s">
        <v>41</v>
      </c>
      <c r="B523" s="12" t="str">
        <f>Catalog!$E$318</f>
        <v>lootUnicornReplacement</v>
      </c>
      <c r="C523" s="20">
        <f>Catalog!$W$318</f>
        <v>0</v>
      </c>
      <c r="D523" s="20" t="str">
        <f>Catalog!$X$318</f>
        <v>unearned</v>
      </c>
      <c r="E523" s="19" t="s">
        <v>25</v>
      </c>
      <c r="F523" s="20" t="str">
        <f>Catalog!$AD$318</f>
        <v>This unicorn toilet brush may be shy, but it's coming out of its shell.</v>
      </c>
      <c r="G523" s="15" t="s">
        <v>12</v>
      </c>
      <c r="H523" s="13" t="s">
        <v>60</v>
      </c>
      <c r="I523" s="13"/>
    </row>
    <row r="524" spans="1:9" ht="15" x14ac:dyDescent="0.15">
      <c r="A524" s="11" t="s">
        <v>41</v>
      </c>
      <c r="B524" s="12" t="str">
        <f>Catalog!$E$318</f>
        <v>lootUnicornReplacement</v>
      </c>
      <c r="C524" s="20">
        <f>Catalog!$W$318</f>
        <v>0</v>
      </c>
      <c r="D524" s="20" t="str">
        <f>Catalog!$X$318</f>
        <v>unearned</v>
      </c>
      <c r="E524" s="19" t="s">
        <v>34</v>
      </c>
      <c r="F524" s="20" t="str">
        <f>Catalog!$AE$318</f>
        <v>1,000 points</v>
      </c>
      <c r="G524" s="15" t="s">
        <v>12</v>
      </c>
      <c r="H524" s="13"/>
      <c r="I524" s="13"/>
    </row>
    <row r="525" spans="1:9" ht="28" x14ac:dyDescent="0.15">
      <c r="A525" s="11" t="s">
        <v>41</v>
      </c>
      <c r="B525" s="12" t="str">
        <f>Catalog!$E$318</f>
        <v>lootUnicornReplacement</v>
      </c>
      <c r="C525" s="20">
        <f>Catalog!$BD$318</f>
        <v>2</v>
      </c>
      <c r="D525" s="20" t="str">
        <f>Catalog!$BE$318</f>
        <v>earned</v>
      </c>
      <c r="E525" s="19" t="s">
        <v>25</v>
      </c>
      <c r="F525" s="20" t="str">
        <f>Catalog!$BL$318</f>
        <v>You found Agnes's Toilet Brush Unicorn. So much more magical than a normal toilet brush.</v>
      </c>
      <c r="G525" s="15" t="s">
        <v>12</v>
      </c>
      <c r="H525" s="13"/>
      <c r="I525" s="13"/>
    </row>
    <row r="526" spans="1:9" ht="15" x14ac:dyDescent="0.15">
      <c r="A526" s="11" t="s">
        <v>41</v>
      </c>
      <c r="B526" s="12" t="str">
        <f>Catalog!$E$323</f>
        <v>lootBrattMixtape</v>
      </c>
      <c r="C526" s="19">
        <v>0</v>
      </c>
      <c r="D526" s="19" t="s">
        <v>37</v>
      </c>
      <c r="E526" s="19" t="s">
        <v>23</v>
      </c>
      <c r="F526" s="20" t="str">
        <f>Catalog!AB323</f>
        <v>Bratt's Heist Mixtape</v>
      </c>
      <c r="G526" s="15" t="s">
        <v>12</v>
      </c>
      <c r="H526" s="13"/>
      <c r="I526" s="13"/>
    </row>
    <row r="527" spans="1:9" ht="28" x14ac:dyDescent="0.15">
      <c r="A527" s="11" t="s">
        <v>41</v>
      </c>
      <c r="B527" s="12" t="str">
        <f>Catalog!$E$323</f>
        <v>lootBrattMixtape</v>
      </c>
      <c r="C527" s="19">
        <v>0</v>
      </c>
      <c r="D527" s="19" t="s">
        <v>37</v>
      </c>
      <c r="E527" s="19" t="s">
        <v>25</v>
      </c>
      <c r="F527" s="20" t="str">
        <f>Catalog!AD323</f>
        <v>You'll have to cut all the disco music to score Bratt's sweet mixtape!</v>
      </c>
      <c r="G527" s="15" t="s">
        <v>12</v>
      </c>
      <c r="H527" s="13" t="s">
        <v>61</v>
      </c>
      <c r="I527" s="13"/>
    </row>
    <row r="528" spans="1:9" ht="15" x14ac:dyDescent="0.15">
      <c r="A528" s="11" t="s">
        <v>41</v>
      </c>
      <c r="B528" s="12" t="str">
        <f>Catalog!$E$323</f>
        <v>lootBrattMixtape</v>
      </c>
      <c r="C528" s="19">
        <v>0</v>
      </c>
      <c r="D528" s="19" t="s">
        <v>37</v>
      </c>
      <c r="E528" s="19" t="s">
        <v>34</v>
      </c>
      <c r="F528" s="20" t="str">
        <f>Catalog!AE323</f>
        <v>1,000 points</v>
      </c>
      <c r="G528" s="15" t="s">
        <v>12</v>
      </c>
      <c r="H528" s="13"/>
      <c r="I528" s="13"/>
    </row>
    <row r="529" spans="1:9" ht="28" x14ac:dyDescent="0.15">
      <c r="A529" s="11" t="s">
        <v>41</v>
      </c>
      <c r="B529" s="12" t="str">
        <f>Catalog!$E$323</f>
        <v>lootBrattMixtape</v>
      </c>
      <c r="C529" s="19">
        <v>2</v>
      </c>
      <c r="D529" s="19" t="s">
        <v>38</v>
      </c>
      <c r="E529" s="19" t="s">
        <v>25</v>
      </c>
      <c r="F529" s="20" t="str">
        <f>Catalog!BL323</f>
        <v>Bratt Heist Mixtape NOW THAT'S WHAT I CALL VILLAIN MUSIC!</v>
      </c>
      <c r="G529" s="15" t="s">
        <v>12</v>
      </c>
      <c r="H529" s="13"/>
      <c r="I529" s="13"/>
    </row>
    <row r="530" spans="1:9" ht="15" x14ac:dyDescent="0.15">
      <c r="A530" s="11" t="s">
        <v>41</v>
      </c>
      <c r="B530" s="12" t="str">
        <f>Catalog!$E$317</f>
        <v>lootClive</v>
      </c>
      <c r="C530" s="19">
        <v>0</v>
      </c>
      <c r="D530" s="19" t="s">
        <v>37</v>
      </c>
      <c r="E530" s="19" t="s">
        <v>23</v>
      </c>
      <c r="F530" s="20" t="str">
        <f>Catalog!AB317</f>
        <v>Clive</v>
      </c>
      <c r="G530" s="15" t="s">
        <v>12</v>
      </c>
      <c r="H530" s="13"/>
      <c r="I530" s="13"/>
    </row>
    <row r="531" spans="1:9" ht="28" x14ac:dyDescent="0.15">
      <c r="A531" s="11" t="s">
        <v>41</v>
      </c>
      <c r="B531" s="12" t="str">
        <f>Catalog!$E$317</f>
        <v>lootClive</v>
      </c>
      <c r="C531" s="19">
        <v>0</v>
      </c>
      <c r="D531" s="19" t="s">
        <v>37</v>
      </c>
      <c r="E531" s="19" t="s">
        <v>25</v>
      </c>
      <c r="F531" s="20" t="str">
        <f>Catalog!AD317</f>
        <v>Sync the tracks to a hip hop beat, and you’ll unlock Clive, which is pretty sweet.</v>
      </c>
      <c r="G531" s="15" t="s">
        <v>51</v>
      </c>
      <c r="H531" s="13" t="s">
        <v>62</v>
      </c>
    </row>
    <row r="532" spans="1:9" ht="15" x14ac:dyDescent="0.15">
      <c r="A532" s="11" t="s">
        <v>41</v>
      </c>
      <c r="B532" s="12" t="str">
        <f>Catalog!$E$317</f>
        <v>lootClive</v>
      </c>
      <c r="C532" s="19">
        <v>0</v>
      </c>
      <c r="D532" s="19" t="s">
        <v>37</v>
      </c>
      <c r="E532" s="19" t="s">
        <v>34</v>
      </c>
      <c r="F532" s="20" t="str">
        <f>Catalog!AE317</f>
        <v>1,000 points</v>
      </c>
      <c r="G532" s="15" t="s">
        <v>12</v>
      </c>
      <c r="H532" s="13"/>
      <c r="I532" s="13"/>
    </row>
    <row r="533" spans="1:9" ht="15" x14ac:dyDescent="0.15">
      <c r="A533" s="11" t="s">
        <v>41</v>
      </c>
      <c r="B533" s="12" t="str">
        <f>Catalog!$E$317</f>
        <v>lootClive</v>
      </c>
      <c r="C533" s="19">
        <v>2</v>
      </c>
      <c r="D533" s="19" t="s">
        <v>38</v>
      </c>
      <c r="E533" s="19" t="s">
        <v>25</v>
      </c>
      <c r="F533" s="20" t="str">
        <f>Catalog!BL317</f>
        <v>You found Clive, Bratt's loyal robot! Nice steal.</v>
      </c>
      <c r="G533" s="15" t="s">
        <v>12</v>
      </c>
      <c r="H533" s="13"/>
      <c r="I533" s="13"/>
    </row>
    <row r="534" spans="1:9" ht="15" x14ac:dyDescent="0.15">
      <c r="A534" s="11" t="s">
        <v>41</v>
      </c>
      <c r="B534" s="12" t="str">
        <f>Catalog!E286</f>
        <v>lootBrattToy</v>
      </c>
      <c r="C534" s="20">
        <f>Catalog!W286</f>
        <v>0</v>
      </c>
      <c r="D534" s="20" t="str">
        <f>Catalog!X286</f>
        <v>unearned</v>
      </c>
      <c r="E534" s="19" t="s">
        <v>23</v>
      </c>
      <c r="F534" s="19" t="str">
        <f>Catalog!AB286</f>
        <v>Bratt Bot</v>
      </c>
      <c r="G534" s="15" t="s">
        <v>12</v>
      </c>
      <c r="H534" s="13"/>
      <c r="I534" s="13"/>
    </row>
    <row r="535" spans="1:9" ht="28" x14ac:dyDescent="0.15">
      <c r="A535" s="11" t="s">
        <v>41</v>
      </c>
      <c r="B535" s="12" t="str">
        <f>Catalog!E286</f>
        <v>lootBrattToy</v>
      </c>
      <c r="C535" s="20">
        <f>Catalog!W286</f>
        <v>0</v>
      </c>
      <c r="D535" s="20" t="str">
        <f>Catalog!X286</f>
        <v>unearned</v>
      </c>
      <c r="E535" s="19" t="s">
        <v>25</v>
      </c>
      <c r="F535" s="19" t="str">
        <f>Catalog!AD286</f>
        <v>Bratt is not a fan of jumbotrons. Why are they so big and float-y?</v>
      </c>
      <c r="G535" s="15" t="s">
        <v>12</v>
      </c>
      <c r="H535" s="13" t="s">
        <v>63</v>
      </c>
      <c r="I535" s="13"/>
    </row>
    <row r="536" spans="1:9" ht="15" x14ac:dyDescent="0.15">
      <c r="A536" s="11" t="s">
        <v>41</v>
      </c>
      <c r="B536" s="12" t="str">
        <f>Catalog!E286</f>
        <v>lootBrattToy</v>
      </c>
      <c r="C536" s="20">
        <f>Catalog!W286</f>
        <v>0</v>
      </c>
      <c r="D536" s="20" t="str">
        <f>Catalog!X286</f>
        <v>unearned</v>
      </c>
      <c r="E536" s="19" t="s">
        <v>34</v>
      </c>
      <c r="F536" s="20" t="str">
        <f>Catalog!AE286</f>
        <v>1,000 points</v>
      </c>
      <c r="G536" s="15" t="s">
        <v>12</v>
      </c>
      <c r="H536" s="13"/>
      <c r="I536" s="13"/>
    </row>
    <row r="537" spans="1:9" ht="28" x14ac:dyDescent="0.15">
      <c r="A537" s="11" t="s">
        <v>41</v>
      </c>
      <c r="B537" s="12" t="str">
        <f>Catalog!E286</f>
        <v>lootBrattToy</v>
      </c>
      <c r="C537" s="20">
        <f>Catalog!BD286</f>
        <v>2</v>
      </c>
      <c r="D537" s="20" t="str">
        <f>Catalog!BE299</f>
        <v>earned</v>
      </c>
      <c r="E537" s="19" t="s">
        <v>25</v>
      </c>
      <c r="F537" s="19" t="str">
        <f>Catalog!BL286</f>
        <v>You found a Mint Condition Bratt Bot, untouched, unloved…ready for revenge.</v>
      </c>
      <c r="G537" s="15" t="s">
        <v>12</v>
      </c>
      <c r="H537" s="13"/>
      <c r="I537" s="13"/>
    </row>
    <row r="538" spans="1:9" ht="15" x14ac:dyDescent="0.15">
      <c r="A538" s="11" t="s">
        <v>41</v>
      </c>
      <c r="B538" s="12" t="str">
        <f>Catalog!$E$305</f>
        <v>lootLunchbox</v>
      </c>
      <c r="C538" s="20">
        <f>Catalog!$W$305</f>
        <v>0</v>
      </c>
      <c r="D538" s="20" t="str">
        <f>Catalog!$X$305</f>
        <v>unearned</v>
      </c>
      <c r="E538" s="19" t="s">
        <v>23</v>
      </c>
      <c r="F538" s="20" t="str">
        <f>Catalog!$AB$305</f>
        <v>Scarlet Overkill Lunchbox</v>
      </c>
      <c r="G538" s="15" t="s">
        <v>12</v>
      </c>
      <c r="H538" s="13"/>
      <c r="I538" s="13"/>
    </row>
    <row r="539" spans="1:9" ht="15" x14ac:dyDescent="0.15">
      <c r="A539" s="11" t="s">
        <v>41</v>
      </c>
      <c r="B539" s="12" t="str">
        <f>Catalog!$E$305</f>
        <v>lootLunchbox</v>
      </c>
      <c r="C539" s="20">
        <f>Catalog!$W$305</f>
        <v>0</v>
      </c>
      <c r="D539" s="20" t="str">
        <f>Catalog!$X$305</f>
        <v>unearned</v>
      </c>
      <c r="E539" s="19" t="s">
        <v>25</v>
      </c>
      <c r="F539" s="20" t="str">
        <f>Catalog!$AD$305</f>
        <v>This one's artfully hidden.</v>
      </c>
      <c r="G539" s="15" t="s">
        <v>12</v>
      </c>
      <c r="H539" s="13" t="s">
        <v>64</v>
      </c>
      <c r="I539" s="13"/>
    </row>
    <row r="540" spans="1:9" ht="15" x14ac:dyDescent="0.15">
      <c r="A540" s="11" t="s">
        <v>41</v>
      </c>
      <c r="B540" s="12" t="str">
        <f>Catalog!$E$305</f>
        <v>lootLunchbox</v>
      </c>
      <c r="C540" s="20">
        <f>Catalog!$W$305</f>
        <v>0</v>
      </c>
      <c r="D540" s="20" t="str">
        <f>Catalog!$X$305</f>
        <v>unearned</v>
      </c>
      <c r="E540" s="19" t="s">
        <v>34</v>
      </c>
      <c r="F540" s="20" t="str">
        <f>Catalog!$AE$305</f>
        <v>1,000 points</v>
      </c>
      <c r="G540" s="15" t="s">
        <v>12</v>
      </c>
      <c r="H540" s="13"/>
      <c r="I540" s="13"/>
    </row>
    <row r="541" spans="1:9" ht="28" x14ac:dyDescent="0.15">
      <c r="A541" s="11" t="s">
        <v>41</v>
      </c>
      <c r="B541" s="12" t="str">
        <f>Catalog!$E$305</f>
        <v>lootLunchbox</v>
      </c>
      <c r="C541" s="20">
        <f>Catalog!$BD$305</f>
        <v>2</v>
      </c>
      <c r="D541" s="20" t="str">
        <f>Catalog!$BE$305</f>
        <v>earned</v>
      </c>
      <c r="E541" s="19" t="s">
        <v>25</v>
      </c>
      <c r="F541" s="20" t="str">
        <f>Catalog!$BL$305</f>
        <v>Stuart will be so excited to get his Scarlet Overkill Lunchbox back! Let’s not tell Gru.</v>
      </c>
      <c r="G541" s="15" t="s">
        <v>65</v>
      </c>
      <c r="H541" s="13"/>
      <c r="I541" s="13"/>
    </row>
    <row r="542" spans="1:9" ht="15" x14ac:dyDescent="0.15">
      <c r="A542" s="11" t="s">
        <v>41</v>
      </c>
      <c r="B542" s="12" t="str">
        <f>Catalog!$E$315</f>
        <v>lootGoldenGuardianRobot</v>
      </c>
      <c r="C542" s="20">
        <f>Catalog!$W$315</f>
        <v>0</v>
      </c>
      <c r="D542" s="20" t="str">
        <f>Catalog!$X$315</f>
        <v>unearned</v>
      </c>
      <c r="E542" s="19" t="s">
        <v>23</v>
      </c>
      <c r="F542" s="20" t="str">
        <f>Catalog!$AB$315</f>
        <v>Golden Guardian Statue</v>
      </c>
      <c r="G542" s="15" t="s">
        <v>12</v>
      </c>
      <c r="H542" s="13"/>
      <c r="I542" s="13"/>
    </row>
    <row r="543" spans="1:9" ht="28" x14ac:dyDescent="0.15">
      <c r="A543" s="11" t="s">
        <v>41</v>
      </c>
      <c r="B543" s="12" t="str">
        <f>Catalog!$E$315</f>
        <v>lootGoldenGuardianRobot</v>
      </c>
      <c r="C543" s="20">
        <f>Catalog!$W$315</f>
        <v>0</v>
      </c>
      <c r="D543" s="20" t="str">
        <f>Catalog!$X$315</f>
        <v>unearned</v>
      </c>
      <c r="E543" s="19" t="s">
        <v>25</v>
      </c>
      <c r="F543" s="20" t="str">
        <f>Catalog!$AD$315</f>
        <v>Chandeliers are fine, but you know what's *really* shiny? The Golden Guardian Robot!!</v>
      </c>
      <c r="G543" s="15" t="s">
        <v>12</v>
      </c>
      <c r="H543" s="13" t="s">
        <v>66</v>
      </c>
      <c r="I543" s="13"/>
    </row>
    <row r="544" spans="1:9" ht="15" x14ac:dyDescent="0.15">
      <c r="A544" s="11" t="s">
        <v>41</v>
      </c>
      <c r="B544" s="12" t="str">
        <f>Catalog!$E$315</f>
        <v>lootGoldenGuardianRobot</v>
      </c>
      <c r="C544" s="20">
        <f>Catalog!$W$315</f>
        <v>0</v>
      </c>
      <c r="D544" s="20" t="str">
        <f>Catalog!$X$315</f>
        <v>unearned</v>
      </c>
      <c r="E544" s="19" t="s">
        <v>34</v>
      </c>
      <c r="F544" s="20" t="str">
        <f>Catalog!$AE$315</f>
        <v>1,000 points</v>
      </c>
      <c r="G544" s="15" t="s">
        <v>12</v>
      </c>
      <c r="H544" s="13"/>
      <c r="I544" s="13"/>
    </row>
    <row r="545" spans="1:9" ht="28" x14ac:dyDescent="0.15">
      <c r="A545" s="11" t="s">
        <v>41</v>
      </c>
      <c r="B545" s="12" t="str">
        <f>Catalog!$E$315</f>
        <v>lootGoldenGuardianRobot</v>
      </c>
      <c r="C545" s="20">
        <f>Catalog!$BD$315</f>
        <v>2</v>
      </c>
      <c r="D545" s="20" t="str">
        <f>Catalog!$BE$315</f>
        <v>earned</v>
      </c>
      <c r="E545" s="19" t="s">
        <v>25</v>
      </c>
      <c r="F545" s="20" t="str">
        <f>Catalog!$BL$315</f>
        <v>You found the Golden Guardian Robot! It will defend its charge...TO THE DEATH</v>
      </c>
      <c r="G545" s="15" t="s">
        <v>12</v>
      </c>
      <c r="H545" s="13"/>
      <c r="I545" s="13"/>
    </row>
    <row r="546" spans="1:9" ht="15" x14ac:dyDescent="0.15">
      <c r="A546" s="11" t="s">
        <v>41</v>
      </c>
      <c r="B546" s="12" t="str">
        <f>Catalog!$E$322</f>
        <v>lootGrusV6Drawing</v>
      </c>
      <c r="C546" s="19">
        <v>0</v>
      </c>
      <c r="D546" s="19" t="s">
        <v>37</v>
      </c>
      <c r="E546" s="19" t="s">
        <v>23</v>
      </c>
      <c r="F546" s="20" t="str">
        <f>Catalog!AB322</f>
        <v>Gru's Vicious 6 Drawing</v>
      </c>
      <c r="G546" s="15" t="s">
        <v>12</v>
      </c>
      <c r="H546" s="13"/>
      <c r="I546" s="13"/>
    </row>
    <row r="547" spans="1:9" ht="28" x14ac:dyDescent="0.15">
      <c r="A547" s="11" t="s">
        <v>41</v>
      </c>
      <c r="B547" s="12" t="str">
        <f>Catalog!$E$322</f>
        <v>lootGrusV6Drawing</v>
      </c>
      <c r="C547" s="19">
        <v>0</v>
      </c>
      <c r="D547" s="19" t="s">
        <v>37</v>
      </c>
      <c r="E547" s="19" t="s">
        <v>25</v>
      </c>
      <c r="F547" s="20" t="str">
        <f>Catalog!AD322</f>
        <v>Force Nunchuck to play only classical music and find some famous fan art.</v>
      </c>
      <c r="G547" s="15" t="s">
        <v>51</v>
      </c>
      <c r="H547" s="13" t="s">
        <v>67</v>
      </c>
      <c r="I547" s="13"/>
    </row>
    <row r="548" spans="1:9" ht="15" x14ac:dyDescent="0.15">
      <c r="A548" s="11" t="s">
        <v>41</v>
      </c>
      <c r="B548" s="12" t="str">
        <f>Catalog!$E$322</f>
        <v>lootGrusV6Drawing</v>
      </c>
      <c r="C548" s="19">
        <v>0</v>
      </c>
      <c r="D548" s="19" t="s">
        <v>37</v>
      </c>
      <c r="E548" s="19" t="s">
        <v>34</v>
      </c>
      <c r="F548" s="20" t="str">
        <f>Catalog!AE322</f>
        <v>1,000 points</v>
      </c>
      <c r="G548" s="15" t="s">
        <v>14</v>
      </c>
      <c r="H548" s="13"/>
      <c r="I548" s="13"/>
    </row>
    <row r="549" spans="1:9" ht="28" x14ac:dyDescent="0.15">
      <c r="A549" s="11" t="s">
        <v>41</v>
      </c>
      <c r="B549" s="12" t="str">
        <f>Catalog!$E$322</f>
        <v>lootGrusV6Drawing</v>
      </c>
      <c r="C549" s="19">
        <v>2</v>
      </c>
      <c r="D549" s="19" t="s">
        <v>38</v>
      </c>
      <c r="E549" s="19" t="s">
        <v>25</v>
      </c>
      <c r="F549" s="20" t="str">
        <f>Catalog!BL322</f>
        <v>You found the Vicious 6 drawing that Gru made as a kid! How adorably evil!</v>
      </c>
      <c r="G549" s="15" t="s">
        <v>28</v>
      </c>
      <c r="H549" s="13"/>
      <c r="I549" s="13"/>
    </row>
    <row r="550" spans="1:9" ht="15" x14ac:dyDescent="0.15">
      <c r="A550" s="11" t="s">
        <v>41</v>
      </c>
      <c r="B550" s="12" t="str">
        <f>Catalog!$E$303</f>
        <v>lootPinkSpacesuit</v>
      </c>
      <c r="C550" s="20">
        <f>Catalog!$W$303</f>
        <v>0</v>
      </c>
      <c r="D550" s="20" t="str">
        <f>Catalog!$X$303</f>
        <v>unearned</v>
      </c>
      <c r="E550" s="19" t="s">
        <v>23</v>
      </c>
      <c r="F550" s="20" t="str">
        <f>Catalog!$AB$303</f>
        <v>Gru's Pink Spacesuit</v>
      </c>
      <c r="G550" s="15" t="s">
        <v>28</v>
      </c>
      <c r="H550" s="13"/>
      <c r="I550" s="13"/>
    </row>
    <row r="551" spans="1:9" ht="28" x14ac:dyDescent="0.15">
      <c r="A551" s="11" t="s">
        <v>41</v>
      </c>
      <c r="B551" s="12" t="str">
        <f>Catalog!$E$303</f>
        <v>lootPinkSpacesuit</v>
      </c>
      <c r="C551" s="20">
        <f>Catalog!$W$303</f>
        <v>0</v>
      </c>
      <c r="D551" s="20" t="str">
        <f>Catalog!$X$303</f>
        <v>unearned</v>
      </c>
      <c r="E551" s="19" t="s">
        <v>25</v>
      </c>
      <c r="F551" s="20" t="str">
        <f>Catalog!$AD$303</f>
        <v xml:space="preserve">Gru's pink spacesuit isn't on a shooting star, maybe try another spinning light.  </v>
      </c>
      <c r="G551" s="15" t="s">
        <v>14</v>
      </c>
      <c r="H551" s="13" t="s">
        <v>68</v>
      </c>
      <c r="I551" s="13"/>
    </row>
    <row r="552" spans="1:9" ht="15" x14ac:dyDescent="0.15">
      <c r="A552" s="11" t="s">
        <v>41</v>
      </c>
      <c r="B552" s="12" t="str">
        <f>Catalog!$E$303</f>
        <v>lootPinkSpacesuit</v>
      </c>
      <c r="C552" s="20">
        <f>Catalog!$W$303</f>
        <v>0</v>
      </c>
      <c r="D552" s="20" t="str">
        <f>Catalog!$X$303</f>
        <v>unearned</v>
      </c>
      <c r="E552" s="19" t="s">
        <v>34</v>
      </c>
      <c r="F552" s="20" t="str">
        <f>Catalog!$AE$303</f>
        <v>1,000 points</v>
      </c>
      <c r="G552" s="15" t="s">
        <v>28</v>
      </c>
      <c r="H552" s="13"/>
      <c r="I552" s="13"/>
    </row>
    <row r="553" spans="1:9" ht="28" x14ac:dyDescent="0.15">
      <c r="A553" s="11" t="s">
        <v>41</v>
      </c>
      <c r="B553" s="12" t="str">
        <f>Catalog!$E$303</f>
        <v>lootPinkSpacesuit</v>
      </c>
      <c r="C553" s="20">
        <f>Catalog!$BD$303</f>
        <v>2</v>
      </c>
      <c r="D553" s="20" t="str">
        <f>Catalog!$BE$303</f>
        <v>earned</v>
      </c>
      <c r="E553" s="19" t="s">
        <v>25</v>
      </c>
      <c r="F553" s="20" t="str">
        <f>Catalog!$BL$303</f>
        <v>You found Gru's Pink Spacesuit! Functional AND fashionable.</v>
      </c>
      <c r="G553" s="15" t="s">
        <v>28</v>
      </c>
      <c r="H553" s="13"/>
      <c r="I553" s="13"/>
    </row>
    <row r="554" spans="1:9" ht="15" x14ac:dyDescent="0.15">
      <c r="A554" s="11" t="s">
        <v>41</v>
      </c>
      <c r="B554" s="12" t="str">
        <f>Catalog!E278</f>
        <v>lootGuacSombrero</v>
      </c>
      <c r="C554" s="20">
        <f>Catalog!W278</f>
        <v>0</v>
      </c>
      <c r="D554" s="20" t="str">
        <f>Catalog!X278</f>
        <v>unearned</v>
      </c>
      <c r="E554" s="19" t="s">
        <v>23</v>
      </c>
      <c r="F554" s="19" t="str">
        <f>Catalog!AB278</f>
        <v>Guacamole Sombrero</v>
      </c>
      <c r="G554" s="15" t="s">
        <v>28</v>
      </c>
      <c r="H554" s="13"/>
      <c r="I554" s="13"/>
    </row>
    <row r="555" spans="1:9" ht="28" x14ac:dyDescent="0.15">
      <c r="A555" s="11" t="s">
        <v>41</v>
      </c>
      <c r="B555" s="12" t="str">
        <f>Catalog!E278</f>
        <v>lootGuacSombrero</v>
      </c>
      <c r="C555" s="20">
        <f>Catalog!W278</f>
        <v>0</v>
      </c>
      <c r="D555" s="20" t="str">
        <f>Catalog!X278</f>
        <v>unearned</v>
      </c>
      <c r="E555" s="19" t="s">
        <v>25</v>
      </c>
      <c r="F555" s="19" t="str">
        <f>Catalog!AD278</f>
        <v>Nothing goes better with fiery rock music than novelty food items.</v>
      </c>
      <c r="G555" s="15" t="s">
        <v>51</v>
      </c>
      <c r="H555" s="13" t="s">
        <v>69</v>
      </c>
      <c r="I555" s="13"/>
    </row>
    <row r="556" spans="1:9" ht="15" x14ac:dyDescent="0.15">
      <c r="A556" s="11" t="s">
        <v>41</v>
      </c>
      <c r="B556" s="12" t="str">
        <f>Catalog!E278</f>
        <v>lootGuacSombrero</v>
      </c>
      <c r="C556" s="20">
        <f>Catalog!W278</f>
        <v>0</v>
      </c>
      <c r="D556" s="20" t="str">
        <f>Catalog!X278</f>
        <v>unearned</v>
      </c>
      <c r="E556" s="19" t="s">
        <v>34</v>
      </c>
      <c r="F556" s="20" t="str">
        <f>Catalog!AE278</f>
        <v>1,000 points</v>
      </c>
      <c r="G556" s="15" t="s">
        <v>28</v>
      </c>
      <c r="H556" s="13"/>
      <c r="I556" s="13"/>
    </row>
    <row r="557" spans="1:9" ht="28" x14ac:dyDescent="0.15">
      <c r="A557" s="11" t="s">
        <v>41</v>
      </c>
      <c r="B557" s="12" t="str">
        <f>Catalog!E278</f>
        <v>lootGuacSombrero</v>
      </c>
      <c r="C557" s="20">
        <f>Catalog!BD278</f>
        <v>2</v>
      </c>
      <c r="D557" s="20" t="str">
        <f>Catalog!BE278</f>
        <v>earned</v>
      </c>
      <c r="E557" s="19" t="s">
        <v>25</v>
      </c>
      <c r="F557" s="19" t="str">
        <f>Catalog!BL278</f>
        <v xml:space="preserve">Is it Cinco de Mayo? Cause you just found a guacamole-filled chip sombrero! </v>
      </c>
      <c r="G557" s="15" t="s">
        <v>14</v>
      </c>
      <c r="H557" s="13"/>
      <c r="I557" s="13"/>
    </row>
    <row r="558" spans="1:9" ht="15" x14ac:dyDescent="0.15">
      <c r="A558" s="11" t="s">
        <v>41</v>
      </c>
      <c r="B558" s="12" t="str">
        <f>Catalog!$E$279</f>
        <v>lootLipstickTaser</v>
      </c>
      <c r="C558" s="19">
        <v>0</v>
      </c>
      <c r="D558" s="19" t="s">
        <v>37</v>
      </c>
      <c r="E558" s="19" t="s">
        <v>23</v>
      </c>
      <c r="F558" s="20" t="str">
        <f>Catalog!AB279</f>
        <v>Lipstick Taser</v>
      </c>
      <c r="G558" s="15" t="s">
        <v>28</v>
      </c>
      <c r="H558" s="13"/>
      <c r="I558" s="13"/>
    </row>
    <row r="559" spans="1:9" ht="28" x14ac:dyDescent="0.15">
      <c r="A559" s="11" t="s">
        <v>41</v>
      </c>
      <c r="B559" s="12" t="str">
        <f>Catalog!$E$279</f>
        <v>lootLipstickTaser</v>
      </c>
      <c r="C559" s="19">
        <v>0</v>
      </c>
      <c r="D559" s="19" t="s">
        <v>37</v>
      </c>
      <c r="E559" s="19" t="s">
        <v>25</v>
      </c>
      <c r="F559" s="19" t="str">
        <f>Catalog!AD279</f>
        <v>A lightning round of synth music might reveal a lipstick taser.</v>
      </c>
      <c r="G559" s="15" t="s">
        <v>51</v>
      </c>
      <c r="H559" s="13" t="s">
        <v>70</v>
      </c>
    </row>
    <row r="560" spans="1:9" ht="15" x14ac:dyDescent="0.15">
      <c r="A560" s="11" t="s">
        <v>41</v>
      </c>
      <c r="B560" s="12" t="str">
        <f>Catalog!$E$279</f>
        <v>lootLipstickTaser</v>
      </c>
      <c r="C560" s="19">
        <v>0</v>
      </c>
      <c r="D560" s="19" t="s">
        <v>37</v>
      </c>
      <c r="E560" s="19" t="s">
        <v>34</v>
      </c>
      <c r="F560" s="20" t="str">
        <f>Catalog!AE279</f>
        <v>1,000 points</v>
      </c>
      <c r="G560" s="15" t="s">
        <v>28</v>
      </c>
      <c r="H560" s="13"/>
      <c r="I560" s="13"/>
    </row>
    <row r="561" spans="1:9" ht="15" x14ac:dyDescent="0.15">
      <c r="A561" s="11" t="s">
        <v>41</v>
      </c>
      <c r="B561" s="12" t="str">
        <f>Catalog!$E$279</f>
        <v>lootLipstickTaser</v>
      </c>
      <c r="C561" s="19">
        <v>2</v>
      </c>
      <c r="D561" s="19" t="s">
        <v>38</v>
      </c>
      <c r="E561" s="19" t="s">
        <v>25</v>
      </c>
      <c r="F561" s="20" t="str">
        <f>Catalog!BL279</f>
        <v>You found the...Lipstick Taserrrrrr!</v>
      </c>
      <c r="G561" s="15" t="s">
        <v>28</v>
      </c>
      <c r="H561" s="13"/>
      <c r="I561" s="13"/>
    </row>
    <row r="562" spans="1:9" ht="15" x14ac:dyDescent="0.15">
      <c r="A562" s="11" t="s">
        <v>41</v>
      </c>
      <c r="B562" s="12" t="str">
        <f>Catalog!E320</f>
        <v>lootTeddyBear</v>
      </c>
      <c r="C562" s="20">
        <f>Catalog!W320</f>
        <v>0</v>
      </c>
      <c r="D562" s="20" t="str">
        <f>Catalog!X320</f>
        <v>unearned</v>
      </c>
      <c r="E562" s="19" t="s">
        <v>23</v>
      </c>
      <c r="F562" s="19" t="str">
        <f>Catalog!AB320</f>
        <v>Bob's Teddy Bear Tim</v>
      </c>
      <c r="G562" s="15" t="s">
        <v>28</v>
      </c>
      <c r="H562" s="13"/>
      <c r="I562" s="13"/>
    </row>
    <row r="563" spans="1:9" ht="15" x14ac:dyDescent="0.15">
      <c r="A563" s="11" t="s">
        <v>41</v>
      </c>
      <c r="B563" s="12" t="str">
        <f>Catalog!E320</f>
        <v>lootTeddyBear</v>
      </c>
      <c r="C563" s="20">
        <f>Catalog!W320</f>
        <v>0</v>
      </c>
      <c r="D563" s="20" t="str">
        <f>Catalog!X320</f>
        <v>unearned</v>
      </c>
      <c r="E563" s="19" t="s">
        <v>25</v>
      </c>
      <c r="F563" s="19" t="str">
        <f>Catalog!AD320</f>
        <v>Oh no! Is Tim stuck in a waterpipe? He needs to dry off!</v>
      </c>
      <c r="G563" s="15" t="s">
        <v>28</v>
      </c>
      <c r="H563" s="13" t="s">
        <v>71</v>
      </c>
      <c r="I563" s="13"/>
    </row>
    <row r="564" spans="1:9" ht="15" x14ac:dyDescent="0.15">
      <c r="A564" s="11" t="s">
        <v>41</v>
      </c>
      <c r="B564" s="12" t="str">
        <f>Catalog!E320</f>
        <v>lootTeddyBear</v>
      </c>
      <c r="C564" s="20">
        <f>Catalog!W320</f>
        <v>0</v>
      </c>
      <c r="D564" s="20" t="str">
        <f>Catalog!X320</f>
        <v>unearned</v>
      </c>
      <c r="E564" s="19" t="s">
        <v>34</v>
      </c>
      <c r="F564" s="20" t="str">
        <f>Catalog!AE320</f>
        <v>1,000 points</v>
      </c>
      <c r="G564" s="15" t="s">
        <v>28</v>
      </c>
      <c r="H564" s="13"/>
      <c r="I564" s="13"/>
    </row>
    <row r="565" spans="1:9" ht="28" x14ac:dyDescent="0.15">
      <c r="A565" s="11" t="s">
        <v>41</v>
      </c>
      <c r="B565" s="12" t="str">
        <f>Catalog!E320</f>
        <v>lootTeddyBear</v>
      </c>
      <c r="C565" s="20">
        <f>Catalog!BD320</f>
        <v>2</v>
      </c>
      <c r="D565" s="20" t="str">
        <f>Catalog!BE320</f>
        <v>earned</v>
      </c>
      <c r="E565" s="19" t="s">
        <v>25</v>
      </c>
      <c r="F565" s="19" t="str">
        <f>Catalog!BL320</f>
        <v>You found Bob's Teddy Bear! Now he'll finally be able to sleep.</v>
      </c>
      <c r="G565" s="15" t="s">
        <v>28</v>
      </c>
      <c r="H565" s="13"/>
      <c r="I565" s="13"/>
    </row>
    <row r="566" spans="1:9" ht="15" x14ac:dyDescent="0.15">
      <c r="A566" s="11" t="s">
        <v>41</v>
      </c>
      <c r="B566" s="12" t="str">
        <f>Catalog!$E$330</f>
        <v>lootDiamond</v>
      </c>
      <c r="C566" s="19">
        <v>0</v>
      </c>
      <c r="D566" s="19" t="s">
        <v>37</v>
      </c>
      <c r="E566" s="19" t="s">
        <v>23</v>
      </c>
      <c r="F566" s="19" t="str">
        <f>Catalog!AB330</f>
        <v>Dumont Diamond</v>
      </c>
      <c r="G566" s="15" t="s">
        <v>28</v>
      </c>
      <c r="I566" s="13"/>
    </row>
    <row r="567" spans="1:9" ht="28" x14ac:dyDescent="0.15">
      <c r="A567" s="11" t="s">
        <v>41</v>
      </c>
      <c r="B567" s="12" t="str">
        <f>Catalog!$E$330</f>
        <v>lootDiamond</v>
      </c>
      <c r="C567" s="19">
        <v>0</v>
      </c>
      <c r="D567" s="19" t="s">
        <v>37</v>
      </c>
      <c r="E567" s="19" t="s">
        <v>25</v>
      </c>
      <c r="F567" s="19" t="str">
        <f>Catalog!AD330</f>
        <v>To search the skies for The Dumond Diamond, you might need a blimp.</v>
      </c>
      <c r="G567" s="15" t="s">
        <v>51</v>
      </c>
      <c r="H567" s="13" t="s">
        <v>72</v>
      </c>
      <c r="I567" s="13"/>
    </row>
    <row r="568" spans="1:9" ht="15" x14ac:dyDescent="0.15">
      <c r="A568" s="11" t="s">
        <v>41</v>
      </c>
      <c r="B568" s="12" t="str">
        <f>Catalog!$E$330</f>
        <v>lootDiamond</v>
      </c>
      <c r="C568" s="19">
        <v>0</v>
      </c>
      <c r="D568" s="19" t="s">
        <v>37</v>
      </c>
      <c r="E568" s="19" t="s">
        <v>34</v>
      </c>
      <c r="F568" s="20" t="str">
        <f>Catalog!AE330</f>
        <v>3,000 points</v>
      </c>
      <c r="G568" s="15" t="s">
        <v>28</v>
      </c>
      <c r="H568" s="13"/>
      <c r="I568" s="13"/>
    </row>
    <row r="569" spans="1:9" ht="28" x14ac:dyDescent="0.15">
      <c r="A569" s="11" t="s">
        <v>41</v>
      </c>
      <c r="B569" s="12" t="str">
        <f>Catalog!$E$330</f>
        <v>lootDiamond</v>
      </c>
      <c r="C569" s="19">
        <v>2</v>
      </c>
      <c r="D569" s="19" t="s">
        <v>38</v>
      </c>
      <c r="E569" s="19" t="s">
        <v>25</v>
      </c>
      <c r="F569" s="19" t="str">
        <f>Catalog!BL330</f>
        <v xml:space="preserve">You found the Dumont Diamond! How could Clyde let this happen! Clyde?! CLYDE!!! </v>
      </c>
      <c r="G569" s="15" t="s">
        <v>14</v>
      </c>
      <c r="H569" s="13"/>
      <c r="I569" s="13"/>
    </row>
    <row r="570" spans="1:9" ht="15" x14ac:dyDescent="0.15">
      <c r="A570" s="11" t="s">
        <v>41</v>
      </c>
      <c r="B570" s="12" t="str">
        <f>Catalog!$E$324</f>
        <v>lootGirlsDrawing</v>
      </c>
      <c r="C570" s="19">
        <v>0</v>
      </c>
      <c r="D570" s="19" t="s">
        <v>37</v>
      </c>
      <c r="E570" s="19" t="s">
        <v>23</v>
      </c>
      <c r="F570" s="19" t="str">
        <f>Catalog!AB324</f>
        <v>Drawing of Gru on the Toilet</v>
      </c>
      <c r="G570" s="15" t="s">
        <v>28</v>
      </c>
      <c r="H570" s="13"/>
      <c r="I570" s="13"/>
    </row>
    <row r="571" spans="1:9" ht="28" x14ac:dyDescent="0.15">
      <c r="A571" s="11" t="s">
        <v>41</v>
      </c>
      <c r="B571" s="12" t="str">
        <f>Catalog!$E$324</f>
        <v>lootGirlsDrawing</v>
      </c>
      <c r="C571" s="19">
        <v>0</v>
      </c>
      <c r="D571" s="19" t="s">
        <v>37</v>
      </c>
      <c r="E571" s="19" t="s">
        <v>25</v>
      </c>
      <c r="F571" s="19" t="str">
        <f>Catalog!AD324</f>
        <v>This drawing of a man on his throne might be found among the ruins of a castle.</v>
      </c>
      <c r="G571" s="15" t="s">
        <v>73</v>
      </c>
      <c r="H571" s="13" t="s">
        <v>74</v>
      </c>
      <c r="I571" s="13"/>
    </row>
    <row r="572" spans="1:9" ht="15" x14ac:dyDescent="0.15">
      <c r="A572" s="11" t="s">
        <v>41</v>
      </c>
      <c r="B572" s="12" t="str">
        <f>Catalog!$E$324</f>
        <v>lootGirlsDrawing</v>
      </c>
      <c r="C572" s="19">
        <v>0</v>
      </c>
      <c r="D572" s="19" t="s">
        <v>37</v>
      </c>
      <c r="E572" s="19" t="s">
        <v>34</v>
      </c>
      <c r="F572" s="20" t="str">
        <f>Catalog!AE324</f>
        <v>3,000 points</v>
      </c>
      <c r="G572" s="15" t="s">
        <v>28</v>
      </c>
      <c r="H572" s="13"/>
      <c r="I572" s="13"/>
    </row>
    <row r="573" spans="1:9" ht="28" x14ac:dyDescent="0.15">
      <c r="A573" s="11" t="s">
        <v>41</v>
      </c>
      <c r="B573" s="12" t="str">
        <f>Catalog!$E$324</f>
        <v>lootGirlsDrawing</v>
      </c>
      <c r="C573" s="19">
        <v>2</v>
      </c>
      <c r="D573" s="19" t="s">
        <v>38</v>
      </c>
      <c r="E573" s="19" t="s">
        <v>25</v>
      </c>
      <c r="F573" s="19" t="str">
        <f>Catalog!BL324</f>
        <v>This belongs in a museum! It's the girls' drawing of Gru on the toilet!</v>
      </c>
      <c r="G573" s="15" t="s">
        <v>14</v>
      </c>
      <c r="H573" s="13"/>
      <c r="I573" s="13"/>
    </row>
    <row r="574" spans="1:9" ht="15" x14ac:dyDescent="0.15">
      <c r="A574" s="11" t="s">
        <v>41</v>
      </c>
      <c r="B574" s="12" t="str">
        <f>Catalog!$E$361</f>
        <v>lootExcalibur</v>
      </c>
      <c r="C574" s="19">
        <v>0</v>
      </c>
      <c r="D574" s="19" t="s">
        <v>37</v>
      </c>
      <c r="E574" s="19" t="s">
        <v>23</v>
      </c>
      <c r="F574" s="20" t="str">
        <f>Catalog!AB361</f>
        <v>Sword of Excalibur</v>
      </c>
      <c r="G574" s="15" t="s">
        <v>28</v>
      </c>
      <c r="H574" s="13"/>
      <c r="I574" s="13"/>
    </row>
    <row r="575" spans="1:9" ht="28" x14ac:dyDescent="0.15">
      <c r="A575" s="11" t="s">
        <v>41</v>
      </c>
      <c r="B575" s="12" t="str">
        <f>Catalog!$E$361</f>
        <v>lootExcalibur</v>
      </c>
      <c r="C575" s="19">
        <v>0</v>
      </c>
      <c r="D575" s="19" t="s">
        <v>37</v>
      </c>
      <c r="E575" s="19" t="s">
        <v>25</v>
      </c>
      <c r="F575" s="20" t="str">
        <f>Catalog!AD361</f>
        <v>A swinging arm may wield this famous sword.</v>
      </c>
      <c r="G575" s="15" t="s">
        <v>57</v>
      </c>
      <c r="H575" s="13" t="s">
        <v>75</v>
      </c>
      <c r="I575" s="13"/>
    </row>
    <row r="576" spans="1:9" ht="15" x14ac:dyDescent="0.15">
      <c r="A576" s="11" t="s">
        <v>41</v>
      </c>
      <c r="B576" s="12" t="str">
        <f>Catalog!$E$361</f>
        <v>lootExcalibur</v>
      </c>
      <c r="C576" s="19">
        <v>0</v>
      </c>
      <c r="D576" s="19" t="s">
        <v>37</v>
      </c>
      <c r="E576" s="19" t="s">
        <v>34</v>
      </c>
      <c r="F576" s="20" t="str">
        <f>Catalog!AE361</f>
        <v>3,000 points</v>
      </c>
      <c r="G576" s="15" t="s">
        <v>28</v>
      </c>
      <c r="H576" s="13"/>
      <c r="I576" s="13"/>
    </row>
    <row r="577" spans="1:9" ht="28" x14ac:dyDescent="0.15">
      <c r="A577" s="11" t="s">
        <v>41</v>
      </c>
      <c r="B577" s="12" t="str">
        <f>Catalog!$E$361</f>
        <v>lootExcalibur</v>
      </c>
      <c r="C577" s="19">
        <v>2</v>
      </c>
      <c r="D577" s="19" t="s">
        <v>38</v>
      </c>
      <c r="E577" s="19" t="s">
        <v>25</v>
      </c>
      <c r="F577" s="20" t="str">
        <f>Catalog!BL361</f>
        <v xml:space="preserve">You found the Sword of Excalibur! You are now the stuff of legend! </v>
      </c>
      <c r="G577" s="15" t="s">
        <v>14</v>
      </c>
      <c r="H577" s="13"/>
      <c r="I577" s="13"/>
    </row>
    <row r="578" spans="1:9" ht="15" x14ac:dyDescent="0.15">
      <c r="A578" s="11" t="s">
        <v>41</v>
      </c>
      <c r="B578" s="12" t="str">
        <f>Catalog!E329</f>
        <v>lootUnicornOriginal</v>
      </c>
      <c r="C578" s="20">
        <f>Catalog!W329</f>
        <v>0</v>
      </c>
      <c r="D578" s="20" t="str">
        <f>Catalog!X329</f>
        <v>unearned</v>
      </c>
      <c r="E578" s="19" t="s">
        <v>23</v>
      </c>
      <c r="F578" s="19" t="str">
        <f>Catalog!AB329</f>
        <v>Fluffy!</v>
      </c>
      <c r="G578" s="15" t="s">
        <v>28</v>
      </c>
      <c r="H578" s="13"/>
      <c r="I578" s="13"/>
    </row>
    <row r="579" spans="1:9" ht="28" x14ac:dyDescent="0.15">
      <c r="A579" s="11" t="s">
        <v>41</v>
      </c>
      <c r="B579" s="12" t="str">
        <f>Catalog!E329</f>
        <v>lootUnicornOriginal</v>
      </c>
      <c r="C579" s="20">
        <f>Catalog!W329</f>
        <v>0</v>
      </c>
      <c r="D579" s="20" t="str">
        <f>Catalog!X329</f>
        <v>unearned</v>
      </c>
      <c r="E579" s="19" t="s">
        <v>25</v>
      </c>
      <c r="F579" s="19" t="str">
        <f>Catalog!AD329</f>
        <v xml:space="preserve">There's nothing “under the sun” Gru wouldn't destroy to get back Agnes's prized possession. </v>
      </c>
      <c r="G579" s="15" t="s">
        <v>14</v>
      </c>
      <c r="H579" s="13" t="s">
        <v>76</v>
      </c>
      <c r="I579" s="13"/>
    </row>
    <row r="580" spans="1:9" ht="15" x14ac:dyDescent="0.15">
      <c r="A580" s="11" t="s">
        <v>41</v>
      </c>
      <c r="B580" s="12" t="str">
        <f>Catalog!E329</f>
        <v>lootUnicornOriginal</v>
      </c>
      <c r="C580" s="20">
        <f>Catalog!W329</f>
        <v>0</v>
      </c>
      <c r="D580" s="20" t="str">
        <f>Catalog!X329</f>
        <v>unearned</v>
      </c>
      <c r="E580" s="19" t="s">
        <v>34</v>
      </c>
      <c r="F580" s="20" t="str">
        <f>Catalog!AE329</f>
        <v>3,000 points</v>
      </c>
      <c r="G580" s="15" t="s">
        <v>28</v>
      </c>
      <c r="H580" s="13"/>
      <c r="I580" s="13"/>
    </row>
    <row r="581" spans="1:9" ht="28" x14ac:dyDescent="0.15">
      <c r="A581" s="11" t="s">
        <v>41</v>
      </c>
      <c r="B581" s="12" t="str">
        <f>Catalog!E329</f>
        <v>lootUnicornOriginal</v>
      </c>
      <c r="C581" s="20">
        <f>Catalog!BD329</f>
        <v>2</v>
      </c>
      <c r="D581" s="20" t="str">
        <f>Catalog!BE329</f>
        <v>earned</v>
      </c>
      <c r="E581" s="19" t="s">
        <v>25</v>
      </c>
      <c r="F581" s="19" t="str">
        <f>Catalog!BL329</f>
        <v>You found Fluffy, Agnes's unicorn! And you didn't even have to play a carnival game to win it.</v>
      </c>
      <c r="G581" s="15" t="s">
        <v>14</v>
      </c>
      <c r="H581" s="13"/>
      <c r="I581" s="13"/>
    </row>
    <row r="582" spans="1:9" ht="15" x14ac:dyDescent="0.15">
      <c r="A582" s="11" t="s">
        <v>41</v>
      </c>
      <c r="B582" s="12" t="str">
        <f>Catalog!$E$321</f>
        <v>lootTinyMoon</v>
      </c>
      <c r="C582" s="19">
        <v>0</v>
      </c>
      <c r="D582" s="19" t="s">
        <v>37</v>
      </c>
      <c r="E582" s="19" t="s">
        <v>23</v>
      </c>
      <c r="F582" s="20" t="str">
        <f>Catalog!AB321</f>
        <v>Shrunken Moon</v>
      </c>
      <c r="G582" s="15" t="s">
        <v>28</v>
      </c>
      <c r="H582" s="13"/>
      <c r="I582" s="13"/>
    </row>
    <row r="583" spans="1:9" ht="28" x14ac:dyDescent="0.15">
      <c r="A583" s="11" t="s">
        <v>41</v>
      </c>
      <c r="B583" s="12" t="str">
        <f>Catalog!$E$321</f>
        <v>lootTinyMoon</v>
      </c>
      <c r="C583" s="19">
        <v>0</v>
      </c>
      <c r="D583" s="19" t="s">
        <v>37</v>
      </c>
      <c r="E583" s="19" t="s">
        <v>25</v>
      </c>
      <c r="F583" s="20" t="str">
        <f>Catalog!AD321</f>
        <v>This moon is hiding in a larger globe.</v>
      </c>
      <c r="G583" s="15" t="s">
        <v>28</v>
      </c>
      <c r="H583" s="13" t="s">
        <v>77</v>
      </c>
      <c r="I583" s="13"/>
    </row>
    <row r="584" spans="1:9" ht="15" x14ac:dyDescent="0.15">
      <c r="A584" s="11" t="s">
        <v>41</v>
      </c>
      <c r="B584" s="12" t="str">
        <f>Catalog!$E$321</f>
        <v>lootTinyMoon</v>
      </c>
      <c r="C584" s="19">
        <v>0</v>
      </c>
      <c r="D584" s="19" t="s">
        <v>37</v>
      </c>
      <c r="E584" s="19" t="s">
        <v>34</v>
      </c>
      <c r="F584" s="20" t="str">
        <f>Catalog!AE321</f>
        <v>3,000 points</v>
      </c>
      <c r="G584" s="15" t="s">
        <v>28</v>
      </c>
      <c r="H584" s="13"/>
      <c r="I584" s="13"/>
    </row>
    <row r="585" spans="1:9" ht="28" x14ac:dyDescent="0.15">
      <c r="A585" s="11" t="s">
        <v>41</v>
      </c>
      <c r="B585" s="12" t="str">
        <f>Catalog!$E$321</f>
        <v>lootTinyMoon</v>
      </c>
      <c r="C585" s="19">
        <v>2</v>
      </c>
      <c r="D585" s="19" t="s">
        <v>38</v>
      </c>
      <c r="E585" s="19" t="s">
        <v>25</v>
      </c>
      <c r="F585" s="20" t="str">
        <f>Catalog!BL321</f>
        <v>You got the Shrunken Moon! Now watch as it has a tendecy to expand waithout warning.</v>
      </c>
      <c r="G585" s="15" t="s">
        <v>28</v>
      </c>
      <c r="H585" s="13"/>
      <c r="I585" s="13"/>
    </row>
    <row r="586" spans="1:9" ht="15" x14ac:dyDescent="0.15">
      <c r="A586" s="11" t="s">
        <v>41</v>
      </c>
      <c r="B586" s="12" t="str">
        <f>Catalog!E327</f>
        <v>lootQueensCrown</v>
      </c>
      <c r="C586" s="20">
        <f>Catalog!W327</f>
        <v>0</v>
      </c>
      <c r="D586" s="20" t="str">
        <f>Catalog!X327</f>
        <v>unearned</v>
      </c>
      <c r="E586" s="19" t="s">
        <v>23</v>
      </c>
      <c r="F586" s="19" t="str">
        <f>Catalog!AB327</f>
        <v>Queen's Crown</v>
      </c>
      <c r="G586" s="15" t="s">
        <v>28</v>
      </c>
      <c r="H586" s="13"/>
      <c r="I586" s="13"/>
    </row>
    <row r="587" spans="1:9" ht="28" x14ac:dyDescent="0.15">
      <c r="A587" s="11" t="s">
        <v>41</v>
      </c>
      <c r="B587" s="12" t="str">
        <f>Catalog!E327</f>
        <v>lootQueensCrown</v>
      </c>
      <c r="C587" s="20">
        <f>Catalog!W327</f>
        <v>0</v>
      </c>
      <c r="D587" s="20" t="str">
        <f>Catalog!X327</f>
        <v>unearned</v>
      </c>
      <c r="E587" s="19" t="s">
        <v>25</v>
      </c>
      <c r="F587" s="19" t="str">
        <f>Catalog!AD327</f>
        <v>This may be the ultimate treasure.</v>
      </c>
      <c r="G587" s="15" t="s">
        <v>28</v>
      </c>
      <c r="H587" s="13" t="s">
        <v>78</v>
      </c>
      <c r="I587" s="13"/>
    </row>
    <row r="588" spans="1:9" ht="15" x14ac:dyDescent="0.15">
      <c r="A588" s="11" t="s">
        <v>41</v>
      </c>
      <c r="B588" s="12" t="str">
        <f>Catalog!E327</f>
        <v>lootQueensCrown</v>
      </c>
      <c r="C588" s="20">
        <f>Catalog!W327</f>
        <v>0</v>
      </c>
      <c r="D588" s="20" t="str">
        <f>Catalog!X327</f>
        <v>unearned</v>
      </c>
      <c r="E588" s="19" t="s">
        <v>34</v>
      </c>
      <c r="F588" s="20" t="str">
        <f>Catalog!AE327</f>
        <v>3,000 points</v>
      </c>
      <c r="G588" s="15" t="s">
        <v>28</v>
      </c>
      <c r="H588" s="13"/>
      <c r="I588" s="13"/>
    </row>
    <row r="589" spans="1:9" ht="15" x14ac:dyDescent="0.15">
      <c r="A589" s="11" t="s">
        <v>41</v>
      </c>
      <c r="B589" s="12" t="str">
        <f>Catalog!E327</f>
        <v>lootQueensCrown</v>
      </c>
      <c r="C589" s="20">
        <f>Catalog!BD327</f>
        <v>2</v>
      </c>
      <c r="D589" s="20" t="str">
        <f>Catalog!BE327</f>
        <v>earned</v>
      </c>
      <c r="E589" s="19" t="s">
        <v>25</v>
      </c>
      <c r="F589" s="19" t="str">
        <f>Catalog!BL327</f>
        <v>You got the Queen's Crown! Don't let Scarlet see!</v>
      </c>
      <c r="G589" s="15" t="s">
        <v>28</v>
      </c>
      <c r="H589" s="13"/>
      <c r="I589" s="13"/>
    </row>
    <row r="590" spans="1:9" ht="15" x14ac:dyDescent="0.15">
      <c r="A590" s="11" t="s">
        <v>41</v>
      </c>
      <c r="B590" s="12" t="str">
        <f>Catalog!E328</f>
        <v>lootZodiacStone</v>
      </c>
      <c r="C590" s="20">
        <f>Catalog!W328</f>
        <v>0</v>
      </c>
      <c r="D590" s="20" t="str">
        <f>Catalog!X328</f>
        <v>unearned</v>
      </c>
      <c r="E590" s="19" t="s">
        <v>23</v>
      </c>
      <c r="F590" s="19" t="str">
        <f>Catalog!AB328</f>
        <v>Zodiac Stone</v>
      </c>
      <c r="G590" s="15" t="s">
        <v>28</v>
      </c>
      <c r="H590" s="13"/>
      <c r="I590" s="13"/>
    </row>
    <row r="591" spans="1:9" ht="28" x14ac:dyDescent="0.15">
      <c r="A591" s="11" t="s">
        <v>41</v>
      </c>
      <c r="B591" s="12" t="str">
        <f>Catalog!E328</f>
        <v>lootZodiacStone</v>
      </c>
      <c r="C591" s="20">
        <f>Catalog!W328</f>
        <v>0</v>
      </c>
      <c r="D591" s="20" t="str">
        <f>Catalog!X328</f>
        <v>unearned</v>
      </c>
      <c r="E591" s="19" t="s">
        <v>25</v>
      </c>
      <c r="F591" s="19" t="str">
        <f>Catalog!AD328</f>
        <v>The zodiac is all about signs. And one big sign especially…</v>
      </c>
      <c r="G591" s="15" t="s">
        <v>14</v>
      </c>
      <c r="H591" s="13" t="s">
        <v>79</v>
      </c>
      <c r="I591" s="13"/>
    </row>
    <row r="592" spans="1:9" ht="15" x14ac:dyDescent="0.15">
      <c r="A592" s="11" t="s">
        <v>41</v>
      </c>
      <c r="B592" s="12" t="str">
        <f>Catalog!E328</f>
        <v>lootZodiacStone</v>
      </c>
      <c r="C592" s="20">
        <f>Catalog!W328</f>
        <v>0</v>
      </c>
      <c r="D592" s="20" t="str">
        <f>Catalog!X328</f>
        <v>unearned</v>
      </c>
      <c r="E592" s="19" t="s">
        <v>34</v>
      </c>
      <c r="F592" s="20" t="str">
        <f>Catalog!AE328</f>
        <v>3,000 points</v>
      </c>
      <c r="G592" s="15" t="s">
        <v>28</v>
      </c>
      <c r="H592" s="13"/>
      <c r="I592" s="13"/>
    </row>
    <row r="593" spans="1:9" ht="28" x14ac:dyDescent="0.15">
      <c r="A593" s="11" t="s">
        <v>41</v>
      </c>
      <c r="B593" s="12" t="str">
        <f>Catalog!E328</f>
        <v>lootZodiacStone</v>
      </c>
      <c r="C593" s="20">
        <f>Catalog!BD328</f>
        <v>2</v>
      </c>
      <c r="D593" s="20" t="str">
        <f>Catalog!BE328</f>
        <v>earned</v>
      </c>
      <c r="E593" s="19" t="s">
        <v>25</v>
      </c>
      <c r="F593" s="19" t="str">
        <f>Catalog!BL328</f>
        <v>You found the Zodiac Stone! Let's keep that a secret from the V6...and the AVL.</v>
      </c>
      <c r="G593" s="15" t="s">
        <v>28</v>
      </c>
      <c r="H593" s="13"/>
      <c r="I593" s="13"/>
    </row>
    <row r="594" spans="1:9" ht="15" x14ac:dyDescent="0.15">
      <c r="A594" s="11" t="s">
        <v>41</v>
      </c>
      <c r="B594" s="12" t="str">
        <f>Catalog!E271</f>
        <v>lootV6common</v>
      </c>
      <c r="C594" s="20">
        <f>Catalog!W271</f>
        <v>0</v>
      </c>
      <c r="D594" s="20" t="str">
        <f>Catalog!X271</f>
        <v>unearned</v>
      </c>
      <c r="E594" s="19" t="s">
        <v>23</v>
      </c>
      <c r="F594" s="19" t="str">
        <f>Catalog!AB271</f>
        <v>V6 Coin, Common</v>
      </c>
      <c r="G594" s="15" t="s">
        <v>28</v>
      </c>
      <c r="H594" s="13"/>
      <c r="I594" s="13"/>
    </row>
    <row r="595" spans="1:9" ht="15" x14ac:dyDescent="0.15">
      <c r="A595" s="11" t="s">
        <v>41</v>
      </c>
      <c r="B595" s="12" t="str">
        <f>Catalog!E271</f>
        <v>lootV6common</v>
      </c>
      <c r="C595" s="20">
        <f>Catalog!W271</f>
        <v>0</v>
      </c>
      <c r="D595" s="20" t="str">
        <f>Catalog!X271</f>
        <v>unearned</v>
      </c>
      <c r="E595" s="19" t="s">
        <v>25</v>
      </c>
      <c r="F595" s="19" t="str">
        <f>Catalog!AD271</f>
        <v>Blast a V6 coin!</v>
      </c>
      <c r="G595" s="15" t="s">
        <v>28</v>
      </c>
      <c r="H595" s="13"/>
      <c r="I595" s="13"/>
    </row>
    <row r="596" spans="1:9" ht="15" x14ac:dyDescent="0.15">
      <c r="A596" s="11" t="s">
        <v>41</v>
      </c>
      <c r="B596" s="12" t="str">
        <f>Catalog!E271</f>
        <v>lootV6common</v>
      </c>
      <c r="C596" s="20">
        <f>Catalog!W271</f>
        <v>0</v>
      </c>
      <c r="D596" s="20" t="str">
        <f>Catalog!X271</f>
        <v>unearned</v>
      </c>
      <c r="E596" s="19" t="s">
        <v>34</v>
      </c>
      <c r="F596" s="20" t="str">
        <f>Catalog!AE271</f>
        <v>100 points</v>
      </c>
      <c r="G596" s="15" t="s">
        <v>28</v>
      </c>
      <c r="H596" s="13"/>
      <c r="I596" s="13"/>
    </row>
    <row r="597" spans="1:9" ht="15" x14ac:dyDescent="0.15">
      <c r="A597" s="11" t="s">
        <v>41</v>
      </c>
      <c r="B597" s="12" t="str">
        <f>Catalog!E271</f>
        <v>lootV6common</v>
      </c>
      <c r="C597" s="20">
        <f>Catalog!BD271</f>
        <v>2</v>
      </c>
      <c r="D597" s="20" t="str">
        <f>Catalog!BE271</f>
        <v>earned</v>
      </c>
      <c r="E597" s="19" t="s">
        <v>25</v>
      </c>
      <c r="F597" s="19" t="str">
        <f>Catalog!BL271</f>
        <v>A collectible for fans of the Vicious 6!</v>
      </c>
      <c r="G597" s="15" t="s">
        <v>28</v>
      </c>
      <c r="H597" s="13"/>
      <c r="I597" s="13"/>
    </row>
    <row r="598" spans="1:9" ht="15" x14ac:dyDescent="0.15">
      <c r="A598" s="11" t="s">
        <v>41</v>
      </c>
      <c r="B598" s="18" t="str">
        <f>Catalog!E276</f>
        <v>lootV6uncommon</v>
      </c>
      <c r="C598" s="20">
        <f>Catalog!W276</f>
        <v>0</v>
      </c>
      <c r="D598" s="20" t="str">
        <f>Catalog!X276</f>
        <v>unearned</v>
      </c>
      <c r="E598" s="19" t="s">
        <v>23</v>
      </c>
      <c r="F598" s="19" t="str">
        <f>Catalog!AB276</f>
        <v>V6 Coin, Rare</v>
      </c>
      <c r="G598" s="15" t="s">
        <v>28</v>
      </c>
      <c r="H598" s="13"/>
      <c r="I598" s="13"/>
    </row>
    <row r="599" spans="1:9" ht="15" x14ac:dyDescent="0.15">
      <c r="A599" s="11" t="s">
        <v>41</v>
      </c>
      <c r="B599" s="18" t="str">
        <f>Catalog!E276</f>
        <v>lootV6uncommon</v>
      </c>
      <c r="C599" s="20">
        <f>Catalog!W276</f>
        <v>0</v>
      </c>
      <c r="D599" s="20" t="str">
        <f>Catalog!X276</f>
        <v>unearned</v>
      </c>
      <c r="E599" s="19" t="s">
        <v>25</v>
      </c>
      <c r="F599" s="19" t="str">
        <f>Catalog!AD276</f>
        <v>Find a rare V6 coin!</v>
      </c>
      <c r="G599" s="15" t="s">
        <v>28</v>
      </c>
      <c r="H599" s="13"/>
      <c r="I599" s="13"/>
    </row>
    <row r="600" spans="1:9" ht="15" x14ac:dyDescent="0.15">
      <c r="A600" s="11" t="s">
        <v>41</v>
      </c>
      <c r="B600" s="18" t="str">
        <f>Catalog!E276</f>
        <v>lootV6uncommon</v>
      </c>
      <c r="C600" s="20">
        <f>Catalog!W276</f>
        <v>0</v>
      </c>
      <c r="D600" s="20" t="str">
        <f>Catalog!X276</f>
        <v>unearned</v>
      </c>
      <c r="E600" s="19" t="s">
        <v>34</v>
      </c>
      <c r="F600" s="20" t="str">
        <f>Catalog!AE276</f>
        <v>1,000 points</v>
      </c>
      <c r="G600" s="15" t="s">
        <v>28</v>
      </c>
      <c r="H600" s="13"/>
      <c r="I600" s="13"/>
    </row>
    <row r="601" spans="1:9" ht="15" x14ac:dyDescent="0.15">
      <c r="A601" s="11" t="s">
        <v>41</v>
      </c>
      <c r="B601" s="18" t="str">
        <f>Catalog!E276</f>
        <v>lootV6uncommon</v>
      </c>
      <c r="C601" s="20">
        <f>Catalog!BD276</f>
        <v>2</v>
      </c>
      <c r="D601" s="20" t="str">
        <f>Catalog!BE276</f>
        <v>earned</v>
      </c>
      <c r="E601" s="19" t="s">
        <v>25</v>
      </c>
      <c r="F601" s="19" t="str">
        <f>Catalog!BL276</f>
        <v>A special collectible for fans of the Vicious 6!</v>
      </c>
      <c r="G601" s="15" t="s">
        <v>28</v>
      </c>
      <c r="H601" s="13"/>
      <c r="I601" s="13"/>
    </row>
    <row r="602" spans="1:9" ht="15" x14ac:dyDescent="0.15">
      <c r="A602" s="11" t="s">
        <v>41</v>
      </c>
      <c r="B602" s="18" t="str">
        <f>Catalog!E277</f>
        <v>lootV6rare</v>
      </c>
      <c r="C602" s="20">
        <f>Catalog!W277</f>
        <v>0</v>
      </c>
      <c r="D602" s="20" t="str">
        <f>Catalog!X277</f>
        <v>unearned</v>
      </c>
      <c r="E602" s="19" t="s">
        <v>23</v>
      </c>
      <c r="F602" s="19" t="str">
        <f>Catalog!AB277</f>
        <v>V6 Coin, Epic</v>
      </c>
      <c r="G602" s="15" t="s">
        <v>28</v>
      </c>
      <c r="H602" s="13"/>
      <c r="I602" s="13"/>
    </row>
    <row r="603" spans="1:9" ht="15" x14ac:dyDescent="0.15">
      <c r="A603" s="11" t="s">
        <v>41</v>
      </c>
      <c r="B603" s="18" t="str">
        <f>Catalog!E277</f>
        <v>lootV6rare</v>
      </c>
      <c r="C603" s="20">
        <f>Catalog!W277</f>
        <v>0</v>
      </c>
      <c r="D603" s="20" t="str">
        <f>Catalog!X277</f>
        <v>unearned</v>
      </c>
      <c r="E603" s="19" t="s">
        <v>25</v>
      </c>
      <c r="F603" s="19" t="str">
        <f>Catalog!AD277</f>
        <v>Find an epic V6 coin – for the true fans.</v>
      </c>
      <c r="G603" s="15" t="s">
        <v>28</v>
      </c>
      <c r="H603" s="13"/>
      <c r="I603" s="13"/>
    </row>
    <row r="604" spans="1:9" ht="15" x14ac:dyDescent="0.15">
      <c r="A604" s="11" t="s">
        <v>41</v>
      </c>
      <c r="B604" s="18" t="str">
        <f>Catalog!E277</f>
        <v>lootV6rare</v>
      </c>
      <c r="C604" s="20">
        <f>Catalog!W277</f>
        <v>0</v>
      </c>
      <c r="D604" s="20" t="str">
        <f>Catalog!X277</f>
        <v>unearned</v>
      </c>
      <c r="E604" s="19" t="s">
        <v>34</v>
      </c>
      <c r="F604" s="20" t="str">
        <f>Catalog!AE277</f>
        <v>3,000 points</v>
      </c>
      <c r="G604" s="15" t="s">
        <v>28</v>
      </c>
      <c r="H604" s="13"/>
      <c r="I604" s="13"/>
    </row>
    <row r="605" spans="1:9" ht="15" x14ac:dyDescent="0.15">
      <c r="A605" s="11" t="s">
        <v>41</v>
      </c>
      <c r="B605" s="18" t="str">
        <f>Catalog!E277</f>
        <v>lootV6rare</v>
      </c>
      <c r="C605" s="20">
        <f>Catalog!BD277</f>
        <v>2</v>
      </c>
      <c r="D605" s="20" t="str">
        <f>Catalog!BE277</f>
        <v>earned</v>
      </c>
      <c r="E605" s="19" t="s">
        <v>25</v>
      </c>
      <c r="F605" s="19" t="str">
        <f>Catalog!BL277</f>
        <v>A rare collectible for true V6 fans!</v>
      </c>
      <c r="G605" s="15" t="s">
        <v>28</v>
      </c>
      <c r="H605" s="13"/>
      <c r="I605" s="13"/>
    </row>
    <row r="606" spans="1:9" ht="15" x14ac:dyDescent="0.15">
      <c r="A606" s="11" t="s">
        <v>80</v>
      </c>
      <c r="B606" s="18" t="str">
        <f>'TitleData texts.mobileApp'!C197</f>
        <v>rank.main.header.leaderboard</v>
      </c>
      <c r="C606" s="19"/>
      <c r="D606" s="13" t="s">
        <v>10</v>
      </c>
      <c r="E606" s="14" t="s">
        <v>19</v>
      </c>
      <c r="F606" s="12" t="str">
        <f>'TitleData texts.mobileApp'!E197</f>
        <v>LEADERBOARD</v>
      </c>
      <c r="G606" s="15" t="s">
        <v>28</v>
      </c>
      <c r="H606" s="18"/>
      <c r="I606" s="13"/>
    </row>
    <row r="607" spans="1:9" ht="15" x14ac:dyDescent="0.15">
      <c r="A607" s="11" t="s">
        <v>80</v>
      </c>
      <c r="B607" s="12" t="str">
        <f>'TitleData texts.mobileApp'!C198</f>
        <v>rank.main.header.description</v>
      </c>
      <c r="C607" s="19"/>
      <c r="D607" s="13" t="s">
        <v>10</v>
      </c>
      <c r="E607" s="14" t="s">
        <v>20</v>
      </c>
      <c r="F607" s="19" t="str">
        <f>'TitleData texts.mobileApp'!E198</f>
        <v>Check where you rank at the challenge!</v>
      </c>
      <c r="G607" s="15" t="s">
        <v>28</v>
      </c>
      <c r="H607" s="18"/>
      <c r="I607" s="13"/>
    </row>
    <row r="608" spans="1:9" ht="70" x14ac:dyDescent="0.15">
      <c r="A608" s="11" t="s">
        <v>80</v>
      </c>
      <c r="B608" s="12" t="str">
        <f>'TitleData texts.mobileApp'!C199</f>
        <v>rank.main.msg.help</v>
      </c>
      <c r="C608" s="19"/>
      <c r="D608" s="13" t="s">
        <v>10</v>
      </c>
      <c r="E608" s="14" t="s">
        <v>21</v>
      </c>
      <c r="F608" s="19" t="str">
        <f>'TitleData texts.mobileApp'!E199</f>
        <v>COMPARE YOUR SCORE
To other villains today, this month, and all-time.
FOLLOW OTHER PLAYERS
And filter the leaderboards to see only your favorites!</v>
      </c>
      <c r="G608" s="15" t="s">
        <v>28</v>
      </c>
      <c r="H608" s="18"/>
      <c r="I608" s="13"/>
    </row>
    <row r="609" spans="1:9" ht="98" x14ac:dyDescent="0.15">
      <c r="A609" s="11" t="s">
        <v>81</v>
      </c>
      <c r="B609" s="12" t="str">
        <f>'TitleData texts.mobileApp'!C52</f>
        <v>home.highScore.pop.myScore</v>
      </c>
      <c r="C609" s="19"/>
      <c r="D609" s="13" t="s">
        <v>10</v>
      </c>
      <c r="E609" s="14" t="s">
        <v>82</v>
      </c>
      <c r="F609" s="19" t="str">
        <f>'TitleData texts.mobileApp'!E52</f>
        <v>Last Play ${num}
Overall ${num} 
Today's Best ${num}
You'll earn a new score every time you attend Villain-Con.
Customize your blaster and see how high you can score every time you take the challenge!</v>
      </c>
      <c r="G609" s="15" t="s">
        <v>28</v>
      </c>
      <c r="H609" s="18"/>
      <c r="I609" s="13"/>
    </row>
    <row r="610" spans="1:9" ht="168" x14ac:dyDescent="0.15">
      <c r="A610" s="11" t="s">
        <v>83</v>
      </c>
      <c r="B610" s="12" t="str">
        <f>'TitleData texts.mobileApp'!C53</f>
        <v>home.level.pop.playerLevel</v>
      </c>
      <c r="C610" s="19"/>
      <c r="D610" s="13" t="s">
        <v>10</v>
      </c>
      <c r="E610" s="14" t="s">
        <v>82</v>
      </c>
      <c r="F610" s="19" t="str">
        <f>'TitleData texts.mobileApp'!E53</f>
        <v>PLAYER LEVEL 
Current Level
${num}
Points to next level: ${num} / ${num}
Next level unlocks:
${reward}
Every time you play, you earn points towards your next level!</v>
      </c>
      <c r="G610" s="15" t="s">
        <v>28</v>
      </c>
      <c r="H610" s="18"/>
      <c r="I610" s="13"/>
    </row>
    <row r="611" spans="1:9" ht="15" x14ac:dyDescent="0.15">
      <c r="A611" s="11" t="s">
        <v>84</v>
      </c>
      <c r="B611" s="12" t="str">
        <f>'TitleData texts.mobileApp'!C169</f>
        <v>options.main.header.options</v>
      </c>
      <c r="C611" s="19"/>
      <c r="D611" s="13" t="s">
        <v>10</v>
      </c>
      <c r="E611" s="14" t="s">
        <v>19</v>
      </c>
      <c r="F611" s="19" t="str">
        <f>'TitleData texts.mobileApp'!E169</f>
        <v>OPTIONS</v>
      </c>
      <c r="G611" s="15" t="s">
        <v>28</v>
      </c>
      <c r="H611" s="18"/>
      <c r="I611" s="13"/>
    </row>
    <row r="612" spans="1:9" ht="15" x14ac:dyDescent="0.15">
      <c r="A612" s="11" t="s">
        <v>84</v>
      </c>
      <c r="B612" s="12" t="str">
        <f>'TitleData texts.mobileApp'!C170</f>
        <v>options.main.header.description</v>
      </c>
      <c r="C612" s="19"/>
      <c r="D612" s="13" t="s">
        <v>10</v>
      </c>
      <c r="E612" s="14" t="s">
        <v>20</v>
      </c>
      <c r="F612" s="19" t="str">
        <f>'TitleData texts.mobileApp'!E170</f>
        <v>Customize your settings</v>
      </c>
      <c r="G612" s="15" t="s">
        <v>28</v>
      </c>
      <c r="H612" s="18"/>
      <c r="I612" s="13"/>
    </row>
    <row r="613" spans="1:9" ht="84" x14ac:dyDescent="0.15">
      <c r="A613" s="11" t="s">
        <v>84</v>
      </c>
      <c r="B613" s="12" t="str">
        <f>'TitleData texts.mobileApp'!C171</f>
        <v>options.main.msg.help</v>
      </c>
      <c r="C613" s="19"/>
      <c r="D613" s="13" t="s">
        <v>10</v>
      </c>
      <c r="E613" s="14" t="s">
        <v>21</v>
      </c>
      <c r="F613" s="19" t="str">
        <f>'TitleData texts.mobileApp'!E171</f>
        <v>MANAGE PLAYERS
- Flaunt your style! Set your player avatar.
- Add new players to your device.
MAKE FRIENDS...OR ENEMIES?
- Follow other Villain-Con attendees!</v>
      </c>
      <c r="G613" s="15" t="s">
        <v>28</v>
      </c>
      <c r="H613" s="18"/>
      <c r="I613" s="13"/>
    </row>
    <row r="614" spans="1:9" ht="15" x14ac:dyDescent="0.15">
      <c r="A614" s="11" t="s">
        <v>84</v>
      </c>
      <c r="B614" s="12" t="str">
        <f>'TitleData texts.mobileApp'!C151</f>
        <v>options.all.txt.changePlayerName</v>
      </c>
      <c r="C614" s="19"/>
      <c r="D614" s="13" t="s">
        <v>10</v>
      </c>
      <c r="E614" s="14" t="s">
        <v>23</v>
      </c>
      <c r="F614" s="19" t="str">
        <f>'TitleData texts.mobileApp'!E151</f>
        <v>CHANGE PLAYER NAME</v>
      </c>
      <c r="G614" s="15" t="s">
        <v>28</v>
      </c>
      <c r="H614" s="18"/>
      <c r="I614" s="13"/>
    </row>
    <row r="615" spans="1:9" ht="15" x14ac:dyDescent="0.15">
      <c r="A615" s="11" t="s">
        <v>84</v>
      </c>
      <c r="B615" s="12" t="str">
        <f>'TitleData texts.mobileApp'!C152</f>
        <v>options.all.txt.selectPlayerImage</v>
      </c>
      <c r="C615" s="19"/>
      <c r="D615" s="13" t="s">
        <v>10</v>
      </c>
      <c r="E615" s="14" t="s">
        <v>23</v>
      </c>
      <c r="F615" s="19" t="str">
        <f>'TitleData texts.mobileApp'!E152</f>
        <v>CHOOSE PLAYER ICON</v>
      </c>
      <c r="G615" s="15" t="s">
        <v>28</v>
      </c>
      <c r="H615" s="18"/>
      <c r="I615" s="13"/>
    </row>
    <row r="616" spans="1:9" ht="15" x14ac:dyDescent="0.15">
      <c r="A616" s="11" t="s">
        <v>84</v>
      </c>
      <c r="B616" s="12" t="str">
        <f>'TitleData texts.mobileApp'!C153</f>
        <v>options.all.txt.selectPlayerBackground</v>
      </c>
      <c r="C616" s="19"/>
      <c r="D616" s="13" t="s">
        <v>10</v>
      </c>
      <c r="E616" s="14" t="s">
        <v>23</v>
      </c>
      <c r="F616" s="19" t="str">
        <f>'TitleData texts.mobileApp'!E153</f>
        <v>SELECT BACKGROUND</v>
      </c>
      <c r="G616" s="15" t="s">
        <v>28</v>
      </c>
      <c r="H616" s="18"/>
      <c r="I616" s="13"/>
    </row>
    <row r="617" spans="1:9" ht="42" x14ac:dyDescent="0.15">
      <c r="A617" s="11" t="s">
        <v>84</v>
      </c>
      <c r="B617" s="18" t="str">
        <f>'TitleData texts.mobileApp'!C173</f>
        <v>error.400</v>
      </c>
      <c r="D617" s="13" t="s">
        <v>10</v>
      </c>
      <c r="E617" s="18" t="s">
        <v>85</v>
      </c>
      <c r="F617" s="19" t="str">
        <f>'TitleData texts.mobileApp'!E173</f>
        <v>FOILED!
Cannot establish connection to server. Please try again later.</v>
      </c>
      <c r="G617" s="15" t="s">
        <v>14</v>
      </c>
      <c r="H617" s="18"/>
      <c r="I617" s="13"/>
    </row>
    <row r="618" spans="1:9" ht="28" x14ac:dyDescent="0.15">
      <c r="A618" s="11" t="s">
        <v>84</v>
      </c>
      <c r="B618" s="18" t="str">
        <f>'TitleData texts.mobileApp'!C174</f>
        <v>error.1058</v>
      </c>
      <c r="D618" s="13" t="s">
        <v>10</v>
      </c>
      <c r="E618" s="18" t="s">
        <v>85</v>
      </c>
      <c r="F618" s="19" t="str">
        <f>'TitleData texts.mobileApp'!E174</f>
        <v>PSYCH
Name unavailable. Please try another.</v>
      </c>
      <c r="G618" s="15" t="s">
        <v>28</v>
      </c>
      <c r="H618" s="18"/>
      <c r="I618" s="13"/>
    </row>
    <row r="619" spans="1:9" ht="42" x14ac:dyDescent="0.15">
      <c r="A619" s="11" t="s">
        <v>84</v>
      </c>
      <c r="B619" s="18" t="str">
        <f>'TitleData texts.mobileApp'!C61</f>
        <v>home.all.pop.maxPlayers</v>
      </c>
      <c r="D619" s="13" t="s">
        <v>10</v>
      </c>
      <c r="E619" s="35" t="s">
        <v>85</v>
      </c>
      <c r="F619" s="19" t="str">
        <f>'TitleData texts.mobileApp'!E61</f>
        <v>CANNOT ADD NEW PLAYER
You have reached the maximum number of players on this device.</v>
      </c>
      <c r="G619" s="15" t="s">
        <v>28</v>
      </c>
      <c r="H619" s="18"/>
      <c r="I619" s="13"/>
    </row>
    <row r="620" spans="1:9" ht="30" x14ac:dyDescent="0.15">
      <c r="A620" s="11" t="s">
        <v>86</v>
      </c>
      <c r="B620" s="18" t="str">
        <f>'TitleData texts.mobileApp'!C156</f>
        <v>options.followOtherPlayers.header.followPlayers</v>
      </c>
      <c r="D620" s="13" t="s">
        <v>10</v>
      </c>
      <c r="E620" s="18" t="s">
        <v>19</v>
      </c>
      <c r="F620" s="18" t="str">
        <f>'TitleData texts.mobileApp'!E156</f>
        <v>FOLLOW PLAYERS</v>
      </c>
      <c r="G620" s="15" t="s">
        <v>28</v>
      </c>
      <c r="H620" s="18"/>
      <c r="I620" s="13"/>
    </row>
    <row r="621" spans="1:9" ht="30" x14ac:dyDescent="0.15">
      <c r="A621" s="11" t="s">
        <v>86</v>
      </c>
      <c r="B621" s="18" t="str">
        <f>'TitleData texts.mobileApp'!C159</f>
        <v>options.followOtherPlayers.textInput.enterPlayerName</v>
      </c>
      <c r="D621" s="13" t="s">
        <v>10</v>
      </c>
      <c r="E621" s="18" t="s">
        <v>87</v>
      </c>
      <c r="F621" s="18" t="str">
        <f>'TitleData texts.mobileApp'!E159</f>
        <v>Enter Player Name</v>
      </c>
      <c r="G621" s="15" t="s">
        <v>28</v>
      </c>
      <c r="H621" s="18"/>
      <c r="I621" s="13"/>
    </row>
    <row r="622" spans="1:9" ht="30" x14ac:dyDescent="0.15">
      <c r="A622" s="11" t="s">
        <v>86</v>
      </c>
      <c r="B622" s="18" t="str">
        <f>'TitleData texts.mobileApp'!C160</f>
        <v>options.followOtherPlayers.txt.addPlayers</v>
      </c>
      <c r="D622" s="13" t="s">
        <v>10</v>
      </c>
      <c r="E622" s="18" t="s">
        <v>23</v>
      </c>
      <c r="F622" s="18" t="str">
        <f>'TitleData texts.mobileApp'!E160</f>
        <v>Add Players to Follow</v>
      </c>
      <c r="G622" s="15" t="s">
        <v>28</v>
      </c>
      <c r="H622" s="18"/>
      <c r="I622" s="13"/>
    </row>
    <row r="623" spans="1:9" ht="30" x14ac:dyDescent="0.15">
      <c r="A623" s="11" t="s">
        <v>86</v>
      </c>
      <c r="B623" s="18" t="str">
        <f>'TitleData texts.mobileApp'!C202</f>
        <v>rank.main.pop.followPlayer</v>
      </c>
      <c r="D623" s="13" t="s">
        <v>10</v>
      </c>
      <c r="E623" s="18" t="s">
        <v>82</v>
      </c>
      <c r="F623" s="18" t="str">
        <f>'TitleData texts.mobileApp'!E202</f>
        <v>${playerId}
Do you want to follow this player?</v>
      </c>
      <c r="G623" s="15" t="s">
        <v>28</v>
      </c>
      <c r="H623" s="18"/>
      <c r="I623" s="13"/>
    </row>
    <row r="624" spans="1:9" ht="30" x14ac:dyDescent="0.15">
      <c r="A624" s="11" t="s">
        <v>86</v>
      </c>
      <c r="B624" s="18" t="str">
        <f>'TitleData texts.mobileApp'!C200</f>
        <v>rank.main.pop.followingMax</v>
      </c>
      <c r="D624" s="13" t="s">
        <v>10</v>
      </c>
      <c r="E624" s="18" t="s">
        <v>85</v>
      </c>
      <c r="F624" s="18" t="str">
        <f>'TitleData texts.mobileApp'!E200</f>
        <v>You are already following 99 other players.
If you want to follow this player, please unfollow some other players.</v>
      </c>
      <c r="G624" s="15" t="s">
        <v>28</v>
      </c>
      <c r="H624" s="18"/>
      <c r="I624" s="13"/>
    </row>
    <row r="625" spans="1:9" ht="30" x14ac:dyDescent="0.15">
      <c r="A625" s="11" t="s">
        <v>86</v>
      </c>
      <c r="B625" s="18" t="str">
        <f>'TitleData texts.mobileApp'!C157</f>
        <v>options.followOtherPlayers.pop.notFound</v>
      </c>
      <c r="D625" s="13" t="s">
        <v>10</v>
      </c>
      <c r="E625" s="18" t="s">
        <v>85</v>
      </c>
      <c r="F625" s="18" t="str">
        <f>'TitleData texts.mobileApp'!E157</f>
        <v>WHODIS?
Cannot find player. Please try again!</v>
      </c>
      <c r="G625" s="15" t="s">
        <v>28</v>
      </c>
      <c r="H625" s="18"/>
      <c r="I625" s="13"/>
    </row>
    <row r="626" spans="1:9" ht="15" x14ac:dyDescent="0.15">
      <c r="A626" s="11" t="s">
        <v>88</v>
      </c>
      <c r="B626" s="18" t="str">
        <f>'TitleData texts.mobileApp'!C165</f>
        <v>options.main.button.tips</v>
      </c>
      <c r="D626" s="13" t="s">
        <v>10</v>
      </c>
      <c r="E626" s="35" t="s">
        <v>89</v>
      </c>
      <c r="F626" s="18" t="str">
        <f>'TitleData texts.mobileApp'!E165</f>
        <v>HOW TO PLAY</v>
      </c>
      <c r="G626" s="15" t="s">
        <v>28</v>
      </c>
      <c r="H626" s="18"/>
      <c r="I626" s="13"/>
    </row>
    <row r="627" spans="1:9" ht="15" x14ac:dyDescent="0.15">
      <c r="A627" s="11" t="s">
        <v>88</v>
      </c>
      <c r="B627" s="18" t="str">
        <f>'TitleData texts.mobileApp'!C167</f>
        <v>options.tips.header.tips</v>
      </c>
      <c r="D627" s="13" t="s">
        <v>10</v>
      </c>
      <c r="E627" s="35" t="s">
        <v>19</v>
      </c>
      <c r="F627" s="18" t="str">
        <f>'TitleData texts.mobileApp'!E167</f>
        <v>TIPS &amp; FAQ</v>
      </c>
      <c r="G627" s="15" t="s">
        <v>28</v>
      </c>
      <c r="H627" s="18"/>
      <c r="I627" s="13"/>
    </row>
    <row r="628" spans="1:9" ht="15" x14ac:dyDescent="0.15">
      <c r="A628" s="11" t="s">
        <v>88</v>
      </c>
      <c r="B628" s="18" t="str">
        <f>'TitleData texts.mobileApp'!C168</f>
        <v>options.tips.header.description</v>
      </c>
      <c r="D628" s="13" t="s">
        <v>10</v>
      </c>
      <c r="E628" s="35" t="s">
        <v>20</v>
      </c>
      <c r="F628" s="18" t="str">
        <f>'TitleData texts.mobileApp'!E168</f>
        <v>Help, Gameplay Tips and More</v>
      </c>
      <c r="G628" s="15" t="s">
        <v>28</v>
      </c>
      <c r="H628" s="18"/>
      <c r="I628" s="13"/>
    </row>
    <row r="629" spans="1:9" ht="15" x14ac:dyDescent="0.15">
      <c r="A629" s="11" t="s">
        <v>88</v>
      </c>
      <c r="B629" s="18" t="str">
        <f>'TitleData texts.mobileApp'!C180</f>
        <v>options.tips.loot.title</v>
      </c>
      <c r="D629" s="13" t="s">
        <v>10</v>
      </c>
      <c r="E629" s="35" t="s">
        <v>89</v>
      </c>
      <c r="F629" s="19" t="str">
        <f>'TitleData texts.mobileApp'!E180</f>
        <v>COLLECTING LOOT</v>
      </c>
      <c r="G629" s="15" t="s">
        <v>28</v>
      </c>
      <c r="I629" s="13"/>
    </row>
    <row r="630" spans="1:9" ht="98" x14ac:dyDescent="0.15">
      <c r="A630" s="11" t="s">
        <v>88</v>
      </c>
      <c r="B630" s="18" t="str">
        <f>'TitleData texts.mobileApp'!C181</f>
        <v>options.tips.loot.msg</v>
      </c>
      <c r="D630" s="13" t="s">
        <v>10</v>
      </c>
      <c r="E630" s="35" t="s">
        <v>82</v>
      </c>
      <c r="F630" s="19" t="str">
        <f>'TitleData texts.mobileApp'!E181</f>
        <v>SEARCH OUTSIDE
Use the App to collect Villain Con swag with a tap of your phone at marked locations around the park.
BLAST INSIDE
Follow the clues to find hidden Villain Con swag and unlock abilities throughout the V6 Challenge!</v>
      </c>
      <c r="G630" s="15" t="s">
        <v>51</v>
      </c>
      <c r="I630" s="13"/>
    </row>
    <row r="631" spans="1:9" ht="15" x14ac:dyDescent="0.15">
      <c r="A631" s="11" t="s">
        <v>88</v>
      </c>
      <c r="B631" s="18" t="str">
        <f>'TitleData texts.mobileApp'!C182</f>
        <v>options.tips.skins.title</v>
      </c>
      <c r="D631" s="13" t="s">
        <v>10</v>
      </c>
      <c r="E631" s="35" t="s">
        <v>89</v>
      </c>
      <c r="F631" s="19" t="str">
        <f>'TitleData texts.mobileApp'!E182</f>
        <v>UNLOCKING SKINS</v>
      </c>
      <c r="G631" s="15" t="s">
        <v>28</v>
      </c>
      <c r="I631" s="13"/>
    </row>
    <row r="632" spans="1:9" ht="56" x14ac:dyDescent="0.15">
      <c r="A632" s="11" t="s">
        <v>88</v>
      </c>
      <c r="B632" s="18" t="str">
        <f>'TitleData texts.mobileApp'!C183</f>
        <v>options.tips.skins.msg</v>
      </c>
      <c r="D632" s="13" t="s">
        <v>10</v>
      </c>
      <c r="E632" s="35" t="s">
        <v>82</v>
      </c>
      <c r="F632" s="19" t="str">
        <f>'TitleData texts.mobileApp'!E183</f>
        <v>Unlock seasonal skins by visiting the attraction and using this app each month!
You can apply skins to your Launchers in the Lab.
Once unlocked, the skin is yours!</v>
      </c>
      <c r="G632" s="15" t="s">
        <v>28</v>
      </c>
      <c r="I632" s="13"/>
    </row>
    <row r="633" spans="1:9" ht="15" x14ac:dyDescent="0.15">
      <c r="A633" s="11" t="s">
        <v>88</v>
      </c>
      <c r="B633" s="18" t="str">
        <f>'TitleData texts.mobileApp'!C184</f>
        <v>options.tips.perks.title</v>
      </c>
      <c r="D633" s="13" t="s">
        <v>10</v>
      </c>
      <c r="E633" s="35" t="s">
        <v>89</v>
      </c>
      <c r="F633" s="19" t="str">
        <f>'TitleData texts.mobileApp'!E184</f>
        <v>UNLOCKING PERKS</v>
      </c>
      <c r="G633" s="15" t="s">
        <v>28</v>
      </c>
      <c r="I633" s="13"/>
    </row>
    <row r="634" spans="1:9" ht="42" x14ac:dyDescent="0.15">
      <c r="A634" s="11" t="s">
        <v>88</v>
      </c>
      <c r="B634" s="18" t="str">
        <f>'TitleData texts.mobileApp'!C185</f>
        <v>options.tips.perks.msg</v>
      </c>
      <c r="D634" s="13" t="s">
        <v>10</v>
      </c>
      <c r="E634" s="35" t="s">
        <v>82</v>
      </c>
      <c r="F634" s="19" t="str">
        <f>'TitleData texts.mobileApp'!E185</f>
        <v>You unlock perks and perk slots by leveling up as a player. Keep blasting through the challenge to accumulate points and level up!</v>
      </c>
      <c r="G634" s="15" t="s">
        <v>28</v>
      </c>
      <c r="I634" s="13"/>
    </row>
    <row r="635" spans="1:9" ht="15" x14ac:dyDescent="0.15">
      <c r="A635" s="11" t="s">
        <v>88</v>
      </c>
      <c r="B635" s="18" t="str">
        <f>'TitleData texts.mobileApp'!C186</f>
        <v>options.tips.TBD.title</v>
      </c>
      <c r="D635" s="13" t="s">
        <v>10</v>
      </c>
      <c r="E635" s="35" t="s">
        <v>89</v>
      </c>
      <c r="F635" s="19" t="str">
        <f>'TitleData texts.mobileApp'!E186</f>
        <v>PLACEHOLDER</v>
      </c>
      <c r="G635" s="15"/>
      <c r="H635" s="18" t="s">
        <v>90</v>
      </c>
      <c r="I635" s="13"/>
    </row>
    <row r="636" spans="1:9" ht="28" x14ac:dyDescent="0.15">
      <c r="A636" s="11" t="s">
        <v>88</v>
      </c>
      <c r="B636" s="18" t="str">
        <f>'TitleData texts.mobileApp'!C187</f>
        <v>options.tips.TBD.msg</v>
      </c>
      <c r="D636" s="13" t="s">
        <v>10</v>
      </c>
      <c r="E636" s="35" t="s">
        <v>82</v>
      </c>
      <c r="F636" s="19" t="str">
        <f>'TitleData texts.mobileApp'!E187</f>
        <v>PH: Holding this spot for questions that emerge during playtesting!</v>
      </c>
      <c r="G636" s="15"/>
      <c r="H636" s="18" t="s">
        <v>91</v>
      </c>
      <c r="I636" s="13"/>
    </row>
    <row r="637" spans="1:9" ht="15" x14ac:dyDescent="0.15">
      <c r="A637" s="11" t="s">
        <v>88</v>
      </c>
      <c r="B637" s="18" t="str">
        <f>'TitleData texts.mobileApp'!C188</f>
        <v>options.tips.moreHelp.title</v>
      </c>
      <c r="D637" s="13" t="s">
        <v>10</v>
      </c>
      <c r="E637" s="35" t="s">
        <v>89</v>
      </c>
      <c r="F637" s="19" t="str">
        <f>'TitleData texts.mobileApp'!E188</f>
        <v>WHERE CAN I GET HELP?</v>
      </c>
      <c r="G637" s="15" t="s">
        <v>28</v>
      </c>
      <c r="I637" s="13"/>
    </row>
    <row r="638" spans="1:9" ht="28" x14ac:dyDescent="0.15">
      <c r="A638" s="11" t="s">
        <v>88</v>
      </c>
      <c r="B638" s="18" t="str">
        <f>'TitleData texts.mobileApp'!C189</f>
        <v>options.tips.moreHelp.msg</v>
      </c>
      <c r="D638" s="13" t="s">
        <v>10</v>
      </c>
      <c r="E638" s="35" t="s">
        <v>82</v>
      </c>
      <c r="F638" s="19" t="str">
        <f>'TitleData texts.mobileApp'!E189</f>
        <v>Find a Villain-Con expert at the front of the queue where you pick up your blaster!</v>
      </c>
      <c r="G638" s="15" t="s">
        <v>28</v>
      </c>
      <c r="I638" s="13"/>
    </row>
  </sheetData>
  <customSheetViews>
    <customSheetView guid="{F9619C22-11E1-4F4D-A7AE-419FFF4C1854}" filter="1" showAutoFilter="1">
      <pageMargins left="0.7" right="0.7" top="0.75" bottom="0.75" header="0.3" footer="0.3"/>
      <autoFilter ref="A199:F638" xr:uid="{8165432E-BFA6-B644-8334-EFF080652D98}"/>
    </customSheetView>
  </customSheetViews>
  <conditionalFormatting sqref="C1:C638 D317:D318">
    <cfRule type="containsText" dxfId="6" priority="1" operator="containsText" text="0">
      <formula>NOT(ISERROR(SEARCH("0",C1)))</formula>
    </cfRule>
  </conditionalFormatting>
  <conditionalFormatting sqref="C1:C638 D317:D318">
    <cfRule type="cellIs" dxfId="11" priority="2" operator="equal">
      <formula>1</formula>
    </cfRule>
  </conditionalFormatting>
  <conditionalFormatting sqref="C1:C638 D317:D318">
    <cfRule type="cellIs" dxfId="10" priority="3" operator="equal">
      <formula>2</formula>
    </cfRule>
  </conditionalFormatting>
  <conditionalFormatting sqref="C1:C638 D317:D318">
    <cfRule type="cellIs" dxfId="9" priority="4" operator="equal">
      <formula>3</formula>
    </cfRule>
  </conditionalFormatting>
  <conditionalFormatting sqref="C1:C638 D317:D318">
    <cfRule type="cellIs" dxfId="8" priority="5" operator="equal">
      <formula>4</formula>
    </cfRule>
  </conditionalFormatting>
  <conditionalFormatting sqref="G3:G638">
    <cfRule type="notContainsBlanks" dxfId="7" priority="6">
      <formula>LEN(TRIM(G3))&gt;0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900FF"/>
    <outlinePr summaryBelow="0" summaryRight="0"/>
    <pageSetUpPr fitToPage="1"/>
  </sheetPr>
  <dimension ref="A1:CA416"/>
  <sheetViews>
    <sheetView workbookViewId="0">
      <pane xSplit="5" ySplit="2" topLeftCell="F5" activePane="bottomRight" state="frozen"/>
      <selection activeCell="F3" sqref="F3:G3"/>
      <selection pane="topRight" activeCell="F3" sqref="F3:G3"/>
      <selection pane="bottomLeft" activeCell="F3" sqref="F3:G3"/>
      <selection pane="bottomRight" activeCell="F3" sqref="F3:G3"/>
    </sheetView>
  </sheetViews>
  <sheetFormatPr baseColWidth="10" defaultColWidth="12.6640625" defaultRowHeight="15.75" customHeight="1" outlineLevelRow="1" outlineLevelCol="2" x14ac:dyDescent="0.15"/>
  <cols>
    <col min="1" max="1" width="9.5" customWidth="1"/>
    <col min="2" max="4" width="13.83203125" customWidth="1"/>
    <col min="5" max="6" width="29" customWidth="1"/>
    <col min="7" max="7" width="23.33203125" customWidth="1"/>
    <col min="8" max="8" width="30.1640625" customWidth="1"/>
    <col min="9" max="9" width="15.6640625" customWidth="1"/>
    <col min="10" max="10" width="22.33203125" customWidth="1"/>
    <col min="11" max="12" width="12.33203125" customWidth="1"/>
    <col min="13" max="13" width="13.6640625" customWidth="1"/>
    <col min="14" max="15" width="12.1640625" customWidth="1"/>
    <col min="16" max="17" width="15.6640625" customWidth="1"/>
    <col min="18" max="22" width="15.6640625" customWidth="1" outlineLevel="1"/>
    <col min="23" max="23" width="21.6640625" customWidth="1"/>
    <col min="24" max="26" width="21.6640625" customWidth="1" outlineLevel="1"/>
    <col min="27" max="27" width="21.6640625" customWidth="1" outlineLevel="1" collapsed="1"/>
    <col min="28" max="32" width="21.6640625" customWidth="1" outlineLevel="2"/>
    <col min="33" max="33" width="21.6640625" customWidth="1" outlineLevel="1"/>
    <col min="34" max="38" width="21.6640625" customWidth="1" outlineLevel="2"/>
    <col min="39" max="39" width="1.33203125" customWidth="1" outlineLevel="1"/>
    <col min="40" max="40" width="21.6640625" customWidth="1"/>
    <col min="41" max="44" width="21.6640625" customWidth="1" outlineLevel="1"/>
    <col min="45" max="46" width="21.6640625" customWidth="1" outlineLevel="2"/>
    <col min="47" max="47" width="25.1640625" customWidth="1" outlineLevel="2"/>
    <col min="48" max="48" width="21.6640625" customWidth="1" outlineLevel="2"/>
    <col min="49" max="49" width="21.6640625" customWidth="1" outlineLevel="1" collapsed="1"/>
    <col min="50" max="54" width="21.6640625" hidden="1" customWidth="1" outlineLevel="2"/>
    <col min="55" max="55" width="1.33203125" customWidth="1" outlineLevel="1"/>
    <col min="56" max="56" width="23" customWidth="1"/>
    <col min="57" max="59" width="23" customWidth="1" outlineLevel="1"/>
    <col min="60" max="60" width="28.1640625" customWidth="1" outlineLevel="1"/>
    <col min="61" max="66" width="28.1640625" customWidth="1" outlineLevel="2"/>
    <col min="67" max="67" width="28.1640625" customWidth="1" outlineLevel="1" collapsed="1"/>
    <col min="68" max="72" width="28.1640625" hidden="1" customWidth="1" outlineLevel="2"/>
    <col min="73" max="73" width="1.83203125" customWidth="1" outlineLevel="1"/>
    <col min="74" max="74" width="30.1640625" customWidth="1"/>
    <col min="75" max="75" width="19.1640625" customWidth="1"/>
    <col min="76" max="77" width="11.1640625" customWidth="1"/>
    <col min="78" max="79" width="27" customWidth="1"/>
  </cols>
  <sheetData>
    <row r="1" spans="1:79" ht="80" x14ac:dyDescent="0.15">
      <c r="A1" s="36"/>
      <c r="B1" s="37" t="s">
        <v>92</v>
      </c>
      <c r="C1" s="36"/>
      <c r="D1" s="36"/>
      <c r="E1" s="36"/>
      <c r="F1" s="38" t="s">
        <v>93</v>
      </c>
      <c r="G1" s="39"/>
      <c r="H1" s="39"/>
      <c r="I1" s="40" t="s">
        <v>94</v>
      </c>
      <c r="J1" s="40"/>
      <c r="K1" s="39"/>
      <c r="L1" s="39"/>
      <c r="M1" s="40" t="s">
        <v>95</v>
      </c>
      <c r="N1" s="41"/>
      <c r="O1" s="41"/>
      <c r="P1" s="36"/>
      <c r="Q1" s="42"/>
      <c r="R1" s="42"/>
      <c r="S1" s="42"/>
      <c r="T1" s="42"/>
      <c r="U1" s="42"/>
      <c r="V1" s="42"/>
      <c r="W1" s="39"/>
      <c r="X1" s="39"/>
      <c r="Y1" s="40" t="s">
        <v>96</v>
      </c>
      <c r="Z1" s="40" t="s">
        <v>96</v>
      </c>
      <c r="AA1" s="39"/>
      <c r="AB1" s="39"/>
      <c r="AC1" s="39"/>
      <c r="AD1" s="39"/>
      <c r="AE1" s="39"/>
      <c r="AF1" s="39"/>
      <c r="AG1" s="39"/>
      <c r="AH1" s="39"/>
      <c r="AI1" s="39"/>
      <c r="AJ1" s="39"/>
      <c r="AK1" s="39"/>
      <c r="AL1" s="39"/>
      <c r="AM1" s="39"/>
      <c r="AN1" s="39"/>
      <c r="AO1" s="39" t="s">
        <v>97</v>
      </c>
      <c r="AP1" s="40" t="s">
        <v>96</v>
      </c>
      <c r="AQ1" s="40" t="s">
        <v>96</v>
      </c>
      <c r="AR1" s="39"/>
      <c r="AS1" s="39"/>
      <c r="AT1" s="39"/>
      <c r="AU1" s="39"/>
      <c r="AV1" s="39"/>
      <c r="AW1" s="39" t="s">
        <v>98</v>
      </c>
      <c r="AX1" s="39"/>
      <c r="AY1" s="39"/>
      <c r="AZ1" s="39"/>
      <c r="BA1" s="39"/>
      <c r="BB1" s="39"/>
      <c r="BC1" s="39"/>
      <c r="BD1" s="39"/>
      <c r="BE1" s="39" t="s">
        <v>97</v>
      </c>
      <c r="BF1" s="40" t="s">
        <v>96</v>
      </c>
      <c r="BG1" s="40" t="s">
        <v>96</v>
      </c>
      <c r="BH1" s="39"/>
      <c r="BI1" s="39"/>
      <c r="BJ1" s="39"/>
      <c r="BK1" s="39"/>
      <c r="BL1" s="39"/>
      <c r="BM1" s="39"/>
      <c r="BN1" s="39"/>
      <c r="BO1" s="39"/>
      <c r="BP1" s="39"/>
      <c r="BQ1" s="39"/>
      <c r="BR1" s="39"/>
      <c r="BS1" s="39"/>
      <c r="BT1" s="39"/>
      <c r="BU1" s="39"/>
      <c r="BV1" s="43" t="s">
        <v>99</v>
      </c>
      <c r="BW1" s="40" t="s">
        <v>100</v>
      </c>
      <c r="BX1" s="40"/>
      <c r="BY1" s="40"/>
      <c r="BZ1" s="40" t="s">
        <v>101</v>
      </c>
      <c r="CA1" s="40" t="s">
        <v>102</v>
      </c>
    </row>
    <row r="2" spans="1:79" ht="60" hidden="1" collapsed="1" x14ac:dyDescent="0.15">
      <c r="A2" s="44" t="s">
        <v>103</v>
      </c>
      <c r="B2" s="44" t="s">
        <v>104</v>
      </c>
      <c r="C2" s="45" t="s">
        <v>105</v>
      </c>
      <c r="D2" s="46" t="s">
        <v>106</v>
      </c>
      <c r="E2" s="45" t="s">
        <v>107</v>
      </c>
      <c r="F2" s="47" t="s">
        <v>108</v>
      </c>
      <c r="G2" s="45" t="s">
        <v>109</v>
      </c>
      <c r="H2" s="45" t="s">
        <v>110</v>
      </c>
      <c r="I2" s="44" t="s">
        <v>111</v>
      </c>
      <c r="J2" s="48" t="s">
        <v>112</v>
      </c>
      <c r="K2" s="48" t="s">
        <v>113</v>
      </c>
      <c r="L2" s="48" t="s">
        <v>114</v>
      </c>
      <c r="M2" s="44" t="s">
        <v>115</v>
      </c>
      <c r="N2" s="49" t="s">
        <v>116</v>
      </c>
      <c r="O2" s="49" t="s">
        <v>117</v>
      </c>
      <c r="P2" s="50" t="s">
        <v>118</v>
      </c>
      <c r="Q2" s="51" t="s">
        <v>119</v>
      </c>
      <c r="R2" s="52" t="s">
        <v>120</v>
      </c>
      <c r="S2" s="52" t="s">
        <v>121</v>
      </c>
      <c r="T2" s="52" t="s">
        <v>122</v>
      </c>
      <c r="U2" s="52" t="s">
        <v>123</v>
      </c>
      <c r="V2" s="52" t="s">
        <v>124</v>
      </c>
      <c r="W2" s="53" t="s">
        <v>125</v>
      </c>
      <c r="X2" s="53" t="s">
        <v>126</v>
      </c>
      <c r="Y2" s="54" t="s">
        <v>127</v>
      </c>
      <c r="Z2" s="54" t="s">
        <v>128</v>
      </c>
      <c r="AA2" s="53" t="s">
        <v>129</v>
      </c>
      <c r="AB2" s="55" t="s">
        <v>130</v>
      </c>
      <c r="AC2" s="55" t="s">
        <v>131</v>
      </c>
      <c r="AD2" s="55" t="s">
        <v>132</v>
      </c>
      <c r="AE2" s="55" t="s">
        <v>133</v>
      </c>
      <c r="AF2" s="55" t="s">
        <v>134</v>
      </c>
      <c r="AG2" s="53" t="s">
        <v>135</v>
      </c>
      <c r="AH2" s="55" t="s">
        <v>136</v>
      </c>
      <c r="AI2" s="55" t="s">
        <v>137</v>
      </c>
      <c r="AJ2" s="55" t="s">
        <v>138</v>
      </c>
      <c r="AK2" s="55" t="s">
        <v>139</v>
      </c>
      <c r="AL2" s="55" t="s">
        <v>140</v>
      </c>
      <c r="AM2" s="55"/>
      <c r="AN2" s="56" t="s">
        <v>141</v>
      </c>
      <c r="AO2" s="56" t="s">
        <v>142</v>
      </c>
      <c r="AP2" s="57" t="s">
        <v>143</v>
      </c>
      <c r="AQ2" s="57" t="s">
        <v>144</v>
      </c>
      <c r="AR2" s="56" t="s">
        <v>145</v>
      </c>
      <c r="AS2" s="58" t="s">
        <v>146</v>
      </c>
      <c r="AT2" s="58" t="s">
        <v>147</v>
      </c>
      <c r="AU2" s="58" t="s">
        <v>148</v>
      </c>
      <c r="AV2" s="58" t="s">
        <v>149</v>
      </c>
      <c r="AW2" s="56" t="s">
        <v>150</v>
      </c>
      <c r="AX2" s="58" t="s">
        <v>151</v>
      </c>
      <c r="AY2" s="58" t="s">
        <v>152</v>
      </c>
      <c r="AZ2" s="58" t="s">
        <v>153</v>
      </c>
      <c r="BA2" s="58" t="s">
        <v>154</v>
      </c>
      <c r="BB2" s="58" t="s">
        <v>155</v>
      </c>
      <c r="BC2" s="58"/>
      <c r="BD2" s="59" t="s">
        <v>156</v>
      </c>
      <c r="BE2" s="59" t="s">
        <v>157</v>
      </c>
      <c r="BF2" s="60" t="s">
        <v>158</v>
      </c>
      <c r="BG2" s="60" t="s">
        <v>159</v>
      </c>
      <c r="BH2" s="61" t="s">
        <v>160</v>
      </c>
      <c r="BI2" s="61" t="s">
        <v>161</v>
      </c>
      <c r="BJ2" s="61" t="s">
        <v>162</v>
      </c>
      <c r="BK2" s="61" t="s">
        <v>163</v>
      </c>
      <c r="BL2" s="61" t="s">
        <v>164</v>
      </c>
      <c r="BM2" s="61" t="s">
        <v>165</v>
      </c>
      <c r="BN2" s="61" t="s">
        <v>166</v>
      </c>
      <c r="BO2" s="61" t="s">
        <v>167</v>
      </c>
      <c r="BP2" s="61" t="s">
        <v>168</v>
      </c>
      <c r="BQ2" s="61" t="s">
        <v>169</v>
      </c>
      <c r="BR2" s="61" t="s">
        <v>170</v>
      </c>
      <c r="BS2" s="61" t="s">
        <v>171</v>
      </c>
      <c r="BT2" s="61" t="s">
        <v>172</v>
      </c>
      <c r="BU2" s="61"/>
      <c r="BV2" s="62" t="s">
        <v>173</v>
      </c>
      <c r="BW2" s="44" t="s">
        <v>174</v>
      </c>
      <c r="BX2" s="44" t="s">
        <v>175</v>
      </c>
      <c r="BY2" s="44" t="s">
        <v>176</v>
      </c>
      <c r="BZ2" s="63" t="s">
        <v>177</v>
      </c>
      <c r="CA2" s="63" t="s">
        <v>178</v>
      </c>
    </row>
    <row r="3" spans="1:79" ht="195" hidden="1" outlineLevel="1" x14ac:dyDescent="0.15">
      <c r="A3" s="64" t="s">
        <v>179</v>
      </c>
      <c r="B3" s="65" t="s">
        <v>180</v>
      </c>
      <c r="C3" s="66" t="s">
        <v>181</v>
      </c>
      <c r="D3" s="67"/>
      <c r="E3" s="64" t="s">
        <v>182</v>
      </c>
      <c r="F3" s="64"/>
      <c r="G3" s="66" t="s">
        <v>183</v>
      </c>
      <c r="H3" s="66"/>
      <c r="I3" s="68" t="s">
        <v>184</v>
      </c>
      <c r="J3" s="69" t="s">
        <v>185</v>
      </c>
      <c r="K3" s="69" t="s">
        <v>186</v>
      </c>
      <c r="L3" s="66"/>
      <c r="M3" s="69" t="s">
        <v>187</v>
      </c>
      <c r="N3" s="70" t="s">
        <v>96</v>
      </c>
      <c r="O3" s="71"/>
      <c r="P3" s="64" t="s">
        <v>188</v>
      </c>
      <c r="Q3" s="72" t="s">
        <v>189</v>
      </c>
      <c r="R3" s="73" t="s">
        <v>190</v>
      </c>
      <c r="S3" s="73" t="s">
        <v>191</v>
      </c>
      <c r="T3" s="64"/>
      <c r="U3" s="64"/>
      <c r="V3" s="73" t="s">
        <v>192</v>
      </c>
      <c r="W3" s="74" t="s">
        <v>193</v>
      </c>
      <c r="X3" s="69" t="s">
        <v>194</v>
      </c>
      <c r="Y3" s="66"/>
      <c r="Z3" s="66"/>
      <c r="AA3" s="75"/>
      <c r="AB3" s="66"/>
      <c r="AC3" s="69" t="s">
        <v>195</v>
      </c>
      <c r="AD3" s="69" t="s">
        <v>196</v>
      </c>
      <c r="AE3" s="66"/>
      <c r="AF3" s="66"/>
      <c r="AG3" s="75"/>
      <c r="AH3" s="66"/>
      <c r="AI3" s="66"/>
      <c r="AJ3" s="66"/>
      <c r="AK3" s="66"/>
      <c r="AL3" s="66"/>
      <c r="AM3" s="66"/>
      <c r="AN3" s="76" t="s">
        <v>197</v>
      </c>
      <c r="AO3" s="77" t="s">
        <v>198</v>
      </c>
      <c r="AP3" s="78"/>
      <c r="AQ3" s="78"/>
      <c r="AR3" s="79"/>
      <c r="AS3" s="78"/>
      <c r="AT3" s="69" t="s">
        <v>199</v>
      </c>
      <c r="AU3" s="69" t="s">
        <v>200</v>
      </c>
      <c r="AV3" s="66"/>
      <c r="AW3" s="75"/>
      <c r="AX3" s="66"/>
      <c r="AY3" s="66"/>
      <c r="AZ3" s="66"/>
      <c r="BA3" s="66"/>
      <c r="BB3" s="66"/>
      <c r="BC3" s="66"/>
      <c r="BD3" s="76" t="s">
        <v>201</v>
      </c>
      <c r="BE3" s="77" t="s">
        <v>202</v>
      </c>
      <c r="BF3" s="78"/>
      <c r="BG3" s="78"/>
      <c r="BH3" s="78"/>
      <c r="BI3" s="78"/>
      <c r="BJ3" s="69"/>
      <c r="BK3" s="69" t="s">
        <v>203</v>
      </c>
      <c r="BL3" s="66"/>
      <c r="BM3" s="66"/>
      <c r="BN3" s="66"/>
      <c r="BO3" s="66"/>
      <c r="BP3" s="66"/>
      <c r="BQ3" s="66"/>
      <c r="BR3" s="66"/>
      <c r="BS3" s="66"/>
      <c r="BT3" s="66"/>
      <c r="BU3" s="66"/>
      <c r="BV3" s="80" t="s">
        <v>204</v>
      </c>
      <c r="BW3" s="66"/>
      <c r="BX3" s="66"/>
      <c r="BY3" s="66"/>
      <c r="BZ3" s="69" t="s">
        <v>205</v>
      </c>
      <c r="CA3" s="69"/>
    </row>
    <row r="4" spans="1:79" ht="45" hidden="1" outlineLevel="1" x14ac:dyDescent="0.15">
      <c r="A4" s="64"/>
      <c r="B4" s="65" t="s">
        <v>206</v>
      </c>
      <c r="C4" s="69" t="s">
        <v>207</v>
      </c>
      <c r="D4" s="67" t="s">
        <v>208</v>
      </c>
      <c r="E4" s="73" t="s">
        <v>209</v>
      </c>
      <c r="F4" s="73"/>
      <c r="G4" s="69" t="s">
        <v>210</v>
      </c>
      <c r="H4" s="69" t="s">
        <v>211</v>
      </c>
      <c r="I4" s="68"/>
      <c r="J4" s="66"/>
      <c r="K4" s="66"/>
      <c r="L4" s="66"/>
      <c r="M4" s="69"/>
      <c r="N4" s="70" t="s">
        <v>212</v>
      </c>
      <c r="O4" s="70" t="s">
        <v>213</v>
      </c>
      <c r="P4" s="73" t="s">
        <v>214</v>
      </c>
      <c r="Q4" s="74" t="s">
        <v>215</v>
      </c>
      <c r="R4" s="73" t="s">
        <v>216</v>
      </c>
      <c r="S4" s="73" t="s">
        <v>217</v>
      </c>
      <c r="T4" s="73" t="s">
        <v>218</v>
      </c>
      <c r="U4" s="73" t="s">
        <v>219</v>
      </c>
      <c r="V4" s="73" t="s">
        <v>220</v>
      </c>
      <c r="W4" s="74" t="s">
        <v>221</v>
      </c>
      <c r="X4" s="69" t="s">
        <v>222</v>
      </c>
      <c r="Y4" s="69" t="s">
        <v>223</v>
      </c>
      <c r="Z4" s="69" t="s">
        <v>224</v>
      </c>
      <c r="AA4" s="74" t="s">
        <v>225</v>
      </c>
      <c r="AB4" s="69" t="s">
        <v>226</v>
      </c>
      <c r="AC4" s="69" t="s">
        <v>227</v>
      </c>
      <c r="AD4" s="69" t="s">
        <v>228</v>
      </c>
      <c r="AE4" s="69" t="s">
        <v>229</v>
      </c>
      <c r="AF4" s="69" t="s">
        <v>230</v>
      </c>
      <c r="AG4" s="74" t="s">
        <v>231</v>
      </c>
      <c r="AH4" s="69" t="s">
        <v>232</v>
      </c>
      <c r="AI4" s="69" t="s">
        <v>233</v>
      </c>
      <c r="AJ4" s="69" t="s">
        <v>234</v>
      </c>
      <c r="AK4" s="69" t="s">
        <v>235</v>
      </c>
      <c r="AL4" s="69" t="s">
        <v>236</v>
      </c>
      <c r="AM4" s="69"/>
      <c r="AN4" s="74" t="s">
        <v>237</v>
      </c>
      <c r="AO4" s="69" t="s">
        <v>238</v>
      </c>
      <c r="AP4" s="69" t="s">
        <v>239</v>
      </c>
      <c r="AQ4" s="69" t="s">
        <v>240</v>
      </c>
      <c r="AR4" s="81" t="s">
        <v>241</v>
      </c>
      <c r="AS4" s="73" t="s">
        <v>242</v>
      </c>
      <c r="AT4" s="69" t="s">
        <v>243</v>
      </c>
      <c r="AU4" s="69" t="s">
        <v>244</v>
      </c>
      <c r="AV4" s="69" t="s">
        <v>245</v>
      </c>
      <c r="AW4" s="81" t="s">
        <v>246</v>
      </c>
      <c r="AX4" s="73" t="s">
        <v>247</v>
      </c>
      <c r="AY4" s="69" t="s">
        <v>248</v>
      </c>
      <c r="AZ4" s="69" t="s">
        <v>249</v>
      </c>
      <c r="BA4" s="69" t="s">
        <v>250</v>
      </c>
      <c r="BB4" s="69" t="s">
        <v>251</v>
      </c>
      <c r="BC4" s="69"/>
      <c r="BD4" s="81" t="s">
        <v>252</v>
      </c>
      <c r="BE4" s="73" t="s">
        <v>253</v>
      </c>
      <c r="BF4" s="73" t="s">
        <v>254</v>
      </c>
      <c r="BG4" s="73" t="s">
        <v>255</v>
      </c>
      <c r="BH4" s="73" t="s">
        <v>256</v>
      </c>
      <c r="BI4" s="73" t="s">
        <v>257</v>
      </c>
      <c r="BJ4" s="69" t="s">
        <v>258</v>
      </c>
      <c r="BK4" s="69" t="s">
        <v>259</v>
      </c>
      <c r="BL4" s="69" t="s">
        <v>260</v>
      </c>
      <c r="BM4" s="69" t="s">
        <v>261</v>
      </c>
      <c r="BN4" s="69" t="s">
        <v>262</v>
      </c>
      <c r="BO4" s="73" t="s">
        <v>263</v>
      </c>
      <c r="BP4" s="73" t="s">
        <v>264</v>
      </c>
      <c r="BQ4" s="69" t="s">
        <v>265</v>
      </c>
      <c r="BR4" s="69" t="s">
        <v>266</v>
      </c>
      <c r="BS4" s="69" t="s">
        <v>267</v>
      </c>
      <c r="BT4" s="69" t="s">
        <v>268</v>
      </c>
      <c r="BU4" s="69"/>
      <c r="BV4" s="80"/>
      <c r="BW4" s="66"/>
      <c r="BX4" s="66"/>
      <c r="BY4" s="66"/>
      <c r="BZ4" s="66"/>
      <c r="CA4" s="66"/>
    </row>
    <row r="5" spans="1:79" ht="28" x14ac:dyDescent="0.15">
      <c r="A5" s="82" t="s">
        <v>269</v>
      </c>
      <c r="B5" s="83"/>
      <c r="C5" s="84" t="s">
        <v>270</v>
      </c>
      <c r="D5" s="85" t="b">
        <f>VLOOKUP($C5, '_REF Catalog Classes'!$C$6:$D416, COLUMNS('_REF Catalog Classes'!$C$6:$D416), FALSE)</f>
        <v>1</v>
      </c>
      <c r="E5" s="82" t="s">
        <v>271</v>
      </c>
      <c r="F5" s="82" t="str">
        <f t="shared" ref="F5:F259" si="0">$E5&amp;":"&amp;$B5</f>
        <v>elementalForce:</v>
      </c>
      <c r="G5" s="86" t="s">
        <v>272</v>
      </c>
      <c r="H5" s="86" t="s">
        <v>273</v>
      </c>
      <c r="I5" s="82" t="s">
        <v>274</v>
      </c>
      <c r="J5" s="82" t="s">
        <v>275</v>
      </c>
      <c r="K5" s="82"/>
      <c r="L5" s="82"/>
      <c r="M5" s="82"/>
      <c r="N5" s="87" t="s">
        <v>276</v>
      </c>
      <c r="O5" s="84"/>
      <c r="P5" s="82">
        <v>1</v>
      </c>
      <c r="Q5" s="88" t="s">
        <v>277</v>
      </c>
      <c r="R5" s="82">
        <v>1</v>
      </c>
      <c r="S5" s="82" t="s">
        <v>278</v>
      </c>
      <c r="T5" s="84" t="s">
        <v>279</v>
      </c>
      <c r="U5" s="82">
        <v>2</v>
      </c>
      <c r="V5" s="82" t="s">
        <v>280</v>
      </c>
      <c r="W5" s="89"/>
      <c r="X5" s="90"/>
      <c r="Y5" s="90"/>
      <c r="Z5" s="90"/>
      <c r="AA5" s="91"/>
      <c r="AB5" s="90"/>
      <c r="AC5" s="90"/>
      <c r="AD5" s="90"/>
      <c r="AE5" s="90"/>
      <c r="AF5" s="90"/>
      <c r="AG5" s="92"/>
      <c r="AH5" s="93"/>
      <c r="AI5" s="93"/>
      <c r="AJ5" s="93"/>
      <c r="AK5" s="93"/>
      <c r="AL5" s="93"/>
      <c r="AM5" s="93"/>
      <c r="AN5" s="94"/>
      <c r="AO5" s="95"/>
      <c r="AP5" s="95"/>
      <c r="AQ5" s="95"/>
      <c r="AR5" s="94"/>
      <c r="AS5" s="95"/>
      <c r="AT5" s="95"/>
      <c r="AU5" s="95"/>
      <c r="AV5" s="95"/>
      <c r="AW5" s="92"/>
      <c r="AX5" s="93"/>
      <c r="AY5" s="93"/>
      <c r="AZ5" s="93"/>
      <c r="BA5" s="93"/>
      <c r="BB5" s="93"/>
      <c r="BC5" s="93"/>
      <c r="BD5" s="96">
        <v>2</v>
      </c>
      <c r="BE5" s="97" t="s">
        <v>281</v>
      </c>
      <c r="BF5" s="98" t="s">
        <v>282</v>
      </c>
      <c r="BG5" s="98"/>
      <c r="BH5" s="97" t="s">
        <v>283</v>
      </c>
      <c r="BI5" s="97" t="s">
        <v>284</v>
      </c>
      <c r="BJ5" s="93"/>
      <c r="BK5" s="97" t="s">
        <v>285</v>
      </c>
      <c r="BL5" s="97" t="s">
        <v>286</v>
      </c>
      <c r="BM5" s="97"/>
      <c r="BN5" s="97"/>
      <c r="BO5" s="93"/>
      <c r="BP5" s="93"/>
      <c r="BQ5" s="93"/>
      <c r="BR5" s="93"/>
      <c r="BS5" s="93"/>
      <c r="BT5" s="93"/>
      <c r="BU5" s="93"/>
      <c r="BV5" s="99" t="s">
        <v>287</v>
      </c>
      <c r="BW5" s="86"/>
      <c r="BX5" s="86" t="s">
        <v>288</v>
      </c>
      <c r="BY5" s="86"/>
      <c r="BZ5" s="100" t="s">
        <v>289</v>
      </c>
      <c r="CA5" s="100" t="str">
        <f ca="1">IFERROR(__xludf.DUMMYFUNCTION("IF(AND(REGEXMATCH(Catalog_RewardType,""reward""),$B5&lt;&gt;TRUE), VLOOKUP($E5, {'TitleData rewards.items'!$J$9:$J416,'TitleData rewards.items'!$B$9:$B416}, 2, FALSE), """")"),"")</f>
        <v/>
      </c>
    </row>
    <row r="6" spans="1:79" ht="28" x14ac:dyDescent="0.15">
      <c r="A6" s="82" t="s">
        <v>269</v>
      </c>
      <c r="B6" s="83"/>
      <c r="C6" s="82" t="s">
        <v>270</v>
      </c>
      <c r="D6" s="85" t="b">
        <f>VLOOKUP($C6, '_REF Catalog Classes'!$C$6:$D416, COLUMNS('_REF Catalog Classes'!$C$6:$D416), FALSE)</f>
        <v>1</v>
      </c>
      <c r="E6" s="82" t="s">
        <v>290</v>
      </c>
      <c r="F6" s="82" t="str">
        <f t="shared" si="0"/>
        <v>elementalFire:</v>
      </c>
      <c r="G6" s="82" t="s">
        <v>291</v>
      </c>
      <c r="H6" s="82" t="s">
        <v>292</v>
      </c>
      <c r="I6" s="84" t="s">
        <v>274</v>
      </c>
      <c r="J6" s="82" t="s">
        <v>275</v>
      </c>
      <c r="K6" s="82"/>
      <c r="L6" s="82"/>
      <c r="M6" s="82"/>
      <c r="N6" s="101" t="s">
        <v>293</v>
      </c>
      <c r="O6" s="82"/>
      <c r="P6" s="82">
        <v>2</v>
      </c>
      <c r="Q6" s="88" t="s">
        <v>277</v>
      </c>
      <c r="R6" s="82">
        <v>1</v>
      </c>
      <c r="S6" s="82" t="s">
        <v>278</v>
      </c>
      <c r="T6" s="82" t="s">
        <v>279</v>
      </c>
      <c r="U6" s="82">
        <v>2</v>
      </c>
      <c r="V6" s="82" t="s">
        <v>280</v>
      </c>
      <c r="W6" s="89"/>
      <c r="X6" s="90"/>
      <c r="Y6" s="90"/>
      <c r="Z6" s="90"/>
      <c r="AA6" s="91"/>
      <c r="AB6" s="90"/>
      <c r="AC6" s="90"/>
      <c r="AD6" s="90"/>
      <c r="AE6" s="90"/>
      <c r="AF6" s="90"/>
      <c r="AG6" s="92"/>
      <c r="AH6" s="93"/>
      <c r="AI6" s="93"/>
      <c r="AJ6" s="93"/>
      <c r="AK6" s="93"/>
      <c r="AL6" s="93"/>
      <c r="AM6" s="93"/>
      <c r="AN6" s="94"/>
      <c r="AO6" s="95"/>
      <c r="AP6" s="95"/>
      <c r="AQ6" s="95"/>
      <c r="AR6" s="94"/>
      <c r="AS6" s="95"/>
      <c r="AT6" s="95"/>
      <c r="AU6" s="95"/>
      <c r="AV6" s="95"/>
      <c r="AW6" s="92"/>
      <c r="AX6" s="93"/>
      <c r="AY6" s="93"/>
      <c r="AZ6" s="93"/>
      <c r="BA6" s="93"/>
      <c r="BB6" s="93"/>
      <c r="BC6" s="93"/>
      <c r="BD6" s="96">
        <v>2</v>
      </c>
      <c r="BE6" s="97" t="s">
        <v>281</v>
      </c>
      <c r="BF6" s="98" t="s">
        <v>294</v>
      </c>
      <c r="BG6" s="97"/>
      <c r="BH6" s="97" t="s">
        <v>283</v>
      </c>
      <c r="BI6" s="97" t="s">
        <v>295</v>
      </c>
      <c r="BJ6" s="93"/>
      <c r="BK6" s="97" t="s">
        <v>296</v>
      </c>
      <c r="BL6" s="97" t="s">
        <v>297</v>
      </c>
      <c r="BM6" s="97"/>
      <c r="BN6" s="97"/>
      <c r="BO6" s="93"/>
      <c r="BP6" s="93"/>
      <c r="BQ6" s="93"/>
      <c r="BR6" s="93"/>
      <c r="BS6" s="93"/>
      <c r="BT6" s="93"/>
      <c r="BU6" s="93"/>
      <c r="BV6" s="99" t="s">
        <v>287</v>
      </c>
      <c r="BW6" s="86"/>
      <c r="BX6" s="86" t="s">
        <v>288</v>
      </c>
      <c r="BY6" s="86"/>
      <c r="BZ6" s="100" t="s">
        <v>289</v>
      </c>
      <c r="CA6" s="100" t="str">
        <f ca="1">IFERROR(__xludf.DUMMYFUNCTION("IF(REGEXMATCH(Catalog_RewardType,""reward""), VLOOKUP($E6, {'TitleData rewards.items'!$J$9:$J416,'TitleData rewards.items'!$B$9:$B416}, 2, FALSE), """")"),"")</f>
        <v/>
      </c>
    </row>
    <row r="7" spans="1:79" ht="28" x14ac:dyDescent="0.15">
      <c r="A7" s="82" t="s">
        <v>269</v>
      </c>
      <c r="B7" s="83"/>
      <c r="C7" s="82" t="s">
        <v>270</v>
      </c>
      <c r="D7" s="85" t="b">
        <f>VLOOKUP($C7, '_REF Catalog Classes'!$C$6:$D416, COLUMNS('_REF Catalog Classes'!$C$6:$D416), FALSE)</f>
        <v>1</v>
      </c>
      <c r="E7" s="82" t="s">
        <v>298</v>
      </c>
      <c r="F7" s="82" t="str">
        <f t="shared" si="0"/>
        <v>elementalFreeze:</v>
      </c>
      <c r="G7" s="82" t="s">
        <v>299</v>
      </c>
      <c r="H7" s="82" t="s">
        <v>300</v>
      </c>
      <c r="I7" s="82" t="s">
        <v>274</v>
      </c>
      <c r="J7" s="82" t="s">
        <v>275</v>
      </c>
      <c r="K7" s="82"/>
      <c r="L7" s="82"/>
      <c r="M7" s="82"/>
      <c r="N7" s="101" t="s">
        <v>301</v>
      </c>
      <c r="O7" s="82"/>
      <c r="P7" s="82">
        <v>3</v>
      </c>
      <c r="Q7" s="88" t="s">
        <v>277</v>
      </c>
      <c r="R7" s="82">
        <v>1</v>
      </c>
      <c r="S7" s="82" t="s">
        <v>278</v>
      </c>
      <c r="T7" s="82" t="s">
        <v>279</v>
      </c>
      <c r="U7" s="82">
        <v>2</v>
      </c>
      <c r="V7" s="82" t="s">
        <v>280</v>
      </c>
      <c r="W7" s="89"/>
      <c r="X7" s="90"/>
      <c r="Y7" s="90"/>
      <c r="Z7" s="90"/>
      <c r="AA7" s="91"/>
      <c r="AB7" s="90"/>
      <c r="AC7" s="90"/>
      <c r="AD7" s="90"/>
      <c r="AE7" s="90"/>
      <c r="AF7" s="90"/>
      <c r="AG7" s="92"/>
      <c r="AH7" s="93"/>
      <c r="AI7" s="93"/>
      <c r="AJ7" s="93"/>
      <c r="AK7" s="93"/>
      <c r="AL7" s="93"/>
      <c r="AM7" s="93"/>
      <c r="AN7" s="94"/>
      <c r="AO7" s="95"/>
      <c r="AP7" s="95"/>
      <c r="AQ7" s="95"/>
      <c r="AR7" s="94"/>
      <c r="AS7" s="95"/>
      <c r="AT7" s="95"/>
      <c r="AU7" s="95"/>
      <c r="AV7" s="95"/>
      <c r="AW7" s="92"/>
      <c r="AX7" s="93"/>
      <c r="AY7" s="93"/>
      <c r="AZ7" s="93"/>
      <c r="BA7" s="93"/>
      <c r="BB7" s="93"/>
      <c r="BC7" s="93"/>
      <c r="BD7" s="96">
        <v>2</v>
      </c>
      <c r="BE7" s="97" t="s">
        <v>281</v>
      </c>
      <c r="BF7" s="98" t="s">
        <v>302</v>
      </c>
      <c r="BG7" s="97"/>
      <c r="BH7" s="97" t="s">
        <v>283</v>
      </c>
      <c r="BI7" s="97" t="s">
        <v>303</v>
      </c>
      <c r="BJ7" s="93"/>
      <c r="BK7" s="97" t="s">
        <v>304</v>
      </c>
      <c r="BL7" s="97" t="s">
        <v>305</v>
      </c>
      <c r="BM7" s="97"/>
      <c r="BN7" s="97"/>
      <c r="BO7" s="93"/>
      <c r="BP7" s="93"/>
      <c r="BQ7" s="93"/>
      <c r="BR7" s="93"/>
      <c r="BS7" s="93"/>
      <c r="BT7" s="93"/>
      <c r="BU7" s="93"/>
      <c r="BV7" s="99" t="s">
        <v>287</v>
      </c>
      <c r="BW7" s="86"/>
      <c r="BX7" s="86" t="s">
        <v>288</v>
      </c>
      <c r="BY7" s="86"/>
      <c r="BZ7" s="100" t="s">
        <v>289</v>
      </c>
      <c r="CA7" s="100" t="str">
        <f ca="1">IFERROR(__xludf.DUMMYFUNCTION("IF(REGEXMATCH(Catalog_RewardType,""reward""), VLOOKUP($E7, {'TitleData rewards.items'!$J$9:$J416,'TitleData rewards.items'!$B$9:$B416}, 2, FALSE), """")"),"")</f>
        <v/>
      </c>
    </row>
    <row r="8" spans="1:79" ht="28" x14ac:dyDescent="0.15">
      <c r="A8" s="82" t="s">
        <v>269</v>
      </c>
      <c r="B8" s="83"/>
      <c r="C8" s="82" t="s">
        <v>270</v>
      </c>
      <c r="D8" s="85" t="b">
        <f>VLOOKUP($C8, '_REF Catalog Classes'!$C$6:$D416, COLUMNS('_REF Catalog Classes'!$C$6:$D416), FALSE)</f>
        <v>1</v>
      </c>
      <c r="E8" s="82" t="s">
        <v>306</v>
      </c>
      <c r="F8" s="82" t="str">
        <f t="shared" si="0"/>
        <v>elementalLightning:</v>
      </c>
      <c r="G8" s="82" t="s">
        <v>307</v>
      </c>
      <c r="H8" s="82" t="s">
        <v>308</v>
      </c>
      <c r="I8" s="82" t="s">
        <v>274</v>
      </c>
      <c r="J8" s="82" t="s">
        <v>275</v>
      </c>
      <c r="K8" s="82"/>
      <c r="L8" s="82"/>
      <c r="M8" s="82"/>
      <c r="N8" s="101" t="s">
        <v>309</v>
      </c>
      <c r="O8" s="82"/>
      <c r="P8" s="82">
        <v>4</v>
      </c>
      <c r="Q8" s="88" t="s">
        <v>277</v>
      </c>
      <c r="R8" s="82">
        <v>1</v>
      </c>
      <c r="S8" s="82" t="s">
        <v>278</v>
      </c>
      <c r="T8" s="82" t="s">
        <v>279</v>
      </c>
      <c r="U8" s="82">
        <v>2</v>
      </c>
      <c r="V8" s="82" t="s">
        <v>280</v>
      </c>
      <c r="W8" s="89"/>
      <c r="X8" s="90"/>
      <c r="Y8" s="90"/>
      <c r="Z8" s="90"/>
      <c r="AA8" s="91"/>
      <c r="AB8" s="90"/>
      <c r="AC8" s="90"/>
      <c r="AD8" s="90"/>
      <c r="AE8" s="90"/>
      <c r="AF8" s="90"/>
      <c r="AG8" s="92"/>
      <c r="AH8" s="93"/>
      <c r="AI8" s="93"/>
      <c r="AJ8" s="93"/>
      <c r="AK8" s="93"/>
      <c r="AL8" s="93"/>
      <c r="AM8" s="93"/>
      <c r="AN8" s="94"/>
      <c r="AO8" s="95"/>
      <c r="AP8" s="95"/>
      <c r="AQ8" s="95"/>
      <c r="AR8" s="94"/>
      <c r="AS8" s="95"/>
      <c r="AT8" s="95"/>
      <c r="AU8" s="95"/>
      <c r="AV8" s="95"/>
      <c r="AW8" s="92"/>
      <c r="AX8" s="93"/>
      <c r="AY8" s="93"/>
      <c r="AZ8" s="93"/>
      <c r="BA8" s="93"/>
      <c r="BB8" s="93"/>
      <c r="BC8" s="93"/>
      <c r="BD8" s="96">
        <v>2</v>
      </c>
      <c r="BE8" s="97" t="s">
        <v>281</v>
      </c>
      <c r="BF8" s="98" t="s">
        <v>310</v>
      </c>
      <c r="BG8" s="97"/>
      <c r="BH8" s="97" t="s">
        <v>283</v>
      </c>
      <c r="BI8" s="97" t="s">
        <v>311</v>
      </c>
      <c r="BJ8" s="93"/>
      <c r="BK8" s="97" t="s">
        <v>312</v>
      </c>
      <c r="BL8" s="97" t="s">
        <v>313</v>
      </c>
      <c r="BM8" s="97"/>
      <c r="BN8" s="97"/>
      <c r="BO8" s="93"/>
      <c r="BP8" s="93"/>
      <c r="BQ8" s="93"/>
      <c r="BR8" s="93"/>
      <c r="BS8" s="93"/>
      <c r="BT8" s="93"/>
      <c r="BU8" s="93"/>
      <c r="BV8" s="99" t="s">
        <v>287</v>
      </c>
      <c r="BW8" s="86"/>
      <c r="BX8" s="86" t="s">
        <v>288</v>
      </c>
      <c r="BY8" s="86"/>
      <c r="BZ8" s="100" t="s">
        <v>289</v>
      </c>
      <c r="CA8" s="100" t="str">
        <f ca="1">IFERROR(__xludf.DUMMYFUNCTION("IF(REGEXMATCH(Catalog_RewardType,""reward""), VLOOKUP($E8, {'TitleData rewards.items'!$J$9:$J416,'TitleData rewards.items'!$B$9:$B416}, 2, FALSE), """")"),"")</f>
        <v/>
      </c>
    </row>
    <row r="9" spans="1:79" ht="28" hidden="1" x14ac:dyDescent="0.15">
      <c r="A9" s="82" t="s">
        <v>314</v>
      </c>
      <c r="B9" s="83" t="b">
        <v>1</v>
      </c>
      <c r="C9" s="82" t="s">
        <v>315</v>
      </c>
      <c r="D9" s="85" t="b">
        <f>VLOOKUP($C9, '_REF Catalog Classes'!$C$6:$D416, COLUMNS('_REF Catalog Classes'!$C$6:$D416), FALSE)</f>
        <v>1</v>
      </c>
      <c r="E9" s="82" t="s">
        <v>316</v>
      </c>
      <c r="F9" s="82" t="str">
        <f t="shared" si="0"/>
        <v>skinForce1:TRUE</v>
      </c>
      <c r="G9" s="86" t="s">
        <v>317</v>
      </c>
      <c r="H9" s="86" t="s">
        <v>318</v>
      </c>
      <c r="I9" s="82" t="s">
        <v>274</v>
      </c>
      <c r="J9" s="82"/>
      <c r="K9" s="82"/>
      <c r="L9" s="82"/>
      <c r="M9" s="82"/>
      <c r="N9" s="101" t="s">
        <v>276</v>
      </c>
      <c r="O9" s="82"/>
      <c r="P9" s="82">
        <v>1</v>
      </c>
      <c r="Q9" s="88"/>
      <c r="R9" s="82"/>
      <c r="S9" s="82"/>
      <c r="T9" s="82"/>
      <c r="U9" s="82"/>
      <c r="V9" s="82"/>
      <c r="W9" s="89">
        <v>0</v>
      </c>
      <c r="X9" s="90" t="s">
        <v>319</v>
      </c>
      <c r="Y9" s="90" t="str">
        <f t="shared" ref="Y9:Y16" si="1">"file://"&amp;$E9&amp;"-state0-image0"</f>
        <v>file://skinForce1-state0-image0</v>
      </c>
      <c r="Z9" s="90"/>
      <c r="AA9" s="91" t="s">
        <v>283</v>
      </c>
      <c r="AB9" s="90" t="s">
        <v>320</v>
      </c>
      <c r="AC9" s="90"/>
      <c r="AD9" s="90"/>
      <c r="AE9" s="90"/>
      <c r="AF9" s="90"/>
      <c r="AG9" s="92"/>
      <c r="AH9" s="93"/>
      <c r="AI9" s="93"/>
      <c r="AJ9" s="93"/>
      <c r="AK9" s="93"/>
      <c r="AL9" s="93"/>
      <c r="AM9" s="93"/>
      <c r="AN9" s="94"/>
      <c r="AO9" s="95"/>
      <c r="AP9" s="95" t="str">
        <f t="shared" ref="AP9:AP16" si="2">"file://"&amp;$E9&amp;"-state1-image0"</f>
        <v>file://skinForce1-state1-image0</v>
      </c>
      <c r="AQ9" s="95"/>
      <c r="AR9" s="94"/>
      <c r="AS9" s="95"/>
      <c r="AT9" s="95"/>
      <c r="AU9" s="95"/>
      <c r="AV9" s="95"/>
      <c r="AW9" s="92"/>
      <c r="AX9" s="93"/>
      <c r="AY9" s="93"/>
      <c r="AZ9" s="93"/>
      <c r="BA9" s="93"/>
      <c r="BB9" s="93"/>
      <c r="BC9" s="93"/>
      <c r="BD9" s="96">
        <v>2</v>
      </c>
      <c r="BE9" s="97" t="s">
        <v>281</v>
      </c>
      <c r="BF9" s="102"/>
      <c r="BG9" s="97"/>
      <c r="BH9" s="97" t="s">
        <v>283</v>
      </c>
      <c r="BI9" s="97" t="s">
        <v>320</v>
      </c>
      <c r="BJ9" s="97"/>
      <c r="BK9" s="97"/>
      <c r="BL9" s="97"/>
      <c r="BM9" s="97"/>
      <c r="BN9" s="97"/>
      <c r="BO9" s="93"/>
      <c r="BP9" s="93"/>
      <c r="BQ9" s="93"/>
      <c r="BR9" s="93"/>
      <c r="BS9" s="93"/>
      <c r="BT9" s="93"/>
      <c r="BU9" s="93"/>
      <c r="BV9" s="99" t="s">
        <v>321</v>
      </c>
      <c r="BW9" s="86" t="str">
        <f>VLOOKUP($C9, '_REF Catalog Classes'!$C$6:$E416, COLUMNS('_REF Catalog Classes'!$C$6:$E416), FALSE)</f>
        <v>never</v>
      </c>
      <c r="BX9" s="86"/>
      <c r="BY9" s="86"/>
      <c r="BZ9" s="100" t="s">
        <v>322</v>
      </c>
      <c r="CA9" s="100" t="str">
        <f ca="1">IFERROR(__xludf.DUMMYFUNCTION("IF(REGEXMATCH(Catalog_RewardType,""reward""), VLOOKUP($E9, {'TitleData rewards.items'!$J$9:$J416,'TitleData rewards.items'!$B$9:$B416}, 2, FALSE), """")"),"#N/A")</f>
        <v>#N/A</v>
      </c>
    </row>
    <row r="10" spans="1:79" ht="28" hidden="1" x14ac:dyDescent="0.15">
      <c r="A10" s="82" t="s">
        <v>314</v>
      </c>
      <c r="B10" s="83" t="b">
        <v>1</v>
      </c>
      <c r="C10" s="82" t="s">
        <v>315</v>
      </c>
      <c r="D10" s="85" t="b">
        <f>VLOOKUP($C10, '_REF Catalog Classes'!$C$6:$D416, COLUMNS('_REF Catalog Classes'!$C$6:$D416), FALSE)</f>
        <v>1</v>
      </c>
      <c r="E10" s="82" t="s">
        <v>323</v>
      </c>
      <c r="F10" s="82" t="str">
        <f t="shared" si="0"/>
        <v>skinForce2:TRUE</v>
      </c>
      <c r="G10" s="86" t="s">
        <v>324</v>
      </c>
      <c r="H10" s="86" t="s">
        <v>325</v>
      </c>
      <c r="I10" s="82" t="s">
        <v>274</v>
      </c>
      <c r="J10" s="82"/>
      <c r="K10" s="82"/>
      <c r="L10" s="82"/>
      <c r="M10" s="82"/>
      <c r="N10" s="101" t="s">
        <v>276</v>
      </c>
      <c r="O10" s="82"/>
      <c r="P10" s="82">
        <v>2</v>
      </c>
      <c r="Q10" s="88"/>
      <c r="R10" s="82"/>
      <c r="S10" s="82"/>
      <c r="T10" s="82"/>
      <c r="U10" s="82"/>
      <c r="V10" s="82"/>
      <c r="W10" s="89">
        <v>0</v>
      </c>
      <c r="X10" s="90" t="s">
        <v>319</v>
      </c>
      <c r="Y10" s="90" t="str">
        <f t="shared" si="1"/>
        <v>file://skinForce2-state0-image0</v>
      </c>
      <c r="Z10" s="90"/>
      <c r="AA10" s="91" t="s">
        <v>283</v>
      </c>
      <c r="AB10" s="90" t="s">
        <v>326</v>
      </c>
      <c r="AC10" s="90"/>
      <c r="AD10" s="90"/>
      <c r="AE10" s="90"/>
      <c r="AF10" s="90"/>
      <c r="AG10" s="92"/>
      <c r="AH10" s="93"/>
      <c r="AI10" s="93"/>
      <c r="AJ10" s="93"/>
      <c r="AK10" s="93"/>
      <c r="AL10" s="93"/>
      <c r="AM10" s="93"/>
      <c r="AN10" s="94"/>
      <c r="AO10" s="95"/>
      <c r="AP10" s="95" t="str">
        <f t="shared" si="2"/>
        <v>file://skinForce2-state1-image0</v>
      </c>
      <c r="AQ10" s="95"/>
      <c r="AR10" s="94"/>
      <c r="AS10" s="95"/>
      <c r="AT10" s="95"/>
      <c r="AU10" s="95"/>
      <c r="AV10" s="95"/>
      <c r="AW10" s="92"/>
      <c r="AX10" s="93"/>
      <c r="AY10" s="93"/>
      <c r="AZ10" s="93"/>
      <c r="BA10" s="93"/>
      <c r="BB10" s="93"/>
      <c r="BC10" s="93"/>
      <c r="BD10" s="96">
        <v>2</v>
      </c>
      <c r="BE10" s="97" t="s">
        <v>281</v>
      </c>
      <c r="BF10" s="102"/>
      <c r="BG10" s="97"/>
      <c r="BH10" s="97" t="s">
        <v>283</v>
      </c>
      <c r="BI10" s="97" t="s">
        <v>326</v>
      </c>
      <c r="BJ10" s="97"/>
      <c r="BK10" s="97"/>
      <c r="BL10" s="97"/>
      <c r="BM10" s="97"/>
      <c r="BN10" s="97"/>
      <c r="BO10" s="93"/>
      <c r="BP10" s="93"/>
      <c r="BQ10" s="93"/>
      <c r="BR10" s="93"/>
      <c r="BS10" s="93"/>
      <c r="BT10" s="93"/>
      <c r="BU10" s="93"/>
      <c r="BV10" s="99" t="s">
        <v>327</v>
      </c>
      <c r="BW10" s="86" t="str">
        <f>VLOOKUP($C10, '_REF Catalog Classes'!$C$6:$E416, COLUMNS('_REF Catalog Classes'!$C$6:$E416), FALSE)</f>
        <v>never</v>
      </c>
      <c r="BX10" s="86"/>
      <c r="BY10" s="86"/>
      <c r="BZ10" s="100" t="s">
        <v>322</v>
      </c>
      <c r="CA10" s="100" t="str">
        <f ca="1">IFERROR(__xludf.DUMMYFUNCTION("IF(REGEXMATCH(Catalog_RewardType,""reward""), VLOOKUP($E10, {'TitleData rewards.items'!$J$9:$J416,'TitleData rewards.items'!$B$9:$B416}, 2, FALSE), """")"),"#N/A")</f>
        <v>#N/A</v>
      </c>
    </row>
    <row r="11" spans="1:79" ht="28" hidden="1" x14ac:dyDescent="0.15">
      <c r="A11" s="82" t="s">
        <v>314</v>
      </c>
      <c r="B11" s="83" t="b">
        <v>1</v>
      </c>
      <c r="C11" s="82" t="s">
        <v>315</v>
      </c>
      <c r="D11" s="85" t="b">
        <f>VLOOKUP($C11, '_REF Catalog Classes'!$C$6:$D416, COLUMNS('_REF Catalog Classes'!$C$6:$D416), FALSE)</f>
        <v>1</v>
      </c>
      <c r="E11" s="82" t="s">
        <v>328</v>
      </c>
      <c r="F11" s="82" t="str">
        <f t="shared" si="0"/>
        <v>skinFire1:TRUE</v>
      </c>
      <c r="G11" s="86" t="s">
        <v>329</v>
      </c>
      <c r="H11" s="86" t="s">
        <v>330</v>
      </c>
      <c r="I11" s="82" t="s">
        <v>274</v>
      </c>
      <c r="J11" s="82"/>
      <c r="K11" s="82"/>
      <c r="L11" s="82"/>
      <c r="M11" s="82"/>
      <c r="N11" s="101" t="s">
        <v>293</v>
      </c>
      <c r="O11" s="82"/>
      <c r="P11" s="82">
        <v>1</v>
      </c>
      <c r="Q11" s="88"/>
      <c r="R11" s="82"/>
      <c r="S11" s="82"/>
      <c r="T11" s="82"/>
      <c r="U11" s="82"/>
      <c r="V11" s="82"/>
      <c r="W11" s="89">
        <v>0</v>
      </c>
      <c r="X11" s="90" t="s">
        <v>319</v>
      </c>
      <c r="Y11" s="90" t="str">
        <f t="shared" si="1"/>
        <v>file://skinFire1-state0-image0</v>
      </c>
      <c r="Z11" s="90"/>
      <c r="AA11" s="91" t="s">
        <v>283</v>
      </c>
      <c r="AB11" s="90" t="s">
        <v>331</v>
      </c>
      <c r="AC11" s="90"/>
      <c r="AD11" s="90"/>
      <c r="AE11" s="90"/>
      <c r="AF11" s="90"/>
      <c r="AG11" s="92"/>
      <c r="AH11" s="93"/>
      <c r="AI11" s="93"/>
      <c r="AJ11" s="93"/>
      <c r="AK11" s="93"/>
      <c r="AL11" s="93"/>
      <c r="AM11" s="93"/>
      <c r="AN11" s="94"/>
      <c r="AO11" s="95"/>
      <c r="AP11" s="95" t="str">
        <f t="shared" si="2"/>
        <v>file://skinFire1-state1-image0</v>
      </c>
      <c r="AQ11" s="95"/>
      <c r="AR11" s="94"/>
      <c r="AS11" s="95"/>
      <c r="AT11" s="95"/>
      <c r="AU11" s="95"/>
      <c r="AV11" s="95"/>
      <c r="AW11" s="92"/>
      <c r="AX11" s="93"/>
      <c r="AY11" s="93"/>
      <c r="AZ11" s="93"/>
      <c r="BA11" s="93"/>
      <c r="BB11" s="93"/>
      <c r="BC11" s="93"/>
      <c r="BD11" s="96">
        <v>2</v>
      </c>
      <c r="BE11" s="97" t="s">
        <v>281</v>
      </c>
      <c r="BF11" s="102"/>
      <c r="BG11" s="97"/>
      <c r="BH11" s="97" t="s">
        <v>283</v>
      </c>
      <c r="BI11" s="97" t="s">
        <v>331</v>
      </c>
      <c r="BJ11" s="97"/>
      <c r="BK11" s="97"/>
      <c r="BL11" s="97"/>
      <c r="BM11" s="97"/>
      <c r="BN11" s="97"/>
      <c r="BO11" s="93"/>
      <c r="BP11" s="93"/>
      <c r="BQ11" s="93"/>
      <c r="BR11" s="93"/>
      <c r="BS11" s="93"/>
      <c r="BT11" s="93"/>
      <c r="BU11" s="93"/>
      <c r="BV11" s="99" t="s">
        <v>332</v>
      </c>
      <c r="BW11" s="86" t="str">
        <f>VLOOKUP($C11, '_REF Catalog Classes'!$C$6:$E416, COLUMNS('_REF Catalog Classes'!$C$6:$E416), FALSE)</f>
        <v>never</v>
      </c>
      <c r="BX11" s="86"/>
      <c r="BY11" s="86"/>
      <c r="BZ11" s="100" t="s">
        <v>322</v>
      </c>
      <c r="CA11" s="100" t="str">
        <f ca="1">IFERROR(__xludf.DUMMYFUNCTION("IF(REGEXMATCH(Catalog_RewardType,""reward""), VLOOKUP($E11, {'TitleData rewards.items'!$J$9:$J416,'TitleData rewards.items'!$B$9:$B416}, 2, FALSE), """")"),"#N/A")</f>
        <v>#N/A</v>
      </c>
    </row>
    <row r="12" spans="1:79" ht="28" hidden="1" x14ac:dyDescent="0.15">
      <c r="A12" s="82" t="s">
        <v>314</v>
      </c>
      <c r="B12" s="83" t="b">
        <v>1</v>
      </c>
      <c r="C12" s="82" t="s">
        <v>315</v>
      </c>
      <c r="D12" s="85" t="b">
        <f>VLOOKUP($C12, '_REF Catalog Classes'!$C$6:$D416, COLUMNS('_REF Catalog Classes'!$C$6:$D416), FALSE)</f>
        <v>1</v>
      </c>
      <c r="E12" s="82" t="s">
        <v>333</v>
      </c>
      <c r="F12" s="82" t="str">
        <f t="shared" si="0"/>
        <v>skinFire2:TRUE</v>
      </c>
      <c r="G12" s="86" t="s">
        <v>324</v>
      </c>
      <c r="H12" s="86" t="s">
        <v>325</v>
      </c>
      <c r="I12" s="82" t="s">
        <v>274</v>
      </c>
      <c r="J12" s="82"/>
      <c r="K12" s="82"/>
      <c r="L12" s="82"/>
      <c r="M12" s="82"/>
      <c r="N12" s="101" t="s">
        <v>293</v>
      </c>
      <c r="O12" s="82"/>
      <c r="P12" s="82">
        <v>2</v>
      </c>
      <c r="Q12" s="88"/>
      <c r="R12" s="82"/>
      <c r="S12" s="82"/>
      <c r="T12" s="82"/>
      <c r="U12" s="82"/>
      <c r="V12" s="82"/>
      <c r="W12" s="89">
        <v>0</v>
      </c>
      <c r="X12" s="90" t="s">
        <v>319</v>
      </c>
      <c r="Y12" s="90" t="str">
        <f t="shared" si="1"/>
        <v>file://skinFire2-state0-image0</v>
      </c>
      <c r="Z12" s="90"/>
      <c r="AA12" s="91" t="s">
        <v>283</v>
      </c>
      <c r="AB12" s="90" t="s">
        <v>326</v>
      </c>
      <c r="AC12" s="90"/>
      <c r="AD12" s="90"/>
      <c r="AE12" s="90"/>
      <c r="AF12" s="90"/>
      <c r="AG12" s="92"/>
      <c r="AH12" s="93"/>
      <c r="AI12" s="93"/>
      <c r="AJ12" s="93"/>
      <c r="AK12" s="93"/>
      <c r="AL12" s="93"/>
      <c r="AM12" s="93"/>
      <c r="AN12" s="94"/>
      <c r="AO12" s="95"/>
      <c r="AP12" s="95" t="str">
        <f t="shared" si="2"/>
        <v>file://skinFire2-state1-image0</v>
      </c>
      <c r="AQ12" s="95"/>
      <c r="AR12" s="94"/>
      <c r="AS12" s="95"/>
      <c r="AT12" s="95"/>
      <c r="AU12" s="95"/>
      <c r="AV12" s="95"/>
      <c r="AW12" s="92"/>
      <c r="AX12" s="93"/>
      <c r="AY12" s="93"/>
      <c r="AZ12" s="93"/>
      <c r="BA12" s="93"/>
      <c r="BB12" s="93"/>
      <c r="BC12" s="93"/>
      <c r="BD12" s="96">
        <v>2</v>
      </c>
      <c r="BE12" s="97" t="s">
        <v>281</v>
      </c>
      <c r="BF12" s="102"/>
      <c r="BG12" s="97"/>
      <c r="BH12" s="97" t="s">
        <v>283</v>
      </c>
      <c r="BI12" s="97" t="s">
        <v>326</v>
      </c>
      <c r="BJ12" s="97"/>
      <c r="BK12" s="97"/>
      <c r="BL12" s="97"/>
      <c r="BM12" s="97"/>
      <c r="BN12" s="97"/>
      <c r="BO12" s="93"/>
      <c r="BP12" s="93"/>
      <c r="BQ12" s="93"/>
      <c r="BR12" s="93"/>
      <c r="BS12" s="93"/>
      <c r="BT12" s="93"/>
      <c r="BU12" s="93"/>
      <c r="BV12" s="99" t="s">
        <v>334</v>
      </c>
      <c r="BW12" s="86" t="str">
        <f>VLOOKUP($C12, '_REF Catalog Classes'!$C$6:$E416, COLUMNS('_REF Catalog Classes'!$C$6:$E416), FALSE)</f>
        <v>never</v>
      </c>
      <c r="BX12" s="86"/>
      <c r="BY12" s="86"/>
      <c r="BZ12" s="100" t="s">
        <v>322</v>
      </c>
      <c r="CA12" s="100" t="str">
        <f ca="1">IFERROR(__xludf.DUMMYFUNCTION("IF(REGEXMATCH(Catalog_RewardType,""reward""), VLOOKUP($E12, {'TitleData rewards.items'!$J$9:$J416,'TitleData rewards.items'!$B$9:$B416}, 2, FALSE), """")"),"#N/A")</f>
        <v>#N/A</v>
      </c>
    </row>
    <row r="13" spans="1:79" ht="28" hidden="1" x14ac:dyDescent="0.15">
      <c r="A13" s="82" t="s">
        <v>314</v>
      </c>
      <c r="B13" s="83" t="b">
        <v>1</v>
      </c>
      <c r="C13" s="82" t="s">
        <v>315</v>
      </c>
      <c r="D13" s="85" t="b">
        <f>VLOOKUP($C13, '_REF Catalog Classes'!$C$6:$D416, COLUMNS('_REF Catalog Classes'!$C$6:$D416), FALSE)</f>
        <v>1</v>
      </c>
      <c r="E13" s="82" t="s">
        <v>335</v>
      </c>
      <c r="F13" s="82" t="str">
        <f t="shared" si="0"/>
        <v>skinFreeze1:TRUE</v>
      </c>
      <c r="G13" s="86" t="s">
        <v>329</v>
      </c>
      <c r="H13" s="86" t="s">
        <v>330</v>
      </c>
      <c r="I13" s="82" t="s">
        <v>274</v>
      </c>
      <c r="J13" s="82"/>
      <c r="K13" s="82"/>
      <c r="L13" s="82"/>
      <c r="M13" s="82"/>
      <c r="N13" s="101" t="s">
        <v>301</v>
      </c>
      <c r="O13" s="82"/>
      <c r="P13" s="82">
        <v>1</v>
      </c>
      <c r="Q13" s="88"/>
      <c r="R13" s="82"/>
      <c r="S13" s="82"/>
      <c r="T13" s="82"/>
      <c r="U13" s="82"/>
      <c r="V13" s="82"/>
      <c r="W13" s="89">
        <v>0</v>
      </c>
      <c r="X13" s="90" t="s">
        <v>319</v>
      </c>
      <c r="Y13" s="90" t="str">
        <f t="shared" si="1"/>
        <v>file://skinFreeze1-state0-image0</v>
      </c>
      <c r="Z13" s="90"/>
      <c r="AA13" s="91" t="s">
        <v>283</v>
      </c>
      <c r="AB13" s="90" t="s">
        <v>331</v>
      </c>
      <c r="AC13" s="90"/>
      <c r="AD13" s="90"/>
      <c r="AE13" s="90"/>
      <c r="AF13" s="90"/>
      <c r="AG13" s="92"/>
      <c r="AH13" s="93"/>
      <c r="AI13" s="93"/>
      <c r="AJ13" s="93"/>
      <c r="AK13" s="93"/>
      <c r="AL13" s="93"/>
      <c r="AM13" s="93"/>
      <c r="AN13" s="94"/>
      <c r="AO13" s="95"/>
      <c r="AP13" s="95" t="str">
        <f t="shared" si="2"/>
        <v>file://skinFreeze1-state1-image0</v>
      </c>
      <c r="AQ13" s="95"/>
      <c r="AR13" s="94"/>
      <c r="AS13" s="95"/>
      <c r="AT13" s="95"/>
      <c r="AU13" s="95"/>
      <c r="AV13" s="95"/>
      <c r="AW13" s="92"/>
      <c r="AX13" s="93"/>
      <c r="AY13" s="93"/>
      <c r="AZ13" s="93"/>
      <c r="BA13" s="93"/>
      <c r="BB13" s="93"/>
      <c r="BC13" s="93"/>
      <c r="BD13" s="96">
        <v>2</v>
      </c>
      <c r="BE13" s="97" t="s">
        <v>281</v>
      </c>
      <c r="BF13" s="102"/>
      <c r="BG13" s="97"/>
      <c r="BH13" s="97" t="s">
        <v>283</v>
      </c>
      <c r="BI13" s="97" t="s">
        <v>331</v>
      </c>
      <c r="BJ13" s="97"/>
      <c r="BK13" s="97"/>
      <c r="BL13" s="97"/>
      <c r="BM13" s="97"/>
      <c r="BN13" s="97"/>
      <c r="BO13" s="93"/>
      <c r="BP13" s="93"/>
      <c r="BQ13" s="93"/>
      <c r="BR13" s="93"/>
      <c r="BS13" s="93"/>
      <c r="BT13" s="93"/>
      <c r="BU13" s="93"/>
      <c r="BV13" s="99" t="s">
        <v>336</v>
      </c>
      <c r="BW13" s="86" t="str">
        <f>VLOOKUP($C13, '_REF Catalog Classes'!$C$6:$E416, COLUMNS('_REF Catalog Classes'!$C$6:$E416), FALSE)</f>
        <v>never</v>
      </c>
      <c r="BX13" s="86"/>
      <c r="BY13" s="86"/>
      <c r="BZ13" s="100" t="s">
        <v>322</v>
      </c>
      <c r="CA13" s="100" t="str">
        <f ca="1">IFERROR(__xludf.DUMMYFUNCTION("IF(REGEXMATCH(Catalog_RewardType,""reward""), VLOOKUP($E13, {'TitleData rewards.items'!$J$9:$J416,'TitleData rewards.items'!$B$9:$B416}, 2, FALSE), """")"),"#N/A")</f>
        <v>#N/A</v>
      </c>
    </row>
    <row r="14" spans="1:79" ht="28" hidden="1" x14ac:dyDescent="0.15">
      <c r="A14" s="82" t="s">
        <v>314</v>
      </c>
      <c r="B14" s="83" t="b">
        <v>1</v>
      </c>
      <c r="C14" s="82" t="s">
        <v>315</v>
      </c>
      <c r="D14" s="85" t="b">
        <f>VLOOKUP($C14, '_REF Catalog Classes'!$C$6:$D416, COLUMNS('_REF Catalog Classes'!$C$6:$D416), FALSE)</f>
        <v>1</v>
      </c>
      <c r="E14" s="82" t="s">
        <v>337</v>
      </c>
      <c r="F14" s="82" t="str">
        <f t="shared" si="0"/>
        <v>skinFreeze2:TRUE</v>
      </c>
      <c r="G14" s="86" t="s">
        <v>324</v>
      </c>
      <c r="H14" s="86" t="s">
        <v>325</v>
      </c>
      <c r="I14" s="82" t="s">
        <v>274</v>
      </c>
      <c r="J14" s="82"/>
      <c r="K14" s="82"/>
      <c r="L14" s="82"/>
      <c r="M14" s="82"/>
      <c r="N14" s="101" t="s">
        <v>301</v>
      </c>
      <c r="O14" s="82"/>
      <c r="P14" s="82">
        <v>2</v>
      </c>
      <c r="Q14" s="88"/>
      <c r="R14" s="82"/>
      <c r="S14" s="82"/>
      <c r="T14" s="82"/>
      <c r="U14" s="82"/>
      <c r="V14" s="82"/>
      <c r="W14" s="89">
        <v>0</v>
      </c>
      <c r="X14" s="90" t="s">
        <v>319</v>
      </c>
      <c r="Y14" s="90" t="str">
        <f t="shared" si="1"/>
        <v>file://skinFreeze2-state0-image0</v>
      </c>
      <c r="Z14" s="90"/>
      <c r="AA14" s="91" t="s">
        <v>283</v>
      </c>
      <c r="AB14" s="90" t="s">
        <v>326</v>
      </c>
      <c r="AC14" s="90"/>
      <c r="AD14" s="90"/>
      <c r="AE14" s="90"/>
      <c r="AF14" s="90"/>
      <c r="AG14" s="92"/>
      <c r="AH14" s="93"/>
      <c r="AI14" s="93"/>
      <c r="AJ14" s="93"/>
      <c r="AK14" s="93"/>
      <c r="AL14" s="93"/>
      <c r="AM14" s="93"/>
      <c r="AN14" s="94"/>
      <c r="AO14" s="95"/>
      <c r="AP14" s="95" t="str">
        <f t="shared" si="2"/>
        <v>file://skinFreeze2-state1-image0</v>
      </c>
      <c r="AQ14" s="95"/>
      <c r="AR14" s="94"/>
      <c r="AS14" s="95"/>
      <c r="AT14" s="95"/>
      <c r="AU14" s="95"/>
      <c r="AV14" s="95"/>
      <c r="AW14" s="92"/>
      <c r="AX14" s="93"/>
      <c r="AY14" s="93"/>
      <c r="AZ14" s="93"/>
      <c r="BA14" s="93"/>
      <c r="BB14" s="93"/>
      <c r="BC14" s="93"/>
      <c r="BD14" s="96">
        <v>2</v>
      </c>
      <c r="BE14" s="97" t="s">
        <v>281</v>
      </c>
      <c r="BF14" s="102"/>
      <c r="BG14" s="97"/>
      <c r="BH14" s="97" t="s">
        <v>283</v>
      </c>
      <c r="BI14" s="97" t="s">
        <v>326</v>
      </c>
      <c r="BJ14" s="97"/>
      <c r="BK14" s="97"/>
      <c r="BL14" s="97"/>
      <c r="BM14" s="97"/>
      <c r="BN14" s="97"/>
      <c r="BO14" s="93"/>
      <c r="BP14" s="93"/>
      <c r="BQ14" s="93"/>
      <c r="BR14" s="93"/>
      <c r="BS14" s="93"/>
      <c r="BT14" s="93"/>
      <c r="BU14" s="93"/>
      <c r="BV14" s="99" t="s">
        <v>338</v>
      </c>
      <c r="BW14" s="86" t="str">
        <f>VLOOKUP($C14, '_REF Catalog Classes'!$C$6:$E416, COLUMNS('_REF Catalog Classes'!$C$6:$E416), FALSE)</f>
        <v>never</v>
      </c>
      <c r="BX14" s="86"/>
      <c r="BY14" s="86"/>
      <c r="BZ14" s="100" t="s">
        <v>322</v>
      </c>
      <c r="CA14" s="100" t="str">
        <f ca="1">IFERROR(__xludf.DUMMYFUNCTION("IF(REGEXMATCH(Catalog_RewardType,""reward""), VLOOKUP($E14, {'TitleData rewards.items'!$J$9:$J416,'TitleData rewards.items'!$B$9:$B416}, 2, FALSE), """")"),"#N/A")</f>
        <v>#N/A</v>
      </c>
    </row>
    <row r="15" spans="1:79" ht="28" hidden="1" x14ac:dyDescent="0.15">
      <c r="A15" s="82" t="s">
        <v>314</v>
      </c>
      <c r="B15" s="83" t="b">
        <v>1</v>
      </c>
      <c r="C15" s="82" t="s">
        <v>315</v>
      </c>
      <c r="D15" s="85" t="b">
        <f>VLOOKUP($C15, '_REF Catalog Classes'!$C$6:$D416, COLUMNS('_REF Catalog Classes'!$C$6:$D416), FALSE)</f>
        <v>1</v>
      </c>
      <c r="E15" s="82" t="s">
        <v>339</v>
      </c>
      <c r="F15" s="82" t="str">
        <f t="shared" si="0"/>
        <v>skinLightning1:TRUE</v>
      </c>
      <c r="G15" s="86" t="s">
        <v>340</v>
      </c>
      <c r="H15" s="86" t="s">
        <v>341</v>
      </c>
      <c r="I15" s="82" t="s">
        <v>274</v>
      </c>
      <c r="J15" s="82"/>
      <c r="K15" s="82"/>
      <c r="L15" s="82"/>
      <c r="M15" s="82"/>
      <c r="N15" s="101" t="s">
        <v>309</v>
      </c>
      <c r="O15" s="82"/>
      <c r="P15" s="82">
        <v>1</v>
      </c>
      <c r="Q15" s="88"/>
      <c r="R15" s="82"/>
      <c r="S15" s="82"/>
      <c r="T15" s="82"/>
      <c r="U15" s="82"/>
      <c r="V15" s="82"/>
      <c r="W15" s="89">
        <v>0</v>
      </c>
      <c r="X15" s="90" t="s">
        <v>319</v>
      </c>
      <c r="Y15" s="90" t="str">
        <f t="shared" si="1"/>
        <v>file://skinLightning1-state0-image0</v>
      </c>
      <c r="Z15" s="90"/>
      <c r="AA15" s="91" t="s">
        <v>283</v>
      </c>
      <c r="AB15" s="90" t="s">
        <v>342</v>
      </c>
      <c r="AC15" s="90"/>
      <c r="AD15" s="90"/>
      <c r="AE15" s="90"/>
      <c r="AF15" s="90"/>
      <c r="AG15" s="92"/>
      <c r="AH15" s="93"/>
      <c r="AI15" s="93"/>
      <c r="AJ15" s="93"/>
      <c r="AK15" s="93"/>
      <c r="AL15" s="93"/>
      <c r="AM15" s="93"/>
      <c r="AN15" s="94"/>
      <c r="AO15" s="95"/>
      <c r="AP15" s="95" t="str">
        <f t="shared" si="2"/>
        <v>file://skinLightning1-state1-image0</v>
      </c>
      <c r="AQ15" s="95"/>
      <c r="AR15" s="94"/>
      <c r="AS15" s="95"/>
      <c r="AT15" s="95"/>
      <c r="AU15" s="95"/>
      <c r="AV15" s="95"/>
      <c r="AW15" s="92"/>
      <c r="AX15" s="93"/>
      <c r="AY15" s="93"/>
      <c r="AZ15" s="93"/>
      <c r="BA15" s="93"/>
      <c r="BB15" s="93"/>
      <c r="BC15" s="93"/>
      <c r="BD15" s="96">
        <v>2</v>
      </c>
      <c r="BE15" s="97" t="s">
        <v>281</v>
      </c>
      <c r="BF15" s="102"/>
      <c r="BG15" s="97"/>
      <c r="BH15" s="97" t="s">
        <v>283</v>
      </c>
      <c r="BI15" s="97" t="s">
        <v>342</v>
      </c>
      <c r="BJ15" s="97"/>
      <c r="BK15" s="97"/>
      <c r="BL15" s="97"/>
      <c r="BM15" s="97"/>
      <c r="BN15" s="97"/>
      <c r="BO15" s="93"/>
      <c r="BP15" s="93"/>
      <c r="BQ15" s="93"/>
      <c r="BR15" s="93"/>
      <c r="BS15" s="93"/>
      <c r="BT15" s="93"/>
      <c r="BU15" s="93"/>
      <c r="BV15" s="99" t="s">
        <v>343</v>
      </c>
      <c r="BW15" s="86" t="str">
        <f>VLOOKUP($C15, '_REF Catalog Classes'!$C$6:$E416, COLUMNS('_REF Catalog Classes'!$C$6:$E416), FALSE)</f>
        <v>never</v>
      </c>
      <c r="BX15" s="86"/>
      <c r="BY15" s="86"/>
      <c r="BZ15" s="100" t="s">
        <v>322</v>
      </c>
      <c r="CA15" s="100" t="str">
        <f ca="1">IFERROR(__xludf.DUMMYFUNCTION("IF(REGEXMATCH(Catalog_RewardType,""reward""), VLOOKUP($E15, {'TitleData rewards.items'!$J$9:$J416,'TitleData rewards.items'!$B$9:$B416}, 2, FALSE), """")"),"#N/A")</f>
        <v>#N/A</v>
      </c>
    </row>
    <row r="16" spans="1:79" ht="28" hidden="1" x14ac:dyDescent="0.15">
      <c r="A16" s="82" t="s">
        <v>314</v>
      </c>
      <c r="B16" s="83" t="b">
        <v>1</v>
      </c>
      <c r="C16" s="82" t="s">
        <v>315</v>
      </c>
      <c r="D16" s="85" t="b">
        <f>VLOOKUP($C16, '_REF Catalog Classes'!$C$6:$D416, COLUMNS('_REF Catalog Classes'!$C$6:$D416), FALSE)</f>
        <v>1</v>
      </c>
      <c r="E16" s="82" t="s">
        <v>344</v>
      </c>
      <c r="F16" s="82" t="str">
        <f t="shared" si="0"/>
        <v>skinLightning2:TRUE</v>
      </c>
      <c r="G16" s="86" t="s">
        <v>324</v>
      </c>
      <c r="H16" s="86" t="s">
        <v>325</v>
      </c>
      <c r="I16" s="82" t="s">
        <v>274</v>
      </c>
      <c r="J16" s="82"/>
      <c r="K16" s="82"/>
      <c r="L16" s="82"/>
      <c r="M16" s="82"/>
      <c r="N16" s="101" t="s">
        <v>309</v>
      </c>
      <c r="O16" s="82"/>
      <c r="P16" s="82">
        <v>2</v>
      </c>
      <c r="Q16" s="88"/>
      <c r="R16" s="82"/>
      <c r="S16" s="82"/>
      <c r="T16" s="82"/>
      <c r="U16" s="82"/>
      <c r="V16" s="82"/>
      <c r="W16" s="89">
        <v>0</v>
      </c>
      <c r="X16" s="90" t="s">
        <v>319</v>
      </c>
      <c r="Y16" s="90" t="str">
        <f t="shared" si="1"/>
        <v>file://skinLightning2-state0-image0</v>
      </c>
      <c r="Z16" s="90"/>
      <c r="AA16" s="91" t="s">
        <v>283</v>
      </c>
      <c r="AB16" s="90" t="s">
        <v>326</v>
      </c>
      <c r="AC16" s="90"/>
      <c r="AD16" s="90"/>
      <c r="AE16" s="90"/>
      <c r="AF16" s="90"/>
      <c r="AG16" s="92"/>
      <c r="AH16" s="93"/>
      <c r="AI16" s="93"/>
      <c r="AJ16" s="93"/>
      <c r="AK16" s="93"/>
      <c r="AL16" s="93"/>
      <c r="AM16" s="93"/>
      <c r="AN16" s="94"/>
      <c r="AO16" s="95"/>
      <c r="AP16" s="95" t="str">
        <f t="shared" si="2"/>
        <v>file://skinLightning2-state1-image0</v>
      </c>
      <c r="AQ16" s="95"/>
      <c r="AR16" s="94"/>
      <c r="AS16" s="95"/>
      <c r="AT16" s="95"/>
      <c r="AU16" s="95"/>
      <c r="AV16" s="95"/>
      <c r="AW16" s="92"/>
      <c r="AX16" s="93"/>
      <c r="AY16" s="93"/>
      <c r="AZ16" s="93"/>
      <c r="BA16" s="93"/>
      <c r="BB16" s="93"/>
      <c r="BC16" s="93"/>
      <c r="BD16" s="96">
        <v>2</v>
      </c>
      <c r="BE16" s="97" t="s">
        <v>281</v>
      </c>
      <c r="BF16" s="102"/>
      <c r="BG16" s="97"/>
      <c r="BH16" s="97" t="s">
        <v>283</v>
      </c>
      <c r="BI16" s="97" t="s">
        <v>326</v>
      </c>
      <c r="BJ16" s="97"/>
      <c r="BK16" s="97"/>
      <c r="BL16" s="97"/>
      <c r="BM16" s="97"/>
      <c r="BN16" s="97"/>
      <c r="BO16" s="93"/>
      <c r="BP16" s="93"/>
      <c r="BQ16" s="93"/>
      <c r="BR16" s="93"/>
      <c r="BS16" s="93"/>
      <c r="BT16" s="93"/>
      <c r="BU16" s="93"/>
      <c r="BV16" s="99" t="s">
        <v>345</v>
      </c>
      <c r="BW16" s="86" t="str">
        <f>VLOOKUP($C16, '_REF Catalog Classes'!$C$6:$E416, COLUMNS('_REF Catalog Classes'!$C$6:$E416), FALSE)</f>
        <v>never</v>
      </c>
      <c r="BX16" s="86"/>
      <c r="BY16" s="86"/>
      <c r="BZ16" s="100" t="s">
        <v>322</v>
      </c>
      <c r="CA16" s="100" t="str">
        <f ca="1">IFERROR(__xludf.DUMMYFUNCTION("IF(REGEXMATCH(Catalog_RewardType,""reward""), VLOOKUP($E16, {'TitleData rewards.items'!$J$9:$J416,'TitleData rewards.items'!$B$9:$B416}, 2, FALSE), """")"),"#N/A")</f>
        <v>#N/A</v>
      </c>
    </row>
    <row r="17" spans="1:79" ht="42" x14ac:dyDescent="0.15">
      <c r="A17" s="82" t="s">
        <v>269</v>
      </c>
      <c r="B17" s="83"/>
      <c r="C17" s="82" t="s">
        <v>315</v>
      </c>
      <c r="D17" s="85" t="b">
        <f>VLOOKUP($C17, '_REF Catalog Classes'!$C$6:$D416, COLUMNS('_REF Catalog Classes'!$C$6:$D416), FALSE)</f>
        <v>1</v>
      </c>
      <c r="E17" s="82" t="s">
        <v>346</v>
      </c>
      <c r="F17" s="82" t="str">
        <f t="shared" si="0"/>
        <v>skinJanuary:</v>
      </c>
      <c r="G17" s="86" t="s">
        <v>347</v>
      </c>
      <c r="H17" s="86" t="s">
        <v>348</v>
      </c>
      <c r="I17" s="82" t="s">
        <v>274</v>
      </c>
      <c r="J17" s="82"/>
      <c r="K17" s="82"/>
      <c r="L17" s="103"/>
      <c r="M17" s="82"/>
      <c r="N17" s="104" t="s">
        <v>349</v>
      </c>
      <c r="O17" s="86"/>
      <c r="P17" s="82">
        <v>1</v>
      </c>
      <c r="Q17" s="88"/>
      <c r="R17" s="82"/>
      <c r="S17" s="82"/>
      <c r="T17" s="82"/>
      <c r="U17" s="82"/>
      <c r="V17" s="82"/>
      <c r="W17" s="89">
        <v>0</v>
      </c>
      <c r="X17" s="90" t="s">
        <v>319</v>
      </c>
      <c r="Y17" s="90" t="s">
        <v>350</v>
      </c>
      <c r="Z17" s="90"/>
      <c r="AA17" s="91" t="s">
        <v>283</v>
      </c>
      <c r="AB17" s="90" t="s">
        <v>351</v>
      </c>
      <c r="AC17" s="90"/>
      <c r="AD17" s="90"/>
      <c r="AE17" s="90"/>
      <c r="AF17" s="90"/>
      <c r="AG17" s="92"/>
      <c r="AH17" s="93"/>
      <c r="AI17" s="93"/>
      <c r="AJ17" s="93"/>
      <c r="AK17" s="93"/>
      <c r="AL17" s="93"/>
      <c r="AM17" s="93"/>
      <c r="AN17" s="94"/>
      <c r="AO17" s="95"/>
      <c r="AP17" s="95"/>
      <c r="AQ17" s="95"/>
      <c r="AR17" s="94"/>
      <c r="AS17" s="95"/>
      <c r="AT17" s="95"/>
      <c r="AU17" s="95"/>
      <c r="AV17" s="95"/>
      <c r="AW17" s="92"/>
      <c r="AX17" s="93"/>
      <c r="AY17" s="93"/>
      <c r="AZ17" s="93"/>
      <c r="BA17" s="93"/>
      <c r="BB17" s="93"/>
      <c r="BC17" s="93"/>
      <c r="BD17" s="96">
        <v>2</v>
      </c>
      <c r="BE17" s="97" t="s">
        <v>281</v>
      </c>
      <c r="BF17" s="98" t="s">
        <v>350</v>
      </c>
      <c r="BG17" s="97"/>
      <c r="BH17" s="97" t="s">
        <v>283</v>
      </c>
      <c r="BI17" s="97" t="s">
        <v>352</v>
      </c>
      <c r="BJ17" s="97"/>
      <c r="BK17" s="97"/>
      <c r="BL17" s="97"/>
      <c r="BM17" s="97"/>
      <c r="BN17" s="97"/>
      <c r="BO17" s="93"/>
      <c r="BP17" s="93"/>
      <c r="BQ17" s="93"/>
      <c r="BR17" s="93"/>
      <c r="BS17" s="93"/>
      <c r="BT17" s="93"/>
      <c r="BU17" s="93"/>
      <c r="BV17" s="99" t="s">
        <v>353</v>
      </c>
      <c r="BW17" s="86" t="str">
        <f>VLOOKUP($C17, '_REF Catalog Classes'!$C$6:$E416, COLUMNS('_REF Catalog Classes'!$C$6:$E416), FALSE)</f>
        <v>never</v>
      </c>
      <c r="BX17" s="86"/>
      <c r="BY17" s="86"/>
      <c r="BZ17" s="105" t="s">
        <v>354</v>
      </c>
      <c r="CA17" s="100" t="b">
        <f ca="1">IFERROR(__xludf.DUMMYFUNCTION("IF(REGEXMATCH(Catalog_RewardType,""reward""), VLOOKUP($E17, {'TitleData rewards.items'!$J$9:$J416,'TitleData rewards.items'!$B$9:$B416}, 2, FALSE), """")"),FALSE)</f>
        <v>0</v>
      </c>
    </row>
    <row r="18" spans="1:79" ht="42" x14ac:dyDescent="0.15">
      <c r="A18" s="82" t="s">
        <v>269</v>
      </c>
      <c r="B18" s="83"/>
      <c r="C18" s="82" t="s">
        <v>315</v>
      </c>
      <c r="D18" s="85" t="b">
        <f>VLOOKUP($C18, '_REF Catalog Classes'!$C$6:$D416, COLUMNS('_REF Catalog Classes'!$C$6:$D416), FALSE)</f>
        <v>1</v>
      </c>
      <c r="E18" s="82" t="s">
        <v>355</v>
      </c>
      <c r="F18" s="82" t="str">
        <f t="shared" si="0"/>
        <v>skinFebruary:</v>
      </c>
      <c r="G18" s="86" t="s">
        <v>356</v>
      </c>
      <c r="H18" s="86" t="s">
        <v>357</v>
      </c>
      <c r="I18" s="82" t="s">
        <v>274</v>
      </c>
      <c r="J18" s="82"/>
      <c r="K18" s="82"/>
      <c r="L18" s="103"/>
      <c r="M18" s="82"/>
      <c r="N18" s="104" t="s">
        <v>349</v>
      </c>
      <c r="O18" s="86"/>
      <c r="P18" s="82">
        <v>2</v>
      </c>
      <c r="Q18" s="88"/>
      <c r="R18" s="82"/>
      <c r="S18" s="82"/>
      <c r="T18" s="82"/>
      <c r="U18" s="82"/>
      <c r="V18" s="82"/>
      <c r="W18" s="89">
        <v>0</v>
      </c>
      <c r="X18" s="90" t="s">
        <v>319</v>
      </c>
      <c r="Y18" s="90" t="s">
        <v>358</v>
      </c>
      <c r="Z18" s="90"/>
      <c r="AA18" s="91" t="s">
        <v>283</v>
      </c>
      <c r="AB18" s="90" t="s">
        <v>359</v>
      </c>
      <c r="AC18" s="90"/>
      <c r="AD18" s="90"/>
      <c r="AE18" s="90"/>
      <c r="AF18" s="90"/>
      <c r="AG18" s="92"/>
      <c r="AH18" s="93"/>
      <c r="AI18" s="93"/>
      <c r="AJ18" s="93"/>
      <c r="AK18" s="93"/>
      <c r="AL18" s="93"/>
      <c r="AM18" s="93"/>
      <c r="AN18" s="94"/>
      <c r="AO18" s="95"/>
      <c r="AP18" s="95"/>
      <c r="AQ18" s="95"/>
      <c r="AR18" s="94"/>
      <c r="AS18" s="95"/>
      <c r="AT18" s="95"/>
      <c r="AU18" s="95"/>
      <c r="AV18" s="95"/>
      <c r="AW18" s="92"/>
      <c r="AX18" s="93"/>
      <c r="AY18" s="93"/>
      <c r="AZ18" s="93"/>
      <c r="BA18" s="93"/>
      <c r="BB18" s="93"/>
      <c r="BC18" s="93"/>
      <c r="BD18" s="96">
        <v>2</v>
      </c>
      <c r="BE18" s="97" t="s">
        <v>281</v>
      </c>
      <c r="BF18" s="98" t="s">
        <v>358</v>
      </c>
      <c r="BG18" s="97"/>
      <c r="BH18" s="97" t="s">
        <v>283</v>
      </c>
      <c r="BI18" s="97" t="s">
        <v>360</v>
      </c>
      <c r="BJ18" s="97"/>
      <c r="BK18" s="97"/>
      <c r="BL18" s="97"/>
      <c r="BM18" s="97"/>
      <c r="BN18" s="97"/>
      <c r="BO18" s="93"/>
      <c r="BP18" s="93"/>
      <c r="BQ18" s="93"/>
      <c r="BR18" s="93"/>
      <c r="BS18" s="93"/>
      <c r="BT18" s="93"/>
      <c r="BU18" s="93"/>
      <c r="BV18" s="99" t="s">
        <v>361</v>
      </c>
      <c r="BW18" s="86" t="str">
        <f>VLOOKUP($C18, '_REF Catalog Classes'!$C$6:$E416, COLUMNS('_REF Catalog Classes'!$C$6:$E416), FALSE)</f>
        <v>never</v>
      </c>
      <c r="BX18" s="86"/>
      <c r="BY18" s="86"/>
      <c r="BZ18" s="105" t="s">
        <v>354</v>
      </c>
      <c r="CA18" s="100" t="b">
        <f ca="1">IFERROR(__xludf.DUMMYFUNCTION("IF(REGEXMATCH(Catalog_RewardType,""reward""), VLOOKUP($E18, {'TitleData rewards.items'!$J$9:$J416,'TitleData rewards.items'!$B$9:$B416}, 2, FALSE), """")"),FALSE)</f>
        <v>0</v>
      </c>
    </row>
    <row r="19" spans="1:79" ht="42" x14ac:dyDescent="0.15">
      <c r="A19" s="82" t="s">
        <v>269</v>
      </c>
      <c r="B19" s="83"/>
      <c r="C19" s="82" t="s">
        <v>315</v>
      </c>
      <c r="D19" s="85" t="b">
        <f>VLOOKUP($C19, '_REF Catalog Classes'!$C$6:$D416, COLUMNS('_REF Catalog Classes'!$C$6:$D416), FALSE)</f>
        <v>1</v>
      </c>
      <c r="E19" s="82" t="s">
        <v>362</v>
      </c>
      <c r="F19" s="82" t="str">
        <f t="shared" si="0"/>
        <v>skinMarch:</v>
      </c>
      <c r="G19" s="86" t="s">
        <v>363</v>
      </c>
      <c r="H19" s="86" t="s">
        <v>364</v>
      </c>
      <c r="I19" s="82" t="s">
        <v>274</v>
      </c>
      <c r="J19" s="82"/>
      <c r="K19" s="82"/>
      <c r="L19" s="103"/>
      <c r="M19" s="82"/>
      <c r="N19" s="104" t="s">
        <v>365</v>
      </c>
      <c r="O19" s="86"/>
      <c r="P19" s="82">
        <v>1</v>
      </c>
      <c r="Q19" s="88"/>
      <c r="R19" s="82"/>
      <c r="S19" s="82"/>
      <c r="T19" s="82"/>
      <c r="U19" s="82"/>
      <c r="V19" s="82"/>
      <c r="W19" s="89">
        <v>0</v>
      </c>
      <c r="X19" s="90" t="s">
        <v>319</v>
      </c>
      <c r="Y19" s="90" t="s">
        <v>366</v>
      </c>
      <c r="Z19" s="90"/>
      <c r="AA19" s="91" t="s">
        <v>283</v>
      </c>
      <c r="AB19" s="90" t="s">
        <v>367</v>
      </c>
      <c r="AC19" s="90"/>
      <c r="AD19" s="90"/>
      <c r="AE19" s="90"/>
      <c r="AF19" s="90"/>
      <c r="AG19" s="92"/>
      <c r="AH19" s="93"/>
      <c r="AI19" s="93"/>
      <c r="AJ19" s="93"/>
      <c r="AK19" s="93"/>
      <c r="AL19" s="93"/>
      <c r="AM19" s="93"/>
      <c r="AN19" s="94"/>
      <c r="AO19" s="95"/>
      <c r="AP19" s="95"/>
      <c r="AQ19" s="95"/>
      <c r="AR19" s="94"/>
      <c r="AS19" s="95"/>
      <c r="AT19" s="95"/>
      <c r="AU19" s="95"/>
      <c r="AV19" s="95"/>
      <c r="AW19" s="92"/>
      <c r="AX19" s="93"/>
      <c r="AY19" s="93"/>
      <c r="AZ19" s="93"/>
      <c r="BA19" s="93"/>
      <c r="BB19" s="93"/>
      <c r="BC19" s="93"/>
      <c r="BD19" s="96">
        <v>2</v>
      </c>
      <c r="BE19" s="97" t="s">
        <v>281</v>
      </c>
      <c r="BF19" s="98" t="s">
        <v>366</v>
      </c>
      <c r="BG19" s="97"/>
      <c r="BH19" s="97" t="s">
        <v>283</v>
      </c>
      <c r="BI19" s="97" t="s">
        <v>368</v>
      </c>
      <c r="BJ19" s="97"/>
      <c r="BK19" s="97"/>
      <c r="BL19" s="97"/>
      <c r="BM19" s="97"/>
      <c r="BN19" s="97"/>
      <c r="BO19" s="93"/>
      <c r="BP19" s="93"/>
      <c r="BQ19" s="93"/>
      <c r="BR19" s="93"/>
      <c r="BS19" s="93"/>
      <c r="BT19" s="93"/>
      <c r="BU19" s="93"/>
      <c r="BV19" s="99" t="s">
        <v>369</v>
      </c>
      <c r="BW19" s="86" t="str">
        <f>VLOOKUP($C19, '_REF Catalog Classes'!$C$6:$E416, COLUMNS('_REF Catalog Classes'!$C$6:$E416), FALSE)</f>
        <v>never</v>
      </c>
      <c r="BX19" s="86"/>
      <c r="BY19" s="86"/>
      <c r="BZ19" s="105" t="s">
        <v>354</v>
      </c>
      <c r="CA19" s="100" t="b">
        <f ca="1">IFERROR(__xludf.DUMMYFUNCTION("IF(REGEXMATCH(Catalog_RewardType,""reward""), VLOOKUP($E19, {'TitleData rewards.items'!$J$9:$J416,'TitleData rewards.items'!$B$9:$B416}, 2, FALSE), """")"),FALSE)</f>
        <v>0</v>
      </c>
    </row>
    <row r="20" spans="1:79" ht="42" x14ac:dyDescent="0.15">
      <c r="A20" s="82" t="s">
        <v>269</v>
      </c>
      <c r="B20" s="83"/>
      <c r="C20" s="82" t="s">
        <v>315</v>
      </c>
      <c r="D20" s="85" t="b">
        <f>VLOOKUP($C20, '_REF Catalog Classes'!$C$6:$D416, COLUMNS('_REF Catalog Classes'!$C$6:$D416), FALSE)</f>
        <v>1</v>
      </c>
      <c r="E20" s="82" t="s">
        <v>370</v>
      </c>
      <c r="F20" s="82" t="str">
        <f t="shared" si="0"/>
        <v>skinApril:</v>
      </c>
      <c r="G20" s="86" t="s">
        <v>371</v>
      </c>
      <c r="H20" s="86" t="s">
        <v>372</v>
      </c>
      <c r="I20" s="82" t="s">
        <v>274</v>
      </c>
      <c r="J20" s="82"/>
      <c r="K20" s="82"/>
      <c r="L20" s="103"/>
      <c r="M20" s="82"/>
      <c r="N20" s="104" t="s">
        <v>349</v>
      </c>
      <c r="O20" s="86"/>
      <c r="P20" s="82">
        <v>3</v>
      </c>
      <c r="Q20" s="88"/>
      <c r="R20" s="82"/>
      <c r="S20" s="82"/>
      <c r="T20" s="82"/>
      <c r="U20" s="82"/>
      <c r="V20" s="82"/>
      <c r="W20" s="89">
        <v>0</v>
      </c>
      <c r="X20" s="90" t="s">
        <v>319</v>
      </c>
      <c r="Y20" s="90" t="s">
        <v>373</v>
      </c>
      <c r="Z20" s="90"/>
      <c r="AA20" s="91" t="s">
        <v>283</v>
      </c>
      <c r="AB20" s="90" t="s">
        <v>374</v>
      </c>
      <c r="AC20" s="90"/>
      <c r="AD20" s="90"/>
      <c r="AE20" s="90"/>
      <c r="AF20" s="90"/>
      <c r="AG20" s="92"/>
      <c r="AH20" s="93"/>
      <c r="AI20" s="93"/>
      <c r="AJ20" s="93"/>
      <c r="AK20" s="93"/>
      <c r="AL20" s="93"/>
      <c r="AM20" s="93"/>
      <c r="AN20" s="94"/>
      <c r="AO20" s="95"/>
      <c r="AP20" s="95"/>
      <c r="AQ20" s="95"/>
      <c r="AR20" s="94"/>
      <c r="AS20" s="95"/>
      <c r="AT20" s="95"/>
      <c r="AU20" s="95"/>
      <c r="AV20" s="95"/>
      <c r="AW20" s="92"/>
      <c r="AX20" s="93"/>
      <c r="AY20" s="93"/>
      <c r="AZ20" s="93"/>
      <c r="BA20" s="93"/>
      <c r="BB20" s="93"/>
      <c r="BC20" s="93"/>
      <c r="BD20" s="96">
        <v>2</v>
      </c>
      <c r="BE20" s="97" t="s">
        <v>281</v>
      </c>
      <c r="BF20" s="98" t="s">
        <v>373</v>
      </c>
      <c r="BG20" s="97"/>
      <c r="BH20" s="97" t="s">
        <v>283</v>
      </c>
      <c r="BI20" s="97" t="s">
        <v>375</v>
      </c>
      <c r="BJ20" s="97"/>
      <c r="BK20" s="97"/>
      <c r="BL20" s="97"/>
      <c r="BM20" s="97"/>
      <c r="BN20" s="97"/>
      <c r="BO20" s="93"/>
      <c r="BP20" s="93"/>
      <c r="BQ20" s="93"/>
      <c r="BR20" s="93"/>
      <c r="BS20" s="93"/>
      <c r="BT20" s="93"/>
      <c r="BU20" s="93"/>
      <c r="BV20" s="99" t="s">
        <v>376</v>
      </c>
      <c r="BW20" s="86" t="str">
        <f>VLOOKUP($C20, '_REF Catalog Classes'!$C$6:$E416, COLUMNS('_REF Catalog Classes'!$C$6:$E416), FALSE)</f>
        <v>never</v>
      </c>
      <c r="BX20" s="86"/>
      <c r="BY20" s="86"/>
      <c r="BZ20" s="105" t="s">
        <v>354</v>
      </c>
      <c r="CA20" s="100" t="b">
        <f ca="1">IFERROR(__xludf.DUMMYFUNCTION("IF(REGEXMATCH(Catalog_RewardType,""reward""), VLOOKUP($E20, {'TitleData rewards.items'!$J$9:$J416,'TitleData rewards.items'!$B$9:$B416}, 2, FALSE), """")"),FALSE)</f>
        <v>0</v>
      </c>
    </row>
    <row r="21" spans="1:79" ht="42" x14ac:dyDescent="0.15">
      <c r="A21" s="82" t="s">
        <v>269</v>
      </c>
      <c r="B21" s="83"/>
      <c r="C21" s="82" t="s">
        <v>315</v>
      </c>
      <c r="D21" s="85" t="b">
        <f>VLOOKUP($C21, '_REF Catalog Classes'!$C$6:$D416, COLUMNS('_REF Catalog Classes'!$C$6:$D416), FALSE)</f>
        <v>1</v>
      </c>
      <c r="E21" s="82" t="s">
        <v>377</v>
      </c>
      <c r="F21" s="82" t="str">
        <f t="shared" si="0"/>
        <v>skinMay:</v>
      </c>
      <c r="G21" s="86" t="s">
        <v>378</v>
      </c>
      <c r="H21" s="86" t="s">
        <v>379</v>
      </c>
      <c r="I21" s="82" t="s">
        <v>274</v>
      </c>
      <c r="J21" s="82"/>
      <c r="K21" s="82"/>
      <c r="L21" s="103"/>
      <c r="M21" s="82"/>
      <c r="N21" s="104" t="s">
        <v>349</v>
      </c>
      <c r="O21" s="86"/>
      <c r="P21" s="82">
        <v>4</v>
      </c>
      <c r="Q21" s="88"/>
      <c r="R21" s="82"/>
      <c r="S21" s="82"/>
      <c r="T21" s="82"/>
      <c r="U21" s="82"/>
      <c r="V21" s="82"/>
      <c r="W21" s="89">
        <v>0</v>
      </c>
      <c r="X21" s="90" t="s">
        <v>319</v>
      </c>
      <c r="Y21" s="90" t="s">
        <v>380</v>
      </c>
      <c r="Z21" s="90"/>
      <c r="AA21" s="91" t="s">
        <v>283</v>
      </c>
      <c r="AB21" s="90" t="s">
        <v>381</v>
      </c>
      <c r="AC21" s="90"/>
      <c r="AD21" s="90"/>
      <c r="AE21" s="90"/>
      <c r="AF21" s="90"/>
      <c r="AG21" s="92"/>
      <c r="AH21" s="93"/>
      <c r="AI21" s="93"/>
      <c r="AJ21" s="93"/>
      <c r="AK21" s="93"/>
      <c r="AL21" s="93"/>
      <c r="AM21" s="93"/>
      <c r="AN21" s="94"/>
      <c r="AO21" s="95"/>
      <c r="AP21" s="95"/>
      <c r="AQ21" s="95"/>
      <c r="AR21" s="94"/>
      <c r="AS21" s="95"/>
      <c r="AT21" s="95"/>
      <c r="AU21" s="95"/>
      <c r="AV21" s="95"/>
      <c r="AW21" s="92"/>
      <c r="AX21" s="93"/>
      <c r="AY21" s="93"/>
      <c r="AZ21" s="93"/>
      <c r="BA21" s="93"/>
      <c r="BB21" s="93"/>
      <c r="BC21" s="93"/>
      <c r="BD21" s="96">
        <v>2</v>
      </c>
      <c r="BE21" s="97" t="s">
        <v>281</v>
      </c>
      <c r="BF21" s="98" t="s">
        <v>380</v>
      </c>
      <c r="BG21" s="97"/>
      <c r="BH21" s="97" t="s">
        <v>283</v>
      </c>
      <c r="BI21" s="97" t="s">
        <v>382</v>
      </c>
      <c r="BJ21" s="97"/>
      <c r="BK21" s="97"/>
      <c r="BL21" s="97"/>
      <c r="BM21" s="97"/>
      <c r="BN21" s="97"/>
      <c r="BO21" s="93"/>
      <c r="BP21" s="93"/>
      <c r="BQ21" s="93"/>
      <c r="BR21" s="93"/>
      <c r="BS21" s="93"/>
      <c r="BT21" s="93"/>
      <c r="BU21" s="93"/>
      <c r="BV21" s="99" t="s">
        <v>383</v>
      </c>
      <c r="BW21" s="86" t="str">
        <f>VLOOKUP($C21, '_REF Catalog Classes'!$C$6:$E416, COLUMNS('_REF Catalog Classes'!$C$6:$E416), FALSE)</f>
        <v>never</v>
      </c>
      <c r="BX21" s="86"/>
      <c r="BY21" s="86"/>
      <c r="BZ21" s="105" t="s">
        <v>354</v>
      </c>
      <c r="CA21" s="100" t="b">
        <f ca="1">IFERROR(__xludf.DUMMYFUNCTION("IF(REGEXMATCH(Catalog_RewardType,""reward""), VLOOKUP($E21, {'TitleData rewards.items'!$J$9:$J416,'TitleData rewards.items'!$B$9:$B416}, 2, FALSE), """")"),FALSE)</f>
        <v>0</v>
      </c>
    </row>
    <row r="22" spans="1:79" ht="42" x14ac:dyDescent="0.15">
      <c r="A22" s="82" t="s">
        <v>269</v>
      </c>
      <c r="B22" s="83"/>
      <c r="C22" s="82" t="s">
        <v>315</v>
      </c>
      <c r="D22" s="85" t="b">
        <f>VLOOKUP($C22, '_REF Catalog Classes'!$C$6:$D416, COLUMNS('_REF Catalog Classes'!$C$6:$D416), FALSE)</f>
        <v>1</v>
      </c>
      <c r="E22" s="82" t="s">
        <v>384</v>
      </c>
      <c r="F22" s="82" t="str">
        <f t="shared" si="0"/>
        <v>skinJune:</v>
      </c>
      <c r="G22" s="106" t="s">
        <v>385</v>
      </c>
      <c r="H22" s="86" t="s">
        <v>386</v>
      </c>
      <c r="I22" s="82" t="s">
        <v>274</v>
      </c>
      <c r="J22" s="82"/>
      <c r="K22" s="82"/>
      <c r="L22" s="103"/>
      <c r="M22" s="82"/>
      <c r="N22" s="104" t="s">
        <v>387</v>
      </c>
      <c r="O22" s="86"/>
      <c r="P22" s="82">
        <v>1</v>
      </c>
      <c r="Q22" s="88"/>
      <c r="R22" s="82"/>
      <c r="S22" s="82"/>
      <c r="T22" s="82"/>
      <c r="U22" s="82"/>
      <c r="V22" s="82"/>
      <c r="W22" s="89">
        <v>0</v>
      </c>
      <c r="X22" s="90" t="s">
        <v>319</v>
      </c>
      <c r="Y22" s="90" t="s">
        <v>388</v>
      </c>
      <c r="Z22" s="90"/>
      <c r="AA22" s="91" t="s">
        <v>283</v>
      </c>
      <c r="AB22" s="90" t="s">
        <v>389</v>
      </c>
      <c r="AC22" s="90"/>
      <c r="AD22" s="90"/>
      <c r="AE22" s="90"/>
      <c r="AF22" s="90"/>
      <c r="AG22" s="92"/>
      <c r="AH22" s="93"/>
      <c r="AI22" s="93"/>
      <c r="AJ22" s="93"/>
      <c r="AK22" s="93"/>
      <c r="AL22" s="93"/>
      <c r="AM22" s="93"/>
      <c r="AN22" s="94"/>
      <c r="AO22" s="95"/>
      <c r="AP22" s="95"/>
      <c r="AQ22" s="95"/>
      <c r="AR22" s="94"/>
      <c r="AS22" s="95"/>
      <c r="AT22" s="95"/>
      <c r="AU22" s="95"/>
      <c r="AV22" s="95"/>
      <c r="AW22" s="92"/>
      <c r="AX22" s="93"/>
      <c r="AY22" s="93"/>
      <c r="AZ22" s="93"/>
      <c r="BA22" s="93"/>
      <c r="BB22" s="93"/>
      <c r="BC22" s="93"/>
      <c r="BD22" s="96">
        <v>2</v>
      </c>
      <c r="BE22" s="97" t="s">
        <v>281</v>
      </c>
      <c r="BF22" s="98" t="s">
        <v>388</v>
      </c>
      <c r="BG22" s="97"/>
      <c r="BH22" s="97" t="s">
        <v>283</v>
      </c>
      <c r="BI22" s="97" t="s">
        <v>390</v>
      </c>
      <c r="BJ22" s="97"/>
      <c r="BK22" s="97"/>
      <c r="BL22" s="97"/>
      <c r="BM22" s="97"/>
      <c r="BN22" s="97"/>
      <c r="BO22" s="93"/>
      <c r="BP22" s="93"/>
      <c r="BQ22" s="93"/>
      <c r="BR22" s="93"/>
      <c r="BS22" s="93"/>
      <c r="BT22" s="93"/>
      <c r="BU22" s="93"/>
      <c r="BV22" s="99" t="s">
        <v>391</v>
      </c>
      <c r="BW22" s="86" t="str">
        <f>VLOOKUP($C22, '_REF Catalog Classes'!$C$6:$E416, COLUMNS('_REF Catalog Classes'!$C$6:$E416), FALSE)</f>
        <v>never</v>
      </c>
      <c r="BX22" s="86"/>
      <c r="BY22" s="86"/>
      <c r="BZ22" s="105" t="s">
        <v>354</v>
      </c>
      <c r="CA22" s="100" t="b">
        <f ca="1">IFERROR(__xludf.DUMMYFUNCTION("IF(REGEXMATCH(Catalog_RewardType,""reward""), VLOOKUP($E22, {'TitleData rewards.items'!$J$9:$J416,'TitleData rewards.items'!$B$9:$B416}, 2, FALSE), """")"),FALSE)</f>
        <v>0</v>
      </c>
    </row>
    <row r="23" spans="1:79" ht="42" x14ac:dyDescent="0.15">
      <c r="A23" s="82" t="s">
        <v>269</v>
      </c>
      <c r="B23" s="83"/>
      <c r="C23" s="82" t="s">
        <v>315</v>
      </c>
      <c r="D23" s="85" t="b">
        <f>VLOOKUP($C23, '_REF Catalog Classes'!$C$6:$D416, COLUMNS('_REF Catalog Classes'!$C$6:$D416), FALSE)</f>
        <v>1</v>
      </c>
      <c r="E23" s="82" t="s">
        <v>392</v>
      </c>
      <c r="F23" s="82" t="str">
        <f t="shared" si="0"/>
        <v>skinJuly:</v>
      </c>
      <c r="G23" s="106" t="s">
        <v>393</v>
      </c>
      <c r="H23" s="86" t="s">
        <v>394</v>
      </c>
      <c r="I23" s="82" t="s">
        <v>274</v>
      </c>
      <c r="J23" s="82"/>
      <c r="K23" s="82"/>
      <c r="L23" s="103"/>
      <c r="M23" s="82"/>
      <c r="N23" s="104" t="s">
        <v>365</v>
      </c>
      <c r="O23" s="86"/>
      <c r="P23" s="82">
        <v>2</v>
      </c>
      <c r="Q23" s="88"/>
      <c r="R23" s="82"/>
      <c r="S23" s="82"/>
      <c r="T23" s="82"/>
      <c r="U23" s="82"/>
      <c r="V23" s="82"/>
      <c r="W23" s="89">
        <v>0</v>
      </c>
      <c r="X23" s="90" t="s">
        <v>319</v>
      </c>
      <c r="Y23" s="90" t="s">
        <v>395</v>
      </c>
      <c r="Z23" s="90"/>
      <c r="AA23" s="91" t="s">
        <v>283</v>
      </c>
      <c r="AB23" s="90" t="s">
        <v>396</v>
      </c>
      <c r="AC23" s="90"/>
      <c r="AD23" s="90"/>
      <c r="AE23" s="90"/>
      <c r="AF23" s="90"/>
      <c r="AG23" s="92"/>
      <c r="AH23" s="93"/>
      <c r="AI23" s="93"/>
      <c r="AJ23" s="93"/>
      <c r="AK23" s="93"/>
      <c r="AL23" s="93"/>
      <c r="AM23" s="93"/>
      <c r="AN23" s="94"/>
      <c r="AO23" s="95"/>
      <c r="AP23" s="95"/>
      <c r="AQ23" s="95"/>
      <c r="AR23" s="94"/>
      <c r="AS23" s="95"/>
      <c r="AT23" s="95"/>
      <c r="AU23" s="95"/>
      <c r="AV23" s="95"/>
      <c r="AW23" s="92"/>
      <c r="AX23" s="93"/>
      <c r="AY23" s="93"/>
      <c r="AZ23" s="93"/>
      <c r="BA23" s="93"/>
      <c r="BB23" s="93"/>
      <c r="BC23" s="93"/>
      <c r="BD23" s="96">
        <v>2</v>
      </c>
      <c r="BE23" s="97" t="s">
        <v>281</v>
      </c>
      <c r="BF23" s="98" t="s">
        <v>395</v>
      </c>
      <c r="BG23" s="97"/>
      <c r="BH23" s="97" t="s">
        <v>283</v>
      </c>
      <c r="BI23" s="97" t="s">
        <v>397</v>
      </c>
      <c r="BJ23" s="97"/>
      <c r="BK23" s="97"/>
      <c r="BL23" s="97"/>
      <c r="BM23" s="97"/>
      <c r="BN23" s="97"/>
      <c r="BO23" s="93"/>
      <c r="BP23" s="93"/>
      <c r="BQ23" s="93"/>
      <c r="BR23" s="93"/>
      <c r="BS23" s="93"/>
      <c r="BT23" s="93"/>
      <c r="BU23" s="93"/>
      <c r="BV23" s="99" t="s">
        <v>398</v>
      </c>
      <c r="BW23" s="86" t="str">
        <f>VLOOKUP($C23, '_REF Catalog Classes'!$C$6:$E416, COLUMNS('_REF Catalog Classes'!$C$6:$E416), FALSE)</f>
        <v>never</v>
      </c>
      <c r="BX23" s="86"/>
      <c r="BY23" s="86"/>
      <c r="BZ23" s="105" t="s">
        <v>354</v>
      </c>
      <c r="CA23" s="100" t="b">
        <f ca="1">IFERROR(__xludf.DUMMYFUNCTION("IF(REGEXMATCH(Catalog_RewardType,""reward""), VLOOKUP($E23, {'TitleData rewards.items'!$J$9:$J416,'TitleData rewards.items'!$B$9:$B416}, 2, FALSE), """")"),FALSE)</f>
        <v>0</v>
      </c>
    </row>
    <row r="24" spans="1:79" ht="42" x14ac:dyDescent="0.15">
      <c r="A24" s="82" t="s">
        <v>269</v>
      </c>
      <c r="B24" s="83"/>
      <c r="C24" s="82" t="s">
        <v>315</v>
      </c>
      <c r="D24" s="85" t="b">
        <f>VLOOKUP($C24, '_REF Catalog Classes'!$C$6:$D416, COLUMNS('_REF Catalog Classes'!$C$6:$D416), FALSE)</f>
        <v>1</v>
      </c>
      <c r="E24" s="82" t="s">
        <v>399</v>
      </c>
      <c r="F24" s="82" t="str">
        <f t="shared" si="0"/>
        <v>skinAugust:</v>
      </c>
      <c r="G24" s="86" t="s">
        <v>400</v>
      </c>
      <c r="H24" s="86" t="s">
        <v>401</v>
      </c>
      <c r="I24" s="82" t="s">
        <v>274</v>
      </c>
      <c r="J24" s="82"/>
      <c r="K24" s="82"/>
      <c r="L24" s="103"/>
      <c r="M24" s="82"/>
      <c r="N24" s="104" t="s">
        <v>365</v>
      </c>
      <c r="O24" s="86"/>
      <c r="P24" s="82">
        <v>3</v>
      </c>
      <c r="Q24" s="88"/>
      <c r="R24" s="82"/>
      <c r="S24" s="82"/>
      <c r="T24" s="82"/>
      <c r="U24" s="82"/>
      <c r="V24" s="82"/>
      <c r="W24" s="89">
        <v>0</v>
      </c>
      <c r="X24" s="90" t="s">
        <v>319</v>
      </c>
      <c r="Y24" s="90" t="s">
        <v>402</v>
      </c>
      <c r="Z24" s="90"/>
      <c r="AA24" s="91" t="s">
        <v>283</v>
      </c>
      <c r="AB24" s="90" t="s">
        <v>403</v>
      </c>
      <c r="AC24" s="90"/>
      <c r="AD24" s="90"/>
      <c r="AE24" s="90"/>
      <c r="AF24" s="90"/>
      <c r="AG24" s="92"/>
      <c r="AH24" s="93"/>
      <c r="AI24" s="93"/>
      <c r="AJ24" s="93"/>
      <c r="AK24" s="93"/>
      <c r="AL24" s="93"/>
      <c r="AM24" s="93"/>
      <c r="AN24" s="94"/>
      <c r="AO24" s="95"/>
      <c r="AP24" s="95"/>
      <c r="AQ24" s="95"/>
      <c r="AR24" s="94"/>
      <c r="AS24" s="95"/>
      <c r="AT24" s="95"/>
      <c r="AU24" s="95"/>
      <c r="AV24" s="95"/>
      <c r="AW24" s="92"/>
      <c r="AX24" s="93"/>
      <c r="AY24" s="93"/>
      <c r="AZ24" s="93"/>
      <c r="BA24" s="93"/>
      <c r="BB24" s="93"/>
      <c r="BC24" s="93"/>
      <c r="BD24" s="96">
        <v>2</v>
      </c>
      <c r="BE24" s="97" t="s">
        <v>281</v>
      </c>
      <c r="BF24" s="98" t="s">
        <v>402</v>
      </c>
      <c r="BG24" s="97"/>
      <c r="BH24" s="97" t="s">
        <v>283</v>
      </c>
      <c r="BI24" s="97" t="s">
        <v>404</v>
      </c>
      <c r="BJ24" s="97"/>
      <c r="BK24" s="97"/>
      <c r="BL24" s="97"/>
      <c r="BM24" s="97"/>
      <c r="BN24" s="97"/>
      <c r="BO24" s="93"/>
      <c r="BP24" s="93"/>
      <c r="BQ24" s="93"/>
      <c r="BR24" s="93"/>
      <c r="BS24" s="93"/>
      <c r="BT24" s="93"/>
      <c r="BU24" s="93"/>
      <c r="BV24" s="99" t="s">
        <v>405</v>
      </c>
      <c r="BW24" s="86" t="str">
        <f>VLOOKUP($C24, '_REF Catalog Classes'!$C$6:$E416, COLUMNS('_REF Catalog Classes'!$C$6:$E416), FALSE)</f>
        <v>never</v>
      </c>
      <c r="BX24" s="86"/>
      <c r="BY24" s="86"/>
      <c r="BZ24" s="105" t="s">
        <v>354</v>
      </c>
      <c r="CA24" s="100" t="b">
        <f ca="1">IFERROR(__xludf.DUMMYFUNCTION("IF(REGEXMATCH(Catalog_RewardType,""reward""), VLOOKUP($E24, {'TitleData rewards.items'!$J$9:$J416,'TitleData rewards.items'!$B$9:$B416}, 2, FALSE), """")"),FALSE)</f>
        <v>0</v>
      </c>
    </row>
    <row r="25" spans="1:79" ht="42" x14ac:dyDescent="0.15">
      <c r="A25" s="82" t="s">
        <v>269</v>
      </c>
      <c r="B25" s="83"/>
      <c r="C25" s="82" t="s">
        <v>315</v>
      </c>
      <c r="D25" s="85" t="b">
        <f>VLOOKUP($C25, '_REF Catalog Classes'!$C$6:$D416, COLUMNS('_REF Catalog Classes'!$C$6:$D416), FALSE)</f>
        <v>1</v>
      </c>
      <c r="E25" s="82" t="s">
        <v>406</v>
      </c>
      <c r="F25" s="82" t="str">
        <f t="shared" si="0"/>
        <v>skinSeptember:</v>
      </c>
      <c r="G25" s="86" t="s">
        <v>407</v>
      </c>
      <c r="H25" s="86" t="s">
        <v>408</v>
      </c>
      <c r="I25" s="82" t="s">
        <v>274</v>
      </c>
      <c r="J25" s="82"/>
      <c r="K25" s="82"/>
      <c r="L25" s="103"/>
      <c r="M25" s="82"/>
      <c r="N25" s="104" t="s">
        <v>365</v>
      </c>
      <c r="O25" s="86"/>
      <c r="P25" s="82">
        <v>4</v>
      </c>
      <c r="Q25" s="88"/>
      <c r="R25" s="82"/>
      <c r="S25" s="82"/>
      <c r="T25" s="82"/>
      <c r="U25" s="82"/>
      <c r="V25" s="82"/>
      <c r="W25" s="89">
        <v>0</v>
      </c>
      <c r="X25" s="90" t="s">
        <v>319</v>
      </c>
      <c r="Y25" s="90" t="s">
        <v>409</v>
      </c>
      <c r="Z25" s="90"/>
      <c r="AA25" s="91" t="s">
        <v>283</v>
      </c>
      <c r="AB25" s="90" t="s">
        <v>410</v>
      </c>
      <c r="AC25" s="90"/>
      <c r="AD25" s="90"/>
      <c r="AE25" s="90"/>
      <c r="AF25" s="90"/>
      <c r="AG25" s="92"/>
      <c r="AH25" s="93"/>
      <c r="AI25" s="93"/>
      <c r="AJ25" s="93"/>
      <c r="AK25" s="93"/>
      <c r="AL25" s="93"/>
      <c r="AM25" s="93"/>
      <c r="AN25" s="94"/>
      <c r="AO25" s="95"/>
      <c r="AP25" s="95"/>
      <c r="AQ25" s="95"/>
      <c r="AR25" s="94"/>
      <c r="AS25" s="95"/>
      <c r="AT25" s="95"/>
      <c r="AU25" s="95"/>
      <c r="AV25" s="95"/>
      <c r="AW25" s="92"/>
      <c r="AX25" s="93"/>
      <c r="AY25" s="93"/>
      <c r="AZ25" s="93"/>
      <c r="BA25" s="93"/>
      <c r="BB25" s="93"/>
      <c r="BC25" s="93"/>
      <c r="BD25" s="96">
        <v>2</v>
      </c>
      <c r="BE25" s="97" t="s">
        <v>281</v>
      </c>
      <c r="BF25" s="98" t="s">
        <v>409</v>
      </c>
      <c r="BG25" s="97"/>
      <c r="BH25" s="97" t="s">
        <v>283</v>
      </c>
      <c r="BI25" s="97" t="s">
        <v>411</v>
      </c>
      <c r="BJ25" s="97"/>
      <c r="BK25" s="97"/>
      <c r="BL25" s="97"/>
      <c r="BM25" s="97"/>
      <c r="BN25" s="97"/>
      <c r="BO25" s="93"/>
      <c r="BP25" s="93"/>
      <c r="BQ25" s="93"/>
      <c r="BR25" s="93"/>
      <c r="BS25" s="93"/>
      <c r="BT25" s="93"/>
      <c r="BU25" s="93"/>
      <c r="BV25" s="99" t="s">
        <v>412</v>
      </c>
      <c r="BW25" s="86" t="str">
        <f>VLOOKUP($C25, '_REF Catalog Classes'!$C$6:$E416, COLUMNS('_REF Catalog Classes'!$C$6:$E416), FALSE)</f>
        <v>never</v>
      </c>
      <c r="BX25" s="86"/>
      <c r="BY25" s="86"/>
      <c r="BZ25" s="105" t="s">
        <v>354</v>
      </c>
      <c r="CA25" s="100" t="b">
        <f ca="1">IFERROR(__xludf.DUMMYFUNCTION("IF(REGEXMATCH(Catalog_RewardType,""reward""), VLOOKUP($E25, {'TitleData rewards.items'!$J$9:$J416,'TitleData rewards.items'!$B$9:$B416}, 2, FALSE), """")"),FALSE)</f>
        <v>0</v>
      </c>
    </row>
    <row r="26" spans="1:79" ht="42" x14ac:dyDescent="0.15">
      <c r="A26" s="82" t="s">
        <v>269</v>
      </c>
      <c r="B26" s="83"/>
      <c r="C26" s="82" t="s">
        <v>315</v>
      </c>
      <c r="D26" s="85" t="b">
        <f>VLOOKUP($C26, '_REF Catalog Classes'!$C$6:$D416, COLUMNS('_REF Catalog Classes'!$C$6:$D416), FALSE)</f>
        <v>1</v>
      </c>
      <c r="E26" s="82" t="s">
        <v>413</v>
      </c>
      <c r="F26" s="82" t="str">
        <f t="shared" si="0"/>
        <v>skinOctober:</v>
      </c>
      <c r="G26" s="86" t="s">
        <v>414</v>
      </c>
      <c r="H26" s="86" t="s">
        <v>415</v>
      </c>
      <c r="I26" s="82" t="s">
        <v>274</v>
      </c>
      <c r="J26" s="82"/>
      <c r="K26" s="82"/>
      <c r="L26" s="103"/>
      <c r="M26" s="82"/>
      <c r="N26" s="104" t="s">
        <v>387</v>
      </c>
      <c r="O26" s="86"/>
      <c r="P26" s="82">
        <v>2</v>
      </c>
      <c r="Q26" s="88"/>
      <c r="R26" s="82"/>
      <c r="S26" s="82"/>
      <c r="T26" s="82"/>
      <c r="U26" s="82"/>
      <c r="V26" s="82"/>
      <c r="W26" s="89">
        <v>0</v>
      </c>
      <c r="X26" s="90" t="s">
        <v>319</v>
      </c>
      <c r="Y26" s="90" t="s">
        <v>416</v>
      </c>
      <c r="Z26" s="90"/>
      <c r="AA26" s="91" t="s">
        <v>283</v>
      </c>
      <c r="AB26" s="90" t="s">
        <v>417</v>
      </c>
      <c r="AC26" s="90"/>
      <c r="AD26" s="90"/>
      <c r="AE26" s="90"/>
      <c r="AF26" s="90"/>
      <c r="AG26" s="92"/>
      <c r="AH26" s="93"/>
      <c r="AI26" s="93"/>
      <c r="AJ26" s="93"/>
      <c r="AK26" s="93"/>
      <c r="AL26" s="93"/>
      <c r="AM26" s="93"/>
      <c r="AN26" s="94"/>
      <c r="AO26" s="95"/>
      <c r="AP26" s="95"/>
      <c r="AQ26" s="95"/>
      <c r="AR26" s="94"/>
      <c r="AS26" s="95"/>
      <c r="AT26" s="95"/>
      <c r="AU26" s="95"/>
      <c r="AV26" s="95"/>
      <c r="AW26" s="92"/>
      <c r="AX26" s="93"/>
      <c r="AY26" s="93"/>
      <c r="AZ26" s="93"/>
      <c r="BA26" s="93"/>
      <c r="BB26" s="93"/>
      <c r="BC26" s="93"/>
      <c r="BD26" s="96">
        <v>2</v>
      </c>
      <c r="BE26" s="97" t="s">
        <v>281</v>
      </c>
      <c r="BF26" s="98" t="s">
        <v>416</v>
      </c>
      <c r="BG26" s="97"/>
      <c r="BH26" s="97" t="s">
        <v>283</v>
      </c>
      <c r="BI26" s="97" t="s">
        <v>418</v>
      </c>
      <c r="BJ26" s="97"/>
      <c r="BK26" s="97"/>
      <c r="BL26" s="97"/>
      <c r="BM26" s="97"/>
      <c r="BN26" s="97"/>
      <c r="BO26" s="93"/>
      <c r="BP26" s="93"/>
      <c r="BQ26" s="93"/>
      <c r="BR26" s="93"/>
      <c r="BS26" s="93"/>
      <c r="BT26" s="93"/>
      <c r="BU26" s="93"/>
      <c r="BV26" s="99" t="s">
        <v>419</v>
      </c>
      <c r="BW26" s="86" t="str">
        <f>VLOOKUP($C26, '_REF Catalog Classes'!$C$6:$E416, COLUMNS('_REF Catalog Classes'!$C$6:$E416), FALSE)</f>
        <v>never</v>
      </c>
      <c r="BX26" s="86"/>
      <c r="BY26" s="86"/>
      <c r="BZ26" s="105" t="s">
        <v>354</v>
      </c>
      <c r="CA26" s="100" t="b">
        <f ca="1">IFERROR(__xludf.DUMMYFUNCTION("IF(REGEXMATCH(Catalog_RewardType,""reward""), VLOOKUP($E26, {'TitleData rewards.items'!$J$9:$J416,'TitleData rewards.items'!$B$9:$B416}, 2, FALSE), """")"),FALSE)</f>
        <v>0</v>
      </c>
    </row>
    <row r="27" spans="1:79" ht="42" x14ac:dyDescent="0.15">
      <c r="A27" s="82" t="s">
        <v>269</v>
      </c>
      <c r="B27" s="83"/>
      <c r="C27" s="82" t="s">
        <v>315</v>
      </c>
      <c r="D27" s="85" t="b">
        <f>VLOOKUP($C27, '_REF Catalog Classes'!$C$6:$D416, COLUMNS('_REF Catalog Classes'!$C$6:$D416), FALSE)</f>
        <v>1</v>
      </c>
      <c r="E27" s="82" t="s">
        <v>420</v>
      </c>
      <c r="F27" s="82" t="str">
        <f t="shared" si="0"/>
        <v>skinNovember:</v>
      </c>
      <c r="G27" s="86" t="s">
        <v>421</v>
      </c>
      <c r="H27" s="86" t="s">
        <v>422</v>
      </c>
      <c r="I27" s="82" t="s">
        <v>274</v>
      </c>
      <c r="J27" s="82"/>
      <c r="K27" s="82"/>
      <c r="L27" s="103"/>
      <c r="M27" s="82"/>
      <c r="N27" s="104" t="s">
        <v>387</v>
      </c>
      <c r="O27" s="86"/>
      <c r="P27" s="82">
        <v>3</v>
      </c>
      <c r="Q27" s="88"/>
      <c r="R27" s="82"/>
      <c r="S27" s="82"/>
      <c r="T27" s="82"/>
      <c r="U27" s="82"/>
      <c r="V27" s="82"/>
      <c r="W27" s="89">
        <v>0</v>
      </c>
      <c r="X27" s="90" t="s">
        <v>319</v>
      </c>
      <c r="Y27" s="90" t="s">
        <v>423</v>
      </c>
      <c r="Z27" s="90"/>
      <c r="AA27" s="91" t="s">
        <v>283</v>
      </c>
      <c r="AB27" s="90" t="s">
        <v>424</v>
      </c>
      <c r="AC27" s="90"/>
      <c r="AD27" s="90"/>
      <c r="AE27" s="90"/>
      <c r="AF27" s="90"/>
      <c r="AG27" s="92"/>
      <c r="AH27" s="93"/>
      <c r="AI27" s="93"/>
      <c r="AJ27" s="93"/>
      <c r="AK27" s="93"/>
      <c r="AL27" s="93"/>
      <c r="AM27" s="93"/>
      <c r="AN27" s="94"/>
      <c r="AO27" s="95"/>
      <c r="AP27" s="95"/>
      <c r="AQ27" s="95"/>
      <c r="AR27" s="94"/>
      <c r="AS27" s="95"/>
      <c r="AT27" s="95"/>
      <c r="AU27" s="95"/>
      <c r="AV27" s="95"/>
      <c r="AW27" s="92"/>
      <c r="AX27" s="93"/>
      <c r="AY27" s="93"/>
      <c r="AZ27" s="93"/>
      <c r="BA27" s="93"/>
      <c r="BB27" s="93"/>
      <c r="BC27" s="93"/>
      <c r="BD27" s="96">
        <v>2</v>
      </c>
      <c r="BE27" s="97" t="s">
        <v>281</v>
      </c>
      <c r="BF27" s="98" t="s">
        <v>423</v>
      </c>
      <c r="BG27" s="97"/>
      <c r="BH27" s="97" t="s">
        <v>283</v>
      </c>
      <c r="BI27" s="97" t="s">
        <v>425</v>
      </c>
      <c r="BJ27" s="97"/>
      <c r="BK27" s="97"/>
      <c r="BL27" s="97"/>
      <c r="BM27" s="97"/>
      <c r="BN27" s="97"/>
      <c r="BO27" s="93"/>
      <c r="BP27" s="93"/>
      <c r="BQ27" s="93"/>
      <c r="BR27" s="93"/>
      <c r="BS27" s="93"/>
      <c r="BT27" s="93"/>
      <c r="BU27" s="93"/>
      <c r="BV27" s="99" t="s">
        <v>426</v>
      </c>
      <c r="BW27" s="86" t="str">
        <f>VLOOKUP($C27, '_REF Catalog Classes'!$C$6:$E416, COLUMNS('_REF Catalog Classes'!$C$6:$E416), FALSE)</f>
        <v>never</v>
      </c>
      <c r="BX27" s="86"/>
      <c r="BY27" s="86"/>
      <c r="BZ27" s="105" t="s">
        <v>354</v>
      </c>
      <c r="CA27" s="100" t="b">
        <f ca="1">IFERROR(__xludf.DUMMYFUNCTION("IF(REGEXMATCH(Catalog_RewardType,""reward""), VLOOKUP($E27, {'TitleData rewards.items'!$J$9:$J416,'TitleData rewards.items'!$B$9:$B416}, 2, FALSE), """")"),FALSE)</f>
        <v>0</v>
      </c>
    </row>
    <row r="28" spans="1:79" ht="42" x14ac:dyDescent="0.15">
      <c r="A28" s="82" t="s">
        <v>269</v>
      </c>
      <c r="B28" s="83"/>
      <c r="C28" s="82" t="s">
        <v>315</v>
      </c>
      <c r="D28" s="85" t="b">
        <f>VLOOKUP($C28, '_REF Catalog Classes'!$C$6:$D416, COLUMNS('_REF Catalog Classes'!$C$6:$D416), FALSE)</f>
        <v>1</v>
      </c>
      <c r="E28" s="82" t="s">
        <v>427</v>
      </c>
      <c r="F28" s="82" t="str">
        <f t="shared" si="0"/>
        <v>skinDecember:</v>
      </c>
      <c r="G28" s="86" t="s">
        <v>428</v>
      </c>
      <c r="H28" s="86" t="s">
        <v>429</v>
      </c>
      <c r="I28" s="82" t="s">
        <v>274</v>
      </c>
      <c r="J28" s="82"/>
      <c r="K28" s="82"/>
      <c r="L28" s="103"/>
      <c r="M28" s="82"/>
      <c r="N28" s="104" t="s">
        <v>387</v>
      </c>
      <c r="O28" s="86"/>
      <c r="P28" s="82">
        <v>4</v>
      </c>
      <c r="Q28" s="88"/>
      <c r="R28" s="82"/>
      <c r="S28" s="82"/>
      <c r="T28" s="82"/>
      <c r="U28" s="82"/>
      <c r="V28" s="82"/>
      <c r="W28" s="89">
        <v>0</v>
      </c>
      <c r="X28" s="90" t="s">
        <v>319</v>
      </c>
      <c r="Y28" s="90" t="s">
        <v>430</v>
      </c>
      <c r="Z28" s="90"/>
      <c r="AA28" s="91" t="s">
        <v>283</v>
      </c>
      <c r="AB28" s="90" t="s">
        <v>431</v>
      </c>
      <c r="AC28" s="90"/>
      <c r="AD28" s="90"/>
      <c r="AE28" s="90"/>
      <c r="AF28" s="90"/>
      <c r="AG28" s="92"/>
      <c r="AH28" s="93"/>
      <c r="AI28" s="93"/>
      <c r="AJ28" s="93"/>
      <c r="AK28" s="93"/>
      <c r="AL28" s="93"/>
      <c r="AM28" s="93"/>
      <c r="AN28" s="94"/>
      <c r="AO28" s="95"/>
      <c r="AP28" s="95"/>
      <c r="AQ28" s="95"/>
      <c r="AR28" s="94"/>
      <c r="AS28" s="95"/>
      <c r="AT28" s="95"/>
      <c r="AU28" s="95"/>
      <c r="AV28" s="95"/>
      <c r="AW28" s="92"/>
      <c r="AX28" s="93"/>
      <c r="AY28" s="93"/>
      <c r="AZ28" s="93"/>
      <c r="BA28" s="93"/>
      <c r="BB28" s="93"/>
      <c r="BC28" s="93"/>
      <c r="BD28" s="96">
        <v>2</v>
      </c>
      <c r="BE28" s="97" t="s">
        <v>281</v>
      </c>
      <c r="BF28" s="98" t="s">
        <v>430</v>
      </c>
      <c r="BG28" s="97"/>
      <c r="BH28" s="97" t="s">
        <v>283</v>
      </c>
      <c r="BI28" s="97" t="s">
        <v>432</v>
      </c>
      <c r="BJ28" s="97"/>
      <c r="BK28" s="97"/>
      <c r="BL28" s="97"/>
      <c r="BM28" s="97"/>
      <c r="BN28" s="97"/>
      <c r="BO28" s="93"/>
      <c r="BP28" s="93"/>
      <c r="BQ28" s="93"/>
      <c r="BR28" s="93"/>
      <c r="BS28" s="93"/>
      <c r="BT28" s="93"/>
      <c r="BU28" s="93"/>
      <c r="BV28" s="99" t="s">
        <v>433</v>
      </c>
      <c r="BW28" s="86" t="str">
        <f>VLOOKUP($C28, '_REF Catalog Classes'!$C$6:$E416, COLUMNS('_REF Catalog Classes'!$C$6:$E416), FALSE)</f>
        <v>never</v>
      </c>
      <c r="BX28" s="86"/>
      <c r="BY28" s="86"/>
      <c r="BZ28" s="105" t="s">
        <v>354</v>
      </c>
      <c r="CA28" s="100" t="b">
        <f ca="1">IFERROR(__xludf.DUMMYFUNCTION("IF(REGEXMATCH(Catalog_RewardType,""reward""), VLOOKUP($E28, {'TitleData rewards.items'!$J$9:$J416,'TitleData rewards.items'!$B$9:$B416}, 2, FALSE), """")"),FALSE)</f>
        <v>0</v>
      </c>
    </row>
    <row r="29" spans="1:79" ht="28" x14ac:dyDescent="0.15">
      <c r="A29" s="82" t="s">
        <v>269</v>
      </c>
      <c r="B29" s="83"/>
      <c r="C29" s="82" t="s">
        <v>434</v>
      </c>
      <c r="D29" s="85" t="b">
        <f>VLOOKUP($C29, '_REF Catalog Classes'!$C$6:$D416, COLUMNS('_REF Catalog Classes'!$C$6:$D416), FALSE)</f>
        <v>1</v>
      </c>
      <c r="E29" s="82" t="s">
        <v>435</v>
      </c>
      <c r="F29" s="82" t="str">
        <f t="shared" si="0"/>
        <v>launcherGeneral:</v>
      </c>
      <c r="G29" s="82" t="s">
        <v>436</v>
      </c>
      <c r="H29" s="82" t="s">
        <v>437</v>
      </c>
      <c r="I29" s="82" t="s">
        <v>274</v>
      </c>
      <c r="J29" s="82"/>
      <c r="K29" s="82"/>
      <c r="L29" s="82"/>
      <c r="M29" s="82"/>
      <c r="N29" s="107"/>
      <c r="O29" s="108"/>
      <c r="P29" s="82">
        <v>1</v>
      </c>
      <c r="Q29" s="88" t="s">
        <v>277</v>
      </c>
      <c r="R29" s="82">
        <v>1</v>
      </c>
      <c r="S29" s="82" t="s">
        <v>278</v>
      </c>
      <c r="T29" s="82" t="s">
        <v>279</v>
      </c>
      <c r="U29" s="82">
        <v>2</v>
      </c>
      <c r="V29" s="82" t="s">
        <v>280</v>
      </c>
      <c r="W29" s="89"/>
      <c r="X29" s="90"/>
      <c r="Y29" s="90"/>
      <c r="Z29" s="90"/>
      <c r="AA29" s="91"/>
      <c r="AB29" s="93"/>
      <c r="AC29" s="90"/>
      <c r="AD29" s="90"/>
      <c r="AE29" s="90"/>
      <c r="AF29" s="90"/>
      <c r="AG29" s="92"/>
      <c r="AH29" s="93"/>
      <c r="AI29" s="93"/>
      <c r="AJ29" s="93"/>
      <c r="AK29" s="93"/>
      <c r="AL29" s="93"/>
      <c r="AM29" s="93"/>
      <c r="AN29" s="94"/>
      <c r="AO29" s="95"/>
      <c r="AP29" s="95"/>
      <c r="AQ29" s="95"/>
      <c r="AR29" s="94"/>
      <c r="AS29" s="95"/>
      <c r="AT29" s="95"/>
      <c r="AU29" s="95"/>
      <c r="AV29" s="95"/>
      <c r="AW29" s="92"/>
      <c r="AX29" s="93"/>
      <c r="AY29" s="93"/>
      <c r="AZ29" s="93"/>
      <c r="BA29" s="93"/>
      <c r="BB29" s="93"/>
      <c r="BC29" s="93"/>
      <c r="BD29" s="96">
        <v>2</v>
      </c>
      <c r="BE29" s="97" t="s">
        <v>281</v>
      </c>
      <c r="BF29" s="98" t="s">
        <v>438</v>
      </c>
      <c r="BG29" s="97"/>
      <c r="BH29" s="97" t="s">
        <v>283</v>
      </c>
      <c r="BI29" s="97" t="s">
        <v>439</v>
      </c>
      <c r="BJ29" s="97"/>
      <c r="BK29" s="97" t="s">
        <v>440</v>
      </c>
      <c r="BL29" s="97" t="s">
        <v>441</v>
      </c>
      <c r="BM29" s="97"/>
      <c r="BN29" s="97"/>
      <c r="BO29" s="93"/>
      <c r="BP29" s="93"/>
      <c r="BQ29" s="93"/>
      <c r="BR29" s="93"/>
      <c r="BS29" s="93"/>
      <c r="BT29" s="93"/>
      <c r="BU29" s="93"/>
      <c r="BV29" s="99" t="s">
        <v>287</v>
      </c>
      <c r="BW29" s="86"/>
      <c r="BX29" s="86"/>
      <c r="BY29" s="86"/>
      <c r="BZ29" s="86" t="s">
        <v>289</v>
      </c>
      <c r="CA29" s="100" t="str">
        <f ca="1">IFERROR(__xludf.DUMMYFUNCTION("IF(REGEXMATCH(Catalog_RewardType,""reward""), VLOOKUP($E29, {'TitleData rewards.items'!$J$9:$J416,'TitleData rewards.items'!$B$9:$B416}, 2, FALSE), """")"),"")</f>
        <v/>
      </c>
    </row>
    <row r="30" spans="1:79" ht="28" hidden="1" x14ac:dyDescent="0.15">
      <c r="A30" s="82" t="s">
        <v>269</v>
      </c>
      <c r="B30" s="83" t="b">
        <v>1</v>
      </c>
      <c r="C30" s="82" t="s">
        <v>434</v>
      </c>
      <c r="D30" s="85" t="b">
        <v>1</v>
      </c>
      <c r="E30" s="82" t="s">
        <v>442</v>
      </c>
      <c r="F30" s="82" t="str">
        <f t="shared" si="0"/>
        <v>launcherBowling:TRUE</v>
      </c>
      <c r="G30" s="82" t="s">
        <v>443</v>
      </c>
      <c r="H30" s="82" t="s">
        <v>444</v>
      </c>
      <c r="I30" s="82" t="s">
        <v>274</v>
      </c>
      <c r="J30" s="82"/>
      <c r="K30" s="82"/>
      <c r="L30" s="82"/>
      <c r="M30" s="82"/>
      <c r="N30" s="107"/>
      <c r="O30" s="108"/>
      <c r="P30" s="82">
        <v>1</v>
      </c>
      <c r="Q30" s="88" t="s">
        <v>277</v>
      </c>
      <c r="R30" s="82"/>
      <c r="S30" s="82"/>
      <c r="T30" s="82"/>
      <c r="U30" s="82"/>
      <c r="V30" s="82"/>
      <c r="W30" s="89"/>
      <c r="X30" s="90"/>
      <c r="Y30" s="90" t="str">
        <f>"file://"&amp;$E30&amp;"-state0-image0"</f>
        <v>file://launcherBowling-state0-image0</v>
      </c>
      <c r="Z30" s="90"/>
      <c r="AA30" s="91"/>
      <c r="AB30" s="93"/>
      <c r="AC30" s="90"/>
      <c r="AD30" s="90"/>
      <c r="AE30" s="90"/>
      <c r="AF30" s="90"/>
      <c r="AG30" s="92"/>
      <c r="AH30" s="93"/>
      <c r="AI30" s="93"/>
      <c r="AJ30" s="93"/>
      <c r="AK30" s="93"/>
      <c r="AL30" s="93"/>
      <c r="AM30" s="93"/>
      <c r="AN30" s="94"/>
      <c r="AO30" s="95"/>
      <c r="AP30" s="95" t="str">
        <f>"file://"&amp;$E30&amp;"-state1-image0"</f>
        <v>file://launcherBowling-state1-image0</v>
      </c>
      <c r="AQ30" s="95"/>
      <c r="AR30" s="94"/>
      <c r="AS30" s="95"/>
      <c r="AT30" s="95"/>
      <c r="AU30" s="95"/>
      <c r="AV30" s="95"/>
      <c r="AW30" s="92"/>
      <c r="AX30" s="93"/>
      <c r="AY30" s="93"/>
      <c r="AZ30" s="93"/>
      <c r="BA30" s="93"/>
      <c r="BB30" s="93"/>
      <c r="BC30" s="93"/>
      <c r="BD30" s="96">
        <v>2</v>
      </c>
      <c r="BE30" s="97" t="s">
        <v>281</v>
      </c>
      <c r="BF30" s="102"/>
      <c r="BG30" s="97"/>
      <c r="BH30" s="97" t="s">
        <v>283</v>
      </c>
      <c r="BI30" s="97" t="s">
        <v>445</v>
      </c>
      <c r="BJ30" s="97"/>
      <c r="BK30" s="97" t="s">
        <v>446</v>
      </c>
      <c r="BL30" s="97" t="s">
        <v>447</v>
      </c>
      <c r="BM30" s="97"/>
      <c r="BN30" s="97" t="s">
        <v>448</v>
      </c>
      <c r="BO30" s="93"/>
      <c r="BP30" s="93"/>
      <c r="BQ30" s="93"/>
      <c r="BR30" s="93"/>
      <c r="BS30" s="93"/>
      <c r="BT30" s="93"/>
      <c r="BU30" s="93"/>
      <c r="BV30" s="99" t="s">
        <v>287</v>
      </c>
      <c r="BW30" s="86"/>
      <c r="BX30" s="86"/>
      <c r="BY30" s="86"/>
      <c r="BZ30" s="86" t="s">
        <v>289</v>
      </c>
      <c r="CA30" s="100" t="str">
        <f ca="1">IFERROR(__xludf.DUMMYFUNCTION("IF(REGEXMATCH(Catalog_RewardType,""reward""), VLOOKUP($E30, {'TitleData rewards.items'!$J$9:$J416,'TitleData rewards.items'!$B$9:$B416}, 2, FALSE), """")"),"")</f>
        <v/>
      </c>
    </row>
    <row r="31" spans="1:79" ht="30" x14ac:dyDescent="0.15">
      <c r="A31" s="82" t="s">
        <v>269</v>
      </c>
      <c r="B31" s="83"/>
      <c r="C31" s="82" t="s">
        <v>434</v>
      </c>
      <c r="D31" s="85" t="b">
        <f>VLOOKUP($C31, '_REF Catalog Classes'!$C$6:$D416, COLUMNS('_REF Catalog Classes'!$C$6:$D416), FALSE)</f>
        <v>1</v>
      </c>
      <c r="E31" s="82" t="s">
        <v>449</v>
      </c>
      <c r="F31" s="82" t="str">
        <f t="shared" si="0"/>
        <v>launcherFart:</v>
      </c>
      <c r="G31" s="82" t="s">
        <v>450</v>
      </c>
      <c r="H31" s="82" t="s">
        <v>451</v>
      </c>
      <c r="I31" s="82" t="s">
        <v>274</v>
      </c>
      <c r="J31" s="82"/>
      <c r="K31" s="82"/>
      <c r="L31" s="82"/>
      <c r="M31" s="82"/>
      <c r="N31" s="107"/>
      <c r="O31" s="108"/>
      <c r="P31" s="82">
        <v>2</v>
      </c>
      <c r="Q31" s="88" t="s">
        <v>277</v>
      </c>
      <c r="R31" s="82">
        <v>1</v>
      </c>
      <c r="S31" s="82" t="s">
        <v>278</v>
      </c>
      <c r="T31" s="82" t="s">
        <v>279</v>
      </c>
      <c r="U31" s="82">
        <v>2</v>
      </c>
      <c r="V31" s="82" t="s">
        <v>280</v>
      </c>
      <c r="W31" s="89"/>
      <c r="X31" s="90"/>
      <c r="Y31" s="90"/>
      <c r="Z31" s="90"/>
      <c r="AA31" s="91"/>
      <c r="AB31" s="90"/>
      <c r="AC31" s="90"/>
      <c r="AD31" s="90"/>
      <c r="AE31" s="90"/>
      <c r="AF31" s="90"/>
      <c r="AG31" s="92"/>
      <c r="AH31" s="93"/>
      <c r="AI31" s="93"/>
      <c r="AJ31" s="93"/>
      <c r="AK31" s="93"/>
      <c r="AL31" s="93"/>
      <c r="AM31" s="93"/>
      <c r="AN31" s="94"/>
      <c r="AO31" s="95"/>
      <c r="AP31" s="95"/>
      <c r="AQ31" s="95"/>
      <c r="AR31" s="94"/>
      <c r="AS31" s="95"/>
      <c r="AT31" s="95"/>
      <c r="AU31" s="95"/>
      <c r="AV31" s="95"/>
      <c r="AW31" s="92"/>
      <c r="AX31" s="93"/>
      <c r="AY31" s="93"/>
      <c r="AZ31" s="93"/>
      <c r="BA31" s="93"/>
      <c r="BB31" s="93"/>
      <c r="BC31" s="93"/>
      <c r="BD31" s="96">
        <v>2</v>
      </c>
      <c r="BE31" s="97" t="s">
        <v>281</v>
      </c>
      <c r="BF31" s="98" t="s">
        <v>452</v>
      </c>
      <c r="BG31" s="97"/>
      <c r="BH31" s="97" t="s">
        <v>283</v>
      </c>
      <c r="BI31" s="97" t="s">
        <v>453</v>
      </c>
      <c r="BJ31" s="97"/>
      <c r="BK31" s="97" t="s">
        <v>454</v>
      </c>
      <c r="BL31" s="97" t="s">
        <v>455</v>
      </c>
      <c r="BM31" s="97"/>
      <c r="BN31" s="97"/>
      <c r="BO31" s="93"/>
      <c r="BP31" s="93"/>
      <c r="BQ31" s="93"/>
      <c r="BR31" s="93"/>
      <c r="BS31" s="93"/>
      <c r="BT31" s="93"/>
      <c r="BU31" s="93"/>
      <c r="BV31" s="99" t="s">
        <v>287</v>
      </c>
      <c r="BW31" s="86"/>
      <c r="BX31" s="86"/>
      <c r="BY31" s="86"/>
      <c r="BZ31" s="86" t="s">
        <v>289</v>
      </c>
      <c r="CA31" s="100" t="str">
        <f ca="1">IFERROR(__xludf.DUMMYFUNCTION("IF(REGEXMATCH(Catalog_RewardType,""reward""), VLOOKUP($E31, {'TitleData rewards.items'!$J$9:$J416,'TitleData rewards.items'!$B$9:$B416}, 2, FALSE), """")"),"")</f>
        <v/>
      </c>
    </row>
    <row r="32" spans="1:79" ht="28" x14ac:dyDescent="0.15">
      <c r="A32" s="82" t="s">
        <v>269</v>
      </c>
      <c r="B32" s="83"/>
      <c r="C32" s="82" t="s">
        <v>434</v>
      </c>
      <c r="D32" s="85" t="b">
        <f>VLOOKUP($C32, '_REF Catalog Classes'!$C$6:$D416, COLUMNS('_REF Catalog Classes'!$C$6:$D416), FALSE)</f>
        <v>1</v>
      </c>
      <c r="E32" s="82" t="s">
        <v>456</v>
      </c>
      <c r="F32" s="82" t="str">
        <f t="shared" si="0"/>
        <v>launcherPinball:</v>
      </c>
      <c r="G32" s="82" t="s">
        <v>457</v>
      </c>
      <c r="H32" s="82" t="s">
        <v>458</v>
      </c>
      <c r="I32" s="82" t="s">
        <v>274</v>
      </c>
      <c r="J32" s="82"/>
      <c r="K32" s="82"/>
      <c r="L32" s="82"/>
      <c r="M32" s="82"/>
      <c r="N32" s="107"/>
      <c r="O32" s="108"/>
      <c r="P32" s="82">
        <v>3</v>
      </c>
      <c r="Q32" s="88" t="s">
        <v>277</v>
      </c>
      <c r="R32" s="82">
        <v>1</v>
      </c>
      <c r="S32" s="82" t="s">
        <v>278</v>
      </c>
      <c r="T32" s="82" t="s">
        <v>279</v>
      </c>
      <c r="U32" s="82">
        <v>2</v>
      </c>
      <c r="V32" s="82" t="s">
        <v>280</v>
      </c>
      <c r="W32" s="89"/>
      <c r="X32" s="90"/>
      <c r="Y32" s="90"/>
      <c r="Z32" s="90"/>
      <c r="AA32" s="91"/>
      <c r="AB32" s="90"/>
      <c r="AC32" s="90"/>
      <c r="AD32" s="90"/>
      <c r="AE32" s="90"/>
      <c r="AF32" s="90"/>
      <c r="AG32" s="92"/>
      <c r="AH32" s="93"/>
      <c r="AI32" s="93"/>
      <c r="AJ32" s="93"/>
      <c r="AK32" s="93"/>
      <c r="AL32" s="93"/>
      <c r="AM32" s="93"/>
      <c r="AN32" s="94"/>
      <c r="AO32" s="95"/>
      <c r="AP32" s="95"/>
      <c r="AQ32" s="95"/>
      <c r="AR32" s="94"/>
      <c r="AS32" s="95"/>
      <c r="AT32" s="95"/>
      <c r="AU32" s="95"/>
      <c r="AV32" s="95"/>
      <c r="AW32" s="92"/>
      <c r="AX32" s="93"/>
      <c r="AY32" s="93"/>
      <c r="AZ32" s="93"/>
      <c r="BA32" s="93"/>
      <c r="BB32" s="93"/>
      <c r="BC32" s="93"/>
      <c r="BD32" s="96">
        <v>2</v>
      </c>
      <c r="BE32" s="97" t="s">
        <v>281</v>
      </c>
      <c r="BF32" s="98" t="s">
        <v>459</v>
      </c>
      <c r="BG32" s="97"/>
      <c r="BH32" s="97" t="s">
        <v>283</v>
      </c>
      <c r="BI32" s="97" t="s">
        <v>460</v>
      </c>
      <c r="BJ32" s="97"/>
      <c r="BK32" s="97" t="s">
        <v>461</v>
      </c>
      <c r="BL32" s="97" t="s">
        <v>462</v>
      </c>
      <c r="BM32" s="97"/>
      <c r="BN32" s="97"/>
      <c r="BO32" s="93"/>
      <c r="BP32" s="93"/>
      <c r="BQ32" s="93"/>
      <c r="BR32" s="93"/>
      <c r="BS32" s="93"/>
      <c r="BT32" s="93"/>
      <c r="BU32" s="93"/>
      <c r="BV32" s="99" t="s">
        <v>287</v>
      </c>
      <c r="BW32" s="86"/>
      <c r="BX32" s="86"/>
      <c r="BY32" s="86"/>
      <c r="BZ32" s="86" t="s">
        <v>289</v>
      </c>
      <c r="CA32" s="100" t="str">
        <f ca="1">IFERROR(__xludf.DUMMYFUNCTION("IF(REGEXMATCH(Catalog_RewardType,""reward""), VLOOKUP($E32, {'TitleData rewards.items'!$J$9:$J416,'TitleData rewards.items'!$B$9:$B416}, 2, FALSE), """")"),"")</f>
        <v/>
      </c>
    </row>
    <row r="33" spans="1:79" ht="28" hidden="1" x14ac:dyDescent="0.15">
      <c r="A33" s="82" t="s">
        <v>314</v>
      </c>
      <c r="B33" s="83" t="b">
        <v>1</v>
      </c>
      <c r="C33" s="82" t="s">
        <v>434</v>
      </c>
      <c r="D33" s="85" t="b">
        <f>VLOOKUP($C33, '_REF Catalog Classes'!$C$6:$D416, COLUMNS('_REF Catalog Classes'!$C$6:$D416), FALSE)</f>
        <v>1</v>
      </c>
      <c r="E33" s="82" t="s">
        <v>463</v>
      </c>
      <c r="F33" s="82" t="str">
        <f t="shared" si="0"/>
        <v>launcher4:TRUE</v>
      </c>
      <c r="G33" s="82" t="s">
        <v>464</v>
      </c>
      <c r="H33" s="82" t="s">
        <v>465</v>
      </c>
      <c r="I33" s="82" t="s">
        <v>274</v>
      </c>
      <c r="J33" s="82"/>
      <c r="K33" s="82"/>
      <c r="L33" s="82"/>
      <c r="M33" s="82"/>
      <c r="N33" s="107"/>
      <c r="O33" s="108"/>
      <c r="P33" s="82">
        <v>4</v>
      </c>
      <c r="Q33" s="88"/>
      <c r="R33" s="82"/>
      <c r="S33" s="82"/>
      <c r="T33" s="82"/>
      <c r="U33" s="82"/>
      <c r="V33" s="82"/>
      <c r="W33" s="89">
        <v>0</v>
      </c>
      <c r="X33" s="90" t="s">
        <v>319</v>
      </c>
      <c r="Y33" s="90" t="str">
        <f t="shared" ref="Y33:Y38" si="3">"file://"&amp;$E33&amp;"-state0-image0"</f>
        <v>file://launcher4-state0-image0</v>
      </c>
      <c r="Z33" s="90"/>
      <c r="AA33" s="91" t="s">
        <v>283</v>
      </c>
      <c r="AB33" s="90" t="s">
        <v>464</v>
      </c>
      <c r="AC33" s="90" t="s">
        <v>465</v>
      </c>
      <c r="AD33" s="90"/>
      <c r="AE33" s="90"/>
      <c r="AF33" s="90" t="s">
        <v>448</v>
      </c>
      <c r="AG33" s="92"/>
      <c r="AH33" s="93"/>
      <c r="AI33" s="93"/>
      <c r="AJ33" s="93"/>
      <c r="AK33" s="93"/>
      <c r="AL33" s="93"/>
      <c r="AM33" s="93"/>
      <c r="AN33" s="94"/>
      <c r="AO33" s="95"/>
      <c r="AP33" s="95" t="str">
        <f t="shared" ref="AP33:AP38" si="4">"file://"&amp;$E33&amp;"-state1-image0"</f>
        <v>file://launcher4-state1-image0</v>
      </c>
      <c r="AQ33" s="95"/>
      <c r="AR33" s="94"/>
      <c r="AS33" s="95"/>
      <c r="AT33" s="95"/>
      <c r="AU33" s="95"/>
      <c r="AV33" s="95"/>
      <c r="AW33" s="92"/>
      <c r="AX33" s="93"/>
      <c r="AY33" s="93"/>
      <c r="AZ33" s="93"/>
      <c r="BA33" s="93"/>
      <c r="BB33" s="93"/>
      <c r="BC33" s="93"/>
      <c r="BD33" s="96">
        <v>2</v>
      </c>
      <c r="BE33" s="97" t="s">
        <v>281</v>
      </c>
      <c r="BF33" s="102"/>
      <c r="BG33" s="97"/>
      <c r="BH33" s="97" t="s">
        <v>283</v>
      </c>
      <c r="BI33" s="97" t="s">
        <v>464</v>
      </c>
      <c r="BJ33" s="97"/>
      <c r="BK33" s="97" t="s">
        <v>465</v>
      </c>
      <c r="BL33" s="97" t="s">
        <v>466</v>
      </c>
      <c r="BM33" s="97"/>
      <c r="BN33" s="97" t="s">
        <v>448</v>
      </c>
      <c r="BO33" s="93"/>
      <c r="BP33" s="93"/>
      <c r="BQ33" s="93"/>
      <c r="BR33" s="93"/>
      <c r="BS33" s="93"/>
      <c r="BT33" s="93"/>
      <c r="BU33" s="93"/>
      <c r="BV33" s="109" t="s">
        <v>467</v>
      </c>
      <c r="BW33" s="86" t="str">
        <f>VLOOKUP($C33, '_REF Catalog Classes'!$C$6:$E416, COLUMNS('_REF Catalog Classes'!$C$6:$E416), FALSE)</f>
        <v>never</v>
      </c>
      <c r="BX33" s="110"/>
      <c r="BY33" s="110"/>
      <c r="BZ33" s="111" t="s">
        <v>322</v>
      </c>
      <c r="CA33" s="100" t="str">
        <f ca="1">IFERROR(__xludf.DUMMYFUNCTION("IF(REGEXMATCH(Catalog_RewardType,""reward""), VLOOKUP($E33, {'TitleData rewards.items'!$J$9:$J416,'TitleData rewards.items'!$B$9:$B416}, 2, FALSE), """")"),"#N/A")</f>
        <v>#N/A</v>
      </c>
    </row>
    <row r="34" spans="1:79" ht="42" hidden="1" x14ac:dyDescent="0.15">
      <c r="A34" s="82" t="s">
        <v>314</v>
      </c>
      <c r="B34" s="83" t="b">
        <v>1</v>
      </c>
      <c r="C34" s="82" t="s">
        <v>434</v>
      </c>
      <c r="D34" s="85" t="b">
        <f>VLOOKUP($C34, '_REF Catalog Classes'!$C$6:$D416, COLUMNS('_REF Catalog Classes'!$C$6:$D416), FALSE)</f>
        <v>1</v>
      </c>
      <c r="E34" s="82" t="s">
        <v>468</v>
      </c>
      <c r="F34" s="82" t="str">
        <f t="shared" si="0"/>
        <v>launcher5:TRUE</v>
      </c>
      <c r="G34" s="82" t="s">
        <v>469</v>
      </c>
      <c r="H34" s="82" t="s">
        <v>470</v>
      </c>
      <c r="I34" s="82" t="s">
        <v>274</v>
      </c>
      <c r="J34" s="82"/>
      <c r="K34" s="82"/>
      <c r="L34" s="82"/>
      <c r="M34" s="82"/>
      <c r="N34" s="107"/>
      <c r="O34" s="108"/>
      <c r="P34" s="82">
        <v>5</v>
      </c>
      <c r="Q34" s="88"/>
      <c r="R34" s="82"/>
      <c r="S34" s="82"/>
      <c r="T34" s="82"/>
      <c r="U34" s="82"/>
      <c r="V34" s="82"/>
      <c r="W34" s="89">
        <v>0</v>
      </c>
      <c r="X34" s="90" t="s">
        <v>319</v>
      </c>
      <c r="Y34" s="90" t="str">
        <f t="shared" si="3"/>
        <v>file://launcher5-state0-image0</v>
      </c>
      <c r="Z34" s="90"/>
      <c r="AA34" s="91" t="s">
        <v>283</v>
      </c>
      <c r="AB34" s="90" t="s">
        <v>469</v>
      </c>
      <c r="AC34" s="90" t="s">
        <v>470</v>
      </c>
      <c r="AD34" s="90"/>
      <c r="AE34" s="90"/>
      <c r="AF34" s="90" t="s">
        <v>448</v>
      </c>
      <c r="AG34" s="92"/>
      <c r="AH34" s="93"/>
      <c r="AI34" s="93"/>
      <c r="AJ34" s="93"/>
      <c r="AK34" s="93"/>
      <c r="AL34" s="93"/>
      <c r="AM34" s="93"/>
      <c r="AN34" s="94"/>
      <c r="AO34" s="95"/>
      <c r="AP34" s="95" t="str">
        <f t="shared" si="4"/>
        <v>file://launcher5-state1-image0</v>
      </c>
      <c r="AQ34" s="95"/>
      <c r="AR34" s="94"/>
      <c r="AS34" s="95"/>
      <c r="AT34" s="95"/>
      <c r="AU34" s="95"/>
      <c r="AV34" s="95"/>
      <c r="AW34" s="92"/>
      <c r="AX34" s="93"/>
      <c r="AY34" s="93"/>
      <c r="AZ34" s="93"/>
      <c r="BA34" s="93"/>
      <c r="BB34" s="93"/>
      <c r="BC34" s="93"/>
      <c r="BD34" s="96">
        <v>2</v>
      </c>
      <c r="BE34" s="97" t="s">
        <v>281</v>
      </c>
      <c r="BF34" s="102"/>
      <c r="BG34" s="97"/>
      <c r="BH34" s="97" t="s">
        <v>283</v>
      </c>
      <c r="BI34" s="97" t="s">
        <v>469</v>
      </c>
      <c r="BJ34" s="97"/>
      <c r="BK34" s="97" t="s">
        <v>470</v>
      </c>
      <c r="BL34" s="97" t="s">
        <v>471</v>
      </c>
      <c r="BM34" s="97"/>
      <c r="BN34" s="97" t="s">
        <v>448</v>
      </c>
      <c r="BO34" s="93"/>
      <c r="BP34" s="93"/>
      <c r="BQ34" s="93"/>
      <c r="BR34" s="93"/>
      <c r="BS34" s="93"/>
      <c r="BT34" s="93"/>
      <c r="BU34" s="93"/>
      <c r="BV34" s="109" t="s">
        <v>472</v>
      </c>
      <c r="BW34" s="86" t="str">
        <f>VLOOKUP($C34, '_REF Catalog Classes'!$C$6:$E416, COLUMNS('_REF Catalog Classes'!$C$6:$E416), FALSE)</f>
        <v>never</v>
      </c>
      <c r="BX34" s="110"/>
      <c r="BY34" s="110"/>
      <c r="BZ34" s="111" t="s">
        <v>322</v>
      </c>
      <c r="CA34" s="100" t="str">
        <f ca="1">IFERROR(__xludf.DUMMYFUNCTION("IF(REGEXMATCH(Catalog_RewardType,""reward""), VLOOKUP($E34, {'TitleData rewards.items'!$J$9:$J416,'TitleData rewards.items'!$B$9:$B416}, 2, FALSE), """")"),"#N/A")</f>
        <v>#N/A</v>
      </c>
    </row>
    <row r="35" spans="1:79" ht="28" hidden="1" x14ac:dyDescent="0.15">
      <c r="A35" s="82" t="s">
        <v>314</v>
      </c>
      <c r="B35" s="83" t="b">
        <v>1</v>
      </c>
      <c r="C35" s="82" t="s">
        <v>434</v>
      </c>
      <c r="D35" s="85" t="b">
        <f>VLOOKUP($C35, '_REF Catalog Classes'!$C$6:$D416, COLUMNS('_REF Catalog Classes'!$C$6:$D416), FALSE)</f>
        <v>1</v>
      </c>
      <c r="E35" s="82" t="s">
        <v>473</v>
      </c>
      <c r="F35" s="82" t="str">
        <f t="shared" si="0"/>
        <v>launcher6:TRUE</v>
      </c>
      <c r="G35" s="82" t="s">
        <v>474</v>
      </c>
      <c r="H35" s="82" t="s">
        <v>475</v>
      </c>
      <c r="I35" s="82" t="s">
        <v>274</v>
      </c>
      <c r="J35" s="82"/>
      <c r="K35" s="82"/>
      <c r="L35" s="82"/>
      <c r="M35" s="82"/>
      <c r="N35" s="107"/>
      <c r="O35" s="108"/>
      <c r="P35" s="82">
        <v>6</v>
      </c>
      <c r="Q35" s="88"/>
      <c r="R35" s="82"/>
      <c r="S35" s="82"/>
      <c r="T35" s="82"/>
      <c r="U35" s="82"/>
      <c r="V35" s="82"/>
      <c r="W35" s="89">
        <v>0</v>
      </c>
      <c r="X35" s="90" t="s">
        <v>319</v>
      </c>
      <c r="Y35" s="90" t="str">
        <f t="shared" si="3"/>
        <v>file://launcher6-state0-image0</v>
      </c>
      <c r="Z35" s="90"/>
      <c r="AA35" s="91" t="s">
        <v>283</v>
      </c>
      <c r="AB35" s="90" t="s">
        <v>474</v>
      </c>
      <c r="AC35" s="90" t="s">
        <v>475</v>
      </c>
      <c r="AD35" s="90"/>
      <c r="AE35" s="90"/>
      <c r="AF35" s="90" t="s">
        <v>448</v>
      </c>
      <c r="AG35" s="92"/>
      <c r="AH35" s="93"/>
      <c r="AI35" s="93"/>
      <c r="AJ35" s="93"/>
      <c r="AK35" s="93"/>
      <c r="AL35" s="93"/>
      <c r="AM35" s="93"/>
      <c r="AN35" s="94"/>
      <c r="AO35" s="95"/>
      <c r="AP35" s="95" t="str">
        <f t="shared" si="4"/>
        <v>file://launcher6-state1-image0</v>
      </c>
      <c r="AQ35" s="95"/>
      <c r="AR35" s="94"/>
      <c r="AS35" s="95"/>
      <c r="AT35" s="95"/>
      <c r="AU35" s="95"/>
      <c r="AV35" s="95"/>
      <c r="AW35" s="92"/>
      <c r="AX35" s="93"/>
      <c r="AY35" s="93"/>
      <c r="AZ35" s="93"/>
      <c r="BA35" s="93"/>
      <c r="BB35" s="93"/>
      <c r="BC35" s="93"/>
      <c r="BD35" s="96">
        <v>2</v>
      </c>
      <c r="BE35" s="97" t="s">
        <v>281</v>
      </c>
      <c r="BF35" s="102"/>
      <c r="BG35" s="97"/>
      <c r="BH35" s="97" t="s">
        <v>283</v>
      </c>
      <c r="BI35" s="97" t="s">
        <v>474</v>
      </c>
      <c r="BJ35" s="97"/>
      <c r="BK35" s="97" t="s">
        <v>475</v>
      </c>
      <c r="BL35" s="97" t="s">
        <v>476</v>
      </c>
      <c r="BM35" s="97"/>
      <c r="BN35" s="97" t="s">
        <v>448</v>
      </c>
      <c r="BO35" s="93"/>
      <c r="BP35" s="93"/>
      <c r="BQ35" s="93"/>
      <c r="BR35" s="93"/>
      <c r="BS35" s="93"/>
      <c r="BT35" s="93"/>
      <c r="BU35" s="93"/>
      <c r="BV35" s="109" t="s">
        <v>477</v>
      </c>
      <c r="BW35" s="86" t="str">
        <f>VLOOKUP($C35, '_REF Catalog Classes'!$C$6:$E416, COLUMNS('_REF Catalog Classes'!$C$6:$E416), FALSE)</f>
        <v>never</v>
      </c>
      <c r="BX35" s="110"/>
      <c r="BY35" s="110"/>
      <c r="BZ35" s="111" t="s">
        <v>322</v>
      </c>
      <c r="CA35" s="100" t="str">
        <f ca="1">IFERROR(__xludf.DUMMYFUNCTION("IF(REGEXMATCH(Catalog_RewardType,""reward""), VLOOKUP($E35, {'TitleData rewards.items'!$J$9:$J416,'TitleData rewards.items'!$B$9:$B416}, 2, FALSE), """")"),"#N/A")</f>
        <v>#N/A</v>
      </c>
    </row>
    <row r="36" spans="1:79" ht="42" hidden="1" x14ac:dyDescent="0.15">
      <c r="A36" s="82" t="s">
        <v>314</v>
      </c>
      <c r="B36" s="83" t="b">
        <v>1</v>
      </c>
      <c r="C36" s="82" t="s">
        <v>434</v>
      </c>
      <c r="D36" s="85" t="b">
        <f>VLOOKUP($C36, '_REF Catalog Classes'!$C$6:$D416, COLUMNS('_REF Catalog Classes'!$C$6:$D416), FALSE)</f>
        <v>1</v>
      </c>
      <c r="E36" s="82" t="s">
        <v>478</v>
      </c>
      <c r="F36" s="82" t="str">
        <f t="shared" si="0"/>
        <v>launcher7:TRUE</v>
      </c>
      <c r="G36" s="82" t="s">
        <v>479</v>
      </c>
      <c r="H36" s="82" t="s">
        <v>480</v>
      </c>
      <c r="I36" s="82" t="s">
        <v>274</v>
      </c>
      <c r="J36" s="82"/>
      <c r="K36" s="82"/>
      <c r="L36" s="82"/>
      <c r="M36" s="82"/>
      <c r="N36" s="107"/>
      <c r="O36" s="108"/>
      <c r="P36" s="82">
        <v>7</v>
      </c>
      <c r="Q36" s="88"/>
      <c r="R36" s="82"/>
      <c r="S36" s="82"/>
      <c r="T36" s="82"/>
      <c r="U36" s="82"/>
      <c r="V36" s="82"/>
      <c r="W36" s="89">
        <v>0</v>
      </c>
      <c r="X36" s="90" t="s">
        <v>319</v>
      </c>
      <c r="Y36" s="90" t="str">
        <f t="shared" si="3"/>
        <v>file://launcher7-state0-image0</v>
      </c>
      <c r="Z36" s="90"/>
      <c r="AA36" s="91" t="s">
        <v>283</v>
      </c>
      <c r="AB36" s="90" t="s">
        <v>479</v>
      </c>
      <c r="AC36" s="90" t="s">
        <v>480</v>
      </c>
      <c r="AD36" s="90"/>
      <c r="AE36" s="90"/>
      <c r="AF36" s="90" t="s">
        <v>448</v>
      </c>
      <c r="AG36" s="92"/>
      <c r="AH36" s="93"/>
      <c r="AI36" s="93"/>
      <c r="AJ36" s="93"/>
      <c r="AK36" s="93"/>
      <c r="AL36" s="93"/>
      <c r="AM36" s="93"/>
      <c r="AN36" s="94"/>
      <c r="AO36" s="95"/>
      <c r="AP36" s="95" t="str">
        <f t="shared" si="4"/>
        <v>file://launcher7-state1-image0</v>
      </c>
      <c r="AQ36" s="95"/>
      <c r="AR36" s="94"/>
      <c r="AS36" s="95"/>
      <c r="AT36" s="95"/>
      <c r="AU36" s="95"/>
      <c r="AV36" s="95"/>
      <c r="AW36" s="92"/>
      <c r="AX36" s="93"/>
      <c r="AY36" s="93"/>
      <c r="AZ36" s="93"/>
      <c r="BA36" s="93"/>
      <c r="BB36" s="93"/>
      <c r="BC36" s="93"/>
      <c r="BD36" s="96">
        <v>2</v>
      </c>
      <c r="BE36" s="97" t="s">
        <v>281</v>
      </c>
      <c r="BF36" s="102"/>
      <c r="BG36" s="97"/>
      <c r="BH36" s="97" t="s">
        <v>283</v>
      </c>
      <c r="BI36" s="97" t="s">
        <v>479</v>
      </c>
      <c r="BJ36" s="97"/>
      <c r="BK36" s="97" t="s">
        <v>481</v>
      </c>
      <c r="BL36" s="97" t="s">
        <v>482</v>
      </c>
      <c r="BM36" s="97"/>
      <c r="BN36" s="97" t="s">
        <v>448</v>
      </c>
      <c r="BO36" s="93"/>
      <c r="BP36" s="93"/>
      <c r="BQ36" s="93"/>
      <c r="BR36" s="93"/>
      <c r="BS36" s="93"/>
      <c r="BT36" s="93"/>
      <c r="BU36" s="93"/>
      <c r="BV36" s="99" t="s">
        <v>483</v>
      </c>
      <c r="BW36" s="86" t="str">
        <f>VLOOKUP($C36, '_REF Catalog Classes'!$C$6:$E416, COLUMNS('_REF Catalog Classes'!$C$6:$E416), FALSE)</f>
        <v>never</v>
      </c>
      <c r="BX36" s="86"/>
      <c r="BY36" s="86"/>
      <c r="BZ36" s="111" t="s">
        <v>322</v>
      </c>
      <c r="CA36" s="100" t="str">
        <f ca="1">IFERROR(__xludf.DUMMYFUNCTION("IF(REGEXMATCH(Catalog_RewardType,""reward""), VLOOKUP($E36, {'TitleData rewards.items'!$J$9:$J416,'TitleData rewards.items'!$B$9:$B416}, 2, FALSE), """")"),"#N/A")</f>
        <v>#N/A</v>
      </c>
    </row>
    <row r="37" spans="1:79" ht="42" hidden="1" x14ac:dyDescent="0.15">
      <c r="A37" s="82" t="s">
        <v>269</v>
      </c>
      <c r="B37" s="83" t="b">
        <v>1</v>
      </c>
      <c r="C37" s="82" t="s">
        <v>434</v>
      </c>
      <c r="D37" s="85" t="b">
        <f>VLOOKUP($C37, '_REF Catalog Classes'!$C$6:$D416, COLUMNS('_REF Catalog Classes'!$C$6:$D416), FALSE)</f>
        <v>1</v>
      </c>
      <c r="E37" s="82" t="s">
        <v>484</v>
      </c>
      <c r="F37" s="82" t="str">
        <f t="shared" si="0"/>
        <v>launcherMagma:TRUE</v>
      </c>
      <c r="G37" s="82" t="s">
        <v>485</v>
      </c>
      <c r="H37" s="82" t="s">
        <v>486</v>
      </c>
      <c r="I37" s="82" t="s">
        <v>274</v>
      </c>
      <c r="J37" s="82"/>
      <c r="K37" s="82"/>
      <c r="L37" s="82"/>
      <c r="M37" s="82"/>
      <c r="N37" s="107"/>
      <c r="O37" s="108"/>
      <c r="P37" s="82">
        <v>3</v>
      </c>
      <c r="Q37" s="88"/>
      <c r="R37" s="82"/>
      <c r="S37" s="82"/>
      <c r="T37" s="82"/>
      <c r="U37" s="82"/>
      <c r="V37" s="82"/>
      <c r="W37" s="89">
        <v>0</v>
      </c>
      <c r="X37" s="90" t="s">
        <v>319</v>
      </c>
      <c r="Y37" s="90" t="str">
        <f t="shared" si="3"/>
        <v>file://launcherMagma-state0-image0</v>
      </c>
      <c r="Z37" s="90"/>
      <c r="AA37" s="91" t="s">
        <v>283</v>
      </c>
      <c r="AB37" s="90" t="s">
        <v>487</v>
      </c>
      <c r="AC37" s="90" t="s">
        <v>488</v>
      </c>
      <c r="AD37" s="90"/>
      <c r="AE37" s="90"/>
      <c r="AF37" s="90" t="s">
        <v>448</v>
      </c>
      <c r="AG37" s="92"/>
      <c r="AH37" s="93"/>
      <c r="AI37" s="93"/>
      <c r="AJ37" s="93"/>
      <c r="AK37" s="93"/>
      <c r="AL37" s="93"/>
      <c r="AM37" s="93"/>
      <c r="AN37" s="94"/>
      <c r="AO37" s="95"/>
      <c r="AP37" s="95" t="str">
        <f t="shared" si="4"/>
        <v>file://launcherMagma-state1-image0</v>
      </c>
      <c r="AQ37" s="95"/>
      <c r="AR37" s="94"/>
      <c r="AS37" s="95"/>
      <c r="AT37" s="95"/>
      <c r="AU37" s="95"/>
      <c r="AV37" s="95"/>
      <c r="AW37" s="92"/>
      <c r="AX37" s="93"/>
      <c r="AY37" s="93"/>
      <c r="AZ37" s="93"/>
      <c r="BA37" s="93"/>
      <c r="BB37" s="93"/>
      <c r="BC37" s="93"/>
      <c r="BD37" s="96">
        <v>2</v>
      </c>
      <c r="BE37" s="97" t="s">
        <v>281</v>
      </c>
      <c r="BF37" s="102"/>
      <c r="BG37" s="97"/>
      <c r="BH37" s="97" t="s">
        <v>283</v>
      </c>
      <c r="BI37" s="97" t="s">
        <v>487</v>
      </c>
      <c r="BJ37" s="97"/>
      <c r="BK37" s="97" t="s">
        <v>488</v>
      </c>
      <c r="BL37" s="97" t="s">
        <v>489</v>
      </c>
      <c r="BM37" s="97"/>
      <c r="BN37" s="97" t="s">
        <v>448</v>
      </c>
      <c r="BO37" s="93"/>
      <c r="BP37" s="93"/>
      <c r="BQ37" s="93"/>
      <c r="BR37" s="93"/>
      <c r="BS37" s="93"/>
      <c r="BT37" s="93"/>
      <c r="BU37" s="93"/>
      <c r="BV37" s="109" t="s">
        <v>490</v>
      </c>
      <c r="BW37" s="86" t="str">
        <f>VLOOKUP($C37, '_REF Catalog Classes'!$C$6:$E416, COLUMNS('_REF Catalog Classes'!$C$6:$E416), FALSE)</f>
        <v>never</v>
      </c>
      <c r="BX37" s="110"/>
      <c r="BY37" s="110"/>
      <c r="BZ37" s="111" t="s">
        <v>322</v>
      </c>
      <c r="CA37" s="100" t="str">
        <f ca="1">IFERROR(__xludf.DUMMYFUNCTION("IF(REGEXMATCH(Catalog_RewardType,""reward""), VLOOKUP($E37, {'TitleData rewards.items'!$J$9:$J416,'TitleData rewards.items'!$B$9:$B416}, 2, FALSE), """")"),"#N/A")</f>
        <v>#N/A</v>
      </c>
    </row>
    <row r="38" spans="1:79" ht="28" hidden="1" x14ac:dyDescent="0.15">
      <c r="A38" s="82" t="s">
        <v>491</v>
      </c>
      <c r="B38" s="83" t="b">
        <v>1</v>
      </c>
      <c r="C38" s="82" t="s">
        <v>434</v>
      </c>
      <c r="D38" s="85" t="b">
        <f>VLOOKUP($C38, '_REF Catalog Classes'!$C$6:$D416, COLUMNS('_REF Catalog Classes'!$C$6:$D416), FALSE)</f>
        <v>1</v>
      </c>
      <c r="E38" s="82" t="s">
        <v>492</v>
      </c>
      <c r="F38" s="82" t="str">
        <f t="shared" si="0"/>
        <v>launcherStronghold:TRUE</v>
      </c>
      <c r="G38" s="82" t="s">
        <v>493</v>
      </c>
      <c r="H38" s="82" t="s">
        <v>494</v>
      </c>
      <c r="I38" s="82" t="s">
        <v>274</v>
      </c>
      <c r="J38" s="82"/>
      <c r="K38" s="82"/>
      <c r="L38" s="82"/>
      <c r="M38" s="82"/>
      <c r="N38" s="107"/>
      <c r="O38" s="108"/>
      <c r="P38" s="82">
        <v>6</v>
      </c>
      <c r="Q38" s="88"/>
      <c r="R38" s="82"/>
      <c r="S38" s="82"/>
      <c r="T38" s="82"/>
      <c r="U38" s="82"/>
      <c r="V38" s="82"/>
      <c r="W38" s="89">
        <v>0</v>
      </c>
      <c r="X38" s="90" t="s">
        <v>319</v>
      </c>
      <c r="Y38" s="90" t="str">
        <f t="shared" si="3"/>
        <v>file://launcherStronghold-state0-image0</v>
      </c>
      <c r="Z38" s="90"/>
      <c r="AA38" s="91" t="s">
        <v>283</v>
      </c>
      <c r="AB38" s="90" t="s">
        <v>495</v>
      </c>
      <c r="AC38" s="90" t="s">
        <v>496</v>
      </c>
      <c r="AD38" s="90"/>
      <c r="AE38" s="90"/>
      <c r="AF38" s="90" t="s">
        <v>497</v>
      </c>
      <c r="AG38" s="92"/>
      <c r="AH38" s="93"/>
      <c r="AI38" s="93"/>
      <c r="AJ38" s="93"/>
      <c r="AK38" s="93"/>
      <c r="AL38" s="93"/>
      <c r="AM38" s="93"/>
      <c r="AN38" s="94"/>
      <c r="AO38" s="95"/>
      <c r="AP38" s="95" t="str">
        <f t="shared" si="4"/>
        <v>file://launcherStronghold-state1-image0</v>
      </c>
      <c r="AQ38" s="95"/>
      <c r="AR38" s="94"/>
      <c r="AS38" s="95"/>
      <c r="AT38" s="95"/>
      <c r="AU38" s="95"/>
      <c r="AV38" s="95"/>
      <c r="AW38" s="92"/>
      <c r="AX38" s="93"/>
      <c r="AY38" s="93"/>
      <c r="AZ38" s="93"/>
      <c r="BA38" s="93"/>
      <c r="BB38" s="93"/>
      <c r="BC38" s="93"/>
      <c r="BD38" s="96">
        <v>2</v>
      </c>
      <c r="BE38" s="97" t="s">
        <v>281</v>
      </c>
      <c r="BF38" s="102"/>
      <c r="BG38" s="97"/>
      <c r="BH38" s="97" t="s">
        <v>283</v>
      </c>
      <c r="BI38" s="97" t="s">
        <v>495</v>
      </c>
      <c r="BJ38" s="97"/>
      <c r="BK38" s="97" t="s">
        <v>496</v>
      </c>
      <c r="BL38" s="97" t="s">
        <v>498</v>
      </c>
      <c r="BM38" s="97"/>
      <c r="BN38" s="97" t="s">
        <v>448</v>
      </c>
      <c r="BO38" s="93"/>
      <c r="BP38" s="93"/>
      <c r="BQ38" s="93"/>
      <c r="BR38" s="93"/>
      <c r="BS38" s="93"/>
      <c r="BT38" s="93"/>
      <c r="BU38" s="93"/>
      <c r="BV38" s="109" t="s">
        <v>499</v>
      </c>
      <c r="BW38" s="86" t="str">
        <f>VLOOKUP($C38, '_REF Catalog Classes'!$C$6:$E416, COLUMNS('_REF Catalog Classes'!$C$6:$E416), FALSE)</f>
        <v>never</v>
      </c>
      <c r="BX38" s="110"/>
      <c r="BY38" s="110"/>
      <c r="BZ38" s="111" t="s">
        <v>322</v>
      </c>
      <c r="CA38" s="100" t="b">
        <f ca="1">IFERROR(__xludf.DUMMYFUNCTION("IF(REGEXMATCH(Catalog_RewardType,""reward""), VLOOKUP($E38, {'TitleData rewards.items'!$J$9:$J416,'TitleData rewards.items'!$B$9:$B416}, 2, FALSE), """")"),FALSE)</f>
        <v>0</v>
      </c>
    </row>
    <row r="39" spans="1:79" ht="56" x14ac:dyDescent="0.15">
      <c r="A39" s="82" t="s">
        <v>269</v>
      </c>
      <c r="B39" s="83"/>
      <c r="C39" s="82" t="s">
        <v>434</v>
      </c>
      <c r="D39" s="85" t="b">
        <f>VLOOKUP($C39, '_REF Catalog Classes'!$C$6:$D416, COLUMNS('_REF Catalog Classes'!$C$6:$D416), FALSE)</f>
        <v>1</v>
      </c>
      <c r="E39" s="84" t="s">
        <v>492</v>
      </c>
      <c r="F39" s="82" t="str">
        <f t="shared" si="0"/>
        <v>launcherStronghold:</v>
      </c>
      <c r="G39" s="82" t="s">
        <v>500</v>
      </c>
      <c r="H39" s="82" t="s">
        <v>501</v>
      </c>
      <c r="I39" s="82" t="s">
        <v>274</v>
      </c>
      <c r="J39" s="82"/>
      <c r="K39" s="82"/>
      <c r="L39" s="82"/>
      <c r="M39" s="82"/>
      <c r="N39" s="107"/>
      <c r="O39" s="108"/>
      <c r="P39" s="82">
        <v>5</v>
      </c>
      <c r="Q39" s="88"/>
      <c r="R39" s="82"/>
      <c r="S39" s="82"/>
      <c r="T39" s="82"/>
      <c r="U39" s="82"/>
      <c r="V39" s="82"/>
      <c r="W39" s="89">
        <v>0</v>
      </c>
      <c r="X39" s="90" t="s">
        <v>319</v>
      </c>
      <c r="Y39" s="90" t="s">
        <v>502</v>
      </c>
      <c r="Z39" s="90"/>
      <c r="AA39" s="91" t="s">
        <v>283</v>
      </c>
      <c r="AB39" s="90" t="s">
        <v>503</v>
      </c>
      <c r="AC39" s="90" t="s">
        <v>504</v>
      </c>
      <c r="AD39" s="90" t="s">
        <v>505</v>
      </c>
      <c r="AE39" s="90"/>
      <c r="AF39" s="90"/>
      <c r="AG39" s="92"/>
      <c r="AH39" s="93"/>
      <c r="AI39" s="93"/>
      <c r="AJ39" s="93"/>
      <c r="AK39" s="93"/>
      <c r="AL39" s="93"/>
      <c r="AM39" s="93"/>
      <c r="AN39" s="94"/>
      <c r="AO39" s="95"/>
      <c r="AP39" s="95"/>
      <c r="AQ39" s="95"/>
      <c r="AR39" s="94"/>
      <c r="AS39" s="95"/>
      <c r="AT39" s="95"/>
      <c r="AU39" s="95"/>
      <c r="AV39" s="95"/>
      <c r="AW39" s="92"/>
      <c r="AX39" s="93"/>
      <c r="AY39" s="93"/>
      <c r="AZ39" s="93"/>
      <c r="BA39" s="93"/>
      <c r="BB39" s="93"/>
      <c r="BC39" s="93"/>
      <c r="BD39" s="96">
        <v>2</v>
      </c>
      <c r="BE39" s="97" t="s">
        <v>281</v>
      </c>
      <c r="BF39" s="98" t="s">
        <v>502</v>
      </c>
      <c r="BG39" s="97"/>
      <c r="BH39" s="97" t="s">
        <v>283</v>
      </c>
      <c r="BI39" s="97" t="s">
        <v>503</v>
      </c>
      <c r="BJ39" s="97"/>
      <c r="BK39" s="97" t="s">
        <v>504</v>
      </c>
      <c r="BL39" s="97" t="s">
        <v>506</v>
      </c>
      <c r="BM39" s="97"/>
      <c r="BN39" s="98"/>
      <c r="BO39" s="93"/>
      <c r="BP39" s="93"/>
      <c r="BQ39" s="93"/>
      <c r="BR39" s="93"/>
      <c r="BS39" s="93"/>
      <c r="BT39" s="93"/>
      <c r="BU39" s="93"/>
      <c r="BV39" s="112" t="s">
        <v>507</v>
      </c>
      <c r="BW39" s="86" t="str">
        <f>VLOOKUP($C39, '_REF Catalog Classes'!$C$6:$E416, COLUMNS('_REF Catalog Classes'!$C$6:$E416), FALSE)</f>
        <v>never</v>
      </c>
      <c r="BX39" s="86"/>
      <c r="BY39" s="86"/>
      <c r="BZ39" s="111" t="s">
        <v>322</v>
      </c>
      <c r="CA39" s="100" t="b">
        <f ca="1">IFERROR(__xludf.DUMMYFUNCTION("IF(REGEXMATCH(Catalog_RewardType,""reward""), VLOOKUP($E39, {'TitleData rewards.items'!$J$9:$J416,'TitleData rewards.items'!$B$9:$B416}, 2, FALSE), """")"),FALSE)</f>
        <v>0</v>
      </c>
    </row>
    <row r="40" spans="1:79" ht="28" hidden="1" x14ac:dyDescent="0.15">
      <c r="A40" s="82" t="s">
        <v>491</v>
      </c>
      <c r="B40" s="83" t="b">
        <v>1</v>
      </c>
      <c r="C40" s="82" t="s">
        <v>434</v>
      </c>
      <c r="D40" s="85" t="b">
        <f>VLOOKUP($C40, '_REF Catalog Classes'!$C$6:$D416, COLUMNS('_REF Catalog Classes'!$C$6:$D416), FALSE)</f>
        <v>1</v>
      </c>
      <c r="E40" s="82" t="s">
        <v>508</v>
      </c>
      <c r="F40" s="82" t="str">
        <f t="shared" si="0"/>
        <v>launcherNunchuck:TRUE</v>
      </c>
      <c r="G40" s="82" t="s">
        <v>509</v>
      </c>
      <c r="H40" s="82" t="s">
        <v>510</v>
      </c>
      <c r="I40" s="82" t="s">
        <v>274</v>
      </c>
      <c r="J40" s="82"/>
      <c r="K40" s="82"/>
      <c r="L40" s="82"/>
      <c r="M40" s="82"/>
      <c r="N40" s="107"/>
      <c r="O40" s="108"/>
      <c r="P40" s="82">
        <v>7</v>
      </c>
      <c r="Q40" s="88"/>
      <c r="R40" s="82"/>
      <c r="S40" s="82"/>
      <c r="T40" s="82"/>
      <c r="U40" s="82"/>
      <c r="V40" s="82"/>
      <c r="W40" s="89">
        <v>0</v>
      </c>
      <c r="X40" s="90" t="s">
        <v>319</v>
      </c>
      <c r="Y40" s="90" t="str">
        <f>"file://"&amp;$E40&amp;"-state0-image0"</f>
        <v>file://launcherNunchuck-state0-image0</v>
      </c>
      <c r="Z40" s="90"/>
      <c r="AA40" s="91" t="s">
        <v>283</v>
      </c>
      <c r="AB40" s="90" t="s">
        <v>511</v>
      </c>
      <c r="AC40" s="90" t="s">
        <v>512</v>
      </c>
      <c r="AD40" s="90"/>
      <c r="AE40" s="90"/>
      <c r="AF40" s="90" t="s">
        <v>448</v>
      </c>
      <c r="AG40" s="92"/>
      <c r="AH40" s="93"/>
      <c r="AI40" s="93"/>
      <c r="AJ40" s="93"/>
      <c r="AK40" s="93"/>
      <c r="AL40" s="93"/>
      <c r="AM40" s="93"/>
      <c r="AN40" s="94"/>
      <c r="AO40" s="95"/>
      <c r="AP40" s="95" t="str">
        <f>"file://"&amp;$E40&amp;"-state1-image0"</f>
        <v>file://launcherNunchuck-state1-image0</v>
      </c>
      <c r="AQ40" s="95"/>
      <c r="AR40" s="94"/>
      <c r="AS40" s="95"/>
      <c r="AT40" s="95"/>
      <c r="AU40" s="95"/>
      <c r="AV40" s="95"/>
      <c r="AW40" s="92"/>
      <c r="AX40" s="93"/>
      <c r="AY40" s="93"/>
      <c r="AZ40" s="93"/>
      <c r="BA40" s="93"/>
      <c r="BB40" s="93"/>
      <c r="BC40" s="93"/>
      <c r="BD40" s="96">
        <v>2</v>
      </c>
      <c r="BE40" s="97" t="s">
        <v>281</v>
      </c>
      <c r="BF40" s="98"/>
      <c r="BG40" s="97"/>
      <c r="BH40" s="97" t="s">
        <v>283</v>
      </c>
      <c r="BI40" s="97" t="s">
        <v>511</v>
      </c>
      <c r="BJ40" s="97"/>
      <c r="BK40" s="97" t="s">
        <v>512</v>
      </c>
      <c r="BL40" s="97" t="s">
        <v>513</v>
      </c>
      <c r="BM40" s="97"/>
      <c r="BN40" s="97" t="s">
        <v>448</v>
      </c>
      <c r="BO40" s="93"/>
      <c r="BP40" s="93"/>
      <c r="BQ40" s="93"/>
      <c r="BR40" s="93"/>
      <c r="BS40" s="93"/>
      <c r="BT40" s="93"/>
      <c r="BU40" s="93"/>
      <c r="BV40" s="109" t="s">
        <v>514</v>
      </c>
      <c r="BW40" s="86" t="str">
        <f>VLOOKUP($C40, '_REF Catalog Classes'!$C$6:$E416, COLUMNS('_REF Catalog Classes'!$C$6:$E416), FALSE)</f>
        <v>never</v>
      </c>
      <c r="BX40" s="110"/>
      <c r="BY40" s="110"/>
      <c r="BZ40" s="111" t="s">
        <v>322</v>
      </c>
      <c r="CA40" s="100" t="b">
        <f ca="1">IFERROR(__xludf.DUMMYFUNCTION("IF(REGEXMATCH(Catalog_RewardType,""reward""), VLOOKUP($E40, {'TitleData rewards.items'!$J$9:$J416,'TitleData rewards.items'!$B$9:$B416}, 2, FALSE), """")"),FALSE)</f>
        <v>0</v>
      </c>
    </row>
    <row r="41" spans="1:79" ht="42" x14ac:dyDescent="0.15">
      <c r="A41" s="82" t="s">
        <v>269</v>
      </c>
      <c r="B41" s="83"/>
      <c r="C41" s="82" t="s">
        <v>434</v>
      </c>
      <c r="D41" s="85" t="b">
        <f>VLOOKUP($C41, '_REF Catalog Classes'!$C$6:$D416, COLUMNS('_REF Catalog Classes'!$C$6:$D416), FALSE)</f>
        <v>1</v>
      </c>
      <c r="E41" s="84" t="s">
        <v>508</v>
      </c>
      <c r="F41" s="82" t="str">
        <f t="shared" si="0"/>
        <v>launcherNunchuck:</v>
      </c>
      <c r="G41" s="82" t="s">
        <v>509</v>
      </c>
      <c r="H41" s="82" t="s">
        <v>515</v>
      </c>
      <c r="I41" s="82" t="s">
        <v>274</v>
      </c>
      <c r="J41" s="82"/>
      <c r="K41" s="82"/>
      <c r="L41" s="82"/>
      <c r="M41" s="82"/>
      <c r="N41" s="107"/>
      <c r="O41" s="108"/>
      <c r="P41" s="82">
        <v>6</v>
      </c>
      <c r="Q41" s="88"/>
      <c r="R41" s="82"/>
      <c r="S41" s="82"/>
      <c r="T41" s="82"/>
      <c r="U41" s="82"/>
      <c r="V41" s="82"/>
      <c r="W41" s="89">
        <v>0</v>
      </c>
      <c r="X41" s="90" t="s">
        <v>319</v>
      </c>
      <c r="Y41" s="90" t="s">
        <v>516</v>
      </c>
      <c r="Z41" s="90"/>
      <c r="AA41" s="91" t="s">
        <v>283</v>
      </c>
      <c r="AB41" s="90" t="s">
        <v>517</v>
      </c>
      <c r="AC41" s="90" t="s">
        <v>518</v>
      </c>
      <c r="AD41" s="90" t="s">
        <v>519</v>
      </c>
      <c r="AE41" s="90"/>
      <c r="AF41" s="90"/>
      <c r="AG41" s="92"/>
      <c r="AH41" s="93"/>
      <c r="AI41" s="93"/>
      <c r="AJ41" s="93"/>
      <c r="AK41" s="93"/>
      <c r="AL41" s="93"/>
      <c r="AM41" s="93"/>
      <c r="AN41" s="94"/>
      <c r="AO41" s="95"/>
      <c r="AP41" s="95"/>
      <c r="AQ41" s="95"/>
      <c r="AR41" s="94"/>
      <c r="AS41" s="95"/>
      <c r="AT41" s="95"/>
      <c r="AU41" s="95"/>
      <c r="AV41" s="95"/>
      <c r="AW41" s="92"/>
      <c r="AX41" s="93"/>
      <c r="AY41" s="93"/>
      <c r="AZ41" s="93"/>
      <c r="BA41" s="93"/>
      <c r="BB41" s="93"/>
      <c r="BC41" s="93"/>
      <c r="BD41" s="96">
        <v>2</v>
      </c>
      <c r="BE41" s="97" t="s">
        <v>281</v>
      </c>
      <c r="BF41" s="98" t="s">
        <v>516</v>
      </c>
      <c r="BG41" s="97"/>
      <c r="BH41" s="97" t="s">
        <v>283</v>
      </c>
      <c r="BI41" s="97" t="s">
        <v>517</v>
      </c>
      <c r="BJ41" s="97"/>
      <c r="BK41" s="97" t="s">
        <v>518</v>
      </c>
      <c r="BL41" s="97" t="s">
        <v>520</v>
      </c>
      <c r="BM41" s="97"/>
      <c r="BN41" s="97"/>
      <c r="BO41" s="93"/>
      <c r="BP41" s="93"/>
      <c r="BQ41" s="93"/>
      <c r="BR41" s="93"/>
      <c r="BS41" s="93"/>
      <c r="BT41" s="93"/>
      <c r="BU41" s="93"/>
      <c r="BV41" s="112" t="s">
        <v>521</v>
      </c>
      <c r="BW41" s="86" t="str">
        <f>VLOOKUP($C41, '_REF Catalog Classes'!$C$6:$E416, COLUMNS('_REF Catalog Classes'!$C$6:$E416), FALSE)</f>
        <v>never</v>
      </c>
      <c r="BX41" s="86"/>
      <c r="BY41" s="86"/>
      <c r="BZ41" s="111" t="s">
        <v>322</v>
      </c>
      <c r="CA41" s="100" t="b">
        <f ca="1">IFERROR(__xludf.DUMMYFUNCTION("IF(REGEXMATCH(Catalog_RewardType,""reward""), VLOOKUP($E41, {'TitleData rewards.items'!$J$9:$J416,'TitleData rewards.items'!$B$9:$B416}, 2, FALSE), """")"),FALSE)</f>
        <v>0</v>
      </c>
    </row>
    <row r="42" spans="1:79" ht="28" hidden="1" x14ac:dyDescent="0.15">
      <c r="A42" s="82" t="s">
        <v>491</v>
      </c>
      <c r="B42" s="83" t="b">
        <v>1</v>
      </c>
      <c r="C42" s="82" t="s">
        <v>434</v>
      </c>
      <c r="D42" s="85" t="b">
        <f>VLOOKUP($C42, '_REF Catalog Classes'!$C$6:$D416, COLUMNS('_REF Catalog Classes'!$C$6:$D416), FALSE)</f>
        <v>1</v>
      </c>
      <c r="E42" s="82" t="s">
        <v>522</v>
      </c>
      <c r="F42" s="82" t="str">
        <f t="shared" si="0"/>
        <v>launcherJeanClawed:TRUE</v>
      </c>
      <c r="G42" s="82" t="s">
        <v>523</v>
      </c>
      <c r="H42" s="82" t="s">
        <v>524</v>
      </c>
      <c r="I42" s="82" t="s">
        <v>274</v>
      </c>
      <c r="J42" s="82"/>
      <c r="K42" s="82"/>
      <c r="L42" s="82"/>
      <c r="M42" s="82"/>
      <c r="N42" s="107"/>
      <c r="O42" s="108"/>
      <c r="P42" s="82">
        <v>9</v>
      </c>
      <c r="Q42" s="88"/>
      <c r="R42" s="82"/>
      <c r="S42" s="82"/>
      <c r="T42" s="82"/>
      <c r="U42" s="82"/>
      <c r="V42" s="82"/>
      <c r="W42" s="89">
        <v>0</v>
      </c>
      <c r="X42" s="90" t="s">
        <v>319</v>
      </c>
      <c r="Y42" s="90" t="str">
        <f>"file://"&amp;$E42&amp;"-state0-image0"</f>
        <v>file://launcherJeanClawed-state0-image0</v>
      </c>
      <c r="Z42" s="90"/>
      <c r="AA42" s="91" t="s">
        <v>283</v>
      </c>
      <c r="AB42" s="90" t="s">
        <v>525</v>
      </c>
      <c r="AC42" s="90" t="s">
        <v>526</v>
      </c>
      <c r="AD42" s="90"/>
      <c r="AE42" s="90"/>
      <c r="AF42" s="90" t="s">
        <v>448</v>
      </c>
      <c r="AG42" s="92"/>
      <c r="AH42" s="93"/>
      <c r="AI42" s="93"/>
      <c r="AJ42" s="93"/>
      <c r="AK42" s="93"/>
      <c r="AL42" s="93"/>
      <c r="AM42" s="93"/>
      <c r="AN42" s="94"/>
      <c r="AO42" s="95"/>
      <c r="AP42" s="95" t="str">
        <f>"file://"&amp;$E42&amp;"-state1-image0"</f>
        <v>file://launcherJeanClawed-state1-image0</v>
      </c>
      <c r="AQ42" s="95"/>
      <c r="AR42" s="94"/>
      <c r="AS42" s="95"/>
      <c r="AT42" s="95"/>
      <c r="AU42" s="95"/>
      <c r="AV42" s="95"/>
      <c r="AW42" s="92"/>
      <c r="AX42" s="93"/>
      <c r="AY42" s="93"/>
      <c r="AZ42" s="93"/>
      <c r="BA42" s="93"/>
      <c r="BB42" s="93"/>
      <c r="BC42" s="93"/>
      <c r="BD42" s="96">
        <v>2</v>
      </c>
      <c r="BE42" s="97" t="s">
        <v>281</v>
      </c>
      <c r="BF42" s="98"/>
      <c r="BG42" s="97"/>
      <c r="BH42" s="97" t="s">
        <v>283</v>
      </c>
      <c r="BI42" s="97" t="s">
        <v>525</v>
      </c>
      <c r="BJ42" s="97"/>
      <c r="BK42" s="97" t="s">
        <v>526</v>
      </c>
      <c r="BL42" s="97" t="s">
        <v>527</v>
      </c>
      <c r="BM42" s="97"/>
      <c r="BN42" s="97" t="s">
        <v>448</v>
      </c>
      <c r="BO42" s="93"/>
      <c r="BP42" s="93"/>
      <c r="BQ42" s="93"/>
      <c r="BR42" s="93"/>
      <c r="BS42" s="93"/>
      <c r="BT42" s="93"/>
      <c r="BU42" s="93"/>
      <c r="BV42" s="109" t="s">
        <v>528</v>
      </c>
      <c r="BW42" s="86" t="str">
        <f>VLOOKUP($C42, '_REF Catalog Classes'!$C$6:$E416, COLUMNS('_REF Catalog Classes'!$C$6:$E416), FALSE)</f>
        <v>never</v>
      </c>
      <c r="BX42" s="110"/>
      <c r="BY42" s="110"/>
      <c r="BZ42" s="111" t="s">
        <v>322</v>
      </c>
      <c r="CA42" s="100" t="b">
        <f ca="1">IFERROR(__xludf.DUMMYFUNCTION("IF(REGEXMATCH(Catalog_RewardType,""reward""), VLOOKUP($E42, {'TitleData rewards.items'!$J$9:$J416,'TitleData rewards.items'!$B$9:$B416}, 2, FALSE), """")"),FALSE)</f>
        <v>0</v>
      </c>
    </row>
    <row r="43" spans="1:79" ht="42" x14ac:dyDescent="0.15">
      <c r="A43" s="82" t="s">
        <v>269</v>
      </c>
      <c r="B43" s="83"/>
      <c r="C43" s="82" t="s">
        <v>434</v>
      </c>
      <c r="D43" s="85" t="b">
        <f>VLOOKUP($C43, '_REF Catalog Classes'!$C$6:$D416, COLUMNS('_REF Catalog Classes'!$C$6:$D416), FALSE)</f>
        <v>1</v>
      </c>
      <c r="E43" s="84" t="s">
        <v>522</v>
      </c>
      <c r="F43" s="82" t="str">
        <f t="shared" si="0"/>
        <v>launcherJeanClawed:</v>
      </c>
      <c r="G43" s="82" t="s">
        <v>529</v>
      </c>
      <c r="H43" s="82" t="s">
        <v>530</v>
      </c>
      <c r="I43" s="82" t="s">
        <v>274</v>
      </c>
      <c r="J43" s="82"/>
      <c r="K43" s="82"/>
      <c r="L43" s="82"/>
      <c r="M43" s="82"/>
      <c r="N43" s="107"/>
      <c r="O43" s="108"/>
      <c r="P43" s="82">
        <v>8</v>
      </c>
      <c r="Q43" s="88"/>
      <c r="R43" s="82"/>
      <c r="S43" s="82"/>
      <c r="T43" s="82"/>
      <c r="U43" s="82"/>
      <c r="V43" s="82"/>
      <c r="W43" s="89">
        <v>0</v>
      </c>
      <c r="X43" s="90" t="s">
        <v>319</v>
      </c>
      <c r="Y43" s="90" t="s">
        <v>531</v>
      </c>
      <c r="Z43" s="90"/>
      <c r="AA43" s="91" t="s">
        <v>283</v>
      </c>
      <c r="AB43" s="90" t="s">
        <v>532</v>
      </c>
      <c r="AC43" s="90" t="s">
        <v>533</v>
      </c>
      <c r="AD43" s="90" t="s">
        <v>534</v>
      </c>
      <c r="AE43" s="90"/>
      <c r="AF43" s="90"/>
      <c r="AG43" s="92"/>
      <c r="AH43" s="93"/>
      <c r="AI43" s="93"/>
      <c r="AJ43" s="93"/>
      <c r="AK43" s="93"/>
      <c r="AL43" s="93"/>
      <c r="AM43" s="93"/>
      <c r="AN43" s="94"/>
      <c r="AO43" s="95"/>
      <c r="AP43" s="95"/>
      <c r="AQ43" s="95"/>
      <c r="AR43" s="94"/>
      <c r="AS43" s="95"/>
      <c r="AT43" s="95"/>
      <c r="AU43" s="95"/>
      <c r="AV43" s="95"/>
      <c r="AW43" s="92"/>
      <c r="AX43" s="93"/>
      <c r="AY43" s="93"/>
      <c r="AZ43" s="93"/>
      <c r="BA43" s="93"/>
      <c r="BB43" s="93"/>
      <c r="BC43" s="93"/>
      <c r="BD43" s="96">
        <v>2</v>
      </c>
      <c r="BE43" s="97" t="s">
        <v>281</v>
      </c>
      <c r="BF43" s="98" t="s">
        <v>531</v>
      </c>
      <c r="BG43" s="97"/>
      <c r="BH43" s="97" t="s">
        <v>283</v>
      </c>
      <c r="BI43" s="97" t="s">
        <v>532</v>
      </c>
      <c r="BJ43" s="97"/>
      <c r="BK43" s="97" t="s">
        <v>533</v>
      </c>
      <c r="BL43" s="97" t="s">
        <v>535</v>
      </c>
      <c r="BM43" s="97"/>
      <c r="BN43" s="97"/>
      <c r="BO43" s="93"/>
      <c r="BP43" s="93"/>
      <c r="BQ43" s="93"/>
      <c r="BR43" s="93"/>
      <c r="BS43" s="93"/>
      <c r="BT43" s="93"/>
      <c r="BU43" s="93"/>
      <c r="BV43" s="112" t="s">
        <v>536</v>
      </c>
      <c r="BW43" s="86" t="str">
        <f>VLOOKUP($C43, '_REF Catalog Classes'!$C$6:$E416, COLUMNS('_REF Catalog Classes'!$C$6:$E416), FALSE)</f>
        <v>never</v>
      </c>
      <c r="BX43" s="86"/>
      <c r="BY43" s="86"/>
      <c r="BZ43" s="111" t="s">
        <v>322</v>
      </c>
      <c r="CA43" s="100" t="b">
        <f ca="1">IFERROR(__xludf.DUMMYFUNCTION("IF(REGEXMATCH(Catalog_RewardType,""reward""), VLOOKUP($E43, {'TitleData rewards.items'!$J$9:$J416,'TitleData rewards.items'!$B$9:$B416}, 2, FALSE), """")"),FALSE)</f>
        <v>0</v>
      </c>
    </row>
    <row r="44" spans="1:79" ht="56" x14ac:dyDescent="0.15">
      <c r="A44" s="82" t="s">
        <v>269</v>
      </c>
      <c r="B44" s="83"/>
      <c r="C44" s="82" t="s">
        <v>434</v>
      </c>
      <c r="D44" s="85" t="b">
        <f>VLOOKUP($C44, '_REF Catalog Classes'!$C$6:$D416, COLUMNS('_REF Catalog Classes'!$C$6:$D416), FALSE)</f>
        <v>1</v>
      </c>
      <c r="E44" s="82" t="s">
        <v>537</v>
      </c>
      <c r="F44" s="82" t="str">
        <f t="shared" si="0"/>
        <v>launcherSvengeance:</v>
      </c>
      <c r="G44" s="82" t="s">
        <v>538</v>
      </c>
      <c r="H44" s="82" t="s">
        <v>539</v>
      </c>
      <c r="I44" s="82" t="s">
        <v>274</v>
      </c>
      <c r="J44" s="82"/>
      <c r="K44" s="82"/>
      <c r="L44" s="82"/>
      <c r="M44" s="82"/>
      <c r="N44" s="107"/>
      <c r="O44" s="108"/>
      <c r="P44" s="82">
        <v>7</v>
      </c>
      <c r="Q44" s="88"/>
      <c r="R44" s="82"/>
      <c r="S44" s="82"/>
      <c r="T44" s="82"/>
      <c r="U44" s="82"/>
      <c r="V44" s="82"/>
      <c r="W44" s="89">
        <v>0</v>
      </c>
      <c r="X44" s="90" t="s">
        <v>319</v>
      </c>
      <c r="Y44" s="90" t="s">
        <v>540</v>
      </c>
      <c r="Z44" s="90"/>
      <c r="AA44" s="91" t="s">
        <v>283</v>
      </c>
      <c r="AB44" s="90" t="s">
        <v>541</v>
      </c>
      <c r="AC44" s="90" t="s">
        <v>542</v>
      </c>
      <c r="AD44" s="90" t="s">
        <v>543</v>
      </c>
      <c r="AE44" s="90"/>
      <c r="AF44" s="90"/>
      <c r="AG44" s="92"/>
      <c r="AH44" s="93"/>
      <c r="AI44" s="93"/>
      <c r="AJ44" s="93"/>
      <c r="AK44" s="93"/>
      <c r="AL44" s="93"/>
      <c r="AM44" s="93"/>
      <c r="AN44" s="94"/>
      <c r="AO44" s="95"/>
      <c r="AP44" s="95"/>
      <c r="AQ44" s="95"/>
      <c r="AR44" s="94"/>
      <c r="AS44" s="95"/>
      <c r="AT44" s="95"/>
      <c r="AU44" s="95"/>
      <c r="AV44" s="95"/>
      <c r="AW44" s="92"/>
      <c r="AX44" s="93"/>
      <c r="AY44" s="93"/>
      <c r="AZ44" s="93"/>
      <c r="BA44" s="93"/>
      <c r="BB44" s="93"/>
      <c r="BC44" s="93"/>
      <c r="BD44" s="96">
        <v>2</v>
      </c>
      <c r="BE44" s="97" t="s">
        <v>281</v>
      </c>
      <c r="BF44" s="98" t="s">
        <v>540</v>
      </c>
      <c r="BG44" s="97"/>
      <c r="BH44" s="97" t="s">
        <v>283</v>
      </c>
      <c r="BI44" s="97" t="s">
        <v>541</v>
      </c>
      <c r="BJ44" s="97"/>
      <c r="BK44" s="97" t="s">
        <v>542</v>
      </c>
      <c r="BL44" s="97" t="s">
        <v>544</v>
      </c>
      <c r="BM44" s="97"/>
      <c r="BN44" s="97"/>
      <c r="BO44" s="93"/>
      <c r="BP44" s="93"/>
      <c r="BQ44" s="93"/>
      <c r="BR44" s="93"/>
      <c r="BS44" s="93"/>
      <c r="BT44" s="93"/>
      <c r="BU44" s="93"/>
      <c r="BV44" s="113" t="s">
        <v>545</v>
      </c>
      <c r="BW44" s="86" t="str">
        <f>VLOOKUP($C44, '_REF Catalog Classes'!$C$6:$E416, COLUMNS('_REF Catalog Classes'!$C$6:$E416), FALSE)</f>
        <v>never</v>
      </c>
      <c r="BX44" s="86"/>
      <c r="BY44" s="86"/>
      <c r="BZ44" s="111" t="s">
        <v>322</v>
      </c>
      <c r="CA44" s="100" t="b">
        <f ca="1">IFERROR(__xludf.DUMMYFUNCTION("IF(REGEXMATCH(Catalog_RewardType,""reward""), VLOOKUP($E44, {'TitleData rewards.items'!$J$9:$J416,'TitleData rewards.items'!$B$9:$B416}, 2, FALSE), """")"),FALSE)</f>
        <v>0</v>
      </c>
    </row>
    <row r="45" spans="1:79" ht="42" hidden="1" x14ac:dyDescent="0.15">
      <c r="A45" s="82" t="s">
        <v>491</v>
      </c>
      <c r="B45" s="83" t="b">
        <v>1</v>
      </c>
      <c r="C45" s="82" t="s">
        <v>434</v>
      </c>
      <c r="D45" s="85" t="b">
        <f>VLOOKUP($C45, '_REF Catalog Classes'!$C$6:$D416, COLUMNS('_REF Catalog Classes'!$C$6:$D416), FALSE)</f>
        <v>1</v>
      </c>
      <c r="E45" s="82" t="s">
        <v>546</v>
      </c>
      <c r="F45" s="82" t="str">
        <f t="shared" si="0"/>
        <v>launcherSvengeanceLegendary:TRUE</v>
      </c>
      <c r="G45" s="82" t="s">
        <v>547</v>
      </c>
      <c r="H45" s="82" t="s">
        <v>548</v>
      </c>
      <c r="I45" s="82" t="s">
        <v>274</v>
      </c>
      <c r="J45" s="82"/>
      <c r="K45" s="82"/>
      <c r="L45" s="82"/>
      <c r="M45" s="82"/>
      <c r="N45" s="107"/>
      <c r="O45" s="108"/>
      <c r="P45" s="82">
        <v>13</v>
      </c>
      <c r="Q45" s="88"/>
      <c r="R45" s="82"/>
      <c r="S45" s="82"/>
      <c r="T45" s="82"/>
      <c r="U45" s="82"/>
      <c r="V45" s="82"/>
      <c r="W45" s="89">
        <v>0</v>
      </c>
      <c r="X45" s="90" t="s">
        <v>319</v>
      </c>
      <c r="Y45" s="90" t="str">
        <f>"file://"&amp;$E45&amp;"-state0-image0"</f>
        <v>file://launcherSvengeanceLegendary-state0-image0</v>
      </c>
      <c r="Z45" s="90"/>
      <c r="AA45" s="91" t="s">
        <v>283</v>
      </c>
      <c r="AB45" s="90" t="s">
        <v>549</v>
      </c>
      <c r="AC45" s="90" t="s">
        <v>550</v>
      </c>
      <c r="AD45" s="90"/>
      <c r="AE45" s="90"/>
      <c r="AF45" s="90" t="s">
        <v>551</v>
      </c>
      <c r="AG45" s="92"/>
      <c r="AH45" s="93"/>
      <c r="AI45" s="93"/>
      <c r="AJ45" s="93"/>
      <c r="AK45" s="93"/>
      <c r="AL45" s="93"/>
      <c r="AM45" s="93"/>
      <c r="AN45" s="94"/>
      <c r="AO45" s="95"/>
      <c r="AP45" s="95" t="str">
        <f>"file://"&amp;$E45&amp;"-state1-image0"</f>
        <v>file://launcherSvengeanceLegendary-state1-image0</v>
      </c>
      <c r="AQ45" s="95"/>
      <c r="AR45" s="94"/>
      <c r="AS45" s="95"/>
      <c r="AT45" s="95"/>
      <c r="AU45" s="95"/>
      <c r="AV45" s="95"/>
      <c r="AW45" s="92"/>
      <c r="AX45" s="93"/>
      <c r="AY45" s="93"/>
      <c r="AZ45" s="93"/>
      <c r="BA45" s="93"/>
      <c r="BB45" s="93"/>
      <c r="BC45" s="93"/>
      <c r="BD45" s="96">
        <v>2</v>
      </c>
      <c r="BE45" s="97" t="s">
        <v>281</v>
      </c>
      <c r="BF45" s="98"/>
      <c r="BG45" s="97"/>
      <c r="BH45" s="97" t="s">
        <v>283</v>
      </c>
      <c r="BI45" s="97" t="s">
        <v>549</v>
      </c>
      <c r="BJ45" s="97"/>
      <c r="BK45" s="97" t="s">
        <v>550</v>
      </c>
      <c r="BL45" s="97" t="s">
        <v>552</v>
      </c>
      <c r="BM45" s="97"/>
      <c r="BN45" s="97" t="s">
        <v>551</v>
      </c>
      <c r="BO45" s="93"/>
      <c r="BP45" s="93"/>
      <c r="BQ45" s="93"/>
      <c r="BR45" s="93"/>
      <c r="BS45" s="93"/>
      <c r="BT45" s="93"/>
      <c r="BU45" s="93"/>
      <c r="BV45" s="113" t="s">
        <v>553</v>
      </c>
      <c r="BW45" s="86" t="str">
        <f>VLOOKUP($C45, '_REF Catalog Classes'!$C$6:$E416, COLUMNS('_REF Catalog Classes'!$C$6:$E416), FALSE)</f>
        <v>never</v>
      </c>
      <c r="BX45" s="82"/>
      <c r="BY45" s="82"/>
      <c r="BZ45" s="111" t="s">
        <v>322</v>
      </c>
      <c r="CA45" s="100" t="str">
        <f ca="1">IFERROR(__xludf.DUMMYFUNCTION("IF(REGEXMATCH(Catalog_RewardType,""reward""), VLOOKUP($E45, {'TitleData rewards.items'!$J$9:$J416,'TitleData rewards.items'!$B$9:$B416}, 2, FALSE), """")"),"#N/A")</f>
        <v>#N/A</v>
      </c>
    </row>
    <row r="46" spans="1:79" ht="56" x14ac:dyDescent="0.15">
      <c r="A46" s="82" t="s">
        <v>269</v>
      </c>
      <c r="B46" s="83"/>
      <c r="C46" s="82" t="s">
        <v>434</v>
      </c>
      <c r="D46" s="85" t="b">
        <f>VLOOKUP($C46, '_REF Catalog Classes'!$C$6:$D416, COLUMNS('_REF Catalog Classes'!$C$6:$D416), FALSE)</f>
        <v>1</v>
      </c>
      <c r="E46" s="82" t="s">
        <v>554</v>
      </c>
      <c r="F46" s="82" t="str">
        <f t="shared" si="0"/>
        <v>launcherBelle:</v>
      </c>
      <c r="G46" s="82" t="s">
        <v>555</v>
      </c>
      <c r="H46" s="82" t="s">
        <v>556</v>
      </c>
      <c r="I46" s="82" t="s">
        <v>274</v>
      </c>
      <c r="J46" s="82"/>
      <c r="K46" s="82"/>
      <c r="L46" s="82"/>
      <c r="M46" s="82"/>
      <c r="N46" s="107"/>
      <c r="O46" s="108"/>
      <c r="P46" s="82">
        <v>4</v>
      </c>
      <c r="Q46" s="88"/>
      <c r="R46" s="82"/>
      <c r="S46" s="82"/>
      <c r="T46" s="82"/>
      <c r="U46" s="82"/>
      <c r="V46" s="82"/>
      <c r="W46" s="89">
        <v>0</v>
      </c>
      <c r="X46" s="90" t="s">
        <v>319</v>
      </c>
      <c r="Y46" s="90" t="s">
        <v>557</v>
      </c>
      <c r="Z46" s="90"/>
      <c r="AA46" s="91" t="s">
        <v>283</v>
      </c>
      <c r="AB46" s="90" t="s">
        <v>558</v>
      </c>
      <c r="AC46" s="90" t="s">
        <v>559</v>
      </c>
      <c r="AD46" s="90" t="s">
        <v>560</v>
      </c>
      <c r="AE46" s="90"/>
      <c r="AF46" s="90"/>
      <c r="AG46" s="92"/>
      <c r="AH46" s="93"/>
      <c r="AI46" s="93"/>
      <c r="AJ46" s="93"/>
      <c r="AK46" s="93"/>
      <c r="AL46" s="93"/>
      <c r="AM46" s="93"/>
      <c r="AN46" s="94"/>
      <c r="AO46" s="95"/>
      <c r="AP46" s="95"/>
      <c r="AQ46" s="95"/>
      <c r="AR46" s="94"/>
      <c r="AS46" s="95"/>
      <c r="AT46" s="95"/>
      <c r="AU46" s="95"/>
      <c r="AV46" s="95"/>
      <c r="AW46" s="92"/>
      <c r="AX46" s="93"/>
      <c r="AY46" s="93"/>
      <c r="AZ46" s="93"/>
      <c r="BA46" s="93"/>
      <c r="BB46" s="93"/>
      <c r="BC46" s="93"/>
      <c r="BD46" s="96">
        <v>2</v>
      </c>
      <c r="BE46" s="97" t="s">
        <v>281</v>
      </c>
      <c r="BF46" s="98" t="s">
        <v>557</v>
      </c>
      <c r="BG46" s="97"/>
      <c r="BH46" s="97" t="s">
        <v>283</v>
      </c>
      <c r="BI46" s="97" t="s">
        <v>558</v>
      </c>
      <c r="BJ46" s="97"/>
      <c r="BK46" s="97" t="s">
        <v>559</v>
      </c>
      <c r="BL46" s="97" t="s">
        <v>561</v>
      </c>
      <c r="BM46" s="97"/>
      <c r="BN46" s="97"/>
      <c r="BO46" s="93"/>
      <c r="BP46" s="93"/>
      <c r="BQ46" s="93"/>
      <c r="BR46" s="93"/>
      <c r="BS46" s="93"/>
      <c r="BT46" s="93"/>
      <c r="BU46" s="93"/>
      <c r="BV46" s="113" t="s">
        <v>562</v>
      </c>
      <c r="BW46" s="86" t="str">
        <f>VLOOKUP($C46, '_REF Catalog Classes'!$C$6:$E416, COLUMNS('_REF Catalog Classes'!$C$6:$E416), FALSE)</f>
        <v>never</v>
      </c>
      <c r="BX46" s="86"/>
      <c r="BY46" s="86"/>
      <c r="BZ46" s="111" t="s">
        <v>322</v>
      </c>
      <c r="CA46" s="100" t="b">
        <f ca="1">IFERROR(__xludf.DUMMYFUNCTION("IF(REGEXMATCH(Catalog_RewardType,""reward""), VLOOKUP($E46, {'TitleData rewards.items'!$J$9:$J416,'TitleData rewards.items'!$B$9:$B416}, 2, FALSE), """")"),FALSE)</f>
        <v>0</v>
      </c>
    </row>
    <row r="47" spans="1:79" ht="42" hidden="1" x14ac:dyDescent="0.15">
      <c r="A47" s="82" t="s">
        <v>491</v>
      </c>
      <c r="B47" s="83" t="b">
        <v>1</v>
      </c>
      <c r="C47" s="82" t="s">
        <v>434</v>
      </c>
      <c r="D47" s="85" t="b">
        <f>VLOOKUP($C47, '_REF Catalog Classes'!$C$6:$D416, COLUMNS('_REF Catalog Classes'!$C$6:$D416), FALSE)</f>
        <v>1</v>
      </c>
      <c r="E47" s="82" t="s">
        <v>563</v>
      </c>
      <c r="F47" s="82" t="str">
        <f t="shared" si="0"/>
        <v>launcherBelleLegendary:TRUE</v>
      </c>
      <c r="G47" s="82" t="s">
        <v>564</v>
      </c>
      <c r="H47" s="82" t="s">
        <v>565</v>
      </c>
      <c r="I47" s="82" t="s">
        <v>274</v>
      </c>
      <c r="J47" s="82"/>
      <c r="K47" s="82"/>
      <c r="L47" s="82"/>
      <c r="M47" s="82"/>
      <c r="N47" s="107"/>
      <c r="O47" s="108"/>
      <c r="P47" s="82">
        <v>10</v>
      </c>
      <c r="Q47" s="88"/>
      <c r="R47" s="82"/>
      <c r="S47" s="82"/>
      <c r="T47" s="82"/>
      <c r="U47" s="82"/>
      <c r="V47" s="82"/>
      <c r="W47" s="89">
        <v>0</v>
      </c>
      <c r="X47" s="90" t="s">
        <v>319</v>
      </c>
      <c r="Y47" s="90" t="str">
        <f>"file://"&amp;$E47&amp;"-state0-image0"</f>
        <v>file://launcherBelleLegendary-state0-image0</v>
      </c>
      <c r="Z47" s="90"/>
      <c r="AA47" s="91" t="s">
        <v>283</v>
      </c>
      <c r="AB47" s="90" t="s">
        <v>566</v>
      </c>
      <c r="AC47" s="90" t="s">
        <v>567</v>
      </c>
      <c r="AD47" s="90"/>
      <c r="AE47" s="90"/>
      <c r="AF47" s="90" t="s">
        <v>551</v>
      </c>
      <c r="AG47" s="92"/>
      <c r="AH47" s="93"/>
      <c r="AI47" s="93"/>
      <c r="AJ47" s="93"/>
      <c r="AK47" s="93"/>
      <c r="AL47" s="93"/>
      <c r="AM47" s="93"/>
      <c r="AN47" s="94"/>
      <c r="AO47" s="95"/>
      <c r="AP47" s="95" t="str">
        <f>"file://"&amp;$E47&amp;"-state1-image0"</f>
        <v>file://launcherBelleLegendary-state1-image0</v>
      </c>
      <c r="AQ47" s="95"/>
      <c r="AR47" s="94"/>
      <c r="AS47" s="95"/>
      <c r="AT47" s="95"/>
      <c r="AU47" s="95"/>
      <c r="AV47" s="95"/>
      <c r="AW47" s="92"/>
      <c r="AX47" s="93"/>
      <c r="AY47" s="93"/>
      <c r="AZ47" s="93"/>
      <c r="BA47" s="93"/>
      <c r="BB47" s="93"/>
      <c r="BC47" s="93"/>
      <c r="BD47" s="96">
        <v>2</v>
      </c>
      <c r="BE47" s="97" t="s">
        <v>281</v>
      </c>
      <c r="BF47" s="98"/>
      <c r="BG47" s="97"/>
      <c r="BH47" s="97" t="s">
        <v>283</v>
      </c>
      <c r="BI47" s="97" t="s">
        <v>566</v>
      </c>
      <c r="BJ47" s="97"/>
      <c r="BK47" s="97" t="s">
        <v>567</v>
      </c>
      <c r="BL47" s="97" t="s">
        <v>568</v>
      </c>
      <c r="BM47" s="97"/>
      <c r="BN47" s="97" t="s">
        <v>551</v>
      </c>
      <c r="BO47" s="93"/>
      <c r="BP47" s="93"/>
      <c r="BQ47" s="93"/>
      <c r="BR47" s="93"/>
      <c r="BS47" s="93"/>
      <c r="BT47" s="93"/>
      <c r="BU47" s="93"/>
      <c r="BV47" s="113" t="s">
        <v>569</v>
      </c>
      <c r="BW47" s="86" t="str">
        <f>VLOOKUP($C47, '_REF Catalog Classes'!$C$6:$E416, COLUMNS('_REF Catalog Classes'!$C$6:$E416), FALSE)</f>
        <v>never</v>
      </c>
      <c r="BX47" s="82"/>
      <c r="BY47" s="82"/>
      <c r="BZ47" s="111" t="s">
        <v>322</v>
      </c>
      <c r="CA47" s="100" t="str">
        <f ca="1">IFERROR(__xludf.DUMMYFUNCTION("IF(REGEXMATCH(Catalog_RewardType,""reward""), VLOOKUP($E47, {'TitleData rewards.items'!$J$9:$J416,'TitleData rewards.items'!$B$9:$B416}, 2, FALSE), """")"),"#N/A")</f>
        <v>#N/A</v>
      </c>
    </row>
    <row r="48" spans="1:79" ht="28" x14ac:dyDescent="0.15">
      <c r="A48" s="82" t="s">
        <v>269</v>
      </c>
      <c r="B48" s="83"/>
      <c r="C48" s="82" t="s">
        <v>570</v>
      </c>
      <c r="D48" s="85" t="b">
        <f>VLOOKUP($C48, '_REF Catalog Classes'!$C$6:$D416, COLUMNS('_REF Catalog Classes'!$C$6:$D416), FALSE)</f>
        <v>1</v>
      </c>
      <c r="E48" s="82" t="s">
        <v>571</v>
      </c>
      <c r="F48" s="82" t="str">
        <f t="shared" si="0"/>
        <v>ultimateGeneral:</v>
      </c>
      <c r="G48" s="86" t="s">
        <v>572</v>
      </c>
      <c r="H48" s="86" t="s">
        <v>573</v>
      </c>
      <c r="I48" s="82" t="s">
        <v>274</v>
      </c>
      <c r="J48" s="82"/>
      <c r="K48" s="82"/>
      <c r="L48" s="82"/>
      <c r="M48" s="82"/>
      <c r="N48" s="107"/>
      <c r="O48" s="108"/>
      <c r="P48" s="82">
        <v>1</v>
      </c>
      <c r="Q48" s="88" t="s">
        <v>277</v>
      </c>
      <c r="R48" s="82">
        <v>1</v>
      </c>
      <c r="S48" s="82" t="s">
        <v>278</v>
      </c>
      <c r="T48" s="82" t="s">
        <v>279</v>
      </c>
      <c r="U48" s="82">
        <v>2</v>
      </c>
      <c r="V48" s="82" t="s">
        <v>280</v>
      </c>
      <c r="W48" s="89"/>
      <c r="X48" s="90"/>
      <c r="Y48" s="90"/>
      <c r="Z48" s="90"/>
      <c r="AA48" s="91"/>
      <c r="AB48" s="90"/>
      <c r="AC48" s="90"/>
      <c r="AD48" s="90"/>
      <c r="AE48" s="90"/>
      <c r="AF48" s="90"/>
      <c r="AG48" s="92"/>
      <c r="AH48" s="93"/>
      <c r="AI48" s="93"/>
      <c r="AJ48" s="93"/>
      <c r="AK48" s="93"/>
      <c r="AL48" s="93"/>
      <c r="AM48" s="93"/>
      <c r="AN48" s="94"/>
      <c r="AO48" s="95"/>
      <c r="AP48" s="95"/>
      <c r="AQ48" s="95"/>
      <c r="AR48" s="94"/>
      <c r="AS48" s="95"/>
      <c r="AT48" s="95"/>
      <c r="AU48" s="95"/>
      <c r="AV48" s="95"/>
      <c r="AW48" s="92"/>
      <c r="AX48" s="93"/>
      <c r="AY48" s="93"/>
      <c r="AZ48" s="93"/>
      <c r="BA48" s="93"/>
      <c r="BB48" s="93"/>
      <c r="BC48" s="93"/>
      <c r="BD48" s="96">
        <v>2</v>
      </c>
      <c r="BE48" s="97" t="s">
        <v>281</v>
      </c>
      <c r="BF48" s="98" t="s">
        <v>574</v>
      </c>
      <c r="BG48" s="97"/>
      <c r="BH48" s="97" t="s">
        <v>283</v>
      </c>
      <c r="BI48" s="97" t="s">
        <v>575</v>
      </c>
      <c r="BJ48" s="97"/>
      <c r="BK48" s="97" t="s">
        <v>576</v>
      </c>
      <c r="BL48" s="97" t="s">
        <v>577</v>
      </c>
      <c r="BM48" s="97"/>
      <c r="BN48" s="97"/>
      <c r="BO48" s="93"/>
      <c r="BP48" s="93"/>
      <c r="BQ48" s="93"/>
      <c r="BR48" s="93"/>
      <c r="BS48" s="93"/>
      <c r="BT48" s="93"/>
      <c r="BU48" s="93"/>
      <c r="BV48" s="99" t="s">
        <v>287</v>
      </c>
      <c r="BW48" s="86"/>
      <c r="BX48" s="86"/>
      <c r="BY48" s="86"/>
      <c r="BZ48" s="86" t="s">
        <v>289</v>
      </c>
      <c r="CA48" s="100" t="str">
        <f ca="1">IFERROR(__xludf.DUMMYFUNCTION("IF(REGEXMATCH(Catalog_RewardType,""reward""), VLOOKUP($E48, {'TitleData rewards.items'!$J$9:$J416,'TitleData rewards.items'!$B$9:$B416}, 2, FALSE), """")"),"")</f>
        <v/>
      </c>
    </row>
    <row r="49" spans="1:79" ht="42" x14ac:dyDescent="0.15">
      <c r="A49" s="82" t="s">
        <v>491</v>
      </c>
      <c r="B49" s="83"/>
      <c r="C49" s="82" t="s">
        <v>570</v>
      </c>
      <c r="D49" s="85" t="b">
        <f>VLOOKUP($C49, '_REF Catalog Classes'!$C$6:$D416, COLUMNS('_REF Catalog Classes'!$C$6:$D416), FALSE)</f>
        <v>1</v>
      </c>
      <c r="E49" s="82" t="s">
        <v>578</v>
      </c>
      <c r="F49" s="82" t="str">
        <f t="shared" si="0"/>
        <v>ultimateForce:</v>
      </c>
      <c r="G49" s="86" t="s">
        <v>579</v>
      </c>
      <c r="H49" s="86" t="s">
        <v>580</v>
      </c>
      <c r="I49" s="82" t="s">
        <v>274</v>
      </c>
      <c r="J49" s="82"/>
      <c r="K49" s="82"/>
      <c r="L49" s="82"/>
      <c r="M49" s="82"/>
      <c r="N49" s="107"/>
      <c r="O49" s="108"/>
      <c r="P49" s="82">
        <v>2</v>
      </c>
      <c r="Q49" s="88"/>
      <c r="R49" s="82"/>
      <c r="S49" s="82"/>
      <c r="T49" s="82"/>
      <c r="U49" s="82"/>
      <c r="V49" s="82"/>
      <c r="W49" s="89">
        <v>0</v>
      </c>
      <c r="X49" s="90" t="s">
        <v>319</v>
      </c>
      <c r="Y49" s="90" t="s">
        <v>581</v>
      </c>
      <c r="Z49" s="114"/>
      <c r="AA49" s="91" t="s">
        <v>283</v>
      </c>
      <c r="AB49" s="114" t="s">
        <v>582</v>
      </c>
      <c r="AC49" s="114" t="s">
        <v>583</v>
      </c>
      <c r="AD49" s="114" t="s">
        <v>584</v>
      </c>
      <c r="AE49" s="114"/>
      <c r="AF49" s="114"/>
      <c r="AG49" s="115"/>
      <c r="AH49" s="116"/>
      <c r="AI49" s="116"/>
      <c r="AJ49" s="116"/>
      <c r="AK49" s="116"/>
      <c r="AL49" s="116"/>
      <c r="AM49" s="116"/>
      <c r="AN49" s="94"/>
      <c r="AO49" s="95"/>
      <c r="AP49" s="95"/>
      <c r="AQ49" s="95"/>
      <c r="AR49" s="94"/>
      <c r="AS49" s="95"/>
      <c r="AT49" s="95"/>
      <c r="AU49" s="95"/>
      <c r="AV49" s="95"/>
      <c r="AW49" s="115"/>
      <c r="AX49" s="116"/>
      <c r="AY49" s="116"/>
      <c r="AZ49" s="116"/>
      <c r="BA49" s="116"/>
      <c r="BB49" s="116"/>
      <c r="BC49" s="116"/>
      <c r="BD49" s="96">
        <v>2</v>
      </c>
      <c r="BE49" s="97" t="s">
        <v>281</v>
      </c>
      <c r="BF49" s="98" t="s">
        <v>581</v>
      </c>
      <c r="BG49" s="97"/>
      <c r="BH49" s="97" t="s">
        <v>283</v>
      </c>
      <c r="BI49" s="97" t="s">
        <v>582</v>
      </c>
      <c r="BJ49" s="97"/>
      <c r="BK49" s="97" t="s">
        <v>583</v>
      </c>
      <c r="BL49" s="97" t="s">
        <v>585</v>
      </c>
      <c r="BM49" s="97"/>
      <c r="BN49" s="97"/>
      <c r="BO49" s="93"/>
      <c r="BP49" s="93"/>
      <c r="BQ49" s="93"/>
      <c r="BR49" s="93"/>
      <c r="BS49" s="93"/>
      <c r="BT49" s="93"/>
      <c r="BU49" s="93"/>
      <c r="BV49" s="99" t="s">
        <v>586</v>
      </c>
      <c r="BW49" s="86" t="str">
        <f>VLOOKUP($C49, '_REF Catalog Classes'!$C$6:$E416, COLUMNS('_REF Catalog Classes'!$C$6:$E416), FALSE)</f>
        <v>never</v>
      </c>
      <c r="BX49" s="86"/>
      <c r="BY49" s="86"/>
      <c r="BZ49" s="100" t="s">
        <v>322</v>
      </c>
      <c r="CA49" s="100" t="b">
        <f ca="1">IFERROR(__xludf.DUMMYFUNCTION("IF(REGEXMATCH(Catalog_RewardType,""reward""), VLOOKUP($E49, {'TitleData rewards.items'!$J$9:$J416,'TitleData rewards.items'!$B$9:$B416}, 2, FALSE), """")"),FALSE)</f>
        <v>0</v>
      </c>
    </row>
    <row r="50" spans="1:79" ht="42" x14ac:dyDescent="0.15">
      <c r="A50" s="82" t="s">
        <v>491</v>
      </c>
      <c r="B50" s="83"/>
      <c r="C50" s="82" t="s">
        <v>570</v>
      </c>
      <c r="D50" s="85" t="b">
        <f>VLOOKUP($C50, '_REF Catalog Classes'!$C$6:$D416, COLUMNS('_REF Catalog Classes'!$C$6:$D416), FALSE)</f>
        <v>1</v>
      </c>
      <c r="E50" s="82" t="s">
        <v>587</v>
      </c>
      <c r="F50" s="82" t="str">
        <f t="shared" si="0"/>
        <v>ultimateFire:</v>
      </c>
      <c r="G50" s="86" t="s">
        <v>588</v>
      </c>
      <c r="H50" s="86" t="s">
        <v>589</v>
      </c>
      <c r="I50" s="82" t="s">
        <v>274</v>
      </c>
      <c r="J50" s="82"/>
      <c r="K50" s="82"/>
      <c r="L50" s="82"/>
      <c r="M50" s="82"/>
      <c r="N50" s="107"/>
      <c r="O50" s="108"/>
      <c r="P50" s="82">
        <v>3</v>
      </c>
      <c r="Q50" s="88"/>
      <c r="R50" s="82"/>
      <c r="S50" s="82"/>
      <c r="T50" s="82"/>
      <c r="U50" s="82"/>
      <c r="V50" s="82"/>
      <c r="W50" s="89">
        <v>0</v>
      </c>
      <c r="X50" s="90" t="s">
        <v>319</v>
      </c>
      <c r="Y50" s="90" t="s">
        <v>590</v>
      </c>
      <c r="Z50" s="90"/>
      <c r="AA50" s="91" t="s">
        <v>283</v>
      </c>
      <c r="AB50" s="90" t="s">
        <v>591</v>
      </c>
      <c r="AC50" s="90" t="s">
        <v>592</v>
      </c>
      <c r="AD50" s="90" t="s">
        <v>593</v>
      </c>
      <c r="AE50" s="90"/>
      <c r="AF50" s="90"/>
      <c r="AG50" s="92"/>
      <c r="AH50" s="93"/>
      <c r="AI50" s="93"/>
      <c r="AJ50" s="93"/>
      <c r="AK50" s="93"/>
      <c r="AL50" s="93"/>
      <c r="AM50" s="93"/>
      <c r="AN50" s="94"/>
      <c r="AO50" s="95"/>
      <c r="AP50" s="95"/>
      <c r="AQ50" s="95"/>
      <c r="AR50" s="94"/>
      <c r="AS50" s="95"/>
      <c r="AT50" s="95"/>
      <c r="AU50" s="95"/>
      <c r="AV50" s="95"/>
      <c r="AW50" s="92"/>
      <c r="AX50" s="93"/>
      <c r="AY50" s="93"/>
      <c r="AZ50" s="93"/>
      <c r="BA50" s="93"/>
      <c r="BB50" s="93"/>
      <c r="BC50" s="93"/>
      <c r="BD50" s="96">
        <v>2</v>
      </c>
      <c r="BE50" s="97" t="s">
        <v>281</v>
      </c>
      <c r="BF50" s="98" t="s">
        <v>590</v>
      </c>
      <c r="BG50" s="97"/>
      <c r="BH50" s="97" t="s">
        <v>283</v>
      </c>
      <c r="BI50" s="97" t="s">
        <v>591</v>
      </c>
      <c r="BJ50" s="97"/>
      <c r="BK50" s="97" t="s">
        <v>592</v>
      </c>
      <c r="BL50" s="97" t="s">
        <v>594</v>
      </c>
      <c r="BM50" s="97"/>
      <c r="BN50" s="97"/>
      <c r="BO50" s="93"/>
      <c r="BP50" s="93"/>
      <c r="BQ50" s="93"/>
      <c r="BR50" s="93"/>
      <c r="BS50" s="93"/>
      <c r="BT50" s="93"/>
      <c r="BU50" s="93"/>
      <c r="BV50" s="99" t="s">
        <v>595</v>
      </c>
      <c r="BW50" s="86" t="str">
        <f>VLOOKUP($C50, '_REF Catalog Classes'!$C$6:$E416, COLUMNS('_REF Catalog Classes'!$C$6:$E416), FALSE)</f>
        <v>never</v>
      </c>
      <c r="BX50" s="86"/>
      <c r="BY50" s="86"/>
      <c r="BZ50" s="100" t="s">
        <v>322</v>
      </c>
      <c r="CA50" s="100" t="b">
        <f ca="1">IFERROR(__xludf.DUMMYFUNCTION("IF(REGEXMATCH(Catalog_RewardType,""reward""), VLOOKUP($E50, {'TitleData rewards.items'!$J$9:$J416,'TitleData rewards.items'!$B$9:$B416}, 2, FALSE), """")"),FALSE)</f>
        <v>0</v>
      </c>
    </row>
    <row r="51" spans="1:79" ht="42" x14ac:dyDescent="0.15">
      <c r="A51" s="82" t="s">
        <v>491</v>
      </c>
      <c r="B51" s="83"/>
      <c r="C51" s="82" t="s">
        <v>570</v>
      </c>
      <c r="D51" s="85" t="b">
        <f>VLOOKUP($C51, '_REF Catalog Classes'!$C$6:$D416, COLUMNS('_REF Catalog Classes'!$C$6:$D416), FALSE)</f>
        <v>1</v>
      </c>
      <c r="E51" s="82" t="s">
        <v>596</v>
      </c>
      <c r="F51" s="82" t="str">
        <f t="shared" si="0"/>
        <v>ultimateFreeze:</v>
      </c>
      <c r="G51" s="86" t="s">
        <v>597</v>
      </c>
      <c r="H51" s="86" t="s">
        <v>598</v>
      </c>
      <c r="I51" s="82" t="s">
        <v>274</v>
      </c>
      <c r="J51" s="82"/>
      <c r="K51" s="82"/>
      <c r="L51" s="82"/>
      <c r="M51" s="82"/>
      <c r="N51" s="107"/>
      <c r="O51" s="108"/>
      <c r="P51" s="82">
        <v>4</v>
      </c>
      <c r="Q51" s="88"/>
      <c r="R51" s="82"/>
      <c r="S51" s="82"/>
      <c r="T51" s="82"/>
      <c r="U51" s="82"/>
      <c r="V51" s="82"/>
      <c r="W51" s="89">
        <v>0</v>
      </c>
      <c r="X51" s="90" t="s">
        <v>319</v>
      </c>
      <c r="Y51" s="90" t="s">
        <v>599</v>
      </c>
      <c r="Z51" s="90"/>
      <c r="AA51" s="91" t="s">
        <v>283</v>
      </c>
      <c r="AB51" s="90" t="s">
        <v>600</v>
      </c>
      <c r="AC51" s="90" t="s">
        <v>601</v>
      </c>
      <c r="AD51" s="90" t="s">
        <v>602</v>
      </c>
      <c r="AE51" s="90"/>
      <c r="AF51" s="90"/>
      <c r="AG51" s="92"/>
      <c r="AH51" s="93"/>
      <c r="AI51" s="93"/>
      <c r="AJ51" s="93"/>
      <c r="AK51" s="93"/>
      <c r="AL51" s="93"/>
      <c r="AM51" s="93"/>
      <c r="AN51" s="94"/>
      <c r="AO51" s="95"/>
      <c r="AP51" s="95"/>
      <c r="AQ51" s="95"/>
      <c r="AR51" s="94"/>
      <c r="AS51" s="95"/>
      <c r="AT51" s="95"/>
      <c r="AU51" s="95"/>
      <c r="AV51" s="95"/>
      <c r="AW51" s="92"/>
      <c r="AX51" s="93"/>
      <c r="AY51" s="93"/>
      <c r="AZ51" s="93"/>
      <c r="BA51" s="93"/>
      <c r="BB51" s="93"/>
      <c r="BC51" s="93"/>
      <c r="BD51" s="96">
        <v>2</v>
      </c>
      <c r="BE51" s="97" t="s">
        <v>281</v>
      </c>
      <c r="BF51" s="98" t="s">
        <v>599</v>
      </c>
      <c r="BG51" s="97"/>
      <c r="BH51" s="97" t="s">
        <v>283</v>
      </c>
      <c r="BI51" s="97" t="s">
        <v>600</v>
      </c>
      <c r="BJ51" s="97"/>
      <c r="BK51" s="97" t="s">
        <v>601</v>
      </c>
      <c r="BL51" s="97" t="s">
        <v>603</v>
      </c>
      <c r="BM51" s="97"/>
      <c r="BN51" s="97"/>
      <c r="BO51" s="93"/>
      <c r="BP51" s="93"/>
      <c r="BQ51" s="93"/>
      <c r="BR51" s="93"/>
      <c r="BS51" s="93"/>
      <c r="BT51" s="93"/>
      <c r="BU51" s="93"/>
      <c r="BV51" s="99" t="s">
        <v>604</v>
      </c>
      <c r="BW51" s="86" t="str">
        <f>VLOOKUP($C51, '_REF Catalog Classes'!$C$6:$E416, COLUMNS('_REF Catalog Classes'!$C$6:$E416), FALSE)</f>
        <v>never</v>
      </c>
      <c r="BX51" s="86"/>
      <c r="BY51" s="86"/>
      <c r="BZ51" s="100" t="s">
        <v>322</v>
      </c>
      <c r="CA51" s="100" t="b">
        <f ca="1">IFERROR(__xludf.DUMMYFUNCTION("IF(REGEXMATCH(Catalog_RewardType,""reward""), VLOOKUP($E51, {'TitleData rewards.items'!$J$9:$J416,'TitleData rewards.items'!$B$9:$B416}, 2, FALSE), """")"),FALSE)</f>
        <v>0</v>
      </c>
    </row>
    <row r="52" spans="1:79" ht="42" x14ac:dyDescent="0.15">
      <c r="A52" s="82" t="s">
        <v>491</v>
      </c>
      <c r="B52" s="83"/>
      <c r="C52" s="82" t="s">
        <v>570</v>
      </c>
      <c r="D52" s="85" t="b">
        <f>VLOOKUP($C52, '_REF Catalog Classes'!$C$6:$D416, COLUMNS('_REF Catalog Classes'!$C$6:$D416), FALSE)</f>
        <v>1</v>
      </c>
      <c r="E52" s="82" t="s">
        <v>605</v>
      </c>
      <c r="F52" s="82" t="str">
        <f t="shared" si="0"/>
        <v>ultimateLightning:</v>
      </c>
      <c r="G52" s="86" t="s">
        <v>606</v>
      </c>
      <c r="H52" s="86" t="s">
        <v>607</v>
      </c>
      <c r="I52" s="82" t="s">
        <v>274</v>
      </c>
      <c r="J52" s="82"/>
      <c r="K52" s="82"/>
      <c r="L52" s="82"/>
      <c r="M52" s="82"/>
      <c r="N52" s="107"/>
      <c r="O52" s="108"/>
      <c r="P52" s="82">
        <v>5</v>
      </c>
      <c r="Q52" s="88"/>
      <c r="R52" s="82"/>
      <c r="S52" s="82"/>
      <c r="T52" s="82"/>
      <c r="U52" s="82"/>
      <c r="V52" s="82"/>
      <c r="W52" s="89">
        <v>0</v>
      </c>
      <c r="X52" s="90" t="s">
        <v>319</v>
      </c>
      <c r="Y52" s="90" t="s">
        <v>608</v>
      </c>
      <c r="Z52" s="90"/>
      <c r="AA52" s="91" t="s">
        <v>283</v>
      </c>
      <c r="AB52" s="90" t="s">
        <v>609</v>
      </c>
      <c r="AC52" s="90" t="s">
        <v>610</v>
      </c>
      <c r="AD52" s="90" t="s">
        <v>611</v>
      </c>
      <c r="AE52" s="90"/>
      <c r="AF52" s="90"/>
      <c r="AG52" s="92"/>
      <c r="AH52" s="93"/>
      <c r="AI52" s="93"/>
      <c r="AJ52" s="93"/>
      <c r="AK52" s="93"/>
      <c r="AL52" s="93"/>
      <c r="AM52" s="93"/>
      <c r="AN52" s="94"/>
      <c r="AO52" s="95"/>
      <c r="AP52" s="95"/>
      <c r="AQ52" s="95"/>
      <c r="AR52" s="94"/>
      <c r="AS52" s="95"/>
      <c r="AT52" s="95"/>
      <c r="AU52" s="95"/>
      <c r="AV52" s="95"/>
      <c r="AW52" s="92"/>
      <c r="AX52" s="93"/>
      <c r="AY52" s="93"/>
      <c r="AZ52" s="93"/>
      <c r="BA52" s="93"/>
      <c r="BB52" s="93"/>
      <c r="BC52" s="93"/>
      <c r="BD52" s="96">
        <v>2</v>
      </c>
      <c r="BE52" s="97" t="s">
        <v>281</v>
      </c>
      <c r="BF52" s="98" t="s">
        <v>608</v>
      </c>
      <c r="BG52" s="97"/>
      <c r="BH52" s="97" t="s">
        <v>283</v>
      </c>
      <c r="BI52" s="97" t="s">
        <v>609</v>
      </c>
      <c r="BJ52" s="97"/>
      <c r="BK52" s="97" t="s">
        <v>610</v>
      </c>
      <c r="BL52" s="97" t="s">
        <v>612</v>
      </c>
      <c r="BM52" s="97"/>
      <c r="BN52" s="97"/>
      <c r="BO52" s="93"/>
      <c r="BP52" s="93"/>
      <c r="BQ52" s="93"/>
      <c r="BR52" s="93"/>
      <c r="BS52" s="93"/>
      <c r="BT52" s="93"/>
      <c r="BU52" s="93"/>
      <c r="BV52" s="99" t="s">
        <v>613</v>
      </c>
      <c r="BW52" s="86" t="str">
        <f>VLOOKUP($C52, '_REF Catalog Classes'!$C$6:$E416, COLUMNS('_REF Catalog Classes'!$C$6:$E416), FALSE)</f>
        <v>never</v>
      </c>
      <c r="BX52" s="86"/>
      <c r="BY52" s="86"/>
      <c r="BZ52" s="100" t="s">
        <v>322</v>
      </c>
      <c r="CA52" s="100" t="b">
        <f ca="1">IFERROR(__xludf.DUMMYFUNCTION("IF(REGEXMATCH(Catalog_RewardType,""reward""), VLOOKUP($E52, {'TitleData rewards.items'!$J$9:$J416,'TitleData rewards.items'!$B$9:$B416}, 2, FALSE), """")"),FALSE)</f>
        <v>0</v>
      </c>
    </row>
    <row r="53" spans="1:79" ht="30" hidden="1" x14ac:dyDescent="0.15">
      <c r="A53" s="100" t="s">
        <v>314</v>
      </c>
      <c r="B53" s="82" t="b">
        <v>1</v>
      </c>
      <c r="C53" s="82" t="s">
        <v>570</v>
      </c>
      <c r="D53" s="85" t="b">
        <f>VLOOKUP($C53, '_REF Catalog Classes'!$C$6:$D416, COLUMNS('_REF Catalog Classes'!$C$6:$D416), FALSE)</f>
        <v>1</v>
      </c>
      <c r="E53" s="82" t="s">
        <v>614</v>
      </c>
      <c r="F53" s="82" t="str">
        <f t="shared" si="0"/>
        <v>ultimateBananaExplosion:TRUE</v>
      </c>
      <c r="G53" s="86" t="s">
        <v>615</v>
      </c>
      <c r="H53" s="86"/>
      <c r="I53" s="82"/>
      <c r="J53" s="82"/>
      <c r="K53" s="82"/>
      <c r="L53" s="82"/>
      <c r="M53" s="82"/>
      <c r="N53" s="101"/>
      <c r="O53" s="82"/>
      <c r="P53" s="82"/>
      <c r="Q53" s="88"/>
      <c r="R53" s="82"/>
      <c r="S53" s="82"/>
      <c r="T53" s="82"/>
      <c r="U53" s="82"/>
      <c r="V53" s="82"/>
      <c r="W53" s="117">
        <v>0</v>
      </c>
      <c r="X53" s="90" t="s">
        <v>616</v>
      </c>
      <c r="Y53" s="90" t="str">
        <f t="shared" ref="Y53:Y60" si="5">"file://"&amp;$E53&amp;"-state0-image0"</f>
        <v>file://ultimateBananaExplosion-state0-image0</v>
      </c>
      <c r="Z53" s="90"/>
      <c r="AA53" s="118" t="s">
        <v>283</v>
      </c>
      <c r="AB53" s="90"/>
      <c r="AC53" s="90"/>
      <c r="AD53" s="90"/>
      <c r="AE53" s="93"/>
      <c r="AF53" s="90"/>
      <c r="AG53" s="92"/>
      <c r="AH53" s="93"/>
      <c r="AI53" s="93"/>
      <c r="AJ53" s="93"/>
      <c r="AK53" s="93"/>
      <c r="AL53" s="93"/>
      <c r="AM53" s="93"/>
      <c r="AN53" s="119"/>
      <c r="AO53" s="120"/>
      <c r="AP53" s="95" t="str">
        <f t="shared" ref="AP53:AP60" si="6">"file://"&amp;$E53&amp;"-state1-image0"</f>
        <v>file://ultimateBananaExplosion-state1-image0</v>
      </c>
      <c r="AQ53" s="120"/>
      <c r="AR53" s="119"/>
      <c r="AS53" s="121"/>
      <c r="AT53" s="93"/>
      <c r="AU53" s="93"/>
      <c r="AV53" s="93"/>
      <c r="AW53" s="92"/>
      <c r="AX53" s="93"/>
      <c r="AY53" s="93"/>
      <c r="AZ53" s="93"/>
      <c r="BA53" s="93"/>
      <c r="BB53" s="93"/>
      <c r="BC53" s="93"/>
      <c r="BD53" s="122">
        <v>2</v>
      </c>
      <c r="BE53" s="123"/>
      <c r="BF53" s="98"/>
      <c r="BG53" s="123"/>
      <c r="BH53" s="98" t="s">
        <v>283</v>
      </c>
      <c r="BI53" s="123"/>
      <c r="BJ53" s="97"/>
      <c r="BK53" s="97"/>
      <c r="BL53" s="97"/>
      <c r="BM53" s="93"/>
      <c r="BN53" s="97"/>
      <c r="BO53" s="93"/>
      <c r="BP53" s="93"/>
      <c r="BQ53" s="93"/>
      <c r="BR53" s="93"/>
      <c r="BS53" s="93"/>
      <c r="BT53" s="93"/>
      <c r="BU53" s="93"/>
      <c r="BV53" s="99"/>
      <c r="BW53" s="86"/>
      <c r="BX53" s="86"/>
      <c r="BY53" s="86"/>
      <c r="BZ53" s="86"/>
      <c r="CA53" s="100" t="str">
        <f ca="1">IFERROR(__xludf.DUMMYFUNCTION("IF(REGEXMATCH(Catalog_RewardType,""reward""), VLOOKUP($E53, {'TitleData rewards.items'!$J$9:$J416,'TitleData rewards.items'!$B$9:$B416}, 2, FALSE), """")"),"")</f>
        <v/>
      </c>
    </row>
    <row r="54" spans="1:79" ht="70" hidden="1" x14ac:dyDescent="0.15">
      <c r="A54" s="100" t="s">
        <v>314</v>
      </c>
      <c r="B54" s="82" t="b">
        <v>1</v>
      </c>
      <c r="C54" s="82" t="s">
        <v>570</v>
      </c>
      <c r="D54" s="85" t="b">
        <f>VLOOKUP($C54, '_REF Catalog Classes'!$C$6:$D416, COLUMNS('_REF Catalog Classes'!$C$6:$D416), FALSE)</f>
        <v>1</v>
      </c>
      <c r="E54" s="82" t="s">
        <v>617</v>
      </c>
      <c r="F54" s="82" t="str">
        <f t="shared" si="0"/>
        <v>ultimateShrinkBomb:TRUE</v>
      </c>
      <c r="G54" s="86" t="s">
        <v>618</v>
      </c>
      <c r="H54" s="86"/>
      <c r="I54" s="82"/>
      <c r="J54" s="82"/>
      <c r="K54" s="82"/>
      <c r="L54" s="82"/>
      <c r="M54" s="82"/>
      <c r="N54" s="101"/>
      <c r="O54" s="82"/>
      <c r="P54" s="82"/>
      <c r="Q54" s="88"/>
      <c r="R54" s="82"/>
      <c r="S54" s="82"/>
      <c r="T54" s="82"/>
      <c r="U54" s="82"/>
      <c r="V54" s="82"/>
      <c r="W54" s="117">
        <v>0</v>
      </c>
      <c r="X54" s="90" t="s">
        <v>616</v>
      </c>
      <c r="Y54" s="90" t="str">
        <f t="shared" si="5"/>
        <v>file://ultimateShrinkBomb-state0-image0</v>
      </c>
      <c r="Z54" s="90"/>
      <c r="AA54" s="118" t="s">
        <v>283</v>
      </c>
      <c r="AB54" s="90"/>
      <c r="AC54" s="90" t="s">
        <v>619</v>
      </c>
      <c r="AD54" s="90" t="s">
        <v>620</v>
      </c>
      <c r="AE54" s="93"/>
      <c r="AF54" s="90"/>
      <c r="AG54" s="92"/>
      <c r="AH54" s="93"/>
      <c r="AI54" s="93"/>
      <c r="AJ54" s="93"/>
      <c r="AK54" s="93"/>
      <c r="AL54" s="93"/>
      <c r="AM54" s="93"/>
      <c r="AN54" s="119"/>
      <c r="AO54" s="120"/>
      <c r="AP54" s="95" t="str">
        <f t="shared" si="6"/>
        <v>file://ultimateShrinkBomb-state1-image0</v>
      </c>
      <c r="AQ54" s="120"/>
      <c r="AR54" s="119"/>
      <c r="AS54" s="121"/>
      <c r="AT54" s="93"/>
      <c r="AU54" s="93"/>
      <c r="AV54" s="93"/>
      <c r="AW54" s="92"/>
      <c r="AX54" s="93"/>
      <c r="AY54" s="93"/>
      <c r="AZ54" s="93"/>
      <c r="BA54" s="93"/>
      <c r="BB54" s="93"/>
      <c r="BC54" s="93"/>
      <c r="BD54" s="122">
        <v>2</v>
      </c>
      <c r="BE54" s="123"/>
      <c r="BF54" s="98"/>
      <c r="BG54" s="123"/>
      <c r="BH54" s="98" t="s">
        <v>283</v>
      </c>
      <c r="BI54" s="123"/>
      <c r="BJ54" s="97"/>
      <c r="BK54" s="97" t="s">
        <v>619</v>
      </c>
      <c r="BL54" s="97"/>
      <c r="BM54" s="93"/>
      <c r="BN54" s="97"/>
      <c r="BO54" s="93"/>
      <c r="BP54" s="93"/>
      <c r="BQ54" s="93"/>
      <c r="BR54" s="93"/>
      <c r="BS54" s="93"/>
      <c r="BT54" s="93"/>
      <c r="BU54" s="93"/>
      <c r="BV54" s="99"/>
      <c r="BW54" s="86"/>
      <c r="BX54" s="86"/>
      <c r="BY54" s="86"/>
      <c r="BZ54" s="86"/>
      <c r="CA54" s="100" t="str">
        <f ca="1">IFERROR(__xludf.DUMMYFUNCTION("IF(REGEXMATCH(Catalog_RewardType,""reward""), VLOOKUP($E54, {'TitleData rewards.items'!$J$9:$J416,'TitleData rewards.items'!$B$9:$B416}, 2, FALSE), """")"),"")</f>
        <v/>
      </c>
    </row>
    <row r="55" spans="1:79" ht="56" hidden="1" x14ac:dyDescent="0.15">
      <c r="A55" s="100" t="s">
        <v>314</v>
      </c>
      <c r="B55" s="82" t="b">
        <v>1</v>
      </c>
      <c r="C55" s="82" t="s">
        <v>570</v>
      </c>
      <c r="D55" s="85" t="b">
        <f>VLOOKUP($C55, '_REF Catalog Classes'!$C$6:$D416, COLUMNS('_REF Catalog Classes'!$C$6:$D416), FALSE)</f>
        <v>1</v>
      </c>
      <c r="E55" s="82" t="s">
        <v>621</v>
      </c>
      <c r="F55" s="82" t="str">
        <f t="shared" si="0"/>
        <v>ultimatePX41:TRUE</v>
      </c>
      <c r="G55" s="86" t="s">
        <v>622</v>
      </c>
      <c r="H55" s="86"/>
      <c r="I55" s="82"/>
      <c r="J55" s="82"/>
      <c r="K55" s="82"/>
      <c r="L55" s="82"/>
      <c r="M55" s="82"/>
      <c r="N55" s="101"/>
      <c r="O55" s="82"/>
      <c r="P55" s="82"/>
      <c r="Q55" s="88"/>
      <c r="R55" s="82"/>
      <c r="S55" s="82"/>
      <c r="T55" s="82"/>
      <c r="U55" s="82"/>
      <c r="V55" s="82"/>
      <c r="W55" s="117">
        <v>0</v>
      </c>
      <c r="X55" s="90" t="s">
        <v>616</v>
      </c>
      <c r="Y55" s="90" t="str">
        <f t="shared" si="5"/>
        <v>file://ultimatePX41-state0-image0</v>
      </c>
      <c r="Z55" s="90"/>
      <c r="AA55" s="118" t="s">
        <v>283</v>
      </c>
      <c r="AB55" s="90"/>
      <c r="AC55" s="90" t="s">
        <v>623</v>
      </c>
      <c r="AD55" s="90" t="s">
        <v>624</v>
      </c>
      <c r="AE55" s="93"/>
      <c r="AF55" s="90"/>
      <c r="AG55" s="92"/>
      <c r="AH55" s="93"/>
      <c r="AI55" s="93"/>
      <c r="AJ55" s="93"/>
      <c r="AK55" s="93"/>
      <c r="AL55" s="93"/>
      <c r="AM55" s="93"/>
      <c r="AN55" s="119"/>
      <c r="AO55" s="120"/>
      <c r="AP55" s="95" t="str">
        <f t="shared" si="6"/>
        <v>file://ultimatePX41-state1-image0</v>
      </c>
      <c r="AQ55" s="120"/>
      <c r="AR55" s="119"/>
      <c r="AS55" s="121"/>
      <c r="AT55" s="93"/>
      <c r="AU55" s="93"/>
      <c r="AV55" s="93"/>
      <c r="AW55" s="92"/>
      <c r="AX55" s="93"/>
      <c r="AY55" s="93"/>
      <c r="AZ55" s="93"/>
      <c r="BA55" s="93"/>
      <c r="BB55" s="93"/>
      <c r="BC55" s="93"/>
      <c r="BD55" s="122">
        <v>2</v>
      </c>
      <c r="BE55" s="123"/>
      <c r="BF55" s="98"/>
      <c r="BG55" s="123"/>
      <c r="BH55" s="98" t="s">
        <v>283</v>
      </c>
      <c r="BI55" s="123"/>
      <c r="BJ55" s="97"/>
      <c r="BK55" s="97" t="s">
        <v>623</v>
      </c>
      <c r="BL55" s="97"/>
      <c r="BM55" s="93"/>
      <c r="BN55" s="97"/>
      <c r="BO55" s="93"/>
      <c r="BP55" s="93"/>
      <c r="BQ55" s="93"/>
      <c r="BR55" s="93"/>
      <c r="BS55" s="93"/>
      <c r="BT55" s="93"/>
      <c r="BU55" s="93"/>
      <c r="BV55" s="99"/>
      <c r="BW55" s="86"/>
      <c r="BX55" s="86"/>
      <c r="BY55" s="86"/>
      <c r="BZ55" s="86"/>
      <c r="CA55" s="100" t="str">
        <f ca="1">IFERROR(__xludf.DUMMYFUNCTION("IF(REGEXMATCH(Catalog_RewardType,""reward""), VLOOKUP($E55, {'TitleData rewards.items'!$J$9:$J416,'TitleData rewards.items'!$B$9:$B416}, 2, FALSE), """")"),"")</f>
        <v/>
      </c>
    </row>
    <row r="56" spans="1:79" ht="30" hidden="1" x14ac:dyDescent="0.15">
      <c r="A56" s="100" t="s">
        <v>314</v>
      </c>
      <c r="B56" s="82" t="b">
        <v>1</v>
      </c>
      <c r="C56" s="82" t="s">
        <v>625</v>
      </c>
      <c r="D56" s="85" t="b">
        <f>VLOOKUP($C56, '_REF Catalog Classes'!$C$6:$D416, COLUMNS('_REF Catalog Classes'!$C$6:$D416), FALSE)</f>
        <v>1</v>
      </c>
      <c r="E56" s="82" t="s">
        <v>626</v>
      </c>
      <c r="F56" s="82" t="str">
        <f t="shared" si="0"/>
        <v>perkLuckyCharm:TRUE</v>
      </c>
      <c r="G56" s="86" t="s">
        <v>627</v>
      </c>
      <c r="H56" s="86"/>
      <c r="I56" s="82"/>
      <c r="J56" s="82"/>
      <c r="K56" s="82"/>
      <c r="L56" s="82"/>
      <c r="M56" s="82"/>
      <c r="N56" s="101"/>
      <c r="O56" s="82"/>
      <c r="P56" s="82"/>
      <c r="Q56" s="88"/>
      <c r="R56" s="82"/>
      <c r="S56" s="82"/>
      <c r="T56" s="82"/>
      <c r="U56" s="82"/>
      <c r="V56" s="82"/>
      <c r="W56" s="117">
        <v>0</v>
      </c>
      <c r="X56" s="90" t="s">
        <v>616</v>
      </c>
      <c r="Y56" s="90" t="str">
        <f t="shared" si="5"/>
        <v>file://perkLuckyCharm-state0-image0</v>
      </c>
      <c r="Z56" s="90"/>
      <c r="AA56" s="118" t="s">
        <v>283</v>
      </c>
      <c r="AB56" s="90"/>
      <c r="AC56" s="90" t="s">
        <v>628</v>
      </c>
      <c r="AD56" s="90"/>
      <c r="AE56" s="93"/>
      <c r="AF56" s="90"/>
      <c r="AG56" s="92"/>
      <c r="AH56" s="93"/>
      <c r="AI56" s="93"/>
      <c r="AJ56" s="93"/>
      <c r="AK56" s="93"/>
      <c r="AL56" s="93"/>
      <c r="AM56" s="93"/>
      <c r="AN56" s="119"/>
      <c r="AO56" s="120"/>
      <c r="AP56" s="95" t="str">
        <f t="shared" si="6"/>
        <v>file://perkLuckyCharm-state1-image0</v>
      </c>
      <c r="AQ56" s="120"/>
      <c r="AR56" s="119"/>
      <c r="AS56" s="121"/>
      <c r="AT56" s="93"/>
      <c r="AU56" s="93"/>
      <c r="AV56" s="93"/>
      <c r="AW56" s="92"/>
      <c r="AX56" s="93"/>
      <c r="AY56" s="93"/>
      <c r="AZ56" s="93"/>
      <c r="BA56" s="93"/>
      <c r="BB56" s="93"/>
      <c r="BC56" s="93"/>
      <c r="BD56" s="122">
        <v>2</v>
      </c>
      <c r="BE56" s="123"/>
      <c r="BF56" s="98"/>
      <c r="BG56" s="123"/>
      <c r="BH56" s="98" t="s">
        <v>283</v>
      </c>
      <c r="BI56" s="123"/>
      <c r="BJ56" s="97"/>
      <c r="BK56" s="97" t="s">
        <v>628</v>
      </c>
      <c r="BL56" s="97"/>
      <c r="BM56" s="93"/>
      <c r="BN56" s="97"/>
      <c r="BO56" s="93"/>
      <c r="BP56" s="93"/>
      <c r="BQ56" s="93"/>
      <c r="BR56" s="93"/>
      <c r="BS56" s="93"/>
      <c r="BT56" s="93"/>
      <c r="BU56" s="93"/>
      <c r="BV56" s="99"/>
      <c r="BW56" s="86"/>
      <c r="BX56" s="86"/>
      <c r="BY56" s="86"/>
      <c r="BZ56" s="86"/>
      <c r="CA56" s="100" t="str">
        <f ca="1">IFERROR(__xludf.DUMMYFUNCTION("IF(REGEXMATCH(Catalog_RewardType,""reward""), VLOOKUP($E56, {'TitleData rewards.items'!$J$9:$J416,'TitleData rewards.items'!$B$9:$B416}, 2, FALSE), """")"),"")</f>
        <v/>
      </c>
    </row>
    <row r="57" spans="1:79" ht="30" hidden="1" x14ac:dyDescent="0.15">
      <c r="A57" s="100" t="s">
        <v>314</v>
      </c>
      <c r="B57" s="82" t="b">
        <v>1</v>
      </c>
      <c r="C57" s="82" t="s">
        <v>625</v>
      </c>
      <c r="D57" s="85" t="b">
        <f>VLOOKUP($C57, '_REF Catalog Classes'!$C$6:$D416, COLUMNS('_REF Catalog Classes'!$C$6:$D416), FALSE)</f>
        <v>1</v>
      </c>
      <c r="E57" s="82" t="s">
        <v>629</v>
      </c>
      <c r="F57" s="82" t="str">
        <f t="shared" si="0"/>
        <v>perkScoreBonus:TRUE</v>
      </c>
      <c r="G57" s="86" t="s">
        <v>630</v>
      </c>
      <c r="H57" s="86"/>
      <c r="I57" s="82"/>
      <c r="J57" s="82"/>
      <c r="K57" s="82"/>
      <c r="L57" s="82"/>
      <c r="M57" s="82"/>
      <c r="N57" s="101"/>
      <c r="O57" s="82"/>
      <c r="P57" s="82"/>
      <c r="Q57" s="88"/>
      <c r="R57" s="82"/>
      <c r="S57" s="82"/>
      <c r="T57" s="82"/>
      <c r="U57" s="82"/>
      <c r="V57" s="82"/>
      <c r="W57" s="117">
        <v>0</v>
      </c>
      <c r="X57" s="90" t="s">
        <v>616</v>
      </c>
      <c r="Y57" s="90" t="str">
        <f t="shared" si="5"/>
        <v>file://perkScoreBonus-state0-image0</v>
      </c>
      <c r="Z57" s="90"/>
      <c r="AA57" s="118" t="s">
        <v>283</v>
      </c>
      <c r="AB57" s="90"/>
      <c r="AC57" s="90" t="s">
        <v>631</v>
      </c>
      <c r="AD57" s="90"/>
      <c r="AE57" s="93"/>
      <c r="AF57" s="90"/>
      <c r="AG57" s="92"/>
      <c r="AH57" s="93"/>
      <c r="AI57" s="93"/>
      <c r="AJ57" s="93"/>
      <c r="AK57" s="93"/>
      <c r="AL57" s="93"/>
      <c r="AM57" s="93"/>
      <c r="AN57" s="119"/>
      <c r="AO57" s="120"/>
      <c r="AP57" s="95" t="str">
        <f t="shared" si="6"/>
        <v>file://perkScoreBonus-state1-image0</v>
      </c>
      <c r="AQ57" s="120"/>
      <c r="AR57" s="119"/>
      <c r="AS57" s="121"/>
      <c r="AT57" s="93"/>
      <c r="AU57" s="93"/>
      <c r="AV57" s="93"/>
      <c r="AW57" s="92"/>
      <c r="AX57" s="93"/>
      <c r="AY57" s="93"/>
      <c r="AZ57" s="93"/>
      <c r="BA57" s="93"/>
      <c r="BB57" s="93"/>
      <c r="BC57" s="93"/>
      <c r="BD57" s="122">
        <v>2</v>
      </c>
      <c r="BE57" s="123"/>
      <c r="BF57" s="98"/>
      <c r="BG57" s="123"/>
      <c r="BH57" s="98" t="s">
        <v>283</v>
      </c>
      <c r="BI57" s="123"/>
      <c r="BJ57" s="97"/>
      <c r="BK57" s="97" t="s">
        <v>631</v>
      </c>
      <c r="BL57" s="97"/>
      <c r="BM57" s="93"/>
      <c r="BN57" s="97"/>
      <c r="BO57" s="93"/>
      <c r="BP57" s="93"/>
      <c r="BQ57" s="93"/>
      <c r="BR57" s="93"/>
      <c r="BS57" s="93"/>
      <c r="BT57" s="93"/>
      <c r="BU57" s="93"/>
      <c r="BV57" s="99"/>
      <c r="BW57" s="86"/>
      <c r="BX57" s="86"/>
      <c r="BY57" s="86"/>
      <c r="BZ57" s="86"/>
      <c r="CA57" s="100" t="str">
        <f ca="1">IFERROR(__xludf.DUMMYFUNCTION("IF(REGEXMATCH(Catalog_RewardType,""reward""), VLOOKUP($E57, {'TitleData rewards.items'!$J$9:$J416,'TitleData rewards.items'!$B$9:$B416}, 2, FALSE), """")"),"")</f>
        <v/>
      </c>
    </row>
    <row r="58" spans="1:79" ht="42" hidden="1" x14ac:dyDescent="0.15">
      <c r="A58" s="100" t="s">
        <v>314</v>
      </c>
      <c r="B58" s="82" t="b">
        <v>1</v>
      </c>
      <c r="C58" s="82" t="s">
        <v>625</v>
      </c>
      <c r="D58" s="85" t="b">
        <f>VLOOKUP($C58, '_REF Catalog Classes'!$C$6:$D416, COLUMNS('_REF Catalog Classes'!$C$6:$D416), FALSE)</f>
        <v>1</v>
      </c>
      <c r="E58" s="82" t="s">
        <v>632</v>
      </c>
      <c r="F58" s="82" t="str">
        <f t="shared" si="0"/>
        <v>perkElementalFlame:TRUE</v>
      </c>
      <c r="G58" s="86" t="s">
        <v>633</v>
      </c>
      <c r="H58" s="86"/>
      <c r="I58" s="82"/>
      <c r="J58" s="82"/>
      <c r="K58" s="82"/>
      <c r="L58" s="82"/>
      <c r="M58" s="82"/>
      <c r="N58" s="101"/>
      <c r="O58" s="82"/>
      <c r="P58" s="82"/>
      <c r="Q58" s="88"/>
      <c r="R58" s="82"/>
      <c r="S58" s="82"/>
      <c r="T58" s="82"/>
      <c r="U58" s="82"/>
      <c r="V58" s="82"/>
      <c r="W58" s="117">
        <v>0</v>
      </c>
      <c r="X58" s="90" t="s">
        <v>616</v>
      </c>
      <c r="Y58" s="90" t="str">
        <f t="shared" si="5"/>
        <v>file://perkElementalFlame-state0-image0</v>
      </c>
      <c r="Z58" s="90"/>
      <c r="AA58" s="118" t="s">
        <v>283</v>
      </c>
      <c r="AB58" s="90"/>
      <c r="AC58" s="90" t="s">
        <v>634</v>
      </c>
      <c r="AD58" s="90"/>
      <c r="AE58" s="93"/>
      <c r="AF58" s="90"/>
      <c r="AG58" s="92"/>
      <c r="AH58" s="93"/>
      <c r="AI58" s="93"/>
      <c r="AJ58" s="93"/>
      <c r="AK58" s="93"/>
      <c r="AL58" s="93"/>
      <c r="AM58" s="93"/>
      <c r="AN58" s="119"/>
      <c r="AO58" s="120"/>
      <c r="AP58" s="95" t="str">
        <f t="shared" si="6"/>
        <v>file://perkElementalFlame-state1-image0</v>
      </c>
      <c r="AQ58" s="120"/>
      <c r="AR58" s="119"/>
      <c r="AS58" s="121"/>
      <c r="AT58" s="93"/>
      <c r="AU58" s="93"/>
      <c r="AV58" s="93"/>
      <c r="AW58" s="92"/>
      <c r="AX58" s="93"/>
      <c r="AY58" s="93"/>
      <c r="AZ58" s="93"/>
      <c r="BA58" s="93"/>
      <c r="BB58" s="93"/>
      <c r="BC58" s="93"/>
      <c r="BD58" s="122">
        <v>2</v>
      </c>
      <c r="BE58" s="123"/>
      <c r="BF58" s="98"/>
      <c r="BG58" s="123"/>
      <c r="BH58" s="98" t="s">
        <v>283</v>
      </c>
      <c r="BI58" s="123"/>
      <c r="BJ58" s="97"/>
      <c r="BK58" s="97" t="s">
        <v>634</v>
      </c>
      <c r="BL58" s="97"/>
      <c r="BM58" s="93"/>
      <c r="BN58" s="97"/>
      <c r="BO58" s="93"/>
      <c r="BP58" s="93"/>
      <c r="BQ58" s="93"/>
      <c r="BR58" s="93"/>
      <c r="BS58" s="93"/>
      <c r="BT58" s="93"/>
      <c r="BU58" s="93"/>
      <c r="BV58" s="99"/>
      <c r="BW58" s="86"/>
      <c r="BX58" s="86"/>
      <c r="BY58" s="86"/>
      <c r="BZ58" s="86"/>
      <c r="CA58" s="100" t="str">
        <f ca="1">IFERROR(__xludf.DUMMYFUNCTION("IF(REGEXMATCH(Catalog_RewardType,""reward""), VLOOKUP($E58, {'TitleData rewards.items'!$J$9:$J416,'TitleData rewards.items'!$B$9:$B416}, 2, FALSE), """")"),"")</f>
        <v/>
      </c>
    </row>
    <row r="59" spans="1:79" ht="30" hidden="1" x14ac:dyDescent="0.15">
      <c r="A59" s="100" t="s">
        <v>314</v>
      </c>
      <c r="B59" s="82" t="b">
        <v>1</v>
      </c>
      <c r="C59" s="82" t="s">
        <v>625</v>
      </c>
      <c r="D59" s="85" t="b">
        <f>VLOOKUP($C59, '_REF Catalog Classes'!$C$6:$D416, COLUMNS('_REF Catalog Classes'!$C$6:$D416), FALSE)</f>
        <v>1</v>
      </c>
      <c r="E59" s="82" t="s">
        <v>635</v>
      </c>
      <c r="F59" s="82" t="str">
        <f t="shared" si="0"/>
        <v>perkUltimateCharge:TRUE</v>
      </c>
      <c r="G59" s="86" t="s">
        <v>636</v>
      </c>
      <c r="H59" s="86"/>
      <c r="I59" s="82"/>
      <c r="J59" s="82"/>
      <c r="K59" s="82"/>
      <c r="L59" s="82"/>
      <c r="M59" s="82"/>
      <c r="N59" s="101"/>
      <c r="O59" s="82"/>
      <c r="P59" s="82"/>
      <c r="Q59" s="88"/>
      <c r="R59" s="82"/>
      <c r="S59" s="82"/>
      <c r="T59" s="82"/>
      <c r="U59" s="82"/>
      <c r="V59" s="82"/>
      <c r="W59" s="117">
        <v>0</v>
      </c>
      <c r="X59" s="90" t="s">
        <v>616</v>
      </c>
      <c r="Y59" s="90" t="str">
        <f t="shared" si="5"/>
        <v>file://perkUltimateCharge-state0-image0</v>
      </c>
      <c r="Z59" s="90"/>
      <c r="AA59" s="118" t="s">
        <v>283</v>
      </c>
      <c r="AB59" s="90"/>
      <c r="AC59" s="90"/>
      <c r="AD59" s="90"/>
      <c r="AE59" s="93"/>
      <c r="AF59" s="90"/>
      <c r="AG59" s="92"/>
      <c r="AH59" s="93"/>
      <c r="AI59" s="93"/>
      <c r="AJ59" s="93"/>
      <c r="AK59" s="93"/>
      <c r="AL59" s="93"/>
      <c r="AM59" s="93"/>
      <c r="AN59" s="119"/>
      <c r="AO59" s="120"/>
      <c r="AP59" s="95" t="str">
        <f t="shared" si="6"/>
        <v>file://perkUltimateCharge-state1-image0</v>
      </c>
      <c r="AQ59" s="120"/>
      <c r="AR59" s="119"/>
      <c r="AS59" s="121"/>
      <c r="AT59" s="93"/>
      <c r="AU59" s="93"/>
      <c r="AV59" s="93"/>
      <c r="AW59" s="92"/>
      <c r="AX59" s="93"/>
      <c r="AY59" s="93"/>
      <c r="AZ59" s="93"/>
      <c r="BA59" s="93"/>
      <c r="BB59" s="93"/>
      <c r="BC59" s="93"/>
      <c r="BD59" s="122">
        <v>2</v>
      </c>
      <c r="BE59" s="123"/>
      <c r="BF59" s="98"/>
      <c r="BG59" s="123"/>
      <c r="BH59" s="98" t="s">
        <v>283</v>
      </c>
      <c r="BI59" s="123"/>
      <c r="BJ59" s="97"/>
      <c r="BK59" s="97"/>
      <c r="BL59" s="97"/>
      <c r="BM59" s="93"/>
      <c r="BN59" s="97"/>
      <c r="BO59" s="93"/>
      <c r="BP59" s="93"/>
      <c r="BQ59" s="93"/>
      <c r="BR59" s="93"/>
      <c r="BS59" s="93"/>
      <c r="BT59" s="93"/>
      <c r="BU59" s="93"/>
      <c r="BV59" s="99"/>
      <c r="BW59" s="86"/>
      <c r="BX59" s="86"/>
      <c r="BY59" s="86"/>
      <c r="BZ59" s="86"/>
      <c r="CA59" s="100" t="str">
        <f ca="1">IFERROR(__xludf.DUMMYFUNCTION("IF(REGEXMATCH(Catalog_RewardType,""reward""), VLOOKUP($E59, {'TitleData rewards.items'!$J$9:$J416,'TitleData rewards.items'!$B$9:$B416}, 2, FALSE), """")"),"")</f>
        <v/>
      </c>
    </row>
    <row r="60" spans="1:79" ht="30" hidden="1" x14ac:dyDescent="0.15">
      <c r="A60" s="100" t="s">
        <v>314</v>
      </c>
      <c r="B60" s="82" t="b">
        <v>1</v>
      </c>
      <c r="C60" s="82" t="s">
        <v>625</v>
      </c>
      <c r="D60" s="85" t="b">
        <f>VLOOKUP($C60, '_REF Catalog Classes'!$C$6:$D416, COLUMNS('_REF Catalog Classes'!$C$6:$D416), FALSE)</f>
        <v>1</v>
      </c>
      <c r="E60" s="82" t="s">
        <v>637</v>
      </c>
      <c r="F60" s="82" t="str">
        <f t="shared" si="0"/>
        <v>perkSeekingAmmo:TRUE</v>
      </c>
      <c r="G60" s="86" t="s">
        <v>638</v>
      </c>
      <c r="H60" s="86"/>
      <c r="I60" s="82"/>
      <c r="J60" s="82"/>
      <c r="K60" s="82"/>
      <c r="L60" s="82"/>
      <c r="M60" s="82"/>
      <c r="N60" s="101"/>
      <c r="O60" s="82"/>
      <c r="P60" s="82"/>
      <c r="Q60" s="88"/>
      <c r="R60" s="82"/>
      <c r="S60" s="82"/>
      <c r="T60" s="82"/>
      <c r="U60" s="82"/>
      <c r="V60" s="82"/>
      <c r="W60" s="117">
        <v>0</v>
      </c>
      <c r="X60" s="90" t="s">
        <v>616</v>
      </c>
      <c r="Y60" s="90" t="str">
        <f t="shared" si="5"/>
        <v>file://perkSeekingAmmo-state0-image0</v>
      </c>
      <c r="Z60" s="90"/>
      <c r="AA60" s="118" t="s">
        <v>283</v>
      </c>
      <c r="AB60" s="90"/>
      <c r="AC60" s="90"/>
      <c r="AD60" s="90"/>
      <c r="AE60" s="93"/>
      <c r="AF60" s="90"/>
      <c r="AG60" s="92"/>
      <c r="AH60" s="93"/>
      <c r="AI60" s="93"/>
      <c r="AJ60" s="93"/>
      <c r="AK60" s="93"/>
      <c r="AL60" s="93"/>
      <c r="AM60" s="93"/>
      <c r="AN60" s="119"/>
      <c r="AO60" s="120"/>
      <c r="AP60" s="95" t="str">
        <f t="shared" si="6"/>
        <v>file://perkSeekingAmmo-state1-image0</v>
      </c>
      <c r="AQ60" s="120"/>
      <c r="AR60" s="119"/>
      <c r="AS60" s="121"/>
      <c r="AT60" s="93"/>
      <c r="AU60" s="93"/>
      <c r="AV60" s="93"/>
      <c r="AW60" s="92"/>
      <c r="AX60" s="93"/>
      <c r="AY60" s="93"/>
      <c r="AZ60" s="93"/>
      <c r="BA60" s="93"/>
      <c r="BB60" s="93"/>
      <c r="BC60" s="93"/>
      <c r="BD60" s="122">
        <v>2</v>
      </c>
      <c r="BE60" s="123"/>
      <c r="BF60" s="98"/>
      <c r="BG60" s="123"/>
      <c r="BH60" s="98" t="s">
        <v>283</v>
      </c>
      <c r="BI60" s="123"/>
      <c r="BJ60" s="97"/>
      <c r="BK60" s="97"/>
      <c r="BL60" s="97"/>
      <c r="BM60" s="93"/>
      <c r="BN60" s="97"/>
      <c r="BO60" s="93"/>
      <c r="BP60" s="93"/>
      <c r="BQ60" s="93"/>
      <c r="BR60" s="93"/>
      <c r="BS60" s="93"/>
      <c r="BT60" s="93"/>
      <c r="BU60" s="93"/>
      <c r="BV60" s="99"/>
      <c r="BW60" s="86"/>
      <c r="BX60" s="86"/>
      <c r="BY60" s="86"/>
      <c r="BZ60" s="86"/>
      <c r="CA60" s="100" t="str">
        <f ca="1">IFERROR(__xludf.DUMMYFUNCTION("IF(REGEXMATCH(Catalog_RewardType,""reward""), VLOOKUP($E60, {'TitleData rewards.items'!$J$9:$J416,'TitleData rewards.items'!$B$9:$B416}, 2, FALSE), """")"),"")</f>
        <v/>
      </c>
    </row>
    <row r="61" spans="1:79" ht="56" x14ac:dyDescent="0.15">
      <c r="A61" s="82" t="s">
        <v>269</v>
      </c>
      <c r="B61" s="124"/>
      <c r="C61" s="82" t="s">
        <v>625</v>
      </c>
      <c r="D61" s="85" t="b">
        <f>VLOOKUP($C61, '_REF Catalog Classes'!$C$6:$D416, COLUMNS('_REF Catalog Classes'!$C$6:$D416), FALSE)</f>
        <v>1</v>
      </c>
      <c r="E61" s="106" t="s">
        <v>639</v>
      </c>
      <c r="F61" s="82" t="str">
        <f t="shared" si="0"/>
        <v>perkMultiLightning:</v>
      </c>
      <c r="G61" s="106" t="s">
        <v>640</v>
      </c>
      <c r="H61" s="125" t="s">
        <v>641</v>
      </c>
      <c r="I61" s="106" t="s">
        <v>274</v>
      </c>
      <c r="J61" s="106"/>
      <c r="K61" s="106"/>
      <c r="L61" s="126"/>
      <c r="M61" s="82"/>
      <c r="N61" s="127" t="s">
        <v>309</v>
      </c>
      <c r="O61" s="128"/>
      <c r="P61" s="106">
        <v>4</v>
      </c>
      <c r="Q61" s="129"/>
      <c r="R61" s="106"/>
      <c r="S61" s="106"/>
      <c r="T61" s="106"/>
      <c r="U61" s="106"/>
      <c r="V61" s="106"/>
      <c r="W61" s="89">
        <v>0</v>
      </c>
      <c r="X61" s="90" t="s">
        <v>319</v>
      </c>
      <c r="Y61" s="90" t="s">
        <v>642</v>
      </c>
      <c r="Z61" s="130"/>
      <c r="AA61" s="131" t="s">
        <v>283</v>
      </c>
      <c r="AB61" s="130" t="s">
        <v>643</v>
      </c>
      <c r="AC61" s="132" t="s">
        <v>644</v>
      </c>
      <c r="AD61" s="132" t="s">
        <v>645</v>
      </c>
      <c r="AE61" s="130"/>
      <c r="AF61" s="133"/>
      <c r="AG61" s="134"/>
      <c r="AH61" s="133"/>
      <c r="AI61" s="133"/>
      <c r="AJ61" s="133"/>
      <c r="AK61" s="133"/>
      <c r="AL61" s="133"/>
      <c r="AM61" s="133"/>
      <c r="AN61" s="94"/>
      <c r="AO61" s="95"/>
      <c r="AP61" s="95"/>
      <c r="AQ61" s="95"/>
      <c r="AR61" s="94"/>
      <c r="AS61" s="95"/>
      <c r="AT61" s="95"/>
      <c r="AU61" s="95"/>
      <c r="AV61" s="95"/>
      <c r="AW61" s="134"/>
      <c r="AX61" s="133"/>
      <c r="AY61" s="133"/>
      <c r="AZ61" s="133"/>
      <c r="BA61" s="133"/>
      <c r="BB61" s="133"/>
      <c r="BC61" s="133"/>
      <c r="BD61" s="135">
        <v>2</v>
      </c>
      <c r="BE61" s="97" t="s">
        <v>281</v>
      </c>
      <c r="BF61" s="98" t="s">
        <v>642</v>
      </c>
      <c r="BG61" s="136"/>
      <c r="BH61" s="136" t="s">
        <v>283</v>
      </c>
      <c r="BI61" s="136" t="s">
        <v>643</v>
      </c>
      <c r="BJ61" s="93"/>
      <c r="BK61" s="137" t="s">
        <v>644</v>
      </c>
      <c r="BL61" s="138" t="s">
        <v>645</v>
      </c>
      <c r="BM61" s="136"/>
      <c r="BN61" s="133"/>
      <c r="BO61" s="133"/>
      <c r="BP61" s="133"/>
      <c r="BQ61" s="133"/>
      <c r="BR61" s="133"/>
      <c r="BS61" s="133"/>
      <c r="BT61" s="133"/>
      <c r="BU61" s="133"/>
      <c r="BV61" s="139" t="s">
        <v>646</v>
      </c>
      <c r="BW61" s="86" t="str">
        <f>VLOOKUP($C61, '_REF Catalog Classes'!$C$6:$E416, COLUMNS('_REF Catalog Classes'!$C$6:$E416), FALSE)</f>
        <v>never</v>
      </c>
      <c r="BX61" s="86"/>
      <c r="BY61" s="86"/>
      <c r="BZ61" s="140" t="s">
        <v>322</v>
      </c>
      <c r="CA61" s="100" t="b">
        <f ca="1">IFERROR(__xludf.DUMMYFUNCTION("IF(REGEXMATCH(Catalog_RewardType,""reward""), VLOOKUP($E61, {'TitleData rewards.items'!$J$9:$J416,'TitleData rewards.items'!$B$9:$B416}, 2, FALSE), """")"),FALSE)</f>
        <v>0</v>
      </c>
    </row>
    <row r="62" spans="1:79" ht="60" hidden="1" x14ac:dyDescent="0.15">
      <c r="A62" s="84" t="s">
        <v>314</v>
      </c>
      <c r="B62" s="82" t="b">
        <v>1</v>
      </c>
      <c r="C62" s="82" t="s">
        <v>625</v>
      </c>
      <c r="D62" s="85" t="b">
        <f>VLOOKUP($C62, '_REF Catalog Classes'!$C$6:$D416, COLUMNS('_REF Catalog Classes'!$C$6:$D416), FALSE)</f>
        <v>1</v>
      </c>
      <c r="E62" s="18" t="s">
        <v>647</v>
      </c>
      <c r="F62" s="82" t="str">
        <f t="shared" si="0"/>
        <v>perkAutoblast:TRUE</v>
      </c>
      <c r="G62" s="18" t="s">
        <v>648</v>
      </c>
      <c r="H62" s="11" t="s">
        <v>649</v>
      </c>
      <c r="I62" s="14" t="s">
        <v>274</v>
      </c>
      <c r="J62" s="141"/>
      <c r="K62" s="141"/>
      <c r="L62" s="141"/>
      <c r="M62" s="82"/>
      <c r="N62" s="142"/>
      <c r="O62" s="14"/>
      <c r="P62" s="14">
        <v>2</v>
      </c>
      <c r="Q62" s="143"/>
      <c r="R62" s="141"/>
      <c r="S62" s="141"/>
      <c r="T62" s="141"/>
      <c r="U62" s="141"/>
      <c r="V62" s="141"/>
      <c r="W62" s="117">
        <v>0</v>
      </c>
      <c r="X62" s="144" t="s">
        <v>319</v>
      </c>
      <c r="Y62" s="90" t="str">
        <f>"file://"&amp;$E62&amp;"-state0-image0"</f>
        <v>file://perkAutoblast-state0-image0</v>
      </c>
      <c r="Z62" s="145"/>
      <c r="AA62" s="146" t="s">
        <v>283</v>
      </c>
      <c r="AB62" s="147" t="s">
        <v>648</v>
      </c>
      <c r="AC62" s="148" t="s">
        <v>650</v>
      </c>
      <c r="AD62" s="148" t="s">
        <v>651</v>
      </c>
      <c r="AE62" s="141"/>
      <c r="AF62" s="147" t="s">
        <v>652</v>
      </c>
      <c r="AG62" s="149"/>
      <c r="AH62" s="141"/>
      <c r="AI62" s="141"/>
      <c r="AJ62" s="141"/>
      <c r="AK62" s="141"/>
      <c r="AL62" s="141"/>
      <c r="AM62" s="141"/>
      <c r="AN62" s="119"/>
      <c r="AO62" s="120"/>
      <c r="AP62" s="95" t="str">
        <f>"file://"&amp;$E62&amp;"-state1-image0"</f>
        <v>file://perkAutoblast-state1-image0</v>
      </c>
      <c r="AQ62" s="120"/>
      <c r="AR62" s="119"/>
      <c r="AS62" s="121"/>
      <c r="AT62" s="93"/>
      <c r="AU62" s="93"/>
      <c r="AV62" s="93"/>
      <c r="AW62" s="149"/>
      <c r="AX62" s="141"/>
      <c r="AY62" s="141"/>
      <c r="AZ62" s="141"/>
      <c r="BA62" s="141"/>
      <c r="BB62" s="141"/>
      <c r="BC62" s="141"/>
      <c r="BD62" s="150">
        <v>2</v>
      </c>
      <c r="BE62" s="98" t="s">
        <v>653</v>
      </c>
      <c r="BF62" s="98"/>
      <c r="BG62" s="151"/>
      <c r="BH62" s="151" t="s">
        <v>283</v>
      </c>
      <c r="BI62" s="152" t="s">
        <v>648</v>
      </c>
      <c r="BJ62" s="98" t="s">
        <v>654</v>
      </c>
      <c r="BK62" s="153" t="s">
        <v>650</v>
      </c>
      <c r="BL62" s="154" t="s">
        <v>651</v>
      </c>
      <c r="BM62" s="141"/>
      <c r="BN62" s="151" t="s">
        <v>652</v>
      </c>
      <c r="BO62" s="141"/>
      <c r="BP62" s="141"/>
      <c r="BQ62" s="141"/>
      <c r="BR62" s="141"/>
      <c r="BS62" s="141"/>
      <c r="BT62" s="141"/>
      <c r="BU62" s="141"/>
      <c r="BV62" s="155" t="s">
        <v>655</v>
      </c>
      <c r="BW62" s="156"/>
      <c r="BX62" s="156"/>
      <c r="BY62" s="156"/>
      <c r="BZ62" s="156"/>
      <c r="CA62" s="100" t="str">
        <f ca="1">IFERROR(__xludf.DUMMYFUNCTION("IF(REGEXMATCH(Catalog_RewardType,""reward""), VLOOKUP($E62, {'TitleData rewards.items'!$J$9:$J416,'TitleData rewards.items'!$B$9:$B416}, 2, FALSE), """")"),"")</f>
        <v/>
      </c>
    </row>
    <row r="63" spans="1:79" ht="56" x14ac:dyDescent="0.15">
      <c r="A63" s="82" t="s">
        <v>269</v>
      </c>
      <c r="B63" s="124"/>
      <c r="C63" s="82" t="s">
        <v>625</v>
      </c>
      <c r="D63" s="85" t="b">
        <f>VLOOKUP($C63, '_REF Catalog Classes'!$C$6:$D416, COLUMNS('_REF Catalog Classes'!$C$6:$D416), FALSE)</f>
        <v>1</v>
      </c>
      <c r="E63" s="106" t="s">
        <v>656</v>
      </c>
      <c r="F63" s="82" t="str">
        <f t="shared" si="0"/>
        <v>perkMultiForce:</v>
      </c>
      <c r="G63" s="106" t="s">
        <v>657</v>
      </c>
      <c r="H63" s="125" t="s">
        <v>658</v>
      </c>
      <c r="I63" s="106" t="s">
        <v>274</v>
      </c>
      <c r="J63" s="106"/>
      <c r="K63" s="106"/>
      <c r="L63" s="126"/>
      <c r="M63" s="82"/>
      <c r="N63" s="127" t="s">
        <v>276</v>
      </c>
      <c r="O63" s="128"/>
      <c r="P63" s="106">
        <v>1</v>
      </c>
      <c r="Q63" s="129"/>
      <c r="R63" s="106"/>
      <c r="S63" s="106"/>
      <c r="T63" s="106"/>
      <c r="U63" s="106"/>
      <c r="V63" s="106"/>
      <c r="W63" s="89">
        <v>0</v>
      </c>
      <c r="X63" s="90" t="s">
        <v>319</v>
      </c>
      <c r="Y63" s="90" t="s">
        <v>659</v>
      </c>
      <c r="Z63" s="130"/>
      <c r="AA63" s="131" t="s">
        <v>283</v>
      </c>
      <c r="AB63" s="130" t="s">
        <v>660</v>
      </c>
      <c r="AC63" s="132" t="s">
        <v>661</v>
      </c>
      <c r="AD63" s="132" t="s">
        <v>662</v>
      </c>
      <c r="AE63" s="130"/>
      <c r="AF63" s="133"/>
      <c r="AG63" s="134"/>
      <c r="AH63" s="133"/>
      <c r="AI63" s="133"/>
      <c r="AJ63" s="133"/>
      <c r="AK63" s="133"/>
      <c r="AL63" s="133"/>
      <c r="AM63" s="133"/>
      <c r="AN63" s="94"/>
      <c r="AO63" s="95"/>
      <c r="AP63" s="95"/>
      <c r="AQ63" s="95"/>
      <c r="AR63" s="94"/>
      <c r="AS63" s="95"/>
      <c r="AT63" s="95"/>
      <c r="AU63" s="95"/>
      <c r="AV63" s="95"/>
      <c r="AW63" s="134"/>
      <c r="AX63" s="133"/>
      <c r="AY63" s="133"/>
      <c r="AZ63" s="133"/>
      <c r="BA63" s="133"/>
      <c r="BB63" s="133"/>
      <c r="BC63" s="133"/>
      <c r="BD63" s="135">
        <v>2</v>
      </c>
      <c r="BE63" s="97" t="s">
        <v>281</v>
      </c>
      <c r="BF63" s="98" t="s">
        <v>659</v>
      </c>
      <c r="BG63" s="136"/>
      <c r="BH63" s="136" t="s">
        <v>283</v>
      </c>
      <c r="BI63" s="136" t="s">
        <v>660</v>
      </c>
      <c r="BJ63" s="93"/>
      <c r="BK63" s="137" t="s">
        <v>661</v>
      </c>
      <c r="BL63" s="138" t="s">
        <v>662</v>
      </c>
      <c r="BM63" s="136"/>
      <c r="BN63" s="133"/>
      <c r="BO63" s="133"/>
      <c r="BP63" s="133"/>
      <c r="BQ63" s="133"/>
      <c r="BR63" s="133"/>
      <c r="BS63" s="133"/>
      <c r="BT63" s="133"/>
      <c r="BU63" s="133"/>
      <c r="BV63" s="139" t="s">
        <v>663</v>
      </c>
      <c r="BW63" s="86" t="str">
        <f>VLOOKUP($C63, '_REF Catalog Classes'!$C$6:$E416, COLUMNS('_REF Catalog Classes'!$C$6:$E416), FALSE)</f>
        <v>never</v>
      </c>
      <c r="BX63" s="86"/>
      <c r="BY63" s="86"/>
      <c r="BZ63" s="140" t="s">
        <v>322</v>
      </c>
      <c r="CA63" s="100" t="b">
        <f ca="1">IFERROR(__xludf.DUMMYFUNCTION("IF(REGEXMATCH(Catalog_RewardType,""reward""), VLOOKUP($E63, {'TitleData rewards.items'!$J$9:$J416,'TitleData rewards.items'!$B$9:$B416}, 2, FALSE), """")"),FALSE)</f>
        <v>0</v>
      </c>
    </row>
    <row r="64" spans="1:79" ht="56" x14ac:dyDescent="0.15">
      <c r="A64" s="82" t="s">
        <v>269</v>
      </c>
      <c r="B64" s="124"/>
      <c r="C64" s="82" t="s">
        <v>625</v>
      </c>
      <c r="D64" s="85" t="b">
        <f>VLOOKUP($C64, '_REF Catalog Classes'!$C$6:$D416, COLUMNS('_REF Catalog Classes'!$C$6:$D416), FALSE)</f>
        <v>1</v>
      </c>
      <c r="E64" s="106" t="s">
        <v>664</v>
      </c>
      <c r="F64" s="82" t="str">
        <f t="shared" si="0"/>
        <v>perkMultiFreeze:</v>
      </c>
      <c r="G64" s="106" t="s">
        <v>665</v>
      </c>
      <c r="H64" s="125" t="s">
        <v>666</v>
      </c>
      <c r="I64" s="106" t="s">
        <v>274</v>
      </c>
      <c r="J64" s="106"/>
      <c r="K64" s="106"/>
      <c r="L64" s="126"/>
      <c r="M64" s="82"/>
      <c r="N64" s="127" t="s">
        <v>301</v>
      </c>
      <c r="O64" s="128"/>
      <c r="P64" s="106">
        <v>3</v>
      </c>
      <c r="Q64" s="129"/>
      <c r="R64" s="106"/>
      <c r="S64" s="106"/>
      <c r="T64" s="106"/>
      <c r="U64" s="106"/>
      <c r="V64" s="106"/>
      <c r="W64" s="89">
        <v>0</v>
      </c>
      <c r="X64" s="90" t="s">
        <v>319</v>
      </c>
      <c r="Y64" s="90" t="s">
        <v>667</v>
      </c>
      <c r="Z64" s="130"/>
      <c r="AA64" s="131" t="s">
        <v>283</v>
      </c>
      <c r="AB64" s="130" t="s">
        <v>668</v>
      </c>
      <c r="AC64" s="132" t="s">
        <v>669</v>
      </c>
      <c r="AD64" s="132" t="s">
        <v>670</v>
      </c>
      <c r="AE64" s="130"/>
      <c r="AF64" s="133"/>
      <c r="AG64" s="134"/>
      <c r="AH64" s="133"/>
      <c r="AI64" s="133"/>
      <c r="AJ64" s="133"/>
      <c r="AK64" s="133"/>
      <c r="AL64" s="133"/>
      <c r="AM64" s="133"/>
      <c r="AN64" s="94"/>
      <c r="AO64" s="95"/>
      <c r="AP64" s="95"/>
      <c r="AQ64" s="95"/>
      <c r="AR64" s="94"/>
      <c r="AS64" s="95"/>
      <c r="AT64" s="95"/>
      <c r="AU64" s="95"/>
      <c r="AV64" s="95"/>
      <c r="AW64" s="134"/>
      <c r="AX64" s="133"/>
      <c r="AY64" s="133"/>
      <c r="AZ64" s="133"/>
      <c r="BA64" s="133"/>
      <c r="BB64" s="133"/>
      <c r="BC64" s="133"/>
      <c r="BD64" s="135">
        <v>2</v>
      </c>
      <c r="BE64" s="97" t="s">
        <v>281</v>
      </c>
      <c r="BF64" s="98" t="s">
        <v>667</v>
      </c>
      <c r="BG64" s="136"/>
      <c r="BH64" s="136" t="s">
        <v>283</v>
      </c>
      <c r="BI64" s="136" t="s">
        <v>668</v>
      </c>
      <c r="BJ64" s="93"/>
      <c r="BK64" s="137" t="s">
        <v>669</v>
      </c>
      <c r="BL64" s="138" t="s">
        <v>670</v>
      </c>
      <c r="BM64" s="136"/>
      <c r="BN64" s="133"/>
      <c r="BO64" s="133"/>
      <c r="BP64" s="133"/>
      <c r="BQ64" s="133"/>
      <c r="BR64" s="133"/>
      <c r="BS64" s="133"/>
      <c r="BT64" s="133"/>
      <c r="BU64" s="133"/>
      <c r="BV64" s="139" t="s">
        <v>671</v>
      </c>
      <c r="BW64" s="86" t="str">
        <f>VLOOKUP($C64, '_REF Catalog Classes'!$C$6:$E416, COLUMNS('_REF Catalog Classes'!$C$6:$E416), FALSE)</f>
        <v>never</v>
      </c>
      <c r="BX64" s="86"/>
      <c r="BY64" s="86"/>
      <c r="BZ64" s="140" t="s">
        <v>322</v>
      </c>
      <c r="CA64" s="100" t="b">
        <f ca="1">IFERROR(__xludf.DUMMYFUNCTION("IF(REGEXMATCH(Catalog_RewardType,""reward""), VLOOKUP($E64, {'TitleData rewards.items'!$J$9:$J416,'TitleData rewards.items'!$B$9:$B416}, 2, FALSE), """")"),FALSE)</f>
        <v>0</v>
      </c>
    </row>
    <row r="65" spans="1:79" ht="56" x14ac:dyDescent="0.15">
      <c r="A65" s="82" t="s">
        <v>269</v>
      </c>
      <c r="B65" s="124"/>
      <c r="C65" s="82" t="s">
        <v>625</v>
      </c>
      <c r="D65" s="85" t="b">
        <f>VLOOKUP($C65, '_REF Catalog Classes'!$C$6:$D416, COLUMNS('_REF Catalog Classes'!$C$6:$D416), FALSE)</f>
        <v>1</v>
      </c>
      <c r="E65" s="106" t="s">
        <v>672</v>
      </c>
      <c r="F65" s="82" t="str">
        <f t="shared" si="0"/>
        <v>perkMultiFire:</v>
      </c>
      <c r="G65" s="106" t="s">
        <v>673</v>
      </c>
      <c r="H65" s="125" t="s">
        <v>674</v>
      </c>
      <c r="I65" s="106" t="s">
        <v>274</v>
      </c>
      <c r="J65" s="106"/>
      <c r="K65" s="106"/>
      <c r="L65" s="126"/>
      <c r="M65" s="82"/>
      <c r="N65" s="127" t="s">
        <v>293</v>
      </c>
      <c r="O65" s="128"/>
      <c r="P65" s="106">
        <v>2</v>
      </c>
      <c r="Q65" s="129"/>
      <c r="R65" s="106"/>
      <c r="S65" s="106"/>
      <c r="T65" s="106"/>
      <c r="U65" s="106"/>
      <c r="V65" s="106"/>
      <c r="W65" s="89">
        <v>0</v>
      </c>
      <c r="X65" s="90" t="s">
        <v>319</v>
      </c>
      <c r="Y65" s="90" t="s">
        <v>675</v>
      </c>
      <c r="Z65" s="130"/>
      <c r="AA65" s="131" t="s">
        <v>283</v>
      </c>
      <c r="AB65" s="130" t="s">
        <v>676</v>
      </c>
      <c r="AC65" s="132" t="s">
        <v>677</v>
      </c>
      <c r="AD65" s="132" t="s">
        <v>678</v>
      </c>
      <c r="AE65" s="130"/>
      <c r="AF65" s="133"/>
      <c r="AG65" s="134"/>
      <c r="AH65" s="133"/>
      <c r="AI65" s="133"/>
      <c r="AJ65" s="133"/>
      <c r="AK65" s="133"/>
      <c r="AL65" s="133"/>
      <c r="AM65" s="133"/>
      <c r="AN65" s="94"/>
      <c r="AO65" s="95"/>
      <c r="AP65" s="95"/>
      <c r="AQ65" s="95"/>
      <c r="AR65" s="94"/>
      <c r="AS65" s="95"/>
      <c r="AT65" s="95"/>
      <c r="AU65" s="95"/>
      <c r="AV65" s="95"/>
      <c r="AW65" s="134"/>
      <c r="AX65" s="133"/>
      <c r="AY65" s="133"/>
      <c r="AZ65" s="133"/>
      <c r="BA65" s="133"/>
      <c r="BB65" s="133"/>
      <c r="BC65" s="133"/>
      <c r="BD65" s="135">
        <v>2</v>
      </c>
      <c r="BE65" s="97" t="s">
        <v>281</v>
      </c>
      <c r="BF65" s="98" t="s">
        <v>675</v>
      </c>
      <c r="BG65" s="136"/>
      <c r="BH65" s="136" t="s">
        <v>283</v>
      </c>
      <c r="BI65" s="136" t="s">
        <v>676</v>
      </c>
      <c r="BJ65" s="93"/>
      <c r="BK65" s="137" t="s">
        <v>677</v>
      </c>
      <c r="BL65" s="138" t="s">
        <v>678</v>
      </c>
      <c r="BM65" s="136"/>
      <c r="BN65" s="133"/>
      <c r="BO65" s="133"/>
      <c r="BP65" s="133"/>
      <c r="BQ65" s="133"/>
      <c r="BR65" s="133"/>
      <c r="BS65" s="133"/>
      <c r="BT65" s="133"/>
      <c r="BU65" s="133"/>
      <c r="BV65" s="139" t="s">
        <v>679</v>
      </c>
      <c r="BW65" s="86" t="str">
        <f>VLOOKUP($C65, '_REF Catalog Classes'!$C$6:$E416, COLUMNS('_REF Catalog Classes'!$C$6:$E416), FALSE)</f>
        <v>never</v>
      </c>
      <c r="BX65" s="86"/>
      <c r="BY65" s="86"/>
      <c r="BZ65" s="140" t="s">
        <v>322</v>
      </c>
      <c r="CA65" s="100" t="b">
        <f ca="1">IFERROR(__xludf.DUMMYFUNCTION("IF(REGEXMATCH(Catalog_RewardType,""reward""), VLOOKUP($E65, {'TitleData rewards.items'!$J$9:$J416,'TitleData rewards.items'!$B$9:$B416}, 2, FALSE), """")"),FALSE)</f>
        <v>0</v>
      </c>
    </row>
    <row r="66" spans="1:79" ht="42" x14ac:dyDescent="0.15">
      <c r="A66" s="82" t="s">
        <v>269</v>
      </c>
      <c r="B66" s="124"/>
      <c r="C66" s="82" t="s">
        <v>625</v>
      </c>
      <c r="D66" s="85" t="b">
        <f>VLOOKUP($C66, '_REF Catalog Classes'!$C$6:$D416, COLUMNS('_REF Catalog Classes'!$C$6:$D416), FALSE)</f>
        <v>1</v>
      </c>
      <c r="E66" s="106" t="s">
        <v>680</v>
      </c>
      <c r="F66" s="82" t="str">
        <f t="shared" si="0"/>
        <v>perkDamageForce:</v>
      </c>
      <c r="G66" s="125" t="s">
        <v>681</v>
      </c>
      <c r="H66" s="125" t="s">
        <v>682</v>
      </c>
      <c r="I66" s="106" t="s">
        <v>274</v>
      </c>
      <c r="J66" s="106"/>
      <c r="K66" s="106"/>
      <c r="L66" s="126"/>
      <c r="M66" s="82"/>
      <c r="N66" s="127" t="s">
        <v>276</v>
      </c>
      <c r="O66" s="128"/>
      <c r="P66" s="106">
        <v>5</v>
      </c>
      <c r="Q66" s="129"/>
      <c r="R66" s="106"/>
      <c r="S66" s="106"/>
      <c r="T66" s="106"/>
      <c r="U66" s="106"/>
      <c r="V66" s="106"/>
      <c r="W66" s="89">
        <v>0</v>
      </c>
      <c r="X66" s="90" t="s">
        <v>319</v>
      </c>
      <c r="Y66" s="90" t="s">
        <v>683</v>
      </c>
      <c r="Z66" s="130"/>
      <c r="AA66" s="131" t="s">
        <v>283</v>
      </c>
      <c r="AB66" s="130" t="s">
        <v>684</v>
      </c>
      <c r="AC66" s="132" t="s">
        <v>685</v>
      </c>
      <c r="AD66" s="132" t="s">
        <v>686</v>
      </c>
      <c r="AE66" s="130"/>
      <c r="AF66" s="133"/>
      <c r="AG66" s="134"/>
      <c r="AH66" s="133"/>
      <c r="AI66" s="133"/>
      <c r="AJ66" s="133"/>
      <c r="AK66" s="133"/>
      <c r="AL66" s="133"/>
      <c r="AM66" s="133"/>
      <c r="AN66" s="94"/>
      <c r="AO66" s="95"/>
      <c r="AP66" s="95"/>
      <c r="AQ66" s="95"/>
      <c r="AR66" s="94"/>
      <c r="AS66" s="95"/>
      <c r="AT66" s="95"/>
      <c r="AU66" s="95"/>
      <c r="AV66" s="95"/>
      <c r="AW66" s="134"/>
      <c r="AX66" s="133"/>
      <c r="AY66" s="133"/>
      <c r="AZ66" s="133"/>
      <c r="BA66" s="133"/>
      <c r="BB66" s="133"/>
      <c r="BC66" s="133"/>
      <c r="BD66" s="135">
        <v>2</v>
      </c>
      <c r="BE66" s="97" t="s">
        <v>281</v>
      </c>
      <c r="BF66" s="98" t="s">
        <v>683</v>
      </c>
      <c r="BG66" s="136"/>
      <c r="BH66" s="136" t="s">
        <v>283</v>
      </c>
      <c r="BI66" s="136" t="s">
        <v>684</v>
      </c>
      <c r="BJ66" s="93"/>
      <c r="BK66" s="137" t="s">
        <v>685</v>
      </c>
      <c r="BL66" s="138" t="s">
        <v>686</v>
      </c>
      <c r="BM66" s="136"/>
      <c r="BN66" s="133"/>
      <c r="BO66" s="133"/>
      <c r="BP66" s="133"/>
      <c r="BQ66" s="133"/>
      <c r="BR66" s="133"/>
      <c r="BS66" s="133"/>
      <c r="BT66" s="133"/>
      <c r="BU66" s="133"/>
      <c r="BV66" s="139" t="s">
        <v>687</v>
      </c>
      <c r="BW66" s="86" t="str">
        <f>VLOOKUP($C66, '_REF Catalog Classes'!$C$6:$E416, COLUMNS('_REF Catalog Classes'!$C$6:$E416), FALSE)</f>
        <v>never</v>
      </c>
      <c r="BX66" s="86"/>
      <c r="BY66" s="86"/>
      <c r="BZ66" s="140" t="s">
        <v>322</v>
      </c>
      <c r="CA66" s="100" t="b">
        <f ca="1">IFERROR(__xludf.DUMMYFUNCTION("IF(REGEXMATCH(Catalog_RewardType,""reward""), VLOOKUP($E66, {'TitleData rewards.items'!$J$9:$J416,'TitleData rewards.items'!$B$9:$B416}, 2, FALSE), """")"),FALSE)</f>
        <v>0</v>
      </c>
    </row>
    <row r="67" spans="1:79" ht="42" x14ac:dyDescent="0.15">
      <c r="A67" s="82" t="s">
        <v>269</v>
      </c>
      <c r="B67" s="124"/>
      <c r="C67" s="82" t="s">
        <v>625</v>
      </c>
      <c r="D67" s="85" t="b">
        <f>VLOOKUP($C67, '_REF Catalog Classes'!$C$6:$D416, COLUMNS('_REF Catalog Classes'!$C$6:$D416), FALSE)</f>
        <v>1</v>
      </c>
      <c r="E67" s="106" t="s">
        <v>688</v>
      </c>
      <c r="F67" s="82" t="str">
        <f t="shared" si="0"/>
        <v>perkDamageFire:</v>
      </c>
      <c r="G67" s="125" t="s">
        <v>689</v>
      </c>
      <c r="H67" s="125" t="s">
        <v>682</v>
      </c>
      <c r="I67" s="106" t="s">
        <v>274</v>
      </c>
      <c r="J67" s="106"/>
      <c r="K67" s="106"/>
      <c r="L67" s="126"/>
      <c r="M67" s="82"/>
      <c r="N67" s="127" t="s">
        <v>293</v>
      </c>
      <c r="O67" s="128"/>
      <c r="P67" s="106">
        <v>6</v>
      </c>
      <c r="Q67" s="129"/>
      <c r="R67" s="106"/>
      <c r="S67" s="106"/>
      <c r="T67" s="106"/>
      <c r="U67" s="106"/>
      <c r="V67" s="106"/>
      <c r="W67" s="89">
        <v>0</v>
      </c>
      <c r="X67" s="90" t="s">
        <v>319</v>
      </c>
      <c r="Y67" s="90" t="s">
        <v>690</v>
      </c>
      <c r="Z67" s="130"/>
      <c r="AA67" s="131" t="s">
        <v>283</v>
      </c>
      <c r="AB67" s="130" t="s">
        <v>691</v>
      </c>
      <c r="AC67" s="132" t="s">
        <v>692</v>
      </c>
      <c r="AD67" s="132" t="s">
        <v>693</v>
      </c>
      <c r="AE67" s="130"/>
      <c r="AF67" s="133"/>
      <c r="AG67" s="134"/>
      <c r="AH67" s="133"/>
      <c r="AI67" s="133"/>
      <c r="AJ67" s="133"/>
      <c r="AK67" s="133"/>
      <c r="AL67" s="133"/>
      <c r="AM67" s="133"/>
      <c r="AN67" s="94"/>
      <c r="AO67" s="95"/>
      <c r="AP67" s="95"/>
      <c r="AQ67" s="95"/>
      <c r="AR67" s="94"/>
      <c r="AS67" s="95"/>
      <c r="AT67" s="95"/>
      <c r="AU67" s="95"/>
      <c r="AV67" s="95"/>
      <c r="AW67" s="134"/>
      <c r="AX67" s="133"/>
      <c r="AY67" s="133"/>
      <c r="AZ67" s="133"/>
      <c r="BA67" s="133"/>
      <c r="BB67" s="133"/>
      <c r="BC67" s="133"/>
      <c r="BD67" s="135">
        <v>2</v>
      </c>
      <c r="BE67" s="97" t="s">
        <v>281</v>
      </c>
      <c r="BF67" s="98" t="s">
        <v>690</v>
      </c>
      <c r="BG67" s="136"/>
      <c r="BH67" s="136" t="s">
        <v>283</v>
      </c>
      <c r="BI67" s="136" t="s">
        <v>691</v>
      </c>
      <c r="BJ67" s="93"/>
      <c r="BK67" s="137" t="s">
        <v>692</v>
      </c>
      <c r="BL67" s="138" t="s">
        <v>693</v>
      </c>
      <c r="BM67" s="136"/>
      <c r="BN67" s="133"/>
      <c r="BO67" s="133"/>
      <c r="BP67" s="133"/>
      <c r="BQ67" s="133"/>
      <c r="BR67" s="133"/>
      <c r="BS67" s="133"/>
      <c r="BT67" s="133"/>
      <c r="BU67" s="133"/>
      <c r="BV67" s="139" t="s">
        <v>694</v>
      </c>
      <c r="BW67" s="86" t="str">
        <f>VLOOKUP($C67, '_REF Catalog Classes'!$C$6:$E416, COLUMNS('_REF Catalog Classes'!$C$6:$E416), FALSE)</f>
        <v>never</v>
      </c>
      <c r="BX67" s="86"/>
      <c r="BY67" s="86"/>
      <c r="BZ67" s="140" t="s">
        <v>322</v>
      </c>
      <c r="CA67" s="100" t="b">
        <f ca="1">IFERROR(__xludf.DUMMYFUNCTION("IF(REGEXMATCH(Catalog_RewardType,""reward""), VLOOKUP($E67, {'TitleData rewards.items'!$J$9:$J416,'TitleData rewards.items'!$B$9:$B416}, 2, FALSE), """")"),FALSE)</f>
        <v>0</v>
      </c>
    </row>
    <row r="68" spans="1:79" ht="42" x14ac:dyDescent="0.15">
      <c r="A68" s="82" t="s">
        <v>269</v>
      </c>
      <c r="B68" s="124"/>
      <c r="C68" s="82" t="s">
        <v>625</v>
      </c>
      <c r="D68" s="85" t="b">
        <f>VLOOKUP($C68, '_REF Catalog Classes'!$C$6:$D416, COLUMNS('_REF Catalog Classes'!$C$6:$D416), FALSE)</f>
        <v>1</v>
      </c>
      <c r="E68" s="27" t="s">
        <v>695</v>
      </c>
      <c r="F68" s="82" t="str">
        <f t="shared" si="0"/>
        <v>perkDamageFreeze:</v>
      </c>
      <c r="G68" s="125" t="s">
        <v>696</v>
      </c>
      <c r="H68" s="125" t="s">
        <v>682</v>
      </c>
      <c r="I68" s="106" t="s">
        <v>274</v>
      </c>
      <c r="J68" s="106"/>
      <c r="K68" s="106"/>
      <c r="L68" s="126"/>
      <c r="M68" s="82"/>
      <c r="N68" s="127" t="s">
        <v>301</v>
      </c>
      <c r="O68" s="128"/>
      <c r="P68" s="106">
        <v>7</v>
      </c>
      <c r="Q68" s="129"/>
      <c r="R68" s="106"/>
      <c r="S68" s="106"/>
      <c r="T68" s="106"/>
      <c r="U68" s="106"/>
      <c r="V68" s="106"/>
      <c r="W68" s="89">
        <v>0</v>
      </c>
      <c r="X68" s="90" t="s">
        <v>319</v>
      </c>
      <c r="Y68" s="90" t="s">
        <v>697</v>
      </c>
      <c r="Z68" s="130"/>
      <c r="AA68" s="131" t="s">
        <v>283</v>
      </c>
      <c r="AB68" s="130" t="s">
        <v>698</v>
      </c>
      <c r="AC68" s="132" t="s">
        <v>699</v>
      </c>
      <c r="AD68" s="132" t="s">
        <v>700</v>
      </c>
      <c r="AE68" s="130"/>
      <c r="AF68" s="133"/>
      <c r="AG68" s="134"/>
      <c r="AH68" s="133"/>
      <c r="AI68" s="133"/>
      <c r="AJ68" s="133"/>
      <c r="AK68" s="133"/>
      <c r="AL68" s="133"/>
      <c r="AM68" s="133"/>
      <c r="AN68" s="94"/>
      <c r="AO68" s="95"/>
      <c r="AP68" s="95"/>
      <c r="AQ68" s="95"/>
      <c r="AR68" s="94"/>
      <c r="AS68" s="95"/>
      <c r="AT68" s="95"/>
      <c r="AU68" s="95"/>
      <c r="AV68" s="95"/>
      <c r="AW68" s="134"/>
      <c r="AX68" s="133"/>
      <c r="AY68" s="133"/>
      <c r="AZ68" s="133"/>
      <c r="BA68" s="133"/>
      <c r="BB68" s="133"/>
      <c r="BC68" s="133"/>
      <c r="BD68" s="135">
        <v>2</v>
      </c>
      <c r="BE68" s="97" t="s">
        <v>281</v>
      </c>
      <c r="BF68" s="98" t="s">
        <v>697</v>
      </c>
      <c r="BG68" s="136"/>
      <c r="BH68" s="136" t="s">
        <v>283</v>
      </c>
      <c r="BI68" s="136" t="s">
        <v>698</v>
      </c>
      <c r="BJ68" s="93"/>
      <c r="BK68" s="137" t="s">
        <v>699</v>
      </c>
      <c r="BL68" s="138" t="s">
        <v>700</v>
      </c>
      <c r="BM68" s="136"/>
      <c r="BN68" s="133"/>
      <c r="BO68" s="133"/>
      <c r="BP68" s="133"/>
      <c r="BQ68" s="133"/>
      <c r="BR68" s="133"/>
      <c r="BS68" s="133"/>
      <c r="BT68" s="133"/>
      <c r="BU68" s="133"/>
      <c r="BV68" s="139" t="s">
        <v>701</v>
      </c>
      <c r="BW68" s="86" t="str">
        <f>VLOOKUP($C68, '_REF Catalog Classes'!$C$6:$E416, COLUMNS('_REF Catalog Classes'!$C$6:$E416), FALSE)</f>
        <v>never</v>
      </c>
      <c r="BX68" s="86"/>
      <c r="BY68" s="86"/>
      <c r="BZ68" s="140" t="s">
        <v>322</v>
      </c>
      <c r="CA68" s="100" t="b">
        <f ca="1">IFERROR(__xludf.DUMMYFUNCTION("IF(REGEXMATCH(Catalog_RewardType,""reward""), VLOOKUP($E68, {'TitleData rewards.items'!$J$9:$J416,'TitleData rewards.items'!$B$9:$B416}, 2, FALSE), """")"),FALSE)</f>
        <v>0</v>
      </c>
    </row>
    <row r="69" spans="1:79" ht="60" hidden="1" x14ac:dyDescent="0.15">
      <c r="A69" s="84" t="s">
        <v>314</v>
      </c>
      <c r="B69" s="82" t="b">
        <v>1</v>
      </c>
      <c r="C69" s="82" t="s">
        <v>625</v>
      </c>
      <c r="D69" s="85" t="b">
        <f>VLOOKUP($C69, '_REF Catalog Classes'!$C$6:$D416, COLUMNS('_REF Catalog Classes'!$C$6:$D416), FALSE)</f>
        <v>1</v>
      </c>
      <c r="E69" s="18" t="s">
        <v>702</v>
      </c>
      <c r="F69" s="82" t="str">
        <f t="shared" si="0"/>
        <v>perkFasterBlasts:TRUE</v>
      </c>
      <c r="G69" s="18" t="s">
        <v>703</v>
      </c>
      <c r="H69" s="11" t="s">
        <v>704</v>
      </c>
      <c r="I69" s="14" t="s">
        <v>274</v>
      </c>
      <c r="J69" s="141"/>
      <c r="K69" s="141"/>
      <c r="L69" s="141"/>
      <c r="M69" s="82"/>
      <c r="N69" s="142"/>
      <c r="O69" s="14"/>
      <c r="P69" s="14">
        <v>9</v>
      </c>
      <c r="Q69" s="143"/>
      <c r="R69" s="141"/>
      <c r="S69" s="141"/>
      <c r="T69" s="141"/>
      <c r="U69" s="141"/>
      <c r="V69" s="141"/>
      <c r="W69" s="117">
        <v>0</v>
      </c>
      <c r="X69" s="144" t="s">
        <v>319</v>
      </c>
      <c r="Y69" s="90" t="str">
        <f>"file://"&amp;$E69&amp;"-state0-image0"</f>
        <v>file://perkFasterBlasts-state0-image0</v>
      </c>
      <c r="Z69" s="145"/>
      <c r="AA69" s="146" t="s">
        <v>283</v>
      </c>
      <c r="AB69" s="147" t="s">
        <v>703</v>
      </c>
      <c r="AC69" s="148" t="s">
        <v>705</v>
      </c>
      <c r="AD69" s="148" t="s">
        <v>706</v>
      </c>
      <c r="AE69" s="141"/>
      <c r="AF69" s="147" t="s">
        <v>652</v>
      </c>
      <c r="AG69" s="149"/>
      <c r="AH69" s="141"/>
      <c r="AI69" s="141"/>
      <c r="AJ69" s="141"/>
      <c r="AK69" s="141"/>
      <c r="AL69" s="141"/>
      <c r="AM69" s="141"/>
      <c r="AN69" s="119"/>
      <c r="AO69" s="120"/>
      <c r="AP69" s="95" t="str">
        <f>"file://"&amp;$E69&amp;"-state1-image0"</f>
        <v>file://perkFasterBlasts-state1-image0</v>
      </c>
      <c r="AQ69" s="120"/>
      <c r="AR69" s="119"/>
      <c r="AS69" s="121"/>
      <c r="AT69" s="93"/>
      <c r="AU69" s="93"/>
      <c r="AV69" s="93"/>
      <c r="AW69" s="149"/>
      <c r="AX69" s="141"/>
      <c r="AY69" s="141"/>
      <c r="AZ69" s="141"/>
      <c r="BA69" s="141"/>
      <c r="BB69" s="141"/>
      <c r="BC69" s="141"/>
      <c r="BD69" s="150">
        <v>2</v>
      </c>
      <c r="BE69" s="98" t="s">
        <v>653</v>
      </c>
      <c r="BF69" s="98"/>
      <c r="BG69" s="151"/>
      <c r="BH69" s="151" t="s">
        <v>283</v>
      </c>
      <c r="BI69" s="152" t="s">
        <v>703</v>
      </c>
      <c r="BJ69" s="98" t="s">
        <v>654</v>
      </c>
      <c r="BK69" s="157" t="s">
        <v>705</v>
      </c>
      <c r="BL69" s="154" t="s">
        <v>706</v>
      </c>
      <c r="BM69" s="141"/>
      <c r="BN69" s="151" t="s">
        <v>652</v>
      </c>
      <c r="BO69" s="141"/>
      <c r="BP69" s="141"/>
      <c r="BQ69" s="141"/>
      <c r="BR69" s="141"/>
      <c r="BS69" s="141"/>
      <c r="BT69" s="141"/>
      <c r="BU69" s="141"/>
      <c r="BV69" s="155" t="s">
        <v>655</v>
      </c>
      <c r="BW69" s="156"/>
      <c r="BX69" s="156"/>
      <c r="BY69" s="156"/>
      <c r="BZ69" s="156"/>
      <c r="CA69" s="100" t="str">
        <f ca="1">IFERROR(__xludf.DUMMYFUNCTION("IF(REGEXMATCH(Catalog_RewardType,""reward""), VLOOKUP($E69, {'TitleData rewards.items'!$J$9:$J416,'TitleData rewards.items'!$B$9:$B416}, 2, FALSE), """")"),"")</f>
        <v/>
      </c>
    </row>
    <row r="70" spans="1:79" ht="42" x14ac:dyDescent="0.15">
      <c r="A70" s="82" t="s">
        <v>269</v>
      </c>
      <c r="B70" s="124"/>
      <c r="C70" s="82" t="s">
        <v>625</v>
      </c>
      <c r="D70" s="85" t="b">
        <f>VLOOKUP($C70, '_REF Catalog Classes'!$C$6:$D416, COLUMNS('_REF Catalog Classes'!$C$6:$D416), FALSE)</f>
        <v>1</v>
      </c>
      <c r="E70" s="27" t="s">
        <v>707</v>
      </c>
      <c r="F70" s="82" t="str">
        <f t="shared" si="0"/>
        <v>perkDamageLightning:</v>
      </c>
      <c r="G70" s="125" t="s">
        <v>708</v>
      </c>
      <c r="H70" s="125" t="s">
        <v>682</v>
      </c>
      <c r="I70" s="106" t="s">
        <v>274</v>
      </c>
      <c r="J70" s="106"/>
      <c r="K70" s="106"/>
      <c r="L70" s="126"/>
      <c r="M70" s="82"/>
      <c r="N70" s="127" t="s">
        <v>309</v>
      </c>
      <c r="O70" s="128"/>
      <c r="P70" s="106">
        <v>8</v>
      </c>
      <c r="Q70" s="129"/>
      <c r="R70" s="106"/>
      <c r="S70" s="106"/>
      <c r="T70" s="106"/>
      <c r="U70" s="106"/>
      <c r="V70" s="106"/>
      <c r="W70" s="89">
        <v>0</v>
      </c>
      <c r="X70" s="90" t="s">
        <v>319</v>
      </c>
      <c r="Y70" s="90" t="s">
        <v>709</v>
      </c>
      <c r="Z70" s="130"/>
      <c r="AA70" s="131" t="s">
        <v>283</v>
      </c>
      <c r="AB70" s="130" t="s">
        <v>710</v>
      </c>
      <c r="AC70" s="132" t="s">
        <v>711</v>
      </c>
      <c r="AD70" s="132" t="s">
        <v>712</v>
      </c>
      <c r="AE70" s="130"/>
      <c r="AF70" s="133"/>
      <c r="AG70" s="134"/>
      <c r="AH70" s="133"/>
      <c r="AI70" s="133"/>
      <c r="AJ70" s="133"/>
      <c r="AK70" s="133"/>
      <c r="AL70" s="133"/>
      <c r="AM70" s="133"/>
      <c r="AN70" s="94"/>
      <c r="AO70" s="95"/>
      <c r="AP70" s="95"/>
      <c r="AQ70" s="95"/>
      <c r="AR70" s="94"/>
      <c r="AS70" s="95"/>
      <c r="AT70" s="95"/>
      <c r="AU70" s="95"/>
      <c r="AV70" s="95"/>
      <c r="AW70" s="134"/>
      <c r="AX70" s="133"/>
      <c r="AY70" s="133"/>
      <c r="AZ70" s="133"/>
      <c r="BA70" s="133"/>
      <c r="BB70" s="133"/>
      <c r="BC70" s="133"/>
      <c r="BD70" s="135">
        <v>2</v>
      </c>
      <c r="BE70" s="97" t="s">
        <v>281</v>
      </c>
      <c r="BF70" s="98" t="s">
        <v>709</v>
      </c>
      <c r="BG70" s="136"/>
      <c r="BH70" s="136" t="s">
        <v>283</v>
      </c>
      <c r="BI70" s="136" t="s">
        <v>710</v>
      </c>
      <c r="BJ70" s="93"/>
      <c r="BK70" s="137" t="s">
        <v>711</v>
      </c>
      <c r="BL70" s="138" t="s">
        <v>712</v>
      </c>
      <c r="BM70" s="136"/>
      <c r="BN70" s="133"/>
      <c r="BO70" s="133"/>
      <c r="BP70" s="133"/>
      <c r="BQ70" s="133"/>
      <c r="BR70" s="133"/>
      <c r="BS70" s="133"/>
      <c r="BT70" s="133"/>
      <c r="BU70" s="133"/>
      <c r="BV70" s="139" t="s">
        <v>713</v>
      </c>
      <c r="BW70" s="86" t="str">
        <f>VLOOKUP($C70, '_REF Catalog Classes'!$C$6:$E416, COLUMNS('_REF Catalog Classes'!$C$6:$E416), FALSE)</f>
        <v>never</v>
      </c>
      <c r="BX70" s="86"/>
      <c r="BY70" s="86"/>
      <c r="BZ70" s="140" t="s">
        <v>322</v>
      </c>
      <c r="CA70" s="100" t="b">
        <f ca="1">IFERROR(__xludf.DUMMYFUNCTION("IF(REGEXMATCH(Catalog_RewardType,""reward""), VLOOKUP($E70, {'TitleData rewards.items'!$J$9:$J416,'TitleData rewards.items'!$B$9:$B416}, 2, FALSE), """")"),FALSE)</f>
        <v>0</v>
      </c>
    </row>
    <row r="71" spans="1:79" ht="42" x14ac:dyDescent="0.15">
      <c r="A71" s="82" t="s">
        <v>269</v>
      </c>
      <c r="B71" s="124"/>
      <c r="C71" s="82" t="s">
        <v>625</v>
      </c>
      <c r="D71" s="85" t="b">
        <f>VLOOKUP($C71, '_REF Catalog Classes'!$C$6:$D416, COLUMNS('_REF Catalog Classes'!$C$6:$D416), FALSE)</f>
        <v>1</v>
      </c>
      <c r="E71" s="106" t="s">
        <v>714</v>
      </c>
      <c r="F71" s="82" t="str">
        <f t="shared" si="0"/>
        <v>perkSpreadForce:</v>
      </c>
      <c r="G71" s="125" t="s">
        <v>715</v>
      </c>
      <c r="H71" s="125" t="s">
        <v>716</v>
      </c>
      <c r="I71" s="106" t="s">
        <v>274</v>
      </c>
      <c r="J71" s="106"/>
      <c r="K71" s="106"/>
      <c r="L71" s="126"/>
      <c r="M71" s="82"/>
      <c r="N71" s="127" t="s">
        <v>276</v>
      </c>
      <c r="O71" s="128"/>
      <c r="P71" s="106">
        <v>9</v>
      </c>
      <c r="Q71" s="129"/>
      <c r="R71" s="106"/>
      <c r="S71" s="106"/>
      <c r="T71" s="106"/>
      <c r="U71" s="106"/>
      <c r="V71" s="106"/>
      <c r="W71" s="89">
        <v>0</v>
      </c>
      <c r="X71" s="90" t="s">
        <v>319</v>
      </c>
      <c r="Y71" s="90" t="s">
        <v>717</v>
      </c>
      <c r="Z71" s="130"/>
      <c r="AA71" s="131" t="s">
        <v>283</v>
      </c>
      <c r="AB71" s="130" t="s">
        <v>718</v>
      </c>
      <c r="AC71" s="132" t="s">
        <v>719</v>
      </c>
      <c r="AD71" s="132" t="s">
        <v>720</v>
      </c>
      <c r="AE71" s="130"/>
      <c r="AF71" s="133"/>
      <c r="AG71" s="134"/>
      <c r="AH71" s="133"/>
      <c r="AI71" s="133"/>
      <c r="AJ71" s="133"/>
      <c r="AK71" s="133"/>
      <c r="AL71" s="133"/>
      <c r="AM71" s="133"/>
      <c r="AN71" s="94"/>
      <c r="AO71" s="95"/>
      <c r="AP71" s="95"/>
      <c r="AQ71" s="95"/>
      <c r="AR71" s="94"/>
      <c r="AS71" s="95"/>
      <c r="AT71" s="95"/>
      <c r="AU71" s="95"/>
      <c r="AV71" s="95"/>
      <c r="AW71" s="134"/>
      <c r="AX71" s="133"/>
      <c r="AY71" s="133"/>
      <c r="AZ71" s="133"/>
      <c r="BA71" s="133"/>
      <c r="BB71" s="133"/>
      <c r="BC71" s="133"/>
      <c r="BD71" s="135">
        <v>2</v>
      </c>
      <c r="BE71" s="97" t="s">
        <v>281</v>
      </c>
      <c r="BF71" s="98" t="s">
        <v>717</v>
      </c>
      <c r="BG71" s="136"/>
      <c r="BH71" s="136" t="s">
        <v>283</v>
      </c>
      <c r="BI71" s="136" t="s">
        <v>718</v>
      </c>
      <c r="BJ71" s="93"/>
      <c r="BK71" s="137" t="s">
        <v>719</v>
      </c>
      <c r="BL71" s="138" t="s">
        <v>720</v>
      </c>
      <c r="BM71" s="136"/>
      <c r="BN71" s="133"/>
      <c r="BO71" s="133"/>
      <c r="BP71" s="133"/>
      <c r="BQ71" s="133"/>
      <c r="BR71" s="133"/>
      <c r="BS71" s="133"/>
      <c r="BT71" s="133"/>
      <c r="BU71" s="133"/>
      <c r="BV71" s="139" t="s">
        <v>721</v>
      </c>
      <c r="BW71" s="86" t="str">
        <f>VLOOKUP($C71, '_REF Catalog Classes'!$C$6:$E416, COLUMNS('_REF Catalog Classes'!$C$6:$E416), FALSE)</f>
        <v>never</v>
      </c>
      <c r="BX71" s="86"/>
      <c r="BY71" s="86"/>
      <c r="BZ71" s="140" t="s">
        <v>322</v>
      </c>
      <c r="CA71" s="100" t="b">
        <f ca="1">IFERROR(__xludf.DUMMYFUNCTION("IF(REGEXMATCH(Catalog_RewardType,""reward""), VLOOKUP($E71, {'TitleData rewards.items'!$J$9:$J416,'TitleData rewards.items'!$B$9:$B416}, 2, FALSE), """")"),FALSE)</f>
        <v>0</v>
      </c>
    </row>
    <row r="72" spans="1:79" ht="42" x14ac:dyDescent="0.15">
      <c r="A72" s="82" t="s">
        <v>269</v>
      </c>
      <c r="B72" s="124"/>
      <c r="C72" s="82" t="s">
        <v>625</v>
      </c>
      <c r="D72" s="85" t="b">
        <f>VLOOKUP($C72, '_REF Catalog Classes'!$C$6:$D416, COLUMNS('_REF Catalog Classes'!$C$6:$D416), FALSE)</f>
        <v>1</v>
      </c>
      <c r="E72" s="106" t="s">
        <v>722</v>
      </c>
      <c r="F72" s="82" t="str">
        <f t="shared" si="0"/>
        <v>perkSpreadFire:</v>
      </c>
      <c r="G72" s="125" t="s">
        <v>723</v>
      </c>
      <c r="H72" s="125" t="s">
        <v>716</v>
      </c>
      <c r="I72" s="106" t="s">
        <v>274</v>
      </c>
      <c r="J72" s="106"/>
      <c r="K72" s="106"/>
      <c r="L72" s="126"/>
      <c r="M72" s="82"/>
      <c r="N72" s="127" t="s">
        <v>293</v>
      </c>
      <c r="O72" s="128"/>
      <c r="P72" s="106">
        <v>10</v>
      </c>
      <c r="Q72" s="129"/>
      <c r="R72" s="106"/>
      <c r="S72" s="106"/>
      <c r="T72" s="106"/>
      <c r="U72" s="106"/>
      <c r="V72" s="106"/>
      <c r="W72" s="89">
        <v>0</v>
      </c>
      <c r="X72" s="90" t="s">
        <v>319</v>
      </c>
      <c r="Y72" s="90" t="s">
        <v>724</v>
      </c>
      <c r="Z72" s="130"/>
      <c r="AA72" s="131" t="s">
        <v>283</v>
      </c>
      <c r="AB72" s="130" t="s">
        <v>725</v>
      </c>
      <c r="AC72" s="132" t="s">
        <v>726</v>
      </c>
      <c r="AD72" s="132" t="s">
        <v>727</v>
      </c>
      <c r="AE72" s="130"/>
      <c r="AF72" s="133"/>
      <c r="AG72" s="134"/>
      <c r="AH72" s="133"/>
      <c r="AI72" s="133"/>
      <c r="AJ72" s="133"/>
      <c r="AK72" s="133"/>
      <c r="AL72" s="133"/>
      <c r="AM72" s="133"/>
      <c r="AN72" s="94"/>
      <c r="AO72" s="95"/>
      <c r="AP72" s="95"/>
      <c r="AQ72" s="95"/>
      <c r="AR72" s="94"/>
      <c r="AS72" s="95"/>
      <c r="AT72" s="95"/>
      <c r="AU72" s="95"/>
      <c r="AV72" s="95"/>
      <c r="AW72" s="134"/>
      <c r="AX72" s="133"/>
      <c r="AY72" s="133"/>
      <c r="AZ72" s="133"/>
      <c r="BA72" s="133"/>
      <c r="BB72" s="133"/>
      <c r="BC72" s="133"/>
      <c r="BD72" s="135">
        <v>2</v>
      </c>
      <c r="BE72" s="97" t="s">
        <v>281</v>
      </c>
      <c r="BF72" s="98" t="s">
        <v>724</v>
      </c>
      <c r="BG72" s="136"/>
      <c r="BH72" s="136" t="s">
        <v>283</v>
      </c>
      <c r="BI72" s="136" t="s">
        <v>725</v>
      </c>
      <c r="BJ72" s="93"/>
      <c r="BK72" s="137" t="s">
        <v>726</v>
      </c>
      <c r="BL72" s="138" t="s">
        <v>727</v>
      </c>
      <c r="BM72" s="136"/>
      <c r="BN72" s="133"/>
      <c r="BO72" s="133"/>
      <c r="BP72" s="133"/>
      <c r="BQ72" s="133"/>
      <c r="BR72" s="133"/>
      <c r="BS72" s="133"/>
      <c r="BT72" s="133"/>
      <c r="BU72" s="133"/>
      <c r="BV72" s="139" t="s">
        <v>728</v>
      </c>
      <c r="BW72" s="86" t="str">
        <f>VLOOKUP($C72, '_REF Catalog Classes'!$C$6:$E416, COLUMNS('_REF Catalog Classes'!$C$6:$E416), FALSE)</f>
        <v>never</v>
      </c>
      <c r="BX72" s="86"/>
      <c r="BY72" s="86"/>
      <c r="BZ72" s="140" t="s">
        <v>322</v>
      </c>
      <c r="CA72" s="100" t="b">
        <f ca="1">IFERROR(__xludf.DUMMYFUNCTION("IF(REGEXMATCH(Catalog_RewardType,""reward""), VLOOKUP($E72, {'TitleData rewards.items'!$J$9:$J416,'TitleData rewards.items'!$B$9:$B416}, 2, FALSE), """")"),FALSE)</f>
        <v>0</v>
      </c>
    </row>
    <row r="73" spans="1:79" ht="42" x14ac:dyDescent="0.15">
      <c r="A73" s="82" t="s">
        <v>269</v>
      </c>
      <c r="B73" s="124"/>
      <c r="C73" s="82" t="s">
        <v>625</v>
      </c>
      <c r="D73" s="85" t="b">
        <f>VLOOKUP($C73, '_REF Catalog Classes'!$C$6:$D416, COLUMNS('_REF Catalog Classes'!$C$6:$D416), FALSE)</f>
        <v>1</v>
      </c>
      <c r="E73" s="106" t="s">
        <v>729</v>
      </c>
      <c r="F73" s="82" t="str">
        <f t="shared" si="0"/>
        <v>perkSpreadFreeze:</v>
      </c>
      <c r="G73" s="125" t="s">
        <v>730</v>
      </c>
      <c r="H73" s="125" t="s">
        <v>716</v>
      </c>
      <c r="I73" s="106" t="s">
        <v>274</v>
      </c>
      <c r="J73" s="106"/>
      <c r="K73" s="106"/>
      <c r="L73" s="126"/>
      <c r="M73" s="82"/>
      <c r="N73" s="127" t="s">
        <v>301</v>
      </c>
      <c r="O73" s="128"/>
      <c r="P73" s="106">
        <v>11</v>
      </c>
      <c r="Q73" s="129"/>
      <c r="R73" s="106"/>
      <c r="S73" s="106"/>
      <c r="T73" s="106"/>
      <c r="U73" s="106"/>
      <c r="V73" s="106"/>
      <c r="W73" s="89">
        <v>0</v>
      </c>
      <c r="X73" s="90" t="s">
        <v>319</v>
      </c>
      <c r="Y73" s="90" t="s">
        <v>731</v>
      </c>
      <c r="Z73" s="130"/>
      <c r="AA73" s="131" t="s">
        <v>283</v>
      </c>
      <c r="AB73" s="130" t="s">
        <v>732</v>
      </c>
      <c r="AC73" s="132" t="s">
        <v>733</v>
      </c>
      <c r="AD73" s="132" t="s">
        <v>734</v>
      </c>
      <c r="AE73" s="130"/>
      <c r="AF73" s="133"/>
      <c r="AG73" s="134"/>
      <c r="AH73" s="133"/>
      <c r="AI73" s="133"/>
      <c r="AJ73" s="133"/>
      <c r="AK73" s="133"/>
      <c r="AL73" s="133"/>
      <c r="AM73" s="133"/>
      <c r="AN73" s="94"/>
      <c r="AO73" s="95"/>
      <c r="AP73" s="95"/>
      <c r="AQ73" s="95"/>
      <c r="AR73" s="94"/>
      <c r="AS73" s="95"/>
      <c r="AT73" s="95"/>
      <c r="AU73" s="95"/>
      <c r="AV73" s="95"/>
      <c r="AW73" s="134"/>
      <c r="AX73" s="133"/>
      <c r="AY73" s="133"/>
      <c r="AZ73" s="133"/>
      <c r="BA73" s="133"/>
      <c r="BB73" s="133"/>
      <c r="BC73" s="133"/>
      <c r="BD73" s="135">
        <v>2</v>
      </c>
      <c r="BE73" s="97" t="s">
        <v>281</v>
      </c>
      <c r="BF73" s="98" t="s">
        <v>731</v>
      </c>
      <c r="BG73" s="136"/>
      <c r="BH73" s="136" t="s">
        <v>283</v>
      </c>
      <c r="BI73" s="136" t="s">
        <v>732</v>
      </c>
      <c r="BJ73" s="93"/>
      <c r="BK73" s="137" t="s">
        <v>733</v>
      </c>
      <c r="BL73" s="138" t="s">
        <v>734</v>
      </c>
      <c r="BM73" s="136"/>
      <c r="BN73" s="133"/>
      <c r="BO73" s="133"/>
      <c r="BP73" s="133"/>
      <c r="BQ73" s="133"/>
      <c r="BR73" s="133"/>
      <c r="BS73" s="133"/>
      <c r="BT73" s="133"/>
      <c r="BU73" s="133"/>
      <c r="BV73" s="139" t="s">
        <v>735</v>
      </c>
      <c r="BW73" s="86" t="str">
        <f>VLOOKUP($C73, '_REF Catalog Classes'!$C$6:$E416, COLUMNS('_REF Catalog Classes'!$C$6:$E416), FALSE)</f>
        <v>never</v>
      </c>
      <c r="BX73" s="86"/>
      <c r="BY73" s="86"/>
      <c r="BZ73" s="140" t="s">
        <v>322</v>
      </c>
      <c r="CA73" s="100" t="b">
        <f ca="1">IFERROR(__xludf.DUMMYFUNCTION("IF(REGEXMATCH(Catalog_RewardType,""reward""), VLOOKUP($E73, {'TitleData rewards.items'!$J$9:$J416,'TitleData rewards.items'!$B$9:$B416}, 2, FALSE), """")"),FALSE)</f>
        <v>0</v>
      </c>
    </row>
    <row r="74" spans="1:79" ht="42" x14ac:dyDescent="0.15">
      <c r="A74" s="82" t="s">
        <v>269</v>
      </c>
      <c r="B74" s="124"/>
      <c r="C74" s="82" t="s">
        <v>625</v>
      </c>
      <c r="D74" s="85" t="b">
        <f>VLOOKUP($C74, '_REF Catalog Classes'!$C$6:$D416, COLUMNS('_REF Catalog Classes'!$C$6:$D416), FALSE)</f>
        <v>1</v>
      </c>
      <c r="E74" s="106" t="s">
        <v>736</v>
      </c>
      <c r="F74" s="82" t="str">
        <f t="shared" si="0"/>
        <v>perkSpreadLightning:</v>
      </c>
      <c r="G74" s="125" t="s">
        <v>737</v>
      </c>
      <c r="H74" s="125" t="s">
        <v>716</v>
      </c>
      <c r="I74" s="106" t="s">
        <v>274</v>
      </c>
      <c r="J74" s="106"/>
      <c r="K74" s="106"/>
      <c r="L74" s="126"/>
      <c r="M74" s="82"/>
      <c r="N74" s="127" t="s">
        <v>309</v>
      </c>
      <c r="O74" s="128"/>
      <c r="P74" s="106">
        <v>12</v>
      </c>
      <c r="Q74" s="129"/>
      <c r="R74" s="106"/>
      <c r="S74" s="106"/>
      <c r="T74" s="106"/>
      <c r="U74" s="106"/>
      <c r="V74" s="106"/>
      <c r="W74" s="89">
        <v>0</v>
      </c>
      <c r="X74" s="90" t="s">
        <v>319</v>
      </c>
      <c r="Y74" s="90" t="s">
        <v>738</v>
      </c>
      <c r="Z74" s="130"/>
      <c r="AA74" s="131" t="s">
        <v>283</v>
      </c>
      <c r="AB74" s="130" t="s">
        <v>739</v>
      </c>
      <c r="AC74" s="132" t="s">
        <v>740</v>
      </c>
      <c r="AD74" s="132" t="s">
        <v>741</v>
      </c>
      <c r="AE74" s="130"/>
      <c r="AF74" s="133"/>
      <c r="AG74" s="134"/>
      <c r="AH74" s="133"/>
      <c r="AI74" s="133"/>
      <c r="AJ74" s="133"/>
      <c r="AK74" s="133"/>
      <c r="AL74" s="133"/>
      <c r="AM74" s="133"/>
      <c r="AN74" s="94"/>
      <c r="AO74" s="95"/>
      <c r="AP74" s="95"/>
      <c r="AQ74" s="95"/>
      <c r="AR74" s="94"/>
      <c r="AS74" s="95"/>
      <c r="AT74" s="95"/>
      <c r="AU74" s="95"/>
      <c r="AV74" s="95"/>
      <c r="AW74" s="134"/>
      <c r="AX74" s="133"/>
      <c r="AY74" s="133"/>
      <c r="AZ74" s="133"/>
      <c r="BA74" s="133"/>
      <c r="BB74" s="133"/>
      <c r="BC74" s="133"/>
      <c r="BD74" s="135">
        <v>2</v>
      </c>
      <c r="BE74" s="97" t="s">
        <v>281</v>
      </c>
      <c r="BF74" s="98" t="s">
        <v>738</v>
      </c>
      <c r="BG74" s="136"/>
      <c r="BH74" s="136" t="s">
        <v>283</v>
      </c>
      <c r="BI74" s="136" t="s">
        <v>739</v>
      </c>
      <c r="BJ74" s="93"/>
      <c r="BK74" s="137" t="s">
        <v>740</v>
      </c>
      <c r="BL74" s="138" t="s">
        <v>741</v>
      </c>
      <c r="BM74" s="136"/>
      <c r="BN74" s="133"/>
      <c r="BO74" s="133"/>
      <c r="BP74" s="133"/>
      <c r="BQ74" s="133"/>
      <c r="BR74" s="133"/>
      <c r="BS74" s="133"/>
      <c r="BT74" s="133"/>
      <c r="BU74" s="133"/>
      <c r="BV74" s="139" t="s">
        <v>742</v>
      </c>
      <c r="BW74" s="86" t="str">
        <f>VLOOKUP($C74, '_REF Catalog Classes'!$C$6:$E416, COLUMNS('_REF Catalog Classes'!$C$6:$E416), FALSE)</f>
        <v>never</v>
      </c>
      <c r="BX74" s="86"/>
      <c r="BY74" s="86"/>
      <c r="BZ74" s="140" t="s">
        <v>322</v>
      </c>
      <c r="CA74" s="100" t="b">
        <f ca="1">IFERROR(__xludf.DUMMYFUNCTION("IF(REGEXMATCH(Catalog_RewardType,""reward""), VLOOKUP($E74, {'TitleData rewards.items'!$J$9:$J416,'TitleData rewards.items'!$B$9:$B416}, 2, FALSE), """")"),FALSE)</f>
        <v>0</v>
      </c>
    </row>
    <row r="75" spans="1:79" ht="70" x14ac:dyDescent="0.15">
      <c r="A75" s="82" t="s">
        <v>269</v>
      </c>
      <c r="B75" s="124"/>
      <c r="C75" s="82" t="s">
        <v>625</v>
      </c>
      <c r="D75" s="85" t="b">
        <f>VLOOKUP($C75, '_REF Catalog Classes'!$C$6:$D416, COLUMNS('_REF Catalog Classes'!$C$6:$D416), FALSE)</f>
        <v>1</v>
      </c>
      <c r="E75" s="106" t="s">
        <v>743</v>
      </c>
      <c r="F75" s="82" t="str">
        <f t="shared" si="0"/>
        <v>perkLauncherDamage:</v>
      </c>
      <c r="G75" s="125" t="s">
        <v>744</v>
      </c>
      <c r="H75" s="125" t="s">
        <v>745</v>
      </c>
      <c r="I75" s="106" t="s">
        <v>274</v>
      </c>
      <c r="J75" s="106"/>
      <c r="K75" s="106"/>
      <c r="L75" s="126"/>
      <c r="M75" s="82"/>
      <c r="N75" s="158"/>
      <c r="O75" s="133"/>
      <c r="P75" s="106">
        <v>13</v>
      </c>
      <c r="Q75" s="129"/>
      <c r="R75" s="106"/>
      <c r="S75" s="106"/>
      <c r="T75" s="106"/>
      <c r="U75" s="106"/>
      <c r="V75" s="106"/>
      <c r="W75" s="89">
        <v>0</v>
      </c>
      <c r="X75" s="90" t="s">
        <v>319</v>
      </c>
      <c r="Y75" s="90" t="s">
        <v>746</v>
      </c>
      <c r="Z75" s="130"/>
      <c r="AA75" s="131" t="s">
        <v>283</v>
      </c>
      <c r="AB75" s="159" t="s">
        <v>747</v>
      </c>
      <c r="AC75" s="90" t="s">
        <v>748</v>
      </c>
      <c r="AD75" s="132" t="s">
        <v>749</v>
      </c>
      <c r="AE75" s="130"/>
      <c r="AF75" s="133"/>
      <c r="AG75" s="134"/>
      <c r="AH75" s="133"/>
      <c r="AI75" s="133"/>
      <c r="AJ75" s="133"/>
      <c r="AK75" s="133"/>
      <c r="AL75" s="133"/>
      <c r="AM75" s="133"/>
      <c r="AN75" s="94"/>
      <c r="AO75" s="95"/>
      <c r="AP75" s="95"/>
      <c r="AQ75" s="95"/>
      <c r="AR75" s="94"/>
      <c r="AS75" s="95"/>
      <c r="AT75" s="95"/>
      <c r="AU75" s="95"/>
      <c r="AV75" s="95"/>
      <c r="AW75" s="134"/>
      <c r="AX75" s="133"/>
      <c r="AY75" s="133"/>
      <c r="AZ75" s="133"/>
      <c r="BA75" s="133"/>
      <c r="BB75" s="133"/>
      <c r="BC75" s="133"/>
      <c r="BD75" s="135">
        <v>2</v>
      </c>
      <c r="BE75" s="97" t="s">
        <v>281</v>
      </c>
      <c r="BF75" s="98" t="s">
        <v>746</v>
      </c>
      <c r="BG75" s="136"/>
      <c r="BH75" s="136" t="s">
        <v>283</v>
      </c>
      <c r="BI75" s="136" t="s">
        <v>747</v>
      </c>
      <c r="BJ75" s="93"/>
      <c r="BK75" s="137" t="s">
        <v>748</v>
      </c>
      <c r="BL75" s="138" t="s">
        <v>749</v>
      </c>
      <c r="BM75" s="136"/>
      <c r="BN75" s="133"/>
      <c r="BO75" s="133"/>
      <c r="BP75" s="133"/>
      <c r="BQ75" s="133"/>
      <c r="BR75" s="133"/>
      <c r="BS75" s="133"/>
      <c r="BT75" s="133"/>
      <c r="BU75" s="133"/>
      <c r="BV75" s="139" t="s">
        <v>750</v>
      </c>
      <c r="BW75" s="86" t="str">
        <f>VLOOKUP($C75, '_REF Catalog Classes'!$C$6:$E416, COLUMNS('_REF Catalog Classes'!$C$6:$E416), FALSE)</f>
        <v>never</v>
      </c>
      <c r="BX75" s="86"/>
      <c r="BY75" s="86"/>
      <c r="BZ75" s="140" t="s">
        <v>322</v>
      </c>
      <c r="CA75" s="100" t="b">
        <f ca="1">IFERROR(__xludf.DUMMYFUNCTION("IF(REGEXMATCH(Catalog_RewardType,""reward""), VLOOKUP($E75, {'TitleData rewards.items'!$J$9:$J416,'TitleData rewards.items'!$B$9:$B416}, 2, FALSE), """")"),FALSE)</f>
        <v>0</v>
      </c>
    </row>
    <row r="76" spans="1:79" ht="56" hidden="1" x14ac:dyDescent="0.15">
      <c r="A76" s="82" t="s">
        <v>314</v>
      </c>
      <c r="B76" s="124" t="b">
        <v>1</v>
      </c>
      <c r="C76" s="82" t="s">
        <v>625</v>
      </c>
      <c r="D76" s="85" t="b">
        <f>VLOOKUP($C76, '_REF Catalog Classes'!$C$6:$D416, COLUMNS('_REF Catalog Classes'!$C$6:$D416), FALSE)</f>
        <v>1</v>
      </c>
      <c r="E76" s="106" t="s">
        <v>751</v>
      </c>
      <c r="F76" s="82" t="str">
        <f t="shared" si="0"/>
        <v>perkOverchargeBoost:TRUE</v>
      </c>
      <c r="G76" s="106" t="s">
        <v>752</v>
      </c>
      <c r="H76" s="125" t="s">
        <v>753</v>
      </c>
      <c r="I76" s="106" t="s">
        <v>274</v>
      </c>
      <c r="J76" s="106"/>
      <c r="K76" s="106"/>
      <c r="L76" s="106"/>
      <c r="M76" s="82"/>
      <c r="N76" s="158"/>
      <c r="O76" s="133"/>
      <c r="P76" s="106">
        <v>16</v>
      </c>
      <c r="Q76" s="129"/>
      <c r="R76" s="106"/>
      <c r="S76" s="106"/>
      <c r="T76" s="106"/>
      <c r="U76" s="106"/>
      <c r="V76" s="106"/>
      <c r="W76" s="89">
        <v>0</v>
      </c>
      <c r="X76" s="90" t="s">
        <v>319</v>
      </c>
      <c r="Y76" s="90" t="str">
        <f>"file://"&amp;$E76&amp;"-state0-image0"</f>
        <v>file://perkOverchargeBoost-state0-image0</v>
      </c>
      <c r="Z76" s="130"/>
      <c r="AA76" s="131" t="s">
        <v>283</v>
      </c>
      <c r="AB76" s="130" t="s">
        <v>752</v>
      </c>
      <c r="AC76" s="132" t="s">
        <v>754</v>
      </c>
      <c r="AD76" s="132" t="s">
        <v>755</v>
      </c>
      <c r="AE76" s="130"/>
      <c r="AF76" s="130" t="s">
        <v>652</v>
      </c>
      <c r="AG76" s="134"/>
      <c r="AH76" s="133"/>
      <c r="AI76" s="133"/>
      <c r="AJ76" s="133"/>
      <c r="AK76" s="133"/>
      <c r="AL76" s="133"/>
      <c r="AM76" s="133"/>
      <c r="AN76" s="94"/>
      <c r="AO76" s="95"/>
      <c r="AP76" s="95" t="str">
        <f>"file://"&amp;$E76&amp;"-state1-image0"</f>
        <v>file://perkOverchargeBoost-state1-image0</v>
      </c>
      <c r="AQ76" s="95"/>
      <c r="AR76" s="94"/>
      <c r="AS76" s="95"/>
      <c r="AT76" s="95"/>
      <c r="AU76" s="95"/>
      <c r="AV76" s="95"/>
      <c r="AW76" s="134"/>
      <c r="AX76" s="133"/>
      <c r="AY76" s="133"/>
      <c r="AZ76" s="133"/>
      <c r="BA76" s="133"/>
      <c r="BB76" s="133"/>
      <c r="BC76" s="133"/>
      <c r="BD76" s="135">
        <v>2</v>
      </c>
      <c r="BE76" s="97" t="s">
        <v>653</v>
      </c>
      <c r="BF76" s="98"/>
      <c r="BG76" s="136"/>
      <c r="BH76" s="136" t="s">
        <v>283</v>
      </c>
      <c r="BI76" s="136" t="s">
        <v>752</v>
      </c>
      <c r="BJ76" s="97" t="s">
        <v>654</v>
      </c>
      <c r="BK76" s="137" t="s">
        <v>754</v>
      </c>
      <c r="BL76" s="138" t="s">
        <v>756</v>
      </c>
      <c r="BM76" s="136"/>
      <c r="BN76" s="136" t="s">
        <v>652</v>
      </c>
      <c r="BO76" s="133"/>
      <c r="BP76" s="133"/>
      <c r="BQ76" s="133"/>
      <c r="BR76" s="133"/>
      <c r="BS76" s="133"/>
      <c r="BT76" s="133"/>
      <c r="BU76" s="133"/>
      <c r="BV76" s="139" t="s">
        <v>655</v>
      </c>
      <c r="BW76" s="86" t="str">
        <f>VLOOKUP($C76, '_REF Catalog Classes'!$C$6:$E416, COLUMNS('_REF Catalog Classes'!$C$6:$E416), FALSE)</f>
        <v>never</v>
      </c>
      <c r="BX76" s="160"/>
      <c r="BY76" s="160"/>
      <c r="BZ76" s="140" t="s">
        <v>322</v>
      </c>
      <c r="CA76" s="100" t="str">
        <f ca="1">IFERROR(__xludf.DUMMYFUNCTION("IF(REGEXMATCH(Catalog_RewardType,""reward""), VLOOKUP($E76, {'TitleData rewards.items'!$J$9:$J416,'TitleData rewards.items'!$B$9:$B416}, 2, FALSE), """")"),"#N/A")</f>
        <v>#N/A</v>
      </c>
    </row>
    <row r="77" spans="1:79" ht="42" x14ac:dyDescent="0.15">
      <c r="A77" s="82" t="s">
        <v>269</v>
      </c>
      <c r="B77" s="124"/>
      <c r="C77" s="82" t="s">
        <v>625</v>
      </c>
      <c r="D77" s="85" t="b">
        <f>VLOOKUP($C77, '_REF Catalog Classes'!$C$6:$D416, COLUMNS('_REF Catalog Classes'!$C$6:$D416), FALSE)</f>
        <v>1</v>
      </c>
      <c r="E77" s="106" t="s">
        <v>757</v>
      </c>
      <c r="F77" s="82" t="str">
        <f t="shared" si="0"/>
        <v>perkLauncherAmmo:</v>
      </c>
      <c r="G77" s="125" t="s">
        <v>758</v>
      </c>
      <c r="H77" s="125" t="s">
        <v>759</v>
      </c>
      <c r="I77" s="106" t="s">
        <v>274</v>
      </c>
      <c r="J77" s="106"/>
      <c r="K77" s="106"/>
      <c r="L77" s="126"/>
      <c r="M77" s="82"/>
      <c r="N77" s="158"/>
      <c r="O77" s="133"/>
      <c r="P77" s="106">
        <v>14</v>
      </c>
      <c r="Q77" s="129"/>
      <c r="R77" s="106"/>
      <c r="S77" s="106"/>
      <c r="T77" s="106"/>
      <c r="U77" s="106"/>
      <c r="V77" s="106"/>
      <c r="W77" s="89">
        <v>0</v>
      </c>
      <c r="X77" s="90" t="s">
        <v>319</v>
      </c>
      <c r="Y77" s="90" t="s">
        <v>760</v>
      </c>
      <c r="Z77" s="90"/>
      <c r="AA77" s="131" t="s">
        <v>283</v>
      </c>
      <c r="AB77" s="159" t="s">
        <v>761</v>
      </c>
      <c r="AC77" s="90" t="s">
        <v>762</v>
      </c>
      <c r="AD77" s="132" t="s">
        <v>763</v>
      </c>
      <c r="AE77" s="130"/>
      <c r="AF77" s="133"/>
      <c r="AG77" s="134"/>
      <c r="AH77" s="133"/>
      <c r="AI77" s="133"/>
      <c r="AJ77" s="133"/>
      <c r="AK77" s="133"/>
      <c r="AL77" s="133"/>
      <c r="AM77" s="133"/>
      <c r="AN77" s="94"/>
      <c r="AO77" s="95"/>
      <c r="AP77" s="95"/>
      <c r="AQ77" s="95"/>
      <c r="AR77" s="94"/>
      <c r="AS77" s="95"/>
      <c r="AT77" s="95"/>
      <c r="AU77" s="95"/>
      <c r="AV77" s="95"/>
      <c r="AW77" s="134"/>
      <c r="AX77" s="133"/>
      <c r="AY77" s="133"/>
      <c r="AZ77" s="133"/>
      <c r="BA77" s="133"/>
      <c r="BB77" s="133"/>
      <c r="BC77" s="133"/>
      <c r="BD77" s="135">
        <v>2</v>
      </c>
      <c r="BE77" s="97" t="s">
        <v>281</v>
      </c>
      <c r="BF77" s="98" t="s">
        <v>760</v>
      </c>
      <c r="BG77" s="136"/>
      <c r="BH77" s="136" t="s">
        <v>283</v>
      </c>
      <c r="BI77" s="136" t="s">
        <v>761</v>
      </c>
      <c r="BJ77" s="93"/>
      <c r="BK77" s="137" t="s">
        <v>762</v>
      </c>
      <c r="BL77" s="138" t="s">
        <v>763</v>
      </c>
      <c r="BM77" s="136"/>
      <c r="BN77" s="133"/>
      <c r="BO77" s="133"/>
      <c r="BP77" s="133"/>
      <c r="BQ77" s="133"/>
      <c r="BR77" s="133"/>
      <c r="BS77" s="133"/>
      <c r="BT77" s="133"/>
      <c r="BU77" s="133"/>
      <c r="BV77" s="139" t="s">
        <v>764</v>
      </c>
      <c r="BW77" s="86" t="str">
        <f>VLOOKUP($C77, '_REF Catalog Classes'!$C$6:$E416, COLUMNS('_REF Catalog Classes'!$C$6:$E416), FALSE)</f>
        <v>never</v>
      </c>
      <c r="BX77" s="86"/>
      <c r="BY77" s="86"/>
      <c r="BZ77" s="140" t="s">
        <v>322</v>
      </c>
      <c r="CA77" s="100" t="b">
        <f ca="1">IFERROR(__xludf.DUMMYFUNCTION("IF(REGEXMATCH(Catalog_RewardType,""reward""), VLOOKUP($E77, {'TitleData rewards.items'!$J$9:$J416,'TitleData rewards.items'!$B$9:$B416}, 2, FALSE), """")"),FALSE)</f>
        <v>0</v>
      </c>
    </row>
    <row r="78" spans="1:79" ht="42" x14ac:dyDescent="0.15">
      <c r="A78" s="82" t="s">
        <v>269</v>
      </c>
      <c r="B78" s="124"/>
      <c r="C78" s="82" t="s">
        <v>625</v>
      </c>
      <c r="D78" s="85" t="b">
        <f>VLOOKUP($C78, '_REF Catalog Classes'!$C$6:$D416, COLUMNS('_REF Catalog Classes'!$C$6:$D416), FALSE)</f>
        <v>1</v>
      </c>
      <c r="E78" s="106" t="s">
        <v>765</v>
      </c>
      <c r="F78" s="82" t="str">
        <f t="shared" si="0"/>
        <v>perkUltimateAmmo:</v>
      </c>
      <c r="G78" s="125" t="s">
        <v>766</v>
      </c>
      <c r="H78" s="125" t="s">
        <v>767</v>
      </c>
      <c r="I78" s="106" t="s">
        <v>274</v>
      </c>
      <c r="J78" s="106"/>
      <c r="K78" s="106"/>
      <c r="L78" s="126"/>
      <c r="M78" s="82"/>
      <c r="N78" s="158"/>
      <c r="O78" s="133"/>
      <c r="P78" s="106">
        <v>15</v>
      </c>
      <c r="Q78" s="129"/>
      <c r="R78" s="106"/>
      <c r="S78" s="106"/>
      <c r="T78" s="106"/>
      <c r="U78" s="106"/>
      <c r="V78" s="106"/>
      <c r="W78" s="89">
        <v>0</v>
      </c>
      <c r="X78" s="90" t="s">
        <v>319</v>
      </c>
      <c r="Y78" s="90" t="s">
        <v>768</v>
      </c>
      <c r="Z78" s="130"/>
      <c r="AA78" s="131" t="s">
        <v>283</v>
      </c>
      <c r="AB78" s="159" t="s">
        <v>769</v>
      </c>
      <c r="AC78" s="90" t="s">
        <v>770</v>
      </c>
      <c r="AD78" s="132" t="s">
        <v>771</v>
      </c>
      <c r="AE78" s="130"/>
      <c r="AF78" s="133"/>
      <c r="AG78" s="134"/>
      <c r="AH78" s="133"/>
      <c r="AI78" s="133"/>
      <c r="AJ78" s="133"/>
      <c r="AK78" s="133"/>
      <c r="AL78" s="133"/>
      <c r="AM78" s="133"/>
      <c r="AN78" s="94"/>
      <c r="AO78" s="95"/>
      <c r="AP78" s="95"/>
      <c r="AQ78" s="95"/>
      <c r="AR78" s="94"/>
      <c r="AS78" s="95"/>
      <c r="AT78" s="95"/>
      <c r="AU78" s="95"/>
      <c r="AV78" s="95"/>
      <c r="AW78" s="134"/>
      <c r="AX78" s="133"/>
      <c r="AY78" s="133"/>
      <c r="AZ78" s="133"/>
      <c r="BA78" s="133"/>
      <c r="BB78" s="133"/>
      <c r="BC78" s="133"/>
      <c r="BD78" s="135">
        <v>2</v>
      </c>
      <c r="BE78" s="97" t="s">
        <v>281</v>
      </c>
      <c r="BF78" s="98" t="s">
        <v>768</v>
      </c>
      <c r="BG78" s="136"/>
      <c r="BH78" s="136" t="s">
        <v>283</v>
      </c>
      <c r="BI78" s="136" t="s">
        <v>769</v>
      </c>
      <c r="BJ78" s="93"/>
      <c r="BK78" s="137" t="s">
        <v>770</v>
      </c>
      <c r="BL78" s="138" t="s">
        <v>771</v>
      </c>
      <c r="BM78" s="136"/>
      <c r="BN78" s="133"/>
      <c r="BO78" s="133"/>
      <c r="BP78" s="133"/>
      <c r="BQ78" s="133"/>
      <c r="BR78" s="133"/>
      <c r="BS78" s="133"/>
      <c r="BT78" s="133"/>
      <c r="BU78" s="133"/>
      <c r="BV78" s="139" t="s">
        <v>772</v>
      </c>
      <c r="BW78" s="86" t="str">
        <f>VLOOKUP($C78, '_REF Catalog Classes'!$C$6:$E416, COLUMNS('_REF Catalog Classes'!$C$6:$E416), FALSE)</f>
        <v>never</v>
      </c>
      <c r="BX78" s="86"/>
      <c r="BY78" s="86"/>
      <c r="BZ78" s="140" t="s">
        <v>322</v>
      </c>
      <c r="CA78" s="100" t="b">
        <f ca="1">IFERROR(__xludf.DUMMYFUNCTION("IF(REGEXMATCH(Catalog_RewardType,""reward""), VLOOKUP($E78, {'TitleData rewards.items'!$J$9:$J416,'TitleData rewards.items'!$B$9:$B416}, 2, FALSE), """")"),FALSE)</f>
        <v>0</v>
      </c>
    </row>
    <row r="79" spans="1:79" ht="70" x14ac:dyDescent="0.15">
      <c r="A79" s="82" t="s">
        <v>269</v>
      </c>
      <c r="B79" s="124"/>
      <c r="C79" s="82" t="s">
        <v>625</v>
      </c>
      <c r="D79" s="85" t="b">
        <f>VLOOKUP($C79, '_REF Catalog Classes'!$C$6:$D416, COLUMNS('_REF Catalog Classes'!$C$6:$D416), FALSE)</f>
        <v>1</v>
      </c>
      <c r="E79" s="106" t="s">
        <v>773</v>
      </c>
      <c r="F79" s="82" t="str">
        <f t="shared" si="0"/>
        <v>perkUltimateCharger:</v>
      </c>
      <c r="G79" s="125" t="s">
        <v>774</v>
      </c>
      <c r="H79" s="125" t="s">
        <v>775</v>
      </c>
      <c r="I79" s="106" t="s">
        <v>274</v>
      </c>
      <c r="J79" s="106"/>
      <c r="K79" s="106"/>
      <c r="L79" s="126"/>
      <c r="M79" s="82"/>
      <c r="N79" s="158"/>
      <c r="O79" s="133"/>
      <c r="P79" s="106">
        <v>16</v>
      </c>
      <c r="Q79" s="129"/>
      <c r="R79" s="106"/>
      <c r="S79" s="106"/>
      <c r="T79" s="106"/>
      <c r="U79" s="106"/>
      <c r="V79" s="106"/>
      <c r="W79" s="89">
        <v>0</v>
      </c>
      <c r="X79" s="90" t="s">
        <v>319</v>
      </c>
      <c r="Y79" s="90" t="s">
        <v>776</v>
      </c>
      <c r="Z79" s="130"/>
      <c r="AA79" s="131" t="s">
        <v>283</v>
      </c>
      <c r="AB79" s="159" t="s">
        <v>777</v>
      </c>
      <c r="AC79" s="132" t="s">
        <v>778</v>
      </c>
      <c r="AD79" s="132" t="s">
        <v>779</v>
      </c>
      <c r="AE79" s="130"/>
      <c r="AF79" s="133"/>
      <c r="AG79" s="134"/>
      <c r="AH79" s="133"/>
      <c r="AI79" s="133"/>
      <c r="AJ79" s="133"/>
      <c r="AK79" s="133"/>
      <c r="AL79" s="133"/>
      <c r="AM79" s="133"/>
      <c r="AN79" s="94"/>
      <c r="AO79" s="95"/>
      <c r="AP79" s="95"/>
      <c r="AQ79" s="95"/>
      <c r="AR79" s="94"/>
      <c r="AS79" s="95"/>
      <c r="AT79" s="95"/>
      <c r="AU79" s="95"/>
      <c r="AV79" s="95"/>
      <c r="AW79" s="134"/>
      <c r="AX79" s="133"/>
      <c r="AY79" s="133"/>
      <c r="AZ79" s="133"/>
      <c r="BA79" s="133"/>
      <c r="BB79" s="133"/>
      <c r="BC79" s="133"/>
      <c r="BD79" s="135">
        <v>2</v>
      </c>
      <c r="BE79" s="97" t="s">
        <v>281</v>
      </c>
      <c r="BF79" s="98" t="s">
        <v>776</v>
      </c>
      <c r="BG79" s="136"/>
      <c r="BH79" s="136" t="s">
        <v>283</v>
      </c>
      <c r="BI79" s="136" t="s">
        <v>777</v>
      </c>
      <c r="BJ79" s="93"/>
      <c r="BK79" s="137" t="s">
        <v>778</v>
      </c>
      <c r="BL79" s="138" t="s">
        <v>779</v>
      </c>
      <c r="BM79" s="136"/>
      <c r="BN79" s="133"/>
      <c r="BO79" s="133"/>
      <c r="BP79" s="133"/>
      <c r="BQ79" s="133"/>
      <c r="BR79" s="133"/>
      <c r="BS79" s="133"/>
      <c r="BT79" s="133"/>
      <c r="BU79" s="133"/>
      <c r="BV79" s="139" t="s">
        <v>780</v>
      </c>
      <c r="BW79" s="86" t="str">
        <f>VLOOKUP($C79, '_REF Catalog Classes'!$C$6:$E416, COLUMNS('_REF Catalog Classes'!$C$6:$E416), FALSE)</f>
        <v>never</v>
      </c>
      <c r="BX79" s="86"/>
      <c r="BY79" s="86"/>
      <c r="BZ79" s="140" t="s">
        <v>322</v>
      </c>
      <c r="CA79" s="100" t="b">
        <f ca="1">IFERROR(__xludf.DUMMYFUNCTION("IF(REGEXMATCH(Catalog_RewardType,""reward""), VLOOKUP($E79, {'TitleData rewards.items'!$J$9:$J416,'TitleData rewards.items'!$B$9:$B416}, 2, FALSE), """")"),FALSE)</f>
        <v>0</v>
      </c>
    </row>
    <row r="80" spans="1:79" ht="56" hidden="1" x14ac:dyDescent="0.15">
      <c r="A80" s="82" t="s">
        <v>491</v>
      </c>
      <c r="B80" s="124" t="b">
        <v>1</v>
      </c>
      <c r="C80" s="82" t="s">
        <v>625</v>
      </c>
      <c r="D80" s="85" t="b">
        <f>VLOOKUP($C80, '_REF Catalog Classes'!$C$6:$D416, COLUMNS('_REF Catalog Classes'!$C$6:$D416), FALSE)</f>
        <v>1</v>
      </c>
      <c r="E80" s="106" t="s">
        <v>781</v>
      </c>
      <c r="F80" s="82" t="str">
        <f t="shared" si="0"/>
        <v>perkSuperHot:TRUE</v>
      </c>
      <c r="G80" s="106" t="s">
        <v>782</v>
      </c>
      <c r="H80" s="125" t="s">
        <v>783</v>
      </c>
      <c r="I80" s="106" t="s">
        <v>274</v>
      </c>
      <c r="J80" s="106"/>
      <c r="K80" s="106"/>
      <c r="L80" s="126"/>
      <c r="M80" s="82"/>
      <c r="N80" s="158"/>
      <c r="O80" s="133"/>
      <c r="P80" s="106">
        <v>20</v>
      </c>
      <c r="Q80" s="129"/>
      <c r="R80" s="106"/>
      <c r="S80" s="106"/>
      <c r="T80" s="106"/>
      <c r="U80" s="106"/>
      <c r="V80" s="106"/>
      <c r="W80" s="89">
        <v>0</v>
      </c>
      <c r="X80" s="90" t="s">
        <v>319</v>
      </c>
      <c r="Y80" s="90" t="str">
        <f t="shared" ref="Y80:Y84" si="7">"file://"&amp;$E80&amp;"-state0-image0"</f>
        <v>file://perkSuperHot-state0-image0</v>
      </c>
      <c r="Z80" s="130"/>
      <c r="AA80" s="131" t="s">
        <v>283</v>
      </c>
      <c r="AB80" s="130" t="s">
        <v>784</v>
      </c>
      <c r="AC80" s="132" t="s">
        <v>785</v>
      </c>
      <c r="AD80" s="132" t="s">
        <v>786</v>
      </c>
      <c r="AE80" s="130"/>
      <c r="AF80" s="133"/>
      <c r="AG80" s="134"/>
      <c r="AH80" s="133"/>
      <c r="AI80" s="133"/>
      <c r="AJ80" s="133"/>
      <c r="AK80" s="133"/>
      <c r="AL80" s="133"/>
      <c r="AM80" s="133"/>
      <c r="AN80" s="94"/>
      <c r="AO80" s="95"/>
      <c r="AP80" s="95" t="str">
        <f t="shared" ref="AP80:AP84" si="8">"file://"&amp;$E80&amp;"-state1-image0"</f>
        <v>file://perkSuperHot-state1-image0</v>
      </c>
      <c r="AQ80" s="95"/>
      <c r="AR80" s="94"/>
      <c r="AS80" s="95"/>
      <c r="AT80" s="95"/>
      <c r="AU80" s="95"/>
      <c r="AV80" s="95"/>
      <c r="AW80" s="134"/>
      <c r="AX80" s="133"/>
      <c r="AY80" s="133"/>
      <c r="AZ80" s="133"/>
      <c r="BA80" s="133"/>
      <c r="BB80" s="133"/>
      <c r="BC80" s="133"/>
      <c r="BD80" s="135">
        <v>2</v>
      </c>
      <c r="BE80" s="97" t="s">
        <v>281</v>
      </c>
      <c r="BF80" s="98"/>
      <c r="BG80" s="136"/>
      <c r="BH80" s="136" t="s">
        <v>283</v>
      </c>
      <c r="BI80" s="136" t="s">
        <v>784</v>
      </c>
      <c r="BJ80" s="93"/>
      <c r="BK80" s="137" t="s">
        <v>785</v>
      </c>
      <c r="BL80" s="138" t="s">
        <v>787</v>
      </c>
      <c r="BM80" s="136"/>
      <c r="BN80" s="133"/>
      <c r="BO80" s="133"/>
      <c r="BP80" s="133"/>
      <c r="BQ80" s="133"/>
      <c r="BR80" s="133"/>
      <c r="BS80" s="133"/>
      <c r="BT80" s="133"/>
      <c r="BU80" s="133"/>
      <c r="BV80" s="139" t="s">
        <v>788</v>
      </c>
      <c r="BW80" s="86" t="str">
        <f>VLOOKUP($C80, '_REF Catalog Classes'!$C$6:$E416, COLUMNS('_REF Catalog Classes'!$C$6:$E416), FALSE)</f>
        <v>never</v>
      </c>
      <c r="BX80" s="160"/>
      <c r="BY80" s="160"/>
      <c r="BZ80" s="140" t="s">
        <v>322</v>
      </c>
      <c r="CA80" s="100" t="str">
        <f ca="1">IFERROR(__xludf.DUMMYFUNCTION("IF(REGEXMATCH(Catalog_RewardType,""reward""), VLOOKUP($E80, {'TitleData rewards.items'!$J$9:$J416,'TitleData rewards.items'!$B$9:$B416}, 2, FALSE), """")"),"#N/A")</f>
        <v>#N/A</v>
      </c>
    </row>
    <row r="81" spans="1:79" ht="56" hidden="1" x14ac:dyDescent="0.15">
      <c r="A81" s="82" t="s">
        <v>491</v>
      </c>
      <c r="B81" s="124" t="b">
        <v>1</v>
      </c>
      <c r="C81" s="82" t="s">
        <v>625</v>
      </c>
      <c r="D81" s="85" t="b">
        <f>VLOOKUP($C81, '_REF Catalog Classes'!$C$6:$D416, COLUMNS('_REF Catalog Classes'!$C$6:$D416), FALSE)</f>
        <v>1</v>
      </c>
      <c r="E81" s="106" t="s">
        <v>789</v>
      </c>
      <c r="F81" s="82" t="str">
        <f t="shared" si="0"/>
        <v>perkSuperStun:TRUE</v>
      </c>
      <c r="G81" s="106" t="s">
        <v>790</v>
      </c>
      <c r="H81" s="125" t="s">
        <v>791</v>
      </c>
      <c r="I81" s="106" t="s">
        <v>274</v>
      </c>
      <c r="J81" s="106"/>
      <c r="K81" s="106"/>
      <c r="L81" s="126"/>
      <c r="M81" s="82"/>
      <c r="N81" s="158"/>
      <c r="O81" s="133"/>
      <c r="P81" s="106">
        <v>21</v>
      </c>
      <c r="Q81" s="129"/>
      <c r="R81" s="106"/>
      <c r="S81" s="106"/>
      <c r="T81" s="106"/>
      <c r="U81" s="106"/>
      <c r="V81" s="106"/>
      <c r="W81" s="89">
        <v>0</v>
      </c>
      <c r="X81" s="90" t="s">
        <v>319</v>
      </c>
      <c r="Y81" s="90" t="str">
        <f t="shared" si="7"/>
        <v>file://perkSuperStun-state0-image0</v>
      </c>
      <c r="Z81" s="130"/>
      <c r="AA81" s="131" t="s">
        <v>283</v>
      </c>
      <c r="AB81" s="130" t="s">
        <v>792</v>
      </c>
      <c r="AC81" s="132" t="s">
        <v>793</v>
      </c>
      <c r="AD81" s="132" t="s">
        <v>794</v>
      </c>
      <c r="AE81" s="130"/>
      <c r="AF81" s="133"/>
      <c r="AG81" s="134"/>
      <c r="AH81" s="133"/>
      <c r="AI81" s="133"/>
      <c r="AJ81" s="133"/>
      <c r="AK81" s="133"/>
      <c r="AL81" s="133"/>
      <c r="AM81" s="133"/>
      <c r="AN81" s="94"/>
      <c r="AO81" s="95"/>
      <c r="AP81" s="95" t="str">
        <f t="shared" si="8"/>
        <v>file://perkSuperStun-state1-image0</v>
      </c>
      <c r="AQ81" s="95"/>
      <c r="AR81" s="94"/>
      <c r="AS81" s="95"/>
      <c r="AT81" s="95"/>
      <c r="AU81" s="95"/>
      <c r="AV81" s="95"/>
      <c r="AW81" s="134"/>
      <c r="AX81" s="133"/>
      <c r="AY81" s="133"/>
      <c r="AZ81" s="133"/>
      <c r="BA81" s="133"/>
      <c r="BB81" s="133"/>
      <c r="BC81" s="133"/>
      <c r="BD81" s="135">
        <v>2</v>
      </c>
      <c r="BE81" s="97" t="s">
        <v>281</v>
      </c>
      <c r="BF81" s="98"/>
      <c r="BG81" s="136"/>
      <c r="BH81" s="136" t="s">
        <v>283</v>
      </c>
      <c r="BI81" s="136" t="s">
        <v>792</v>
      </c>
      <c r="BJ81" s="93"/>
      <c r="BK81" s="137" t="s">
        <v>793</v>
      </c>
      <c r="BL81" s="138" t="s">
        <v>795</v>
      </c>
      <c r="BM81" s="136"/>
      <c r="BN81" s="133"/>
      <c r="BO81" s="133"/>
      <c r="BP81" s="133"/>
      <c r="BQ81" s="133"/>
      <c r="BR81" s="133"/>
      <c r="BS81" s="133"/>
      <c r="BT81" s="133"/>
      <c r="BU81" s="133"/>
      <c r="BV81" s="139" t="s">
        <v>655</v>
      </c>
      <c r="BW81" s="86" t="str">
        <f>VLOOKUP($C81, '_REF Catalog Classes'!$C$6:$E416, COLUMNS('_REF Catalog Classes'!$C$6:$E416), FALSE)</f>
        <v>never</v>
      </c>
      <c r="BX81" s="160"/>
      <c r="BY81" s="160"/>
      <c r="BZ81" s="140" t="s">
        <v>322</v>
      </c>
      <c r="CA81" s="100" t="str">
        <f ca="1">IFERROR(__xludf.DUMMYFUNCTION("IF(REGEXMATCH(Catalog_RewardType,""reward""), VLOOKUP($E81, {'TitleData rewards.items'!$J$9:$J416,'TitleData rewards.items'!$B$9:$B416}, 2, FALSE), """")"),"#N/A")</f>
        <v>#N/A</v>
      </c>
    </row>
    <row r="82" spans="1:79" ht="56" hidden="1" x14ac:dyDescent="0.15">
      <c r="A82" s="82" t="s">
        <v>491</v>
      </c>
      <c r="B82" s="124" t="b">
        <v>1</v>
      </c>
      <c r="C82" s="82" t="s">
        <v>625</v>
      </c>
      <c r="D82" s="85" t="b">
        <f>VLOOKUP($C82, '_REF Catalog Classes'!$C$6:$D416, COLUMNS('_REF Catalog Classes'!$C$6:$D416), FALSE)</f>
        <v>1</v>
      </c>
      <c r="E82" s="106" t="s">
        <v>796</v>
      </c>
      <c r="F82" s="82" t="str">
        <f t="shared" si="0"/>
        <v>perkSupercooler:TRUE</v>
      </c>
      <c r="G82" s="106" t="s">
        <v>797</v>
      </c>
      <c r="H82" s="125" t="s">
        <v>798</v>
      </c>
      <c r="I82" s="106" t="s">
        <v>274</v>
      </c>
      <c r="J82" s="106"/>
      <c r="K82" s="106"/>
      <c r="L82" s="126"/>
      <c r="M82" s="82"/>
      <c r="N82" s="158"/>
      <c r="O82" s="133"/>
      <c r="P82" s="106">
        <v>22</v>
      </c>
      <c r="Q82" s="129"/>
      <c r="R82" s="106"/>
      <c r="S82" s="106"/>
      <c r="T82" s="106"/>
      <c r="U82" s="106"/>
      <c r="V82" s="106"/>
      <c r="W82" s="89">
        <v>0</v>
      </c>
      <c r="X82" s="90" t="s">
        <v>319</v>
      </c>
      <c r="Y82" s="90" t="str">
        <f t="shared" si="7"/>
        <v>file://perkSupercooler-state0-image0</v>
      </c>
      <c r="Z82" s="130"/>
      <c r="AA82" s="131" t="s">
        <v>283</v>
      </c>
      <c r="AB82" s="130" t="s">
        <v>799</v>
      </c>
      <c r="AC82" s="132" t="s">
        <v>800</v>
      </c>
      <c r="AD82" s="132" t="s">
        <v>801</v>
      </c>
      <c r="AE82" s="130"/>
      <c r="AF82" s="133"/>
      <c r="AG82" s="134"/>
      <c r="AH82" s="133"/>
      <c r="AI82" s="133"/>
      <c r="AJ82" s="133"/>
      <c r="AK82" s="133"/>
      <c r="AL82" s="133"/>
      <c r="AM82" s="133"/>
      <c r="AN82" s="94"/>
      <c r="AO82" s="95"/>
      <c r="AP82" s="95" t="str">
        <f t="shared" si="8"/>
        <v>file://perkSupercooler-state1-image0</v>
      </c>
      <c r="AQ82" s="95"/>
      <c r="AR82" s="94"/>
      <c r="AS82" s="95"/>
      <c r="AT82" s="95"/>
      <c r="AU82" s="95"/>
      <c r="AV82" s="95"/>
      <c r="AW82" s="134"/>
      <c r="AX82" s="133"/>
      <c r="AY82" s="133"/>
      <c r="AZ82" s="133"/>
      <c r="BA82" s="133"/>
      <c r="BB82" s="133"/>
      <c r="BC82" s="133"/>
      <c r="BD82" s="135">
        <v>2</v>
      </c>
      <c r="BE82" s="97" t="s">
        <v>281</v>
      </c>
      <c r="BF82" s="98"/>
      <c r="BG82" s="136"/>
      <c r="BH82" s="136" t="s">
        <v>283</v>
      </c>
      <c r="BI82" s="136" t="s">
        <v>799</v>
      </c>
      <c r="BJ82" s="93"/>
      <c r="BK82" s="137" t="s">
        <v>800</v>
      </c>
      <c r="BL82" s="138" t="s">
        <v>802</v>
      </c>
      <c r="BM82" s="136"/>
      <c r="BN82" s="133"/>
      <c r="BO82" s="133"/>
      <c r="BP82" s="133"/>
      <c r="BQ82" s="133"/>
      <c r="BR82" s="133"/>
      <c r="BS82" s="133"/>
      <c r="BT82" s="133"/>
      <c r="BU82" s="133"/>
      <c r="BV82" s="139" t="s">
        <v>655</v>
      </c>
      <c r="BW82" s="86" t="str">
        <f>VLOOKUP($C82, '_REF Catalog Classes'!$C$6:$E416, COLUMNS('_REF Catalog Classes'!$C$6:$E416), FALSE)</f>
        <v>never</v>
      </c>
      <c r="BX82" s="160"/>
      <c r="BY82" s="160"/>
      <c r="BZ82" s="140" t="s">
        <v>322</v>
      </c>
      <c r="CA82" s="100" t="str">
        <f ca="1">IFERROR(__xludf.DUMMYFUNCTION("IF(REGEXMATCH(Catalog_RewardType,""reward""), VLOOKUP($E82, {'TitleData rewards.items'!$J$9:$J416,'TitleData rewards.items'!$B$9:$B416}, 2, FALSE), """")"),"#N/A")</f>
        <v>#N/A</v>
      </c>
    </row>
    <row r="83" spans="1:79" ht="56" hidden="1" x14ac:dyDescent="0.15">
      <c r="A83" s="82" t="s">
        <v>491</v>
      </c>
      <c r="B83" s="124" t="b">
        <v>1</v>
      </c>
      <c r="C83" s="82" t="s">
        <v>625</v>
      </c>
      <c r="D83" s="85" t="b">
        <f>VLOOKUP($C83, '_REF Catalog Classes'!$C$6:$D416, COLUMNS('_REF Catalog Classes'!$C$6:$D416), FALSE)</f>
        <v>1</v>
      </c>
      <c r="E83" s="106" t="s">
        <v>773</v>
      </c>
      <c r="F83" s="82" t="str">
        <f t="shared" si="0"/>
        <v>perkUltimateCharger:TRUE</v>
      </c>
      <c r="G83" s="106" t="s">
        <v>774</v>
      </c>
      <c r="H83" s="125" t="s">
        <v>803</v>
      </c>
      <c r="I83" s="106" t="s">
        <v>274</v>
      </c>
      <c r="J83" s="106"/>
      <c r="K83" s="106"/>
      <c r="L83" s="126"/>
      <c r="M83" s="82"/>
      <c r="N83" s="158"/>
      <c r="O83" s="133"/>
      <c r="P83" s="106">
        <v>23</v>
      </c>
      <c r="Q83" s="129"/>
      <c r="R83" s="106"/>
      <c r="S83" s="106"/>
      <c r="T83" s="106"/>
      <c r="U83" s="106"/>
      <c r="V83" s="106"/>
      <c r="W83" s="89">
        <v>0</v>
      </c>
      <c r="X83" s="90" t="s">
        <v>319</v>
      </c>
      <c r="Y83" s="90" t="str">
        <f t="shared" si="7"/>
        <v>file://perkUltimateCharger-state0-image0</v>
      </c>
      <c r="Z83" s="130"/>
      <c r="AA83" s="131" t="s">
        <v>283</v>
      </c>
      <c r="AB83" s="130" t="s">
        <v>804</v>
      </c>
      <c r="AC83" s="132" t="s">
        <v>805</v>
      </c>
      <c r="AD83" s="132" t="s">
        <v>806</v>
      </c>
      <c r="AE83" s="130"/>
      <c r="AF83" s="133"/>
      <c r="AG83" s="134"/>
      <c r="AH83" s="133"/>
      <c r="AI83" s="133"/>
      <c r="AJ83" s="133"/>
      <c r="AK83" s="133"/>
      <c r="AL83" s="133"/>
      <c r="AM83" s="133"/>
      <c r="AN83" s="94"/>
      <c r="AO83" s="95"/>
      <c r="AP83" s="95" t="str">
        <f t="shared" si="8"/>
        <v>file://perkUltimateCharger-state1-image0</v>
      </c>
      <c r="AQ83" s="95"/>
      <c r="AR83" s="94"/>
      <c r="AS83" s="95"/>
      <c r="AT83" s="95"/>
      <c r="AU83" s="95"/>
      <c r="AV83" s="95"/>
      <c r="AW83" s="134"/>
      <c r="AX83" s="133"/>
      <c r="AY83" s="133"/>
      <c r="AZ83" s="133"/>
      <c r="BA83" s="133"/>
      <c r="BB83" s="133"/>
      <c r="BC83" s="133"/>
      <c r="BD83" s="135">
        <v>2</v>
      </c>
      <c r="BE83" s="97" t="s">
        <v>281</v>
      </c>
      <c r="BF83" s="98"/>
      <c r="BG83" s="136"/>
      <c r="BH83" s="136" t="s">
        <v>283</v>
      </c>
      <c r="BI83" s="136" t="s">
        <v>804</v>
      </c>
      <c r="BJ83" s="93"/>
      <c r="BK83" s="137" t="s">
        <v>805</v>
      </c>
      <c r="BL83" s="138" t="s">
        <v>807</v>
      </c>
      <c r="BM83" s="136"/>
      <c r="BN83" s="133"/>
      <c r="BO83" s="133"/>
      <c r="BP83" s="133"/>
      <c r="BQ83" s="133"/>
      <c r="BR83" s="133"/>
      <c r="BS83" s="133"/>
      <c r="BT83" s="133"/>
      <c r="BU83" s="133"/>
      <c r="BV83" s="139" t="s">
        <v>655</v>
      </c>
      <c r="BW83" s="86" t="str">
        <f>VLOOKUP($C83, '_REF Catalog Classes'!$C$6:$E416, COLUMNS('_REF Catalog Classes'!$C$6:$E416), FALSE)</f>
        <v>never</v>
      </c>
      <c r="BX83" s="160"/>
      <c r="BY83" s="160"/>
      <c r="BZ83" s="140" t="s">
        <v>322</v>
      </c>
      <c r="CA83" s="100" t="b">
        <f ca="1">IFERROR(__xludf.DUMMYFUNCTION("IF(REGEXMATCH(Catalog_RewardType,""reward""), VLOOKUP($E83, {'TitleData rewards.items'!$J$9:$J416,'TitleData rewards.items'!$B$9:$B416}, 2, FALSE), """")"),FALSE)</f>
        <v>0</v>
      </c>
    </row>
    <row r="84" spans="1:79" ht="28" hidden="1" x14ac:dyDescent="0.15">
      <c r="A84" s="82" t="s">
        <v>314</v>
      </c>
      <c r="B84" s="82" t="b">
        <v>1</v>
      </c>
      <c r="C84" s="82" t="s">
        <v>808</v>
      </c>
      <c r="D84" s="85" t="b">
        <f>VLOOKUP($C84, '_REF Catalog Classes'!$C$6:$D416, COLUMNS('_REF Catalog Classes'!$C$6:$D416), FALSE)</f>
        <v>1</v>
      </c>
      <c r="E84" s="82" t="s">
        <v>809</v>
      </c>
      <c r="F84" s="82" t="str">
        <f t="shared" si="0"/>
        <v>achievementPlayBlasterBlast:TRUE</v>
      </c>
      <c r="G84" s="86"/>
      <c r="H84" s="86"/>
      <c r="I84" s="82"/>
      <c r="J84" s="82"/>
      <c r="K84" s="82"/>
      <c r="L84" s="82"/>
      <c r="M84" s="86"/>
      <c r="N84" s="101"/>
      <c r="O84" s="82"/>
      <c r="P84" s="82"/>
      <c r="Q84" s="88"/>
      <c r="R84" s="108"/>
      <c r="S84" s="108"/>
      <c r="T84" s="108"/>
      <c r="U84" s="108"/>
      <c r="V84" s="108"/>
      <c r="W84" s="117">
        <v>0</v>
      </c>
      <c r="X84" s="144" t="s">
        <v>37</v>
      </c>
      <c r="Y84" s="90" t="str">
        <f t="shared" si="7"/>
        <v>file://achievementPlayBlasterBlast-state0-image0</v>
      </c>
      <c r="Z84" s="161"/>
      <c r="AA84" s="91" t="s">
        <v>283</v>
      </c>
      <c r="AB84" s="162"/>
      <c r="AC84" s="93"/>
      <c r="AD84" s="163"/>
      <c r="AE84" s="108"/>
      <c r="AF84" s="108"/>
      <c r="AG84" s="164"/>
      <c r="AH84" s="108"/>
      <c r="AI84" s="108"/>
      <c r="AJ84" s="108"/>
      <c r="AK84" s="108"/>
      <c r="AL84" s="108"/>
      <c r="AM84" s="108"/>
      <c r="AN84" s="119"/>
      <c r="AO84" s="120"/>
      <c r="AP84" s="95" t="str">
        <f t="shared" si="8"/>
        <v>file://achievementPlayBlasterBlast-state1-image0</v>
      </c>
      <c r="AQ84" s="120"/>
      <c r="AR84" s="119"/>
      <c r="AS84" s="121"/>
      <c r="AT84" s="93"/>
      <c r="AU84" s="93"/>
      <c r="AV84" s="93"/>
      <c r="AW84" s="164"/>
      <c r="AX84" s="108"/>
      <c r="AY84" s="108"/>
      <c r="AZ84" s="108"/>
      <c r="BA84" s="108"/>
      <c r="BB84" s="108"/>
      <c r="BC84" s="108"/>
      <c r="BD84" s="165">
        <v>2</v>
      </c>
      <c r="BE84" s="166" t="s">
        <v>810</v>
      </c>
      <c r="BF84" s="98"/>
      <c r="BG84" s="123"/>
      <c r="BH84" s="98" t="s">
        <v>283</v>
      </c>
      <c r="BI84" s="123"/>
      <c r="BJ84" s="108"/>
      <c r="BK84" s="93"/>
      <c r="BL84" s="167"/>
      <c r="BM84" s="108"/>
      <c r="BN84" s="93"/>
      <c r="BO84" s="108"/>
      <c r="BP84" s="108"/>
      <c r="BQ84" s="108"/>
      <c r="BR84" s="108"/>
      <c r="BS84" s="108"/>
      <c r="BT84" s="108"/>
      <c r="BU84" s="108"/>
      <c r="BV84" s="99"/>
      <c r="BW84" s="86"/>
      <c r="BX84" s="86"/>
      <c r="BY84" s="86"/>
      <c r="BZ84" s="86"/>
      <c r="CA84" s="100" t="str">
        <f ca="1">IFERROR(__xludf.DUMMYFUNCTION("IF(REGEXMATCH(Catalog_RewardType,""reward""), VLOOKUP($E84, {'TitleData rewards.items'!$J$9:$J416,'TitleData rewards.items'!$B$9:$B416}, 2, FALSE), """")"),"")</f>
        <v/>
      </c>
    </row>
    <row r="85" spans="1:79" ht="42" hidden="1" x14ac:dyDescent="0.15">
      <c r="A85" s="82" t="s">
        <v>491</v>
      </c>
      <c r="B85" s="83"/>
      <c r="C85" s="82" t="s">
        <v>811</v>
      </c>
      <c r="D85" s="85" t="b">
        <f>VLOOKUP($C85, '_REF Catalog Classes'!$C$6:$D416, COLUMNS('_REF Catalog Classes'!$C$6:$D416), FALSE)</f>
        <v>1</v>
      </c>
      <c r="E85" s="82" t="s">
        <v>812</v>
      </c>
      <c r="F85" s="82" t="str">
        <f t="shared" si="0"/>
        <v>actionSyncBlaster:</v>
      </c>
      <c r="G85" s="86" t="s">
        <v>813</v>
      </c>
      <c r="H85" s="86" t="s">
        <v>814</v>
      </c>
      <c r="I85" s="82" t="s">
        <v>815</v>
      </c>
      <c r="J85" s="82" t="s">
        <v>275</v>
      </c>
      <c r="K85" s="82" t="s">
        <v>275</v>
      </c>
      <c r="L85" s="82"/>
      <c r="M85" s="82"/>
      <c r="N85" s="107"/>
      <c r="O85" s="108"/>
      <c r="P85" s="82"/>
      <c r="Q85" s="88"/>
      <c r="R85" s="82"/>
      <c r="S85" s="82"/>
      <c r="T85" s="82"/>
      <c r="U85" s="82"/>
      <c r="V85" s="82"/>
      <c r="W85" s="89"/>
      <c r="X85" s="90"/>
      <c r="Y85" s="90"/>
      <c r="Z85" s="90"/>
      <c r="AA85" s="89"/>
      <c r="AB85" s="90"/>
      <c r="AC85" s="90"/>
      <c r="AD85" s="90"/>
      <c r="AE85" s="90"/>
      <c r="AF85" s="90"/>
      <c r="AG85" s="92"/>
      <c r="AH85" s="93"/>
      <c r="AI85" s="93"/>
      <c r="AJ85" s="93"/>
      <c r="AK85" s="93"/>
      <c r="AL85" s="93"/>
      <c r="AM85" s="93"/>
      <c r="AN85" s="94"/>
      <c r="AO85" s="95"/>
      <c r="AP85" s="95"/>
      <c r="AQ85" s="95"/>
      <c r="AR85" s="94"/>
      <c r="AS85" s="95"/>
      <c r="AT85" s="95"/>
      <c r="AU85" s="95"/>
      <c r="AV85" s="95"/>
      <c r="AW85" s="92"/>
      <c r="AX85" s="93"/>
      <c r="AY85" s="93"/>
      <c r="AZ85" s="93"/>
      <c r="BA85" s="93"/>
      <c r="BB85" s="93"/>
      <c r="BC85" s="93"/>
      <c r="BD85" s="168"/>
      <c r="BE85" s="97"/>
      <c r="BF85" s="98"/>
      <c r="BG85" s="97"/>
      <c r="BH85" s="168"/>
      <c r="BI85" s="97"/>
      <c r="BJ85" s="97"/>
      <c r="BK85" s="97"/>
      <c r="BL85" s="97"/>
      <c r="BM85" s="97"/>
      <c r="BN85" s="97"/>
      <c r="BO85" s="93"/>
      <c r="BP85" s="93"/>
      <c r="BQ85" s="93"/>
      <c r="BR85" s="93"/>
      <c r="BS85" s="93"/>
      <c r="BT85" s="93"/>
      <c r="BU85" s="93"/>
      <c r="BV85" s="99"/>
      <c r="BW85" s="86"/>
      <c r="BX85" s="86"/>
      <c r="BY85" s="86"/>
      <c r="BZ85" s="100" t="s">
        <v>816</v>
      </c>
      <c r="CA85" s="100" t="str">
        <f ca="1">IFERROR(__xludf.DUMMYFUNCTION("IF(REGEXMATCH(Catalog_RewardType,""reward""), VLOOKUP($E85, {'TitleData rewards.items'!$J$9:$J416,'TitleData rewards.items'!$B$9:$B416}, 2, FALSE), """")"),"")</f>
        <v/>
      </c>
    </row>
    <row r="86" spans="1:79" ht="42" hidden="1" x14ac:dyDescent="0.15">
      <c r="A86" s="169" t="s">
        <v>314</v>
      </c>
      <c r="B86" s="170" t="b">
        <v>1</v>
      </c>
      <c r="C86" s="169" t="s">
        <v>808</v>
      </c>
      <c r="D86" s="85" t="b">
        <f>VLOOKUP($C86, '_REF Catalog Classes'!$C$6:$D416, COLUMNS('_REF Catalog Classes'!$C$6:$D416), FALSE)</f>
        <v>1</v>
      </c>
      <c r="E86" s="169" t="s">
        <v>817</v>
      </c>
      <c r="F86" s="82" t="str">
        <f t="shared" si="0"/>
        <v>achievementPlayBlasterEfficiency:TRUE</v>
      </c>
      <c r="G86" s="102" t="s">
        <v>818</v>
      </c>
      <c r="H86" s="169" t="s">
        <v>819</v>
      </c>
      <c r="I86" s="169" t="s">
        <v>274</v>
      </c>
      <c r="J86" s="169"/>
      <c r="K86" s="169"/>
      <c r="L86" s="169"/>
      <c r="M86" s="102" t="s">
        <v>820</v>
      </c>
      <c r="N86" s="171"/>
      <c r="O86" s="169"/>
      <c r="P86" s="169"/>
      <c r="Q86" s="172"/>
      <c r="R86" s="169"/>
      <c r="S86" s="169"/>
      <c r="T86" s="169"/>
      <c r="U86" s="169"/>
      <c r="V86" s="169"/>
      <c r="W86" s="173">
        <v>0</v>
      </c>
      <c r="X86" s="102" t="s">
        <v>37</v>
      </c>
      <c r="Y86" s="90" t="str">
        <f>"file://"&amp;$E86&amp;"-state0-image0"</f>
        <v>file://achievementPlayBlasterEfficiency-state0-image0</v>
      </c>
      <c r="Z86" s="102"/>
      <c r="AA86" s="172" t="s">
        <v>283</v>
      </c>
      <c r="AB86" s="102" t="s">
        <v>821</v>
      </c>
      <c r="AC86" s="102"/>
      <c r="AD86" s="169" t="s">
        <v>822</v>
      </c>
      <c r="AE86" s="102"/>
      <c r="AF86" s="102"/>
      <c r="AG86" s="173"/>
      <c r="AH86" s="102"/>
      <c r="AI86" s="102"/>
      <c r="AJ86" s="102"/>
      <c r="AK86" s="102"/>
      <c r="AL86" s="102"/>
      <c r="AM86" s="102"/>
      <c r="AN86" s="173"/>
      <c r="AO86" s="102"/>
      <c r="AP86" s="95" t="str">
        <f>"file://"&amp;$E86&amp;"-state1-image0"</f>
        <v>file://achievementPlayBlasterEfficiency-state1-image0</v>
      </c>
      <c r="AQ86" s="102"/>
      <c r="AR86" s="173"/>
      <c r="AS86" s="102"/>
      <c r="AT86" s="102"/>
      <c r="AU86" s="102"/>
      <c r="AV86" s="102"/>
      <c r="AW86" s="173"/>
      <c r="AX86" s="102"/>
      <c r="AY86" s="102"/>
      <c r="AZ86" s="102"/>
      <c r="BA86" s="102"/>
      <c r="BB86" s="102"/>
      <c r="BC86" s="102"/>
      <c r="BD86" s="174">
        <v>2</v>
      </c>
      <c r="BE86" s="169" t="s">
        <v>823</v>
      </c>
      <c r="BF86" s="98"/>
      <c r="BG86" s="102"/>
      <c r="BH86" s="102" t="s">
        <v>283</v>
      </c>
      <c r="BI86" s="102" t="s">
        <v>821</v>
      </c>
      <c r="BJ86" s="102"/>
      <c r="BK86" s="102"/>
      <c r="BL86" s="102" t="s">
        <v>824</v>
      </c>
      <c r="BM86" s="102"/>
      <c r="BN86" s="102"/>
      <c r="BO86" s="102"/>
      <c r="BP86" s="102"/>
      <c r="BQ86" s="102"/>
      <c r="BR86" s="102"/>
      <c r="BS86" s="102"/>
      <c r="BT86" s="102"/>
      <c r="BU86" s="102"/>
      <c r="BV86" s="175" t="s">
        <v>825</v>
      </c>
      <c r="BW86" s="86" t="str">
        <f>VLOOKUP($C86, '_REF Catalog Classes'!$C$6:$E416, COLUMNS('_REF Catalog Classes'!$C$6:$E416), FALSE)</f>
        <v>never</v>
      </c>
      <c r="BX86" s="102"/>
      <c r="BY86" s="102"/>
      <c r="BZ86" s="176" t="s">
        <v>322</v>
      </c>
      <c r="CA86" s="100" t="str">
        <f ca="1">IFERROR(__xludf.DUMMYFUNCTION("IF(REGEXMATCH(Catalog_RewardType,""reward""), VLOOKUP($E86, {'TitleData rewards.items'!$J$9:$J416,'TitleData rewards.items'!$B$9:$B416}, 2, FALSE), """")"),"#N/A")</f>
        <v>#N/A</v>
      </c>
    </row>
    <row r="87" spans="1:79" ht="42" x14ac:dyDescent="0.15">
      <c r="A87" s="82" t="s">
        <v>269</v>
      </c>
      <c r="B87" s="83"/>
      <c r="C87" s="82" t="s">
        <v>808</v>
      </c>
      <c r="D87" s="85" t="b">
        <f>VLOOKUP($C87, '_REF Catalog Classes'!$C$6:$D416, COLUMNS('_REF Catalog Classes'!$C$6:$D416), FALSE)</f>
        <v>1</v>
      </c>
      <c r="E87" s="82" t="s">
        <v>826</v>
      </c>
      <c r="F87" s="82" t="str">
        <f t="shared" si="0"/>
        <v>achievementVCBadge:</v>
      </c>
      <c r="G87" s="177" t="s">
        <v>827</v>
      </c>
      <c r="H87" s="177" t="s">
        <v>828</v>
      </c>
      <c r="I87" s="125" t="s">
        <v>829</v>
      </c>
      <c r="J87" s="82" t="s">
        <v>275</v>
      </c>
      <c r="K87" s="82"/>
      <c r="L87" s="82"/>
      <c r="M87" s="86" t="s">
        <v>830</v>
      </c>
      <c r="N87" s="107"/>
      <c r="O87" s="108"/>
      <c r="P87" s="82">
        <v>1</v>
      </c>
      <c r="Q87" s="88" t="s">
        <v>277</v>
      </c>
      <c r="R87" s="82">
        <v>1</v>
      </c>
      <c r="S87" s="82" t="s">
        <v>278</v>
      </c>
      <c r="T87" s="82" t="s">
        <v>279</v>
      </c>
      <c r="U87" s="82">
        <v>2</v>
      </c>
      <c r="V87" s="82" t="s">
        <v>280</v>
      </c>
      <c r="W87" s="89"/>
      <c r="X87" s="90"/>
      <c r="Y87" s="90"/>
      <c r="Z87" s="162"/>
      <c r="AA87" s="91"/>
      <c r="AB87" s="162"/>
      <c r="AC87" s="90"/>
      <c r="AD87" s="90"/>
      <c r="AE87" s="162"/>
      <c r="AF87" s="162"/>
      <c r="AG87" s="164"/>
      <c r="AH87" s="108"/>
      <c r="AI87" s="108"/>
      <c r="AJ87" s="108"/>
      <c r="AK87" s="108"/>
      <c r="AL87" s="108"/>
      <c r="AM87" s="108"/>
      <c r="AN87" s="94"/>
      <c r="AO87" s="95"/>
      <c r="AP87" s="95"/>
      <c r="AQ87" s="95"/>
      <c r="AR87" s="94"/>
      <c r="AS87" s="95"/>
      <c r="AT87" s="95"/>
      <c r="AU87" s="95"/>
      <c r="AV87" s="95"/>
      <c r="AW87" s="164"/>
      <c r="AX87" s="108"/>
      <c r="AY87" s="108"/>
      <c r="AZ87" s="108"/>
      <c r="BA87" s="108"/>
      <c r="BB87" s="108"/>
      <c r="BC87" s="108"/>
      <c r="BD87" s="96">
        <v>2</v>
      </c>
      <c r="BE87" s="97" t="s">
        <v>38</v>
      </c>
      <c r="BF87" s="98" t="s">
        <v>831</v>
      </c>
      <c r="BG87" s="167"/>
      <c r="BH87" s="167" t="s">
        <v>283</v>
      </c>
      <c r="BI87" s="167" t="s">
        <v>832</v>
      </c>
      <c r="BJ87" s="167"/>
      <c r="BK87" s="167"/>
      <c r="BL87" s="167" t="s">
        <v>833</v>
      </c>
      <c r="BM87" s="167"/>
      <c r="BN87" s="167"/>
      <c r="BO87" s="108"/>
      <c r="BP87" s="108"/>
      <c r="BQ87" s="108"/>
      <c r="BR87" s="108"/>
      <c r="BS87" s="108"/>
      <c r="BT87" s="108"/>
      <c r="BU87" s="108"/>
      <c r="BV87" s="99" t="s">
        <v>287</v>
      </c>
      <c r="BW87" s="86"/>
      <c r="BX87" s="86"/>
      <c r="BY87" s="86"/>
      <c r="BZ87" s="100" t="s">
        <v>289</v>
      </c>
      <c r="CA87" s="100" t="str">
        <f ca="1">IFERROR(__xludf.DUMMYFUNCTION("IF(REGEXMATCH(Catalog_RewardType,""reward""), VLOOKUP($E87, {'TitleData rewards.items'!$J$9:$J416,'TitleData rewards.items'!$B$9:$B416}, 2, FALSE), """")"),"")</f>
        <v/>
      </c>
    </row>
    <row r="88" spans="1:79" ht="42" x14ac:dyDescent="0.15">
      <c r="A88" s="82" t="s">
        <v>269</v>
      </c>
      <c r="B88" s="83"/>
      <c r="C88" s="82" t="s">
        <v>808</v>
      </c>
      <c r="D88" s="85" t="b">
        <f>VLOOKUP($C88, '_REF Catalog Classes'!$C$6:$D416, COLUMNS('_REF Catalog Classes'!$C$6:$D416), FALSE)</f>
        <v>1</v>
      </c>
      <c r="E88" s="82" t="s">
        <v>834</v>
      </c>
      <c r="F88" s="82" t="str">
        <f t="shared" si="0"/>
        <v>achievementPlaySyncBlaster:</v>
      </c>
      <c r="G88" s="86" t="s">
        <v>835</v>
      </c>
      <c r="H88" s="86" t="s">
        <v>836</v>
      </c>
      <c r="I88" s="82" t="s">
        <v>274</v>
      </c>
      <c r="J88" s="82"/>
      <c r="K88" s="82"/>
      <c r="L88" s="82"/>
      <c r="M88" s="82" t="s">
        <v>830</v>
      </c>
      <c r="N88" s="107"/>
      <c r="O88" s="108"/>
      <c r="P88" s="82">
        <v>2</v>
      </c>
      <c r="Q88" s="88"/>
      <c r="R88" s="82"/>
      <c r="S88" s="82"/>
      <c r="T88" s="82"/>
      <c r="U88" s="82"/>
      <c r="V88" s="82"/>
      <c r="W88" s="89">
        <v>0</v>
      </c>
      <c r="X88" s="90" t="s">
        <v>37</v>
      </c>
      <c r="Y88" s="90" t="s">
        <v>831</v>
      </c>
      <c r="Z88" s="90"/>
      <c r="AA88" s="91" t="s">
        <v>283</v>
      </c>
      <c r="AB88" s="90" t="s">
        <v>837</v>
      </c>
      <c r="AC88" s="90"/>
      <c r="AD88" s="90" t="s">
        <v>838</v>
      </c>
      <c r="AE88" s="90"/>
      <c r="AF88" s="162"/>
      <c r="AG88" s="92"/>
      <c r="AH88" s="93"/>
      <c r="AI88" s="93"/>
      <c r="AJ88" s="93"/>
      <c r="AK88" s="93"/>
      <c r="AL88" s="93"/>
      <c r="AM88" s="93"/>
      <c r="AN88" s="94"/>
      <c r="AO88" s="95"/>
      <c r="AP88" s="95"/>
      <c r="AQ88" s="95"/>
      <c r="AR88" s="94"/>
      <c r="AS88" s="95"/>
      <c r="AT88" s="95"/>
      <c r="AU88" s="95"/>
      <c r="AV88" s="95"/>
      <c r="AW88" s="92"/>
      <c r="AX88" s="93"/>
      <c r="AY88" s="93"/>
      <c r="AZ88" s="93"/>
      <c r="BA88" s="93"/>
      <c r="BB88" s="93"/>
      <c r="BC88" s="93"/>
      <c r="BD88" s="96">
        <v>2</v>
      </c>
      <c r="BE88" s="97" t="s">
        <v>38</v>
      </c>
      <c r="BF88" s="98" t="s">
        <v>831</v>
      </c>
      <c r="BG88" s="97"/>
      <c r="BH88" s="97" t="s">
        <v>283</v>
      </c>
      <c r="BI88" s="97" t="s">
        <v>837</v>
      </c>
      <c r="BJ88" s="97"/>
      <c r="BK88" s="97"/>
      <c r="BL88" s="97" t="s">
        <v>839</v>
      </c>
      <c r="BM88" s="97"/>
      <c r="BN88" s="97"/>
      <c r="BO88" s="93"/>
      <c r="BP88" s="93"/>
      <c r="BQ88" s="93"/>
      <c r="BR88" s="93"/>
      <c r="BS88" s="93"/>
      <c r="BT88" s="93"/>
      <c r="BU88" s="93"/>
      <c r="BV88" s="99" t="s">
        <v>840</v>
      </c>
      <c r="BW88" s="86" t="str">
        <f>VLOOKUP($C88, '_REF Catalog Classes'!$C$6:$E416, COLUMNS('_REF Catalog Classes'!$C$6:$E416), FALSE)</f>
        <v>never</v>
      </c>
      <c r="BX88" s="86"/>
      <c r="BY88" s="86"/>
      <c r="BZ88" s="100" t="s">
        <v>322</v>
      </c>
      <c r="CA88" s="100" t="b">
        <f ca="1">IFERROR(__xludf.DUMMYFUNCTION("IF(REGEXMATCH(Catalog_RewardType,""reward""), VLOOKUP($E88, {'TitleData rewards.items'!$J$9:$J416,'TitleData rewards.items'!$B$9:$B416}, 2, FALSE), """")"),FALSE)</f>
        <v>0</v>
      </c>
    </row>
    <row r="89" spans="1:79" ht="16" hidden="1" x14ac:dyDescent="0.15">
      <c r="A89" s="82" t="s">
        <v>491</v>
      </c>
      <c r="B89" s="83"/>
      <c r="C89" s="82" t="s">
        <v>811</v>
      </c>
      <c r="D89" s="85" t="b">
        <f>VLOOKUP($C89, '_REF Catalog Classes'!$C$6:$D416, COLUMNS('_REF Catalog Classes'!$C$6:$D416), FALSE)</f>
        <v>1</v>
      </c>
      <c r="E89" s="82" t="s">
        <v>841</v>
      </c>
      <c r="F89" s="82" t="str">
        <f t="shared" si="0"/>
        <v>actionMissionVectorUnlock:</v>
      </c>
      <c r="G89" s="86" t="s">
        <v>842</v>
      </c>
      <c r="H89" s="86" t="s">
        <v>843</v>
      </c>
      <c r="I89" s="82" t="s">
        <v>274</v>
      </c>
      <c r="J89" s="82"/>
      <c r="K89" s="82" t="s">
        <v>275</v>
      </c>
      <c r="L89" s="82"/>
      <c r="M89" s="82"/>
      <c r="N89" s="107"/>
      <c r="O89" s="108"/>
      <c r="P89" s="82"/>
      <c r="Q89" s="88"/>
      <c r="R89" s="82"/>
      <c r="S89" s="82"/>
      <c r="T89" s="82"/>
      <c r="U89" s="82"/>
      <c r="V89" s="82"/>
      <c r="W89" s="89"/>
      <c r="X89" s="90"/>
      <c r="Y89" s="90"/>
      <c r="Z89" s="90"/>
      <c r="AA89" s="89"/>
      <c r="AB89" s="90"/>
      <c r="AC89" s="90"/>
      <c r="AD89" s="90"/>
      <c r="AE89" s="90"/>
      <c r="AF89" s="90"/>
      <c r="AG89" s="92"/>
      <c r="AH89" s="93"/>
      <c r="AI89" s="93"/>
      <c r="AJ89" s="93"/>
      <c r="AK89" s="93"/>
      <c r="AL89" s="93"/>
      <c r="AM89" s="93"/>
      <c r="AN89" s="94"/>
      <c r="AO89" s="95"/>
      <c r="AP89" s="95"/>
      <c r="AQ89" s="95"/>
      <c r="AR89" s="94"/>
      <c r="AS89" s="95"/>
      <c r="AT89" s="95"/>
      <c r="AU89" s="95"/>
      <c r="AV89" s="95"/>
      <c r="AW89" s="92"/>
      <c r="AX89" s="93"/>
      <c r="AY89" s="93"/>
      <c r="AZ89" s="93"/>
      <c r="BA89" s="93"/>
      <c r="BB89" s="93"/>
      <c r="BC89" s="93"/>
      <c r="BD89" s="168"/>
      <c r="BE89" s="97"/>
      <c r="BF89" s="98"/>
      <c r="BG89" s="97"/>
      <c r="BH89" s="168"/>
      <c r="BI89" s="97"/>
      <c r="BJ89" s="97"/>
      <c r="BK89" s="97"/>
      <c r="BL89" s="97"/>
      <c r="BM89" s="97"/>
      <c r="BN89" s="97"/>
      <c r="BO89" s="93"/>
      <c r="BP89" s="93"/>
      <c r="BQ89" s="93"/>
      <c r="BR89" s="93"/>
      <c r="BS89" s="93"/>
      <c r="BT89" s="93"/>
      <c r="BU89" s="93"/>
      <c r="BV89" s="99" t="s">
        <v>287</v>
      </c>
      <c r="BW89" s="86"/>
      <c r="BX89" s="86"/>
      <c r="BY89" s="86"/>
      <c r="BZ89" s="100" t="s">
        <v>289</v>
      </c>
      <c r="CA89" s="100" t="str">
        <f ca="1">IFERROR(__xludf.DUMMYFUNCTION("IF(REGEXMATCH(Catalog_RewardType,""reward""), VLOOKUP($E89, {'TitleData rewards.items'!$J$9:$J416,'TitleData rewards.items'!$B$9:$B416}, 2, FALSE), """")"),"")</f>
        <v/>
      </c>
    </row>
    <row r="90" spans="1:79" ht="42" hidden="1" x14ac:dyDescent="0.15">
      <c r="A90" s="82" t="s">
        <v>491</v>
      </c>
      <c r="B90" s="83"/>
      <c r="C90" s="82" t="s">
        <v>811</v>
      </c>
      <c r="D90" s="85" t="b">
        <f>VLOOKUP($C90, '_REF Catalog Classes'!$C$6:$D416, COLUMNS('_REF Catalog Classes'!$C$6:$D416), FALSE)</f>
        <v>1</v>
      </c>
      <c r="E90" s="82" t="s">
        <v>844</v>
      </c>
      <c r="F90" s="82" t="str">
        <f t="shared" si="0"/>
        <v>actionMissionVectorAttempt:</v>
      </c>
      <c r="G90" s="86" t="s">
        <v>845</v>
      </c>
      <c r="H90" s="86" t="s">
        <v>846</v>
      </c>
      <c r="I90" s="82" t="s">
        <v>847</v>
      </c>
      <c r="J90" s="82" t="s">
        <v>848</v>
      </c>
      <c r="K90" s="82" t="s">
        <v>849</v>
      </c>
      <c r="L90" s="108"/>
      <c r="M90" s="82"/>
      <c r="N90" s="107"/>
      <c r="O90" s="108"/>
      <c r="P90" s="82"/>
      <c r="Q90" s="88"/>
      <c r="R90" s="82"/>
      <c r="S90" s="82"/>
      <c r="T90" s="82"/>
      <c r="U90" s="82"/>
      <c r="V90" s="82"/>
      <c r="W90" s="89"/>
      <c r="X90" s="90"/>
      <c r="Y90" s="90"/>
      <c r="Z90" s="90"/>
      <c r="AA90" s="89"/>
      <c r="AB90" s="90"/>
      <c r="AC90" s="90"/>
      <c r="AD90" s="90"/>
      <c r="AE90" s="90"/>
      <c r="AF90" s="90"/>
      <c r="AG90" s="92"/>
      <c r="AH90" s="93"/>
      <c r="AI90" s="93"/>
      <c r="AJ90" s="93"/>
      <c r="AK90" s="93"/>
      <c r="AL90" s="93"/>
      <c r="AM90" s="93"/>
      <c r="AN90" s="94"/>
      <c r="AO90" s="95"/>
      <c r="AP90" s="95"/>
      <c r="AQ90" s="95"/>
      <c r="AR90" s="94"/>
      <c r="AS90" s="95"/>
      <c r="AT90" s="95"/>
      <c r="AU90" s="95"/>
      <c r="AV90" s="95"/>
      <c r="AW90" s="92"/>
      <c r="AX90" s="93"/>
      <c r="AY90" s="93"/>
      <c r="AZ90" s="93"/>
      <c r="BA90" s="93"/>
      <c r="BB90" s="93"/>
      <c r="BC90" s="93"/>
      <c r="BD90" s="168"/>
      <c r="BE90" s="97"/>
      <c r="BF90" s="98"/>
      <c r="BG90" s="97"/>
      <c r="BH90" s="168"/>
      <c r="BI90" s="97"/>
      <c r="BJ90" s="97"/>
      <c r="BK90" s="97"/>
      <c r="BL90" s="97"/>
      <c r="BM90" s="97"/>
      <c r="BN90" s="97"/>
      <c r="BO90" s="93"/>
      <c r="BP90" s="93"/>
      <c r="BQ90" s="93"/>
      <c r="BR90" s="93"/>
      <c r="BS90" s="93"/>
      <c r="BT90" s="93"/>
      <c r="BU90" s="93"/>
      <c r="BV90" s="178"/>
      <c r="BW90" s="125"/>
      <c r="BX90" s="106"/>
      <c r="BY90" s="106"/>
      <c r="BZ90" s="179" t="s">
        <v>850</v>
      </c>
      <c r="CA90" s="100" t="str">
        <f ca="1">IFERROR(__xludf.DUMMYFUNCTION("IF(REGEXMATCH(Catalog_RewardType,""reward""), VLOOKUP($E90, {'TitleData rewards.items'!$J$9:$J416,'TitleData rewards.items'!$B$9:$B416}, 2, FALSE), """")"),"")</f>
        <v/>
      </c>
    </row>
    <row r="91" spans="1:79" ht="56" x14ac:dyDescent="0.15">
      <c r="A91" s="82" t="s">
        <v>269</v>
      </c>
      <c r="B91" s="83"/>
      <c r="C91" s="82" t="s">
        <v>851</v>
      </c>
      <c r="D91" s="85" t="b">
        <f>VLOOKUP($C91, '_REF Catalog Classes'!$C$6:$D416, COLUMNS('_REF Catalog Classes'!$C$6:$D416), FALSE)</f>
        <v>1</v>
      </c>
      <c r="E91" s="82" t="s">
        <v>852</v>
      </c>
      <c r="F91" s="82" t="str">
        <f t="shared" si="0"/>
        <v>missionVector:</v>
      </c>
      <c r="G91" s="86" t="s">
        <v>853</v>
      </c>
      <c r="H91" s="86" t="s">
        <v>854</v>
      </c>
      <c r="I91" s="82" t="s">
        <v>855</v>
      </c>
      <c r="J91" s="82" t="s">
        <v>856</v>
      </c>
      <c r="K91" s="82"/>
      <c r="L91" s="82" t="s">
        <v>857</v>
      </c>
      <c r="M91" s="82"/>
      <c r="N91" s="107"/>
      <c r="O91" s="108"/>
      <c r="P91" s="82">
        <v>1</v>
      </c>
      <c r="Q91" s="88" t="s">
        <v>277</v>
      </c>
      <c r="R91" s="82">
        <v>1</v>
      </c>
      <c r="S91" s="82" t="s">
        <v>278</v>
      </c>
      <c r="T91" s="82" t="s">
        <v>279</v>
      </c>
      <c r="U91" s="82">
        <v>1</v>
      </c>
      <c r="V91" s="82" t="s">
        <v>280</v>
      </c>
      <c r="W91" s="92"/>
      <c r="X91" s="93"/>
      <c r="Y91" s="90"/>
      <c r="Z91" s="93"/>
      <c r="AA91" s="164"/>
      <c r="AB91" s="93"/>
      <c r="AC91" s="93"/>
      <c r="AD91" s="93"/>
      <c r="AE91" s="90"/>
      <c r="AF91" s="90"/>
      <c r="AG91" s="92"/>
      <c r="AH91" s="93"/>
      <c r="AI91" s="93"/>
      <c r="AJ91" s="93"/>
      <c r="AK91" s="93"/>
      <c r="AL91" s="93"/>
      <c r="AM91" s="93"/>
      <c r="AN91" s="94">
        <v>1</v>
      </c>
      <c r="AO91" s="95" t="s">
        <v>858</v>
      </c>
      <c r="AP91" s="95" t="s">
        <v>859</v>
      </c>
      <c r="AQ91" s="95" t="s">
        <v>860</v>
      </c>
      <c r="AR91" s="94" t="s">
        <v>283</v>
      </c>
      <c r="AS91" s="95" t="s">
        <v>861</v>
      </c>
      <c r="AT91" s="95" t="s">
        <v>862</v>
      </c>
      <c r="AU91" s="95" t="s">
        <v>863</v>
      </c>
      <c r="AV91" s="95" t="s">
        <v>864</v>
      </c>
      <c r="AW91" s="92"/>
      <c r="AX91" s="93"/>
      <c r="AY91" s="93"/>
      <c r="AZ91" s="93"/>
      <c r="BA91" s="93"/>
      <c r="BB91" s="93"/>
      <c r="BC91" s="93"/>
      <c r="BD91" s="96">
        <v>2</v>
      </c>
      <c r="BE91" s="97" t="s">
        <v>865</v>
      </c>
      <c r="BF91" s="98" t="s">
        <v>859</v>
      </c>
      <c r="BG91" s="97" t="s">
        <v>860</v>
      </c>
      <c r="BH91" s="97" t="s">
        <v>283</v>
      </c>
      <c r="BI91" s="97" t="s">
        <v>861</v>
      </c>
      <c r="BJ91" s="97"/>
      <c r="BK91" s="97" t="s">
        <v>866</v>
      </c>
      <c r="BL91" s="97" t="s">
        <v>867</v>
      </c>
      <c r="BM91" s="97" t="s">
        <v>868</v>
      </c>
      <c r="BN91" s="97"/>
      <c r="BO91" s="93"/>
      <c r="BP91" s="93"/>
      <c r="BQ91" s="93"/>
      <c r="BR91" s="93"/>
      <c r="BS91" s="93"/>
      <c r="BT91" s="93"/>
      <c r="BU91" s="93"/>
      <c r="BV91" s="180" t="s">
        <v>869</v>
      </c>
      <c r="BW91" s="181"/>
      <c r="BX91" s="86"/>
      <c r="BY91" s="86"/>
      <c r="BZ91" s="86" t="s">
        <v>289</v>
      </c>
      <c r="CA91" s="100" t="str">
        <f ca="1">IFERROR(__xludf.DUMMYFUNCTION("IF(REGEXMATCH(Catalog_RewardType,""reward""), VLOOKUP($E91, {'TitleData rewards.items'!$J$9:$J416,'TitleData rewards.items'!$B$9:$B416}, 2, FALSE), """")"),"")</f>
        <v/>
      </c>
    </row>
    <row r="92" spans="1:79" ht="56" x14ac:dyDescent="0.15">
      <c r="A92" s="82" t="s">
        <v>269</v>
      </c>
      <c r="B92" s="83"/>
      <c r="C92" s="82" t="s">
        <v>808</v>
      </c>
      <c r="D92" s="85" t="b">
        <f>VLOOKUP($C92, '_REF Catalog Classes'!$C$6:$D416, COLUMNS('_REF Catalog Classes'!$C$6:$D416), FALSE)</f>
        <v>1</v>
      </c>
      <c r="E92" s="82" t="s">
        <v>870</v>
      </c>
      <c r="F92" s="82" t="str">
        <f t="shared" si="0"/>
        <v>achievementMissionVector:</v>
      </c>
      <c r="G92" s="82" t="s">
        <v>871</v>
      </c>
      <c r="H92" s="82" t="s">
        <v>872</v>
      </c>
      <c r="I92" s="82" t="s">
        <v>274</v>
      </c>
      <c r="J92" s="82"/>
      <c r="K92" s="82"/>
      <c r="L92" s="82"/>
      <c r="M92" s="82" t="s">
        <v>830</v>
      </c>
      <c r="N92" s="107"/>
      <c r="O92" s="108"/>
      <c r="P92" s="82">
        <v>25</v>
      </c>
      <c r="Q92" s="88"/>
      <c r="R92" s="82"/>
      <c r="S92" s="82"/>
      <c r="T92" s="82"/>
      <c r="U92" s="82"/>
      <c r="V92" s="82"/>
      <c r="W92" s="89">
        <v>0</v>
      </c>
      <c r="X92" s="90" t="s">
        <v>37</v>
      </c>
      <c r="Y92" s="90" t="s">
        <v>873</v>
      </c>
      <c r="Z92" s="90"/>
      <c r="AA92" s="91" t="s">
        <v>283</v>
      </c>
      <c r="AB92" s="90" t="s">
        <v>874</v>
      </c>
      <c r="AC92" s="90"/>
      <c r="AD92" s="90" t="s">
        <v>875</v>
      </c>
      <c r="AE92" s="90"/>
      <c r="AF92" s="90"/>
      <c r="AG92" s="92"/>
      <c r="AH92" s="93"/>
      <c r="AI92" s="93"/>
      <c r="AJ92" s="93"/>
      <c r="AK92" s="93"/>
      <c r="AL92" s="93"/>
      <c r="AM92" s="93"/>
      <c r="AN92" s="94"/>
      <c r="AO92" s="95"/>
      <c r="AP92" s="95"/>
      <c r="AQ92" s="95"/>
      <c r="AR92" s="94"/>
      <c r="AS92" s="95"/>
      <c r="AT92" s="95"/>
      <c r="AU92" s="95"/>
      <c r="AV92" s="95"/>
      <c r="AW92" s="92"/>
      <c r="AX92" s="93"/>
      <c r="AY92" s="93"/>
      <c r="AZ92" s="93"/>
      <c r="BA92" s="93"/>
      <c r="BB92" s="93"/>
      <c r="BC92" s="93"/>
      <c r="BD92" s="96">
        <v>2</v>
      </c>
      <c r="BE92" s="97" t="s">
        <v>38</v>
      </c>
      <c r="BF92" s="98" t="s">
        <v>873</v>
      </c>
      <c r="BG92" s="97"/>
      <c r="BH92" s="97" t="s">
        <v>283</v>
      </c>
      <c r="BI92" s="97" t="s">
        <v>874</v>
      </c>
      <c r="BJ92" s="97"/>
      <c r="BK92" s="97"/>
      <c r="BL92" s="97" t="s">
        <v>876</v>
      </c>
      <c r="BM92" s="97"/>
      <c r="BN92" s="182"/>
      <c r="BO92" s="93"/>
      <c r="BP92" s="93"/>
      <c r="BQ92" s="93"/>
      <c r="BR92" s="93"/>
      <c r="BS92" s="93"/>
      <c r="BT92" s="93"/>
      <c r="BU92" s="93"/>
      <c r="BV92" s="99" t="s">
        <v>877</v>
      </c>
      <c r="BW92" s="86" t="str">
        <f>VLOOKUP($C92, '_REF Catalog Classes'!$C$6:$E416, COLUMNS('_REF Catalog Classes'!$C$6:$E416), FALSE)</f>
        <v>never</v>
      </c>
      <c r="BX92" s="86"/>
      <c r="BY92" s="86"/>
      <c r="BZ92" s="100" t="s">
        <v>322</v>
      </c>
      <c r="CA92" s="100" t="b">
        <f ca="1">IFERROR(__xludf.DUMMYFUNCTION("IF(REGEXMATCH(Catalog_RewardType,""reward""), VLOOKUP($E92, {'TitleData rewards.items'!$J$9:$J416,'TitleData rewards.items'!$B$9:$B416}, 2, FALSE), """")"),FALSE)</f>
        <v>0</v>
      </c>
    </row>
    <row r="93" spans="1:79" ht="28" hidden="1" x14ac:dyDescent="0.15">
      <c r="A93" s="82" t="s">
        <v>269</v>
      </c>
      <c r="B93" s="83" t="b">
        <v>1</v>
      </c>
      <c r="C93" s="82" t="s">
        <v>811</v>
      </c>
      <c r="D93" s="85" t="b">
        <f>VLOOKUP($C93, '_REF Catalog Classes'!$C$6:$D416, COLUMNS('_REF Catalog Classes'!$C$6:$D416), FALSE)</f>
        <v>1</v>
      </c>
      <c r="E93" s="82" t="s">
        <v>878</v>
      </c>
      <c r="F93" s="82" t="str">
        <f t="shared" si="0"/>
        <v>actionMission2Unlock:TRUE</v>
      </c>
      <c r="G93" s="86" t="s">
        <v>879</v>
      </c>
      <c r="H93" s="86" t="s">
        <v>880</v>
      </c>
      <c r="I93" s="82" t="s">
        <v>274</v>
      </c>
      <c r="J93" s="82"/>
      <c r="K93" s="82" t="s">
        <v>275</v>
      </c>
      <c r="L93" s="82"/>
      <c r="M93" s="82"/>
      <c r="N93" s="107"/>
      <c r="O93" s="108"/>
      <c r="P93" s="82"/>
      <c r="Q93" s="88"/>
      <c r="R93" s="82"/>
      <c r="S93" s="82"/>
      <c r="T93" s="82"/>
      <c r="U93" s="82"/>
      <c r="V93" s="82"/>
      <c r="W93" s="89"/>
      <c r="X93" s="90"/>
      <c r="Y93" s="90" t="str">
        <f t="shared" ref="Y93:Y96" si="9">"file://"&amp;$E93&amp;"-state0-image0"</f>
        <v>file://actionMission2Unlock-state0-image0</v>
      </c>
      <c r="Z93" s="90"/>
      <c r="AA93" s="89"/>
      <c r="AB93" s="90"/>
      <c r="AC93" s="90"/>
      <c r="AD93" s="90"/>
      <c r="AE93" s="90"/>
      <c r="AF93" s="90"/>
      <c r="AG93" s="92"/>
      <c r="AH93" s="93"/>
      <c r="AI93" s="93"/>
      <c r="AJ93" s="93"/>
      <c r="AK93" s="93"/>
      <c r="AL93" s="93"/>
      <c r="AM93" s="93"/>
      <c r="AN93" s="94"/>
      <c r="AO93" s="95"/>
      <c r="AP93" s="95" t="str">
        <f t="shared" ref="AP93:AP96" si="10">"file://"&amp;$E93&amp;"-state1-image0"</f>
        <v>file://actionMission2Unlock-state1-image0</v>
      </c>
      <c r="AQ93" s="95"/>
      <c r="AR93" s="94"/>
      <c r="AS93" s="95"/>
      <c r="AT93" s="95"/>
      <c r="AU93" s="95"/>
      <c r="AV93" s="95"/>
      <c r="AW93" s="92"/>
      <c r="AX93" s="93"/>
      <c r="AY93" s="93"/>
      <c r="AZ93" s="93"/>
      <c r="BA93" s="93"/>
      <c r="BB93" s="93"/>
      <c r="BC93" s="93"/>
      <c r="BD93" s="168"/>
      <c r="BE93" s="97"/>
      <c r="BF93" s="98"/>
      <c r="BG93" s="97"/>
      <c r="BH93" s="168"/>
      <c r="BI93" s="97"/>
      <c r="BJ93" s="97"/>
      <c r="BK93" s="97"/>
      <c r="BL93" s="97"/>
      <c r="BM93" s="97"/>
      <c r="BN93" s="97"/>
      <c r="BO93" s="93"/>
      <c r="BP93" s="93"/>
      <c r="BQ93" s="93"/>
      <c r="BR93" s="93"/>
      <c r="BS93" s="93"/>
      <c r="BT93" s="93"/>
      <c r="BU93" s="93"/>
      <c r="BV93" s="99" t="s">
        <v>881</v>
      </c>
      <c r="BW93" s="86" t="str">
        <f>VLOOKUP($C93, '_REF Catalog Classes'!$C$6:$E416, COLUMNS('_REF Catalog Classes'!$C$6:$E416), FALSE)</f>
        <v>always</v>
      </c>
      <c r="BX93" s="86"/>
      <c r="BY93" s="86"/>
      <c r="BZ93" s="86" t="s">
        <v>354</v>
      </c>
      <c r="CA93" s="100" t="str">
        <f ca="1">IFERROR(__xludf.DUMMYFUNCTION("IF(REGEXMATCH(Catalog_RewardType,""reward""), VLOOKUP($E93, {'TitleData rewards.items'!$J$9:$J416,'TitleData rewards.items'!$B$9:$B416}, 2, FALSE), """")"),"#N/A")</f>
        <v>#N/A</v>
      </c>
    </row>
    <row r="94" spans="1:79" ht="42" hidden="1" x14ac:dyDescent="0.15">
      <c r="A94" s="82" t="s">
        <v>491</v>
      </c>
      <c r="B94" s="83" t="b">
        <v>1</v>
      </c>
      <c r="C94" s="82" t="s">
        <v>811</v>
      </c>
      <c r="D94" s="85" t="b">
        <f>VLOOKUP($C94, '_REF Catalog Classes'!$C$6:$D416, COLUMNS('_REF Catalog Classes'!$C$6:$D416), FALSE)</f>
        <v>1</v>
      </c>
      <c r="E94" s="82" t="s">
        <v>882</v>
      </c>
      <c r="F94" s="82" t="str">
        <f t="shared" si="0"/>
        <v>actionMission2Attempt:TRUE</v>
      </c>
      <c r="G94" s="86" t="s">
        <v>883</v>
      </c>
      <c r="H94" s="86" t="s">
        <v>884</v>
      </c>
      <c r="I94" s="82" t="s">
        <v>847</v>
      </c>
      <c r="J94" s="82" t="s">
        <v>848</v>
      </c>
      <c r="K94" s="82" t="s">
        <v>849</v>
      </c>
      <c r="L94" s="108"/>
      <c r="M94" s="82"/>
      <c r="N94" s="107"/>
      <c r="O94" s="108"/>
      <c r="P94" s="82"/>
      <c r="Q94" s="88"/>
      <c r="R94" s="82"/>
      <c r="S94" s="82"/>
      <c r="T94" s="82"/>
      <c r="U94" s="82"/>
      <c r="V94" s="82"/>
      <c r="W94" s="89"/>
      <c r="X94" s="90"/>
      <c r="Y94" s="90" t="str">
        <f t="shared" si="9"/>
        <v>file://actionMission2Attempt-state0-image0</v>
      </c>
      <c r="Z94" s="90"/>
      <c r="AA94" s="89"/>
      <c r="AB94" s="90"/>
      <c r="AC94" s="90"/>
      <c r="AD94" s="90"/>
      <c r="AE94" s="90"/>
      <c r="AF94" s="90"/>
      <c r="AG94" s="92"/>
      <c r="AH94" s="93"/>
      <c r="AI94" s="93"/>
      <c r="AJ94" s="93"/>
      <c r="AK94" s="93"/>
      <c r="AL94" s="93"/>
      <c r="AM94" s="93"/>
      <c r="AN94" s="94"/>
      <c r="AO94" s="95"/>
      <c r="AP94" s="95" t="str">
        <f t="shared" si="10"/>
        <v>file://actionMission2Attempt-state1-image0</v>
      </c>
      <c r="AQ94" s="95"/>
      <c r="AR94" s="94"/>
      <c r="AS94" s="95"/>
      <c r="AT94" s="95"/>
      <c r="AU94" s="95"/>
      <c r="AV94" s="95"/>
      <c r="AW94" s="92"/>
      <c r="AX94" s="93"/>
      <c r="AY94" s="93"/>
      <c r="AZ94" s="93"/>
      <c r="BA94" s="93"/>
      <c r="BB94" s="93"/>
      <c r="BC94" s="93"/>
      <c r="BD94" s="168"/>
      <c r="BE94" s="97"/>
      <c r="BF94" s="98"/>
      <c r="BG94" s="97"/>
      <c r="BH94" s="168"/>
      <c r="BI94" s="97"/>
      <c r="BJ94" s="97"/>
      <c r="BK94" s="97"/>
      <c r="BL94" s="97"/>
      <c r="BM94" s="97"/>
      <c r="BN94" s="97"/>
      <c r="BO94" s="93"/>
      <c r="BP94" s="93"/>
      <c r="BQ94" s="93"/>
      <c r="BR94" s="93"/>
      <c r="BS94" s="93"/>
      <c r="BT94" s="93"/>
      <c r="BU94" s="93"/>
      <c r="BV94" s="183"/>
      <c r="BW94" s="106"/>
      <c r="BX94" s="106"/>
      <c r="BY94" s="106"/>
      <c r="BZ94" s="106"/>
      <c r="CA94" s="100" t="str">
        <f ca="1">IFERROR(__xludf.DUMMYFUNCTION("IF(REGEXMATCH(Catalog_RewardType,""reward""), VLOOKUP($E94, {'TitleData rewards.items'!$J$9:$J416,'TitleData rewards.items'!$B$9:$B416}, 2, FALSE), """")"),"")</f>
        <v/>
      </c>
    </row>
    <row r="95" spans="1:79" ht="56" hidden="1" x14ac:dyDescent="0.15">
      <c r="A95" s="82" t="s">
        <v>269</v>
      </c>
      <c r="B95" s="83" t="b">
        <v>1</v>
      </c>
      <c r="C95" s="82" t="s">
        <v>851</v>
      </c>
      <c r="D95" s="85" t="b">
        <f>VLOOKUP($C95, '_REF Catalog Classes'!$C$6:$D416, COLUMNS('_REF Catalog Classes'!$C$6:$D416), FALSE)</f>
        <v>1</v>
      </c>
      <c r="E95" s="82" t="s">
        <v>885</v>
      </c>
      <c r="F95" s="82" t="str">
        <f t="shared" si="0"/>
        <v>mission2:TRUE</v>
      </c>
      <c r="G95" s="86" t="s">
        <v>886</v>
      </c>
      <c r="H95" s="86" t="s">
        <v>887</v>
      </c>
      <c r="I95" s="82" t="s">
        <v>847</v>
      </c>
      <c r="J95" s="82" t="s">
        <v>856</v>
      </c>
      <c r="K95" s="82"/>
      <c r="L95" s="82" t="s">
        <v>857</v>
      </c>
      <c r="M95" s="82"/>
      <c r="N95" s="107"/>
      <c r="O95" s="108"/>
      <c r="P95" s="82">
        <v>2</v>
      </c>
      <c r="Q95" s="88"/>
      <c r="R95" s="82"/>
      <c r="S95" s="82"/>
      <c r="T95" s="82"/>
      <c r="U95" s="82"/>
      <c r="V95" s="82"/>
      <c r="W95" s="89">
        <v>0</v>
      </c>
      <c r="X95" s="90" t="s">
        <v>319</v>
      </c>
      <c r="Y95" s="90" t="str">
        <f t="shared" si="9"/>
        <v>file://mission2-state0-image0</v>
      </c>
      <c r="Z95" s="90"/>
      <c r="AA95" s="91" t="s">
        <v>283</v>
      </c>
      <c r="AB95" s="90" t="s">
        <v>888</v>
      </c>
      <c r="AC95" s="90"/>
      <c r="AD95" s="90" t="s">
        <v>889</v>
      </c>
      <c r="AE95" s="90"/>
      <c r="AF95" s="90"/>
      <c r="AG95" s="92"/>
      <c r="AH95" s="93"/>
      <c r="AI95" s="93"/>
      <c r="AJ95" s="93"/>
      <c r="AK95" s="93"/>
      <c r="AL95" s="93"/>
      <c r="AM95" s="93"/>
      <c r="AN95" s="94">
        <v>1</v>
      </c>
      <c r="AO95" s="95" t="s">
        <v>858</v>
      </c>
      <c r="AP95" s="95" t="str">
        <f t="shared" si="10"/>
        <v>file://mission2-state1-image0</v>
      </c>
      <c r="AQ95" s="95"/>
      <c r="AR95" s="94" t="s">
        <v>283</v>
      </c>
      <c r="AS95" s="95" t="s">
        <v>888</v>
      </c>
      <c r="AT95" s="95" t="s">
        <v>890</v>
      </c>
      <c r="AU95" s="95" t="s">
        <v>891</v>
      </c>
      <c r="AV95" s="95" t="s">
        <v>892</v>
      </c>
      <c r="AW95" s="92"/>
      <c r="AX95" s="93"/>
      <c r="AY95" s="93"/>
      <c r="AZ95" s="93"/>
      <c r="BA95" s="93"/>
      <c r="BB95" s="93"/>
      <c r="BC95" s="93"/>
      <c r="BD95" s="96">
        <v>2</v>
      </c>
      <c r="BE95" s="97" t="s">
        <v>865</v>
      </c>
      <c r="BF95" s="98"/>
      <c r="BG95" s="97"/>
      <c r="BH95" s="97" t="s">
        <v>283</v>
      </c>
      <c r="BI95" s="97" t="s">
        <v>888</v>
      </c>
      <c r="BJ95" s="97"/>
      <c r="BK95" s="97" t="s">
        <v>893</v>
      </c>
      <c r="BL95" s="97" t="s">
        <v>894</v>
      </c>
      <c r="BM95" s="97" t="s">
        <v>895</v>
      </c>
      <c r="BN95" s="97"/>
      <c r="BO95" s="93"/>
      <c r="BP95" s="93"/>
      <c r="BQ95" s="93"/>
      <c r="BR95" s="93"/>
      <c r="BS95" s="93"/>
      <c r="BT95" s="93"/>
      <c r="BU95" s="93"/>
      <c r="BV95" s="99"/>
      <c r="BW95" s="86"/>
      <c r="BX95" s="86"/>
      <c r="BY95" s="86"/>
      <c r="BZ95" s="86"/>
      <c r="CA95" s="100" t="str">
        <f ca="1">IFERROR(__xludf.DUMMYFUNCTION("IF(REGEXMATCH(Catalog_RewardType,""reward""), VLOOKUP($E95, {'TitleData rewards.items'!$J$9:$J416,'TitleData rewards.items'!$B$9:$B416}, 2, FALSE), """")"),"")</f>
        <v/>
      </c>
    </row>
    <row r="96" spans="1:79" ht="56" hidden="1" x14ac:dyDescent="0.15">
      <c r="A96" s="82" t="s">
        <v>269</v>
      </c>
      <c r="B96" s="83" t="b">
        <v>1</v>
      </c>
      <c r="C96" s="82" t="s">
        <v>808</v>
      </c>
      <c r="D96" s="85" t="b">
        <f>VLOOKUP($C96, '_REF Catalog Classes'!$C$6:$D416, COLUMNS('_REF Catalog Classes'!$C$6:$D416), FALSE)</f>
        <v>1</v>
      </c>
      <c r="E96" s="82" t="s">
        <v>896</v>
      </c>
      <c r="F96" s="82" t="str">
        <f t="shared" si="0"/>
        <v>achievementMission2:TRUE</v>
      </c>
      <c r="G96" s="82" t="s">
        <v>897</v>
      </c>
      <c r="H96" s="82" t="s">
        <v>898</v>
      </c>
      <c r="I96" s="82" t="s">
        <v>274</v>
      </c>
      <c r="J96" s="82"/>
      <c r="K96" s="82"/>
      <c r="L96" s="82"/>
      <c r="M96" s="82" t="s">
        <v>820</v>
      </c>
      <c r="N96" s="107"/>
      <c r="O96" s="108"/>
      <c r="P96" s="82">
        <v>33</v>
      </c>
      <c r="Q96" s="88"/>
      <c r="R96" s="82"/>
      <c r="S96" s="82"/>
      <c r="T96" s="82"/>
      <c r="U96" s="82"/>
      <c r="V96" s="82"/>
      <c r="W96" s="89">
        <v>0</v>
      </c>
      <c r="X96" s="90" t="s">
        <v>37</v>
      </c>
      <c r="Y96" s="90" t="str">
        <f t="shared" si="9"/>
        <v>file://achievementMission2-state0-image0</v>
      </c>
      <c r="Z96" s="90"/>
      <c r="AA96" s="91" t="s">
        <v>283</v>
      </c>
      <c r="AB96" s="90" t="s">
        <v>899</v>
      </c>
      <c r="AC96" s="90"/>
      <c r="AD96" s="90" t="s">
        <v>900</v>
      </c>
      <c r="AE96" s="90"/>
      <c r="AF96" s="90"/>
      <c r="AG96" s="92"/>
      <c r="AH96" s="93"/>
      <c r="AI96" s="93"/>
      <c r="AJ96" s="93"/>
      <c r="AK96" s="93"/>
      <c r="AL96" s="93"/>
      <c r="AM96" s="93"/>
      <c r="AN96" s="94"/>
      <c r="AO96" s="95"/>
      <c r="AP96" s="95" t="str">
        <f t="shared" si="10"/>
        <v>file://achievementMission2-state1-image0</v>
      </c>
      <c r="AQ96" s="95"/>
      <c r="AR96" s="94"/>
      <c r="AS96" s="95"/>
      <c r="AT96" s="95"/>
      <c r="AU96" s="95"/>
      <c r="AV96" s="95"/>
      <c r="AW96" s="93"/>
      <c r="AX96" s="93"/>
      <c r="AY96" s="93"/>
      <c r="AZ96" s="93"/>
      <c r="BA96" s="93"/>
      <c r="BB96" s="93"/>
      <c r="BC96" s="93"/>
      <c r="BD96" s="184">
        <v>2</v>
      </c>
      <c r="BE96" s="97" t="s">
        <v>823</v>
      </c>
      <c r="BF96" s="98"/>
      <c r="BG96" s="97"/>
      <c r="BH96" s="97" t="s">
        <v>283</v>
      </c>
      <c r="BI96" s="97" t="s">
        <v>899</v>
      </c>
      <c r="BJ96" s="97"/>
      <c r="BK96" s="97"/>
      <c r="BL96" s="97" t="s">
        <v>901</v>
      </c>
      <c r="BM96" s="97"/>
      <c r="BN96" s="182"/>
      <c r="BO96" s="93"/>
      <c r="BP96" s="93"/>
      <c r="BQ96" s="93"/>
      <c r="BR96" s="93"/>
      <c r="BS96" s="93"/>
      <c r="BT96" s="93"/>
      <c r="BU96" s="93"/>
      <c r="BV96" s="99" t="s">
        <v>902</v>
      </c>
      <c r="BW96" s="86" t="str">
        <f>VLOOKUP($C96, '_REF Catalog Classes'!$C$6:$E416, COLUMNS('_REF Catalog Classes'!$C$6:$E416), FALSE)</f>
        <v>never</v>
      </c>
      <c r="BX96" s="86"/>
      <c r="BY96" s="86"/>
      <c r="BZ96" s="185" t="s">
        <v>322</v>
      </c>
      <c r="CA96" s="100" t="str">
        <f ca="1">IFERROR(__xludf.DUMMYFUNCTION("IF(REGEXMATCH(Catalog_RewardType,""reward""), VLOOKUP($E96, {'TitleData rewards.items'!$J$9:$J416,'TitleData rewards.items'!$B$9:$B416}, 2, FALSE), """")"),"#N/A")</f>
        <v>#N/A</v>
      </c>
    </row>
    <row r="97" spans="1:79" ht="28" hidden="1" x14ac:dyDescent="0.15">
      <c r="A97" s="82" t="s">
        <v>269</v>
      </c>
      <c r="B97" s="83"/>
      <c r="C97" s="82" t="s">
        <v>811</v>
      </c>
      <c r="D97" s="85" t="b">
        <f>VLOOKUP($C97, '_REF Catalog Classes'!$C$6:$D416, COLUMNS('_REF Catalog Classes'!$C$6:$D416), FALSE)</f>
        <v>1</v>
      </c>
      <c r="E97" s="82" t="s">
        <v>903</v>
      </c>
      <c r="F97" s="82" t="str">
        <f t="shared" si="0"/>
        <v>actionMissionScarletUnlock:</v>
      </c>
      <c r="G97" s="106" t="s">
        <v>904</v>
      </c>
      <c r="H97" s="86" t="s">
        <v>905</v>
      </c>
      <c r="I97" s="82" t="s">
        <v>274</v>
      </c>
      <c r="J97" s="82"/>
      <c r="K97" s="82" t="s">
        <v>275</v>
      </c>
      <c r="L97" s="82"/>
      <c r="M97" s="82"/>
      <c r="N97" s="107"/>
      <c r="O97" s="108"/>
      <c r="P97" s="82"/>
      <c r="Q97" s="88"/>
      <c r="R97" s="82"/>
      <c r="S97" s="82"/>
      <c r="T97" s="82"/>
      <c r="U97" s="82"/>
      <c r="V97" s="82"/>
      <c r="W97" s="89"/>
      <c r="X97" s="90"/>
      <c r="Y97" s="90"/>
      <c r="Z97" s="90"/>
      <c r="AA97" s="89"/>
      <c r="AB97" s="90"/>
      <c r="AC97" s="90"/>
      <c r="AD97" s="90"/>
      <c r="AE97" s="90"/>
      <c r="AF97" s="90"/>
      <c r="AG97" s="92"/>
      <c r="AH97" s="93"/>
      <c r="AI97" s="93"/>
      <c r="AJ97" s="93"/>
      <c r="AK97" s="93"/>
      <c r="AL97" s="93"/>
      <c r="AM97" s="93"/>
      <c r="AN97" s="94"/>
      <c r="AO97" s="95"/>
      <c r="AP97" s="95"/>
      <c r="AQ97" s="95"/>
      <c r="AR97" s="94"/>
      <c r="AS97" s="95"/>
      <c r="AT97" s="95"/>
      <c r="AU97" s="95"/>
      <c r="AV97" s="95"/>
      <c r="AW97" s="92"/>
      <c r="AX97" s="93"/>
      <c r="AY97" s="93"/>
      <c r="AZ97" s="93"/>
      <c r="BA97" s="93"/>
      <c r="BB97" s="93"/>
      <c r="BC97" s="93"/>
      <c r="BD97" s="168"/>
      <c r="BE97" s="97"/>
      <c r="BF97" s="98"/>
      <c r="BG97" s="97"/>
      <c r="BH97" s="168"/>
      <c r="BI97" s="97"/>
      <c r="BJ97" s="97"/>
      <c r="BK97" s="97"/>
      <c r="BL97" s="97"/>
      <c r="BM97" s="97"/>
      <c r="BN97" s="97"/>
      <c r="BO97" s="93"/>
      <c r="BP97" s="93"/>
      <c r="BQ97" s="93"/>
      <c r="BR97" s="93"/>
      <c r="BS97" s="93"/>
      <c r="BT97" s="93"/>
      <c r="BU97" s="93"/>
      <c r="BV97" s="99" t="s">
        <v>906</v>
      </c>
      <c r="BW97" s="86" t="str">
        <f>VLOOKUP($C97, '_REF Catalog Classes'!$C$6:$E416, COLUMNS('_REF Catalog Classes'!$C$6:$E416), FALSE)</f>
        <v>always</v>
      </c>
      <c r="BX97" s="86"/>
      <c r="BY97" s="86"/>
      <c r="BZ97" s="185" t="s">
        <v>354</v>
      </c>
      <c r="CA97" s="100" t="b">
        <f ca="1">IFERROR(__xludf.DUMMYFUNCTION("IF(REGEXMATCH(Catalog_RewardType,""reward""), VLOOKUP($E97, {'TitleData rewards.items'!$J$9:$J416,'TitleData rewards.items'!$B$9:$B416}, 2, FALSE), """")"),FALSE)</f>
        <v>0</v>
      </c>
    </row>
    <row r="98" spans="1:79" ht="42" hidden="1" x14ac:dyDescent="0.15">
      <c r="A98" s="82" t="s">
        <v>269</v>
      </c>
      <c r="B98" s="83"/>
      <c r="C98" s="82" t="s">
        <v>811</v>
      </c>
      <c r="D98" s="85" t="b">
        <f>VLOOKUP($C98, '_REF Catalog Classes'!$C$6:$D416, COLUMNS('_REF Catalog Classes'!$C$6:$D416), FALSE)</f>
        <v>1</v>
      </c>
      <c r="E98" s="82" t="s">
        <v>907</v>
      </c>
      <c r="F98" s="82" t="str">
        <f t="shared" si="0"/>
        <v>actionMissionScarletAttempt:</v>
      </c>
      <c r="G98" s="106" t="s">
        <v>904</v>
      </c>
      <c r="H98" s="86" t="s">
        <v>908</v>
      </c>
      <c r="I98" s="82" t="s">
        <v>847</v>
      </c>
      <c r="J98" s="82" t="s">
        <v>848</v>
      </c>
      <c r="K98" s="82" t="s">
        <v>849</v>
      </c>
      <c r="L98" s="108"/>
      <c r="M98" s="82"/>
      <c r="N98" s="107"/>
      <c r="O98" s="108"/>
      <c r="P98" s="82"/>
      <c r="Q98" s="88"/>
      <c r="R98" s="82"/>
      <c r="S98" s="82"/>
      <c r="T98" s="82"/>
      <c r="U98" s="82"/>
      <c r="V98" s="82"/>
      <c r="W98" s="89"/>
      <c r="X98" s="90"/>
      <c r="Y98" s="90"/>
      <c r="Z98" s="90"/>
      <c r="AA98" s="89"/>
      <c r="AB98" s="90"/>
      <c r="AC98" s="90"/>
      <c r="AD98" s="90"/>
      <c r="AE98" s="90"/>
      <c r="AF98" s="90"/>
      <c r="AG98" s="92"/>
      <c r="AH98" s="93"/>
      <c r="AI98" s="93"/>
      <c r="AJ98" s="93"/>
      <c r="AK98" s="93"/>
      <c r="AL98" s="93"/>
      <c r="AM98" s="93"/>
      <c r="AN98" s="94"/>
      <c r="AO98" s="95"/>
      <c r="AP98" s="95"/>
      <c r="AQ98" s="95"/>
      <c r="AR98" s="94"/>
      <c r="AS98" s="95"/>
      <c r="AT98" s="95"/>
      <c r="AU98" s="95"/>
      <c r="AV98" s="95"/>
      <c r="AW98" s="92"/>
      <c r="AX98" s="93"/>
      <c r="AY98" s="93"/>
      <c r="AZ98" s="93"/>
      <c r="BA98" s="93"/>
      <c r="BB98" s="93"/>
      <c r="BC98" s="93"/>
      <c r="BD98" s="168"/>
      <c r="BE98" s="97"/>
      <c r="BF98" s="98"/>
      <c r="BG98" s="97"/>
      <c r="BH98" s="168"/>
      <c r="BI98" s="97"/>
      <c r="BJ98" s="97"/>
      <c r="BK98" s="97"/>
      <c r="BL98" s="97"/>
      <c r="BM98" s="97"/>
      <c r="BN98" s="97"/>
      <c r="BO98" s="93"/>
      <c r="BP98" s="93"/>
      <c r="BQ98" s="93"/>
      <c r="BR98" s="93"/>
      <c r="BS98" s="93"/>
      <c r="BT98" s="93"/>
      <c r="BU98" s="93"/>
      <c r="BV98" s="99"/>
      <c r="BW98" s="86"/>
      <c r="BX98" s="86"/>
      <c r="BY98" s="86"/>
      <c r="BZ98" s="100"/>
      <c r="CA98" s="100" t="str">
        <f ca="1">IFERROR(__xludf.DUMMYFUNCTION("IF(REGEXMATCH(Catalog_RewardType,""reward""), VLOOKUP($E98, {'TitleData rewards.items'!$J$9:$J416,'TitleData rewards.items'!$B$9:$B416}, 2, FALSE), """")"),"")</f>
        <v/>
      </c>
    </row>
    <row r="99" spans="1:79" ht="105" x14ac:dyDescent="0.15">
      <c r="A99" s="82" t="s">
        <v>269</v>
      </c>
      <c r="B99" s="83"/>
      <c r="C99" s="82" t="s">
        <v>851</v>
      </c>
      <c r="D99" s="85" t="b">
        <f>VLOOKUP($C99, '_REF Catalog Classes'!$C$6:$D416, COLUMNS('_REF Catalog Classes'!$C$6:$D416), FALSE)</f>
        <v>1</v>
      </c>
      <c r="E99" s="82" t="s">
        <v>909</v>
      </c>
      <c r="F99" s="82" t="str">
        <f t="shared" si="0"/>
        <v>missionScarlet:</v>
      </c>
      <c r="G99" s="86" t="s">
        <v>910</v>
      </c>
      <c r="H99" s="86" t="s">
        <v>911</v>
      </c>
      <c r="I99" s="82" t="s">
        <v>855</v>
      </c>
      <c r="J99" s="82" t="s">
        <v>856</v>
      </c>
      <c r="K99" s="82"/>
      <c r="L99" s="82" t="s">
        <v>857</v>
      </c>
      <c r="M99" s="82"/>
      <c r="N99" s="107"/>
      <c r="O99" s="108"/>
      <c r="P99" s="82">
        <v>2</v>
      </c>
      <c r="Q99" s="88"/>
      <c r="R99" s="82"/>
      <c r="S99" s="82"/>
      <c r="T99" s="82"/>
      <c r="U99" s="82"/>
      <c r="V99" s="82"/>
      <c r="W99" s="89">
        <v>0</v>
      </c>
      <c r="X99" s="90" t="s">
        <v>319</v>
      </c>
      <c r="Y99" s="90" t="s">
        <v>912</v>
      </c>
      <c r="Z99" s="90" t="s">
        <v>913</v>
      </c>
      <c r="AA99" s="91" t="s">
        <v>283</v>
      </c>
      <c r="AB99" s="90" t="s">
        <v>914</v>
      </c>
      <c r="AC99" s="90"/>
      <c r="AD99" s="90" t="s">
        <v>915</v>
      </c>
      <c r="AE99" s="90"/>
      <c r="AF99" s="90"/>
      <c r="AG99" s="92"/>
      <c r="AH99" s="93"/>
      <c r="AI99" s="93"/>
      <c r="AJ99" s="93"/>
      <c r="AK99" s="93"/>
      <c r="AL99" s="93"/>
      <c r="AM99" s="93"/>
      <c r="AN99" s="94">
        <v>1</v>
      </c>
      <c r="AO99" s="95" t="s">
        <v>858</v>
      </c>
      <c r="AP99" s="95" t="s">
        <v>912</v>
      </c>
      <c r="AQ99" s="95" t="s">
        <v>913</v>
      </c>
      <c r="AR99" s="94" t="s">
        <v>283</v>
      </c>
      <c r="AS99" s="95" t="s">
        <v>916</v>
      </c>
      <c r="AT99" s="95" t="s">
        <v>917</v>
      </c>
      <c r="AU99" s="95" t="s">
        <v>918</v>
      </c>
      <c r="AV99" s="95" t="s">
        <v>864</v>
      </c>
      <c r="AW99" s="92"/>
      <c r="AX99" s="93"/>
      <c r="AY99" s="93"/>
      <c r="AZ99" s="93"/>
      <c r="BA99" s="93"/>
      <c r="BB99" s="93"/>
      <c r="BC99" s="93"/>
      <c r="BD99" s="96">
        <v>2</v>
      </c>
      <c r="BE99" s="97" t="s">
        <v>865</v>
      </c>
      <c r="BF99" s="98" t="s">
        <v>912</v>
      </c>
      <c r="BG99" s="97" t="s">
        <v>913</v>
      </c>
      <c r="BH99" s="97" t="s">
        <v>283</v>
      </c>
      <c r="BI99" s="97" t="s">
        <v>916</v>
      </c>
      <c r="BJ99" s="97"/>
      <c r="BK99" s="97" t="s">
        <v>919</v>
      </c>
      <c r="BL99" s="97" t="s">
        <v>920</v>
      </c>
      <c r="BM99" s="97" t="s">
        <v>921</v>
      </c>
      <c r="BN99" s="97"/>
      <c r="BO99" s="93"/>
      <c r="BP99" s="93"/>
      <c r="BQ99" s="93"/>
      <c r="BR99" s="93"/>
      <c r="BS99" s="93"/>
      <c r="BT99" s="93"/>
      <c r="BU99" s="93"/>
      <c r="BV99" s="186" t="s">
        <v>922</v>
      </c>
      <c r="BW99" s="86" t="str">
        <f>VLOOKUP($C99, '_REF Catalog Classes'!$C$6:$E416, COLUMNS('_REF Catalog Classes'!$C$6:$E416), FALSE)</f>
        <v>always</v>
      </c>
      <c r="BX99" s="86"/>
      <c r="BY99" s="86"/>
      <c r="BZ99" s="86" t="s">
        <v>322</v>
      </c>
      <c r="CA99" s="100" t="b">
        <f ca="1">IFERROR(__xludf.DUMMYFUNCTION("IF(REGEXMATCH(Catalog_RewardType,""reward""), VLOOKUP($E99, {'TitleData rewards.items'!$J$9:$J416,'TitleData rewards.items'!$B$9:$B416}, 2, FALSE), """")"),FALSE)</f>
        <v>0</v>
      </c>
    </row>
    <row r="100" spans="1:79" ht="42" x14ac:dyDescent="0.15">
      <c r="A100" s="82" t="s">
        <v>269</v>
      </c>
      <c r="B100" s="83"/>
      <c r="C100" s="82" t="s">
        <v>808</v>
      </c>
      <c r="D100" s="85" t="b">
        <f>VLOOKUP($C100, '_REF Catalog Classes'!$C$6:$D416, COLUMNS('_REF Catalog Classes'!$C$6:$D416), FALSE)</f>
        <v>1</v>
      </c>
      <c r="E100" s="82" t="s">
        <v>923</v>
      </c>
      <c r="F100" s="82" t="str">
        <f t="shared" si="0"/>
        <v>achievementMissionScarlet:</v>
      </c>
      <c r="G100" s="86" t="s">
        <v>924</v>
      </c>
      <c r="H100" s="82" t="s">
        <v>925</v>
      </c>
      <c r="I100" s="187" t="s">
        <v>274</v>
      </c>
      <c r="J100" s="82"/>
      <c r="K100" s="86"/>
      <c r="L100" s="86"/>
      <c r="M100" s="86" t="s">
        <v>830</v>
      </c>
      <c r="N100" s="107"/>
      <c r="O100" s="108"/>
      <c r="P100" s="187">
        <v>26</v>
      </c>
      <c r="Q100" s="82"/>
      <c r="R100" s="82"/>
      <c r="S100" s="82"/>
      <c r="T100" s="82"/>
      <c r="U100" s="82"/>
      <c r="V100" s="187"/>
      <c r="W100" s="89">
        <v>0</v>
      </c>
      <c r="X100" s="90" t="s">
        <v>37</v>
      </c>
      <c r="Y100" s="90" t="s">
        <v>873</v>
      </c>
      <c r="Z100" s="90"/>
      <c r="AA100" s="89" t="s">
        <v>283</v>
      </c>
      <c r="AB100" s="90" t="s">
        <v>916</v>
      </c>
      <c r="AC100" s="90"/>
      <c r="AD100" s="90" t="s">
        <v>926</v>
      </c>
      <c r="AE100" s="90"/>
      <c r="AF100" s="188"/>
      <c r="AG100" s="93"/>
      <c r="AH100" s="93"/>
      <c r="AI100" s="93"/>
      <c r="AJ100" s="93"/>
      <c r="AK100" s="93"/>
      <c r="AL100" s="93"/>
      <c r="AM100" s="189"/>
      <c r="AN100" s="95"/>
      <c r="AO100" s="95"/>
      <c r="AP100" s="95"/>
      <c r="AQ100" s="95"/>
      <c r="AR100" s="95"/>
      <c r="AS100" s="95"/>
      <c r="AT100" s="95"/>
      <c r="AU100" s="95"/>
      <c r="AV100" s="95"/>
      <c r="AW100" s="93"/>
      <c r="AX100" s="93"/>
      <c r="AY100" s="93"/>
      <c r="AZ100" s="93"/>
      <c r="BA100" s="93"/>
      <c r="BB100" s="93"/>
      <c r="BC100" s="189"/>
      <c r="BD100" s="96">
        <v>2</v>
      </c>
      <c r="BE100" s="167" t="s">
        <v>38</v>
      </c>
      <c r="BF100" s="98" t="s">
        <v>873</v>
      </c>
      <c r="BG100" s="97"/>
      <c r="BH100" s="97" t="s">
        <v>283</v>
      </c>
      <c r="BI100" s="97" t="s">
        <v>916</v>
      </c>
      <c r="BJ100" s="190"/>
      <c r="BK100" s="97"/>
      <c r="BL100" s="167" t="s">
        <v>927</v>
      </c>
      <c r="BM100" s="97"/>
      <c r="BN100" s="167"/>
      <c r="BO100" s="93"/>
      <c r="BP100" s="93"/>
      <c r="BQ100" s="93"/>
      <c r="BR100" s="93"/>
      <c r="BS100" s="93"/>
      <c r="BT100" s="93"/>
      <c r="BU100" s="93"/>
      <c r="BV100" s="113" t="s">
        <v>595</v>
      </c>
      <c r="BW100" s="86" t="str">
        <f>VLOOKUP($C100, '_REF Catalog Classes'!$C$6:$E416, COLUMNS('_REF Catalog Classes'!$C$6:$E416), FALSE)</f>
        <v>never</v>
      </c>
      <c r="BX100" s="86"/>
      <c r="BY100" s="86"/>
      <c r="BZ100" s="86" t="s">
        <v>322</v>
      </c>
      <c r="CA100" s="100" t="b">
        <f ca="1">IFERROR(__xludf.DUMMYFUNCTION("IF(REGEXMATCH(Catalog_RewardType,""reward""), VLOOKUP($E100, {'TitleData rewards.items'!$J$9:$J416,'TitleData rewards.items'!$B$9:$B416}, 2, FALSE), """")"),FALSE)</f>
        <v>0</v>
      </c>
    </row>
    <row r="101" spans="1:79" ht="56" hidden="1" x14ac:dyDescent="0.15">
      <c r="A101" s="191" t="s">
        <v>269</v>
      </c>
      <c r="B101" s="83" t="b">
        <v>1</v>
      </c>
      <c r="C101" s="82" t="s">
        <v>808</v>
      </c>
      <c r="D101" s="85" t="b">
        <f>VLOOKUP($C101, '_REF Catalog Classes'!$C$6:$D416, COLUMNS('_REF Catalog Classes'!$C$6:$D416), FALSE)</f>
        <v>1</v>
      </c>
      <c r="E101" s="82" t="s">
        <v>923</v>
      </c>
      <c r="F101" s="82" t="str">
        <f t="shared" si="0"/>
        <v>achievementMissionScarlet:TRUE</v>
      </c>
      <c r="G101" s="185" t="s">
        <v>928</v>
      </c>
      <c r="H101" s="86" t="s">
        <v>929</v>
      </c>
      <c r="I101" s="191" t="s">
        <v>274</v>
      </c>
      <c r="J101" s="191"/>
      <c r="K101" s="191"/>
      <c r="L101" s="191"/>
      <c r="M101" s="191" t="s">
        <v>820</v>
      </c>
      <c r="N101" s="192"/>
      <c r="O101" s="193"/>
      <c r="P101" s="191">
        <v>36</v>
      </c>
      <c r="Q101" s="194"/>
      <c r="R101" s="191"/>
      <c r="S101" s="191"/>
      <c r="T101" s="191"/>
      <c r="U101" s="191"/>
      <c r="V101" s="191"/>
      <c r="W101" s="89">
        <v>0</v>
      </c>
      <c r="X101" s="90" t="s">
        <v>37</v>
      </c>
      <c r="Y101" s="90" t="str">
        <f>"file://"&amp;$E101&amp;"-state0-image0"</f>
        <v>file://achievementMissionScarlet-state0-image0</v>
      </c>
      <c r="Z101" s="195"/>
      <c r="AA101" s="91" t="s">
        <v>283</v>
      </c>
      <c r="AB101" s="195" t="s">
        <v>930</v>
      </c>
      <c r="AC101" s="90"/>
      <c r="AD101" s="90" t="s">
        <v>931</v>
      </c>
      <c r="AE101" s="195"/>
      <c r="AF101" s="195"/>
      <c r="AG101" s="196"/>
      <c r="AH101" s="197"/>
      <c r="AI101" s="197"/>
      <c r="AJ101" s="197"/>
      <c r="AK101" s="197"/>
      <c r="AL101" s="197"/>
      <c r="AM101" s="197"/>
      <c r="AN101" s="198"/>
      <c r="AO101" s="199"/>
      <c r="AP101" s="95" t="str">
        <f>"file://"&amp;$E101&amp;"-state1-image0"</f>
        <v>file://achievementMissionScarlet-state1-image0</v>
      </c>
      <c r="AQ101" s="199"/>
      <c r="AR101" s="198"/>
      <c r="AS101" s="199"/>
      <c r="AT101" s="199"/>
      <c r="AU101" s="199"/>
      <c r="AV101" s="199"/>
      <c r="AW101" s="196"/>
      <c r="AX101" s="197"/>
      <c r="AY101" s="197"/>
      <c r="AZ101" s="197"/>
      <c r="BA101" s="197"/>
      <c r="BB101" s="197"/>
      <c r="BC101" s="197"/>
      <c r="BD101" s="96">
        <v>2</v>
      </c>
      <c r="BE101" s="97" t="s">
        <v>823</v>
      </c>
      <c r="BF101" s="98"/>
      <c r="BG101" s="97"/>
      <c r="BH101" s="97" t="s">
        <v>283</v>
      </c>
      <c r="BI101" s="200" t="s">
        <v>930</v>
      </c>
      <c r="BJ101" s="200"/>
      <c r="BK101" s="97"/>
      <c r="BL101" s="97" t="s">
        <v>932</v>
      </c>
      <c r="BM101" s="97"/>
      <c r="BN101" s="167"/>
      <c r="BO101" s="197"/>
      <c r="BP101" s="197"/>
      <c r="BQ101" s="197"/>
      <c r="BR101" s="197"/>
      <c r="BS101" s="197"/>
      <c r="BT101" s="197"/>
      <c r="BU101" s="197"/>
      <c r="BV101" s="99" t="s">
        <v>933</v>
      </c>
      <c r="BW101" s="86" t="str">
        <f>VLOOKUP($C101, '_REF Catalog Classes'!$C$6:$E416, COLUMNS('_REF Catalog Classes'!$C$6:$E416), FALSE)</f>
        <v>never</v>
      </c>
      <c r="BX101" s="86"/>
      <c r="BY101" s="86"/>
      <c r="BZ101" s="185" t="s">
        <v>322</v>
      </c>
      <c r="CA101" s="100" t="b">
        <f ca="1">IFERROR(__xludf.DUMMYFUNCTION("IF(REGEXMATCH(Catalog_RewardType,""reward""), VLOOKUP($E101, {'TitleData rewards.items'!$J$9:$J416,'TitleData rewards.items'!$B$9:$B416}, 2, FALSE), """")"),FALSE)</f>
        <v>0</v>
      </c>
    </row>
    <row r="102" spans="1:79" ht="28" hidden="1" x14ac:dyDescent="0.15">
      <c r="A102" s="82" t="s">
        <v>269</v>
      </c>
      <c r="B102" s="83"/>
      <c r="C102" s="82" t="s">
        <v>811</v>
      </c>
      <c r="D102" s="85" t="b">
        <f>VLOOKUP($C102, '_REF Catalog Classes'!$C$6:$D416, COLUMNS('_REF Catalog Classes'!$C$6:$D416), FALSE)</f>
        <v>1</v>
      </c>
      <c r="E102" s="82" t="s">
        <v>934</v>
      </c>
      <c r="F102" s="82" t="str">
        <f t="shared" si="0"/>
        <v>actionMissionElMachoUnlock:</v>
      </c>
      <c r="G102" s="106" t="s">
        <v>904</v>
      </c>
      <c r="H102" s="86" t="s">
        <v>935</v>
      </c>
      <c r="I102" s="82" t="s">
        <v>274</v>
      </c>
      <c r="J102" s="82"/>
      <c r="K102" s="82" t="s">
        <v>275</v>
      </c>
      <c r="L102" s="82"/>
      <c r="M102" s="82"/>
      <c r="N102" s="107"/>
      <c r="O102" s="108"/>
      <c r="P102" s="82"/>
      <c r="Q102" s="88"/>
      <c r="R102" s="82"/>
      <c r="S102" s="82"/>
      <c r="T102" s="82"/>
      <c r="U102" s="82"/>
      <c r="V102" s="82"/>
      <c r="W102" s="89"/>
      <c r="X102" s="90"/>
      <c r="Y102" s="90"/>
      <c r="Z102" s="90"/>
      <c r="AA102" s="89"/>
      <c r="AB102" s="90"/>
      <c r="AC102" s="90"/>
      <c r="AD102" s="90"/>
      <c r="AE102" s="90"/>
      <c r="AF102" s="90"/>
      <c r="AG102" s="92"/>
      <c r="AH102" s="93"/>
      <c r="AI102" s="93"/>
      <c r="AJ102" s="93"/>
      <c r="AK102" s="93"/>
      <c r="AL102" s="93"/>
      <c r="AM102" s="93"/>
      <c r="AN102" s="94"/>
      <c r="AO102" s="95"/>
      <c r="AP102" s="95"/>
      <c r="AQ102" s="95"/>
      <c r="AR102" s="94"/>
      <c r="AS102" s="95"/>
      <c r="AT102" s="95"/>
      <c r="AU102" s="95"/>
      <c r="AV102" s="95"/>
      <c r="AW102" s="92"/>
      <c r="AX102" s="93"/>
      <c r="AY102" s="93"/>
      <c r="AZ102" s="93"/>
      <c r="BA102" s="93"/>
      <c r="BB102" s="93"/>
      <c r="BC102" s="93"/>
      <c r="BD102" s="168"/>
      <c r="BE102" s="97"/>
      <c r="BF102" s="98"/>
      <c r="BG102" s="97"/>
      <c r="BH102" s="168"/>
      <c r="BI102" s="97"/>
      <c r="BJ102" s="97"/>
      <c r="BK102" s="97"/>
      <c r="BL102" s="97"/>
      <c r="BM102" s="97"/>
      <c r="BN102" s="97"/>
      <c r="BO102" s="93"/>
      <c r="BP102" s="93"/>
      <c r="BQ102" s="93"/>
      <c r="BR102" s="93"/>
      <c r="BS102" s="93"/>
      <c r="BT102" s="93"/>
      <c r="BU102" s="93"/>
      <c r="BV102" s="99" t="s">
        <v>936</v>
      </c>
      <c r="BW102" s="86" t="str">
        <f>VLOOKUP($C102, '_REF Catalog Classes'!$C$6:$E416, COLUMNS('_REF Catalog Classes'!$C$6:$E416), FALSE)</f>
        <v>always</v>
      </c>
      <c r="BX102" s="86"/>
      <c r="BY102" s="86"/>
      <c r="BZ102" s="86" t="s">
        <v>354</v>
      </c>
      <c r="CA102" s="100" t="b">
        <f ca="1">IFERROR(__xludf.DUMMYFUNCTION("IF(REGEXMATCH(Catalog_RewardType,""reward""), VLOOKUP($E102, {'TitleData rewards.items'!$J$9:$J416,'TitleData rewards.items'!$B$9:$B416}, 2, FALSE), """")"),FALSE)</f>
        <v>0</v>
      </c>
    </row>
    <row r="103" spans="1:79" ht="42" hidden="1" x14ac:dyDescent="0.15">
      <c r="A103" s="82" t="s">
        <v>269</v>
      </c>
      <c r="B103" s="83"/>
      <c r="C103" s="82" t="s">
        <v>811</v>
      </c>
      <c r="D103" s="85" t="b">
        <f>VLOOKUP($C103, '_REF Catalog Classes'!$C$6:$D416, COLUMNS('_REF Catalog Classes'!$C$6:$D416), FALSE)</f>
        <v>1</v>
      </c>
      <c r="E103" s="82" t="s">
        <v>937</v>
      </c>
      <c r="F103" s="82" t="str">
        <f t="shared" si="0"/>
        <v>actionMissionElMachoAttempt:</v>
      </c>
      <c r="G103" s="106" t="s">
        <v>904</v>
      </c>
      <c r="H103" s="86" t="s">
        <v>938</v>
      </c>
      <c r="I103" s="82" t="s">
        <v>847</v>
      </c>
      <c r="J103" s="82" t="s">
        <v>848</v>
      </c>
      <c r="K103" s="82" t="s">
        <v>849</v>
      </c>
      <c r="L103" s="108"/>
      <c r="M103" s="82"/>
      <c r="N103" s="107"/>
      <c r="O103" s="108"/>
      <c r="P103" s="82"/>
      <c r="Q103" s="88"/>
      <c r="R103" s="82"/>
      <c r="S103" s="82"/>
      <c r="T103" s="82"/>
      <c r="U103" s="82"/>
      <c r="V103" s="82"/>
      <c r="W103" s="89"/>
      <c r="X103" s="90"/>
      <c r="Y103" s="90"/>
      <c r="Z103" s="90"/>
      <c r="AA103" s="89"/>
      <c r="AB103" s="90"/>
      <c r="AC103" s="90"/>
      <c r="AD103" s="90"/>
      <c r="AE103" s="90"/>
      <c r="AF103" s="90"/>
      <c r="AG103" s="92"/>
      <c r="AH103" s="93"/>
      <c r="AI103" s="93"/>
      <c r="AJ103" s="93"/>
      <c r="AK103" s="93"/>
      <c r="AL103" s="93"/>
      <c r="AM103" s="93"/>
      <c r="AN103" s="94"/>
      <c r="AO103" s="95"/>
      <c r="AP103" s="95"/>
      <c r="AQ103" s="95"/>
      <c r="AR103" s="94"/>
      <c r="AS103" s="95"/>
      <c r="AT103" s="95"/>
      <c r="AU103" s="95"/>
      <c r="AV103" s="95"/>
      <c r="AW103" s="92"/>
      <c r="AX103" s="93"/>
      <c r="AY103" s="93"/>
      <c r="AZ103" s="93"/>
      <c r="BA103" s="93"/>
      <c r="BB103" s="93"/>
      <c r="BC103" s="93"/>
      <c r="BD103" s="168"/>
      <c r="BE103" s="97"/>
      <c r="BF103" s="98"/>
      <c r="BG103" s="97"/>
      <c r="BH103" s="168"/>
      <c r="BI103" s="97"/>
      <c r="BJ103" s="97"/>
      <c r="BK103" s="97"/>
      <c r="BL103" s="97"/>
      <c r="BM103" s="97"/>
      <c r="BN103" s="97"/>
      <c r="BO103" s="93"/>
      <c r="BP103" s="93"/>
      <c r="BQ103" s="93"/>
      <c r="BR103" s="93"/>
      <c r="BS103" s="93"/>
      <c r="BT103" s="93"/>
      <c r="BU103" s="93"/>
      <c r="BV103" s="99"/>
      <c r="BW103" s="86"/>
      <c r="BX103" s="86"/>
      <c r="BY103" s="86"/>
      <c r="BZ103" s="100" t="s">
        <v>850</v>
      </c>
      <c r="CA103" s="100" t="str">
        <f ca="1">IFERROR(__xludf.DUMMYFUNCTION("IF(REGEXMATCH(Catalog_RewardType,""reward""), VLOOKUP($E103, {'TitleData rewards.items'!$J$9:$J416,'TitleData rewards.items'!$B$9:$B416}, 2, FALSE), """")"),"")</f>
        <v/>
      </c>
    </row>
    <row r="104" spans="1:79" ht="105" x14ac:dyDescent="0.15">
      <c r="A104" s="82" t="s">
        <v>269</v>
      </c>
      <c r="B104" s="83"/>
      <c r="C104" s="82" t="s">
        <v>851</v>
      </c>
      <c r="D104" s="85" t="b">
        <f>VLOOKUP($C104, '_REF Catalog Classes'!$C$6:$D416, COLUMNS('_REF Catalog Classes'!$C$6:$D416), FALSE)</f>
        <v>1</v>
      </c>
      <c r="E104" s="82" t="s">
        <v>939</v>
      </c>
      <c r="F104" s="82" t="str">
        <f t="shared" si="0"/>
        <v>missionElMacho:</v>
      </c>
      <c r="G104" s="86" t="s">
        <v>940</v>
      </c>
      <c r="H104" s="86" t="s">
        <v>941</v>
      </c>
      <c r="I104" s="82" t="s">
        <v>855</v>
      </c>
      <c r="J104" s="82" t="s">
        <v>856</v>
      </c>
      <c r="K104" s="82"/>
      <c r="L104" s="82" t="s">
        <v>857</v>
      </c>
      <c r="M104" s="82"/>
      <c r="N104" s="107"/>
      <c r="O104" s="108"/>
      <c r="P104" s="82">
        <v>3</v>
      </c>
      <c r="Q104" s="88"/>
      <c r="R104" s="82"/>
      <c r="S104" s="82"/>
      <c r="T104" s="82"/>
      <c r="U104" s="82"/>
      <c r="V104" s="82"/>
      <c r="W104" s="89">
        <v>0</v>
      </c>
      <c r="X104" s="90" t="s">
        <v>319</v>
      </c>
      <c r="Y104" s="90" t="s">
        <v>942</v>
      </c>
      <c r="Z104" s="90" t="s">
        <v>943</v>
      </c>
      <c r="AA104" s="91" t="s">
        <v>283</v>
      </c>
      <c r="AB104" s="90" t="s">
        <v>914</v>
      </c>
      <c r="AC104" s="90"/>
      <c r="AD104" s="90" t="s">
        <v>944</v>
      </c>
      <c r="AE104" s="90"/>
      <c r="AF104" s="90"/>
      <c r="AG104" s="92"/>
      <c r="AH104" s="93"/>
      <c r="AI104" s="93"/>
      <c r="AJ104" s="93"/>
      <c r="AK104" s="93"/>
      <c r="AL104" s="93"/>
      <c r="AM104" s="93"/>
      <c r="AN104" s="94">
        <v>1</v>
      </c>
      <c r="AO104" s="95" t="s">
        <v>858</v>
      </c>
      <c r="AP104" s="95" t="s">
        <v>942</v>
      </c>
      <c r="AQ104" s="95" t="s">
        <v>943</v>
      </c>
      <c r="AR104" s="94" t="s">
        <v>283</v>
      </c>
      <c r="AS104" s="95" t="s">
        <v>945</v>
      </c>
      <c r="AT104" s="95" t="s">
        <v>946</v>
      </c>
      <c r="AU104" s="95" t="s">
        <v>947</v>
      </c>
      <c r="AV104" s="95" t="s">
        <v>864</v>
      </c>
      <c r="AW104" s="92"/>
      <c r="AX104" s="93"/>
      <c r="AY104" s="93"/>
      <c r="AZ104" s="93"/>
      <c r="BA104" s="93"/>
      <c r="BB104" s="93"/>
      <c r="BC104" s="93"/>
      <c r="BD104" s="96">
        <v>2</v>
      </c>
      <c r="BE104" s="97" t="s">
        <v>865</v>
      </c>
      <c r="BF104" s="98" t="s">
        <v>942</v>
      </c>
      <c r="BG104" s="97" t="s">
        <v>943</v>
      </c>
      <c r="BH104" s="97" t="s">
        <v>283</v>
      </c>
      <c r="BI104" s="97" t="s">
        <v>945</v>
      </c>
      <c r="BJ104" s="97"/>
      <c r="BK104" s="97" t="s">
        <v>948</v>
      </c>
      <c r="BL104" s="97" t="s">
        <v>949</v>
      </c>
      <c r="BM104" s="97" t="s">
        <v>950</v>
      </c>
      <c r="BN104" s="97"/>
      <c r="BO104" s="93"/>
      <c r="BP104" s="93"/>
      <c r="BQ104" s="93"/>
      <c r="BR104" s="93"/>
      <c r="BS104" s="93"/>
      <c r="BT104" s="93"/>
      <c r="BU104" s="93"/>
      <c r="BV104" s="186" t="s">
        <v>951</v>
      </c>
      <c r="BW104" s="86" t="str">
        <f>VLOOKUP($C104, '_REF Catalog Classes'!$C$6:$E416, COLUMNS('_REF Catalog Classes'!$C$6:$E416), FALSE)</f>
        <v>always</v>
      </c>
      <c r="BX104" s="86"/>
      <c r="BY104" s="86"/>
      <c r="BZ104" s="86" t="s">
        <v>322</v>
      </c>
      <c r="CA104" s="100" t="b">
        <f ca="1">IFERROR(__xludf.DUMMYFUNCTION("IF(REGEXMATCH(Catalog_RewardType,""reward""), VLOOKUP($E104, {'TitleData rewards.items'!$J$9:$J416,'TitleData rewards.items'!$B$9:$B416}, 2, FALSE), """")"),FALSE)</f>
        <v>0</v>
      </c>
    </row>
    <row r="105" spans="1:79" ht="42" x14ac:dyDescent="0.15">
      <c r="A105" s="82" t="s">
        <v>269</v>
      </c>
      <c r="B105" s="83"/>
      <c r="C105" s="82" t="s">
        <v>808</v>
      </c>
      <c r="D105" s="85" t="b">
        <f>VLOOKUP($C105, '_REF Catalog Classes'!$C$6:$D416, COLUMNS('_REF Catalog Classes'!$C$6:$D416), FALSE)</f>
        <v>1</v>
      </c>
      <c r="E105" s="82" t="s">
        <v>952</v>
      </c>
      <c r="F105" s="82" t="str">
        <f t="shared" si="0"/>
        <v>achievementMissionElMacho:</v>
      </c>
      <c r="G105" s="86" t="s">
        <v>953</v>
      </c>
      <c r="H105" s="201" t="s">
        <v>954</v>
      </c>
      <c r="I105" s="82" t="s">
        <v>274</v>
      </c>
      <c r="J105" s="82"/>
      <c r="K105" s="82"/>
      <c r="L105" s="82"/>
      <c r="M105" s="82" t="s">
        <v>830</v>
      </c>
      <c r="N105" s="107"/>
      <c r="O105" s="108"/>
      <c r="P105" s="82">
        <v>27</v>
      </c>
      <c r="Q105" s="88"/>
      <c r="R105" s="82"/>
      <c r="S105" s="82"/>
      <c r="T105" s="82"/>
      <c r="U105" s="82"/>
      <c r="V105" s="82"/>
      <c r="W105" s="89">
        <v>0</v>
      </c>
      <c r="X105" s="90" t="s">
        <v>37</v>
      </c>
      <c r="Y105" s="90" t="s">
        <v>873</v>
      </c>
      <c r="Z105" s="90"/>
      <c r="AA105" s="91" t="s">
        <v>283</v>
      </c>
      <c r="AB105" s="90" t="s">
        <v>955</v>
      </c>
      <c r="AC105" s="90"/>
      <c r="AD105" s="90" t="s">
        <v>956</v>
      </c>
      <c r="AE105" s="90"/>
      <c r="AF105" s="90"/>
      <c r="AG105" s="92"/>
      <c r="AH105" s="93"/>
      <c r="AI105" s="93"/>
      <c r="AJ105" s="93"/>
      <c r="AK105" s="93"/>
      <c r="AL105" s="93"/>
      <c r="AM105" s="93"/>
      <c r="AN105" s="94"/>
      <c r="AO105" s="95"/>
      <c r="AP105" s="95"/>
      <c r="AQ105" s="95"/>
      <c r="AR105" s="94"/>
      <c r="AS105" s="95"/>
      <c r="AT105" s="95"/>
      <c r="AU105" s="95"/>
      <c r="AV105" s="95"/>
      <c r="AW105" s="92"/>
      <c r="AX105" s="93"/>
      <c r="AY105" s="93"/>
      <c r="AZ105" s="93"/>
      <c r="BA105" s="93"/>
      <c r="BB105" s="93"/>
      <c r="BC105" s="93"/>
      <c r="BD105" s="96">
        <v>2</v>
      </c>
      <c r="BE105" s="97" t="s">
        <v>38</v>
      </c>
      <c r="BF105" s="98" t="s">
        <v>873</v>
      </c>
      <c r="BG105" s="97"/>
      <c r="BH105" s="97" t="s">
        <v>283</v>
      </c>
      <c r="BI105" s="97" t="s">
        <v>955</v>
      </c>
      <c r="BJ105" s="97"/>
      <c r="BK105" s="97"/>
      <c r="BL105" s="97" t="s">
        <v>957</v>
      </c>
      <c r="BM105" s="97"/>
      <c r="BN105" s="97"/>
      <c r="BO105" s="93"/>
      <c r="BP105" s="93"/>
      <c r="BQ105" s="93"/>
      <c r="BR105" s="93"/>
      <c r="BS105" s="93"/>
      <c r="BT105" s="93"/>
      <c r="BU105" s="93"/>
      <c r="BV105" s="99" t="s">
        <v>586</v>
      </c>
      <c r="BW105" s="86" t="str">
        <f>VLOOKUP($C105, '_REF Catalog Classes'!$C$6:$E416, COLUMNS('_REF Catalog Classes'!$C$6:$E416), FALSE)</f>
        <v>never</v>
      </c>
      <c r="BX105" s="86"/>
      <c r="BY105" s="86"/>
      <c r="BZ105" s="86" t="s">
        <v>322</v>
      </c>
      <c r="CA105" s="100" t="b">
        <f ca="1">IFERROR(__xludf.DUMMYFUNCTION("IF(REGEXMATCH(Catalog_RewardType,""reward""), VLOOKUP($E105, {'TitleData rewards.items'!$J$9:$J416,'TitleData rewards.items'!$B$9:$B416}, 2, FALSE), """")"),FALSE)</f>
        <v>0</v>
      </c>
    </row>
    <row r="106" spans="1:79" ht="28" hidden="1" x14ac:dyDescent="0.15">
      <c r="A106" s="82" t="s">
        <v>269</v>
      </c>
      <c r="B106" s="83"/>
      <c r="C106" s="82" t="s">
        <v>811</v>
      </c>
      <c r="D106" s="85" t="b">
        <f>VLOOKUP($C106, '_REF Catalog Classes'!$C$6:$D416, COLUMNS('_REF Catalog Classes'!$C$6:$D416), FALSE)</f>
        <v>1</v>
      </c>
      <c r="E106" s="82" t="s">
        <v>958</v>
      </c>
      <c r="F106" s="82" t="str">
        <f t="shared" si="0"/>
        <v>actionMissionBrattUnlock:</v>
      </c>
      <c r="G106" s="106" t="s">
        <v>904</v>
      </c>
      <c r="H106" s="86" t="s">
        <v>959</v>
      </c>
      <c r="I106" s="82" t="s">
        <v>274</v>
      </c>
      <c r="J106" s="82"/>
      <c r="K106" s="82" t="s">
        <v>275</v>
      </c>
      <c r="L106" s="82"/>
      <c r="M106" s="82"/>
      <c r="N106" s="107"/>
      <c r="O106" s="108"/>
      <c r="P106" s="82"/>
      <c r="Q106" s="88"/>
      <c r="R106" s="82"/>
      <c r="S106" s="82"/>
      <c r="T106" s="82"/>
      <c r="U106" s="82"/>
      <c r="V106" s="82"/>
      <c r="W106" s="89"/>
      <c r="X106" s="90"/>
      <c r="Y106" s="90"/>
      <c r="Z106" s="90"/>
      <c r="AA106" s="89"/>
      <c r="AB106" s="90"/>
      <c r="AC106" s="90"/>
      <c r="AD106" s="90"/>
      <c r="AE106" s="90"/>
      <c r="AF106" s="90"/>
      <c r="AG106" s="92"/>
      <c r="AH106" s="93"/>
      <c r="AI106" s="93"/>
      <c r="AJ106" s="93"/>
      <c r="AK106" s="93"/>
      <c r="AL106" s="93"/>
      <c r="AM106" s="93"/>
      <c r="AN106" s="94"/>
      <c r="AO106" s="95"/>
      <c r="AP106" s="95"/>
      <c r="AQ106" s="95"/>
      <c r="AR106" s="94"/>
      <c r="AS106" s="95"/>
      <c r="AT106" s="95"/>
      <c r="AU106" s="95"/>
      <c r="AV106" s="95"/>
      <c r="AW106" s="92"/>
      <c r="AX106" s="93"/>
      <c r="AY106" s="93"/>
      <c r="AZ106" s="93"/>
      <c r="BA106" s="93"/>
      <c r="BB106" s="93"/>
      <c r="BC106" s="93"/>
      <c r="BD106" s="168"/>
      <c r="BE106" s="97"/>
      <c r="BF106" s="98"/>
      <c r="BG106" s="97"/>
      <c r="BH106" s="168"/>
      <c r="BI106" s="97"/>
      <c r="BJ106" s="97"/>
      <c r="BK106" s="97"/>
      <c r="BL106" s="97"/>
      <c r="BM106" s="97"/>
      <c r="BN106" s="97"/>
      <c r="BO106" s="93"/>
      <c r="BP106" s="93"/>
      <c r="BQ106" s="93"/>
      <c r="BR106" s="93"/>
      <c r="BS106" s="93"/>
      <c r="BT106" s="93"/>
      <c r="BU106" s="93"/>
      <c r="BV106" s="99" t="s">
        <v>960</v>
      </c>
      <c r="BW106" s="86" t="str">
        <f>VLOOKUP($C106, '_REF Catalog Classes'!$C$6:$E416, COLUMNS('_REF Catalog Classes'!$C$6:$E416), FALSE)</f>
        <v>always</v>
      </c>
      <c r="BX106" s="86"/>
      <c r="BY106" s="86"/>
      <c r="BZ106" s="185" t="s">
        <v>354</v>
      </c>
      <c r="CA106" s="100" t="b">
        <f ca="1">IFERROR(__xludf.DUMMYFUNCTION("IF(REGEXMATCH(Catalog_RewardType,""reward""), VLOOKUP($E106, {'TitleData rewards.items'!$J$9:$J416,'TitleData rewards.items'!$B$9:$B416}, 2, FALSE), """")"),FALSE)</f>
        <v>0</v>
      </c>
    </row>
    <row r="107" spans="1:79" ht="42" hidden="1" x14ac:dyDescent="0.15">
      <c r="A107" s="82" t="s">
        <v>269</v>
      </c>
      <c r="B107" s="83"/>
      <c r="C107" s="82" t="s">
        <v>811</v>
      </c>
      <c r="D107" s="85" t="b">
        <f>VLOOKUP($C107, '_REF Catalog Classes'!$C$6:$D416, COLUMNS('_REF Catalog Classes'!$C$6:$D416), FALSE)</f>
        <v>1</v>
      </c>
      <c r="E107" s="82" t="s">
        <v>961</v>
      </c>
      <c r="F107" s="82" t="str">
        <f t="shared" si="0"/>
        <v>actionMissionBrattAttempt:</v>
      </c>
      <c r="G107" s="106" t="s">
        <v>904</v>
      </c>
      <c r="H107" s="86" t="s">
        <v>962</v>
      </c>
      <c r="I107" s="82" t="s">
        <v>847</v>
      </c>
      <c r="J107" s="82" t="s">
        <v>848</v>
      </c>
      <c r="K107" s="82" t="s">
        <v>849</v>
      </c>
      <c r="L107" s="108"/>
      <c r="M107" s="82"/>
      <c r="N107" s="107"/>
      <c r="O107" s="108"/>
      <c r="P107" s="82"/>
      <c r="Q107" s="88"/>
      <c r="R107" s="82"/>
      <c r="S107" s="82"/>
      <c r="T107" s="82"/>
      <c r="U107" s="82"/>
      <c r="V107" s="82"/>
      <c r="W107" s="89"/>
      <c r="X107" s="90"/>
      <c r="Y107" s="90"/>
      <c r="Z107" s="90"/>
      <c r="AA107" s="89"/>
      <c r="AB107" s="90"/>
      <c r="AC107" s="90"/>
      <c r="AD107" s="90"/>
      <c r="AE107" s="90"/>
      <c r="AF107" s="90"/>
      <c r="AG107" s="92"/>
      <c r="AH107" s="93"/>
      <c r="AI107" s="93"/>
      <c r="AJ107" s="93"/>
      <c r="AK107" s="93"/>
      <c r="AL107" s="93"/>
      <c r="AM107" s="93"/>
      <c r="AN107" s="94"/>
      <c r="AO107" s="95"/>
      <c r="AP107" s="95"/>
      <c r="AQ107" s="95"/>
      <c r="AR107" s="94"/>
      <c r="AS107" s="95"/>
      <c r="AT107" s="95"/>
      <c r="AU107" s="95"/>
      <c r="AV107" s="95"/>
      <c r="AW107" s="92"/>
      <c r="AX107" s="93"/>
      <c r="AY107" s="93"/>
      <c r="AZ107" s="93"/>
      <c r="BA107" s="93"/>
      <c r="BB107" s="93"/>
      <c r="BC107" s="93"/>
      <c r="BD107" s="168"/>
      <c r="BE107" s="97"/>
      <c r="BF107" s="98"/>
      <c r="BG107" s="97"/>
      <c r="BH107" s="168"/>
      <c r="BI107" s="97"/>
      <c r="BJ107" s="97"/>
      <c r="BK107" s="97"/>
      <c r="BL107" s="97"/>
      <c r="BM107" s="97"/>
      <c r="BN107" s="97"/>
      <c r="BO107" s="93"/>
      <c r="BP107" s="93"/>
      <c r="BQ107" s="93"/>
      <c r="BR107" s="93"/>
      <c r="BS107" s="93"/>
      <c r="BT107" s="93"/>
      <c r="BU107" s="93"/>
      <c r="BV107" s="99"/>
      <c r="BW107" s="86"/>
      <c r="BX107" s="86"/>
      <c r="BY107" s="86"/>
      <c r="BZ107" s="100" t="s">
        <v>850</v>
      </c>
      <c r="CA107" s="100" t="str">
        <f ca="1">IFERROR(__xludf.DUMMYFUNCTION("IF(REGEXMATCH(Catalog_RewardType,""reward""), VLOOKUP($E107, {'TitleData rewards.items'!$J$9:$J416,'TitleData rewards.items'!$B$9:$B416}, 2, FALSE), """")"),"")</f>
        <v/>
      </c>
    </row>
    <row r="108" spans="1:79" ht="90" x14ac:dyDescent="0.15">
      <c r="A108" s="82" t="s">
        <v>269</v>
      </c>
      <c r="B108" s="83"/>
      <c r="C108" s="82" t="s">
        <v>851</v>
      </c>
      <c r="D108" s="85" t="b">
        <f>VLOOKUP($C108, '_REF Catalog Classes'!$C$6:$D416, COLUMNS('_REF Catalog Classes'!$C$6:$D416), FALSE)</f>
        <v>1</v>
      </c>
      <c r="E108" s="82" t="s">
        <v>963</v>
      </c>
      <c r="F108" s="82" t="str">
        <f t="shared" si="0"/>
        <v>missionBratt:</v>
      </c>
      <c r="G108" s="86" t="s">
        <v>964</v>
      </c>
      <c r="H108" s="86" t="s">
        <v>965</v>
      </c>
      <c r="I108" s="82" t="s">
        <v>855</v>
      </c>
      <c r="J108" s="82" t="s">
        <v>856</v>
      </c>
      <c r="K108" s="82"/>
      <c r="L108" s="82" t="s">
        <v>857</v>
      </c>
      <c r="M108" s="82"/>
      <c r="N108" s="107"/>
      <c r="O108" s="108"/>
      <c r="P108" s="82">
        <v>4</v>
      </c>
      <c r="Q108" s="88"/>
      <c r="R108" s="82"/>
      <c r="S108" s="82"/>
      <c r="T108" s="82"/>
      <c r="U108" s="82"/>
      <c r="V108" s="82"/>
      <c r="W108" s="89">
        <v>0</v>
      </c>
      <c r="X108" s="90" t="s">
        <v>319</v>
      </c>
      <c r="Y108" s="90" t="s">
        <v>966</v>
      </c>
      <c r="Z108" s="90" t="s">
        <v>967</v>
      </c>
      <c r="AA108" s="91" t="s">
        <v>283</v>
      </c>
      <c r="AB108" s="90" t="s">
        <v>914</v>
      </c>
      <c r="AC108" s="90"/>
      <c r="AD108" s="90" t="s">
        <v>968</v>
      </c>
      <c r="AE108" s="90"/>
      <c r="AF108" s="90"/>
      <c r="AG108" s="92"/>
      <c r="AH108" s="93"/>
      <c r="AI108" s="93"/>
      <c r="AJ108" s="93"/>
      <c r="AK108" s="93"/>
      <c r="AL108" s="93"/>
      <c r="AM108" s="93"/>
      <c r="AN108" s="94">
        <v>1</v>
      </c>
      <c r="AO108" s="95" t="s">
        <v>858</v>
      </c>
      <c r="AP108" s="95" t="s">
        <v>966</v>
      </c>
      <c r="AQ108" s="95" t="s">
        <v>967</v>
      </c>
      <c r="AR108" s="94" t="s">
        <v>283</v>
      </c>
      <c r="AS108" s="95" t="s">
        <v>969</v>
      </c>
      <c r="AT108" s="95" t="s">
        <v>970</v>
      </c>
      <c r="AU108" s="95" t="s">
        <v>971</v>
      </c>
      <c r="AV108" s="95" t="s">
        <v>972</v>
      </c>
      <c r="AW108" s="92"/>
      <c r="AX108" s="93"/>
      <c r="AY108" s="93"/>
      <c r="AZ108" s="93"/>
      <c r="BA108" s="93"/>
      <c r="BB108" s="93"/>
      <c r="BC108" s="93"/>
      <c r="BD108" s="96">
        <v>2</v>
      </c>
      <c r="BE108" s="97" t="s">
        <v>865</v>
      </c>
      <c r="BF108" s="98" t="s">
        <v>966</v>
      </c>
      <c r="BG108" s="97" t="s">
        <v>967</v>
      </c>
      <c r="BH108" s="97" t="s">
        <v>283</v>
      </c>
      <c r="BI108" s="97" t="s">
        <v>969</v>
      </c>
      <c r="BJ108" s="97"/>
      <c r="BK108" s="97" t="s">
        <v>973</v>
      </c>
      <c r="BL108" s="97" t="s">
        <v>974</v>
      </c>
      <c r="BM108" s="97" t="s">
        <v>975</v>
      </c>
      <c r="BN108" s="97"/>
      <c r="BO108" s="93"/>
      <c r="BP108" s="93"/>
      <c r="BQ108" s="93"/>
      <c r="BR108" s="93"/>
      <c r="BS108" s="93"/>
      <c r="BT108" s="93"/>
      <c r="BU108" s="93"/>
      <c r="BV108" s="186" t="s">
        <v>976</v>
      </c>
      <c r="BW108" s="86" t="str">
        <f>VLOOKUP($C108, '_REF Catalog Classes'!$C$6:$E416, COLUMNS('_REF Catalog Classes'!$C$6:$E416), FALSE)</f>
        <v>always</v>
      </c>
      <c r="BX108" s="86"/>
      <c r="BY108" s="86"/>
      <c r="BZ108" s="86" t="s">
        <v>322</v>
      </c>
      <c r="CA108" s="100" t="b">
        <f ca="1">IFERROR(__xludf.DUMMYFUNCTION("IF(REGEXMATCH(Catalog_RewardType,""reward""), VLOOKUP($E108, {'TitleData rewards.items'!$J$9:$J416,'TitleData rewards.items'!$B$9:$B416}, 2, FALSE), """")"),FALSE)</f>
        <v>0</v>
      </c>
    </row>
    <row r="109" spans="1:79" ht="56" x14ac:dyDescent="0.15">
      <c r="A109" s="191" t="s">
        <v>269</v>
      </c>
      <c r="B109" s="83"/>
      <c r="C109" s="82" t="s">
        <v>808</v>
      </c>
      <c r="D109" s="85" t="b">
        <f>VLOOKUP($C109, '_REF Catalog Classes'!$C$6:$D416, COLUMNS('_REF Catalog Classes'!$C$6:$D416), FALSE)</f>
        <v>1</v>
      </c>
      <c r="E109" s="82" t="s">
        <v>977</v>
      </c>
      <c r="F109" s="82" t="str">
        <f t="shared" si="0"/>
        <v>achievementMissionBratt:</v>
      </c>
      <c r="G109" s="185" t="s">
        <v>978</v>
      </c>
      <c r="H109" s="86" t="s">
        <v>979</v>
      </c>
      <c r="I109" s="191" t="s">
        <v>274</v>
      </c>
      <c r="J109" s="191"/>
      <c r="K109" s="191"/>
      <c r="L109" s="191"/>
      <c r="M109" s="191" t="s">
        <v>830</v>
      </c>
      <c r="N109" s="192"/>
      <c r="O109" s="193"/>
      <c r="P109" s="191">
        <v>28</v>
      </c>
      <c r="Q109" s="194"/>
      <c r="R109" s="191"/>
      <c r="S109" s="191"/>
      <c r="T109" s="191"/>
      <c r="U109" s="191"/>
      <c r="V109" s="191"/>
      <c r="W109" s="89">
        <v>0</v>
      </c>
      <c r="X109" s="90" t="s">
        <v>37</v>
      </c>
      <c r="Y109" s="90" t="s">
        <v>873</v>
      </c>
      <c r="Z109" s="195"/>
      <c r="AA109" s="91" t="s">
        <v>283</v>
      </c>
      <c r="AB109" s="195" t="s">
        <v>980</v>
      </c>
      <c r="AC109" s="90"/>
      <c r="AD109" s="90" t="s">
        <v>981</v>
      </c>
      <c r="AE109" s="195"/>
      <c r="AF109" s="195"/>
      <c r="AG109" s="196"/>
      <c r="AH109" s="197"/>
      <c r="AI109" s="197"/>
      <c r="AJ109" s="197"/>
      <c r="AK109" s="197"/>
      <c r="AL109" s="197"/>
      <c r="AM109" s="197"/>
      <c r="AN109" s="198"/>
      <c r="AO109" s="199"/>
      <c r="AP109" s="95"/>
      <c r="AQ109" s="199"/>
      <c r="AR109" s="198"/>
      <c r="AS109" s="199"/>
      <c r="AT109" s="199"/>
      <c r="AU109" s="199"/>
      <c r="AV109" s="199"/>
      <c r="AW109" s="196"/>
      <c r="AX109" s="197"/>
      <c r="AY109" s="197"/>
      <c r="AZ109" s="197"/>
      <c r="BA109" s="197"/>
      <c r="BB109" s="197"/>
      <c r="BC109" s="197"/>
      <c r="BD109" s="184">
        <v>2</v>
      </c>
      <c r="BE109" s="97" t="s">
        <v>38</v>
      </c>
      <c r="BF109" s="98" t="s">
        <v>873</v>
      </c>
      <c r="BG109" s="97"/>
      <c r="BH109" s="97" t="s">
        <v>283</v>
      </c>
      <c r="BI109" s="200" t="s">
        <v>980</v>
      </c>
      <c r="BJ109" s="200"/>
      <c r="BK109" s="97"/>
      <c r="BL109" s="97" t="s">
        <v>982</v>
      </c>
      <c r="BM109" s="97"/>
      <c r="BN109" s="167"/>
      <c r="BO109" s="197"/>
      <c r="BP109" s="197"/>
      <c r="BQ109" s="197"/>
      <c r="BR109" s="197"/>
      <c r="BS109" s="197"/>
      <c r="BT109" s="197"/>
      <c r="BU109" s="197"/>
      <c r="BV109" s="99" t="s">
        <v>983</v>
      </c>
      <c r="BW109" s="86" t="str">
        <f>VLOOKUP($C109, '_REF Catalog Classes'!$C$6:$E416, COLUMNS('_REF Catalog Classes'!$C$6:$E416), FALSE)</f>
        <v>never</v>
      </c>
      <c r="BX109" s="86"/>
      <c r="BY109" s="86"/>
      <c r="BZ109" s="185" t="s">
        <v>322</v>
      </c>
      <c r="CA109" s="100" t="b">
        <f ca="1">IFERROR(__xludf.DUMMYFUNCTION("IF(REGEXMATCH(Catalog_RewardType,""reward""), VLOOKUP($E109, {'TitleData rewards.items'!$J$9:$J416,'TitleData rewards.items'!$B$9:$B416}, 2, FALSE), """")"),FALSE)</f>
        <v>0</v>
      </c>
    </row>
    <row r="110" spans="1:79" ht="28" hidden="1" x14ac:dyDescent="0.15">
      <c r="A110" s="82" t="s">
        <v>269</v>
      </c>
      <c r="B110" s="83"/>
      <c r="C110" s="82" t="s">
        <v>811</v>
      </c>
      <c r="D110" s="85" t="b">
        <v>1</v>
      </c>
      <c r="E110" s="27" t="s">
        <v>984</v>
      </c>
      <c r="F110" s="82" t="str">
        <f t="shared" si="0"/>
        <v>actionLauncherBelle:</v>
      </c>
      <c r="G110" s="106" t="s">
        <v>904</v>
      </c>
      <c r="H110" s="86" t="s">
        <v>985</v>
      </c>
      <c r="I110" s="82" t="s">
        <v>847</v>
      </c>
      <c r="J110" s="82"/>
      <c r="K110" s="82"/>
      <c r="L110" s="82" t="s">
        <v>857</v>
      </c>
      <c r="M110" s="82"/>
      <c r="N110" s="107"/>
      <c r="O110" s="108"/>
      <c r="P110" s="82"/>
      <c r="Q110" s="88"/>
      <c r="R110" s="82"/>
      <c r="S110" s="82"/>
      <c r="T110" s="82"/>
      <c r="U110" s="82"/>
      <c r="V110" s="82"/>
      <c r="W110" s="89"/>
      <c r="X110" s="90"/>
      <c r="Y110" s="90"/>
      <c r="Z110" s="90"/>
      <c r="AA110" s="89"/>
      <c r="AB110" s="90"/>
      <c r="AC110" s="90"/>
      <c r="AD110" s="90"/>
      <c r="AE110" s="90"/>
      <c r="AF110" s="90"/>
      <c r="AG110" s="92"/>
      <c r="AH110" s="93"/>
      <c r="AI110" s="93"/>
      <c r="AJ110" s="93"/>
      <c r="AK110" s="93"/>
      <c r="AL110" s="93"/>
      <c r="AM110" s="93"/>
      <c r="AN110" s="94"/>
      <c r="AO110" s="95"/>
      <c r="AP110" s="95"/>
      <c r="AQ110" s="95"/>
      <c r="AR110" s="94"/>
      <c r="AS110" s="95"/>
      <c r="AT110" s="95"/>
      <c r="AU110" s="95"/>
      <c r="AV110" s="95"/>
      <c r="AW110" s="92"/>
      <c r="AX110" s="93"/>
      <c r="AY110" s="93"/>
      <c r="AZ110" s="93"/>
      <c r="BA110" s="93"/>
      <c r="BB110" s="93"/>
      <c r="BC110" s="93"/>
      <c r="BD110" s="97"/>
      <c r="BE110" s="97"/>
      <c r="BF110" s="98"/>
      <c r="BG110" s="97"/>
      <c r="BH110" s="97"/>
      <c r="BI110" s="97"/>
      <c r="BJ110" s="97"/>
      <c r="BK110" s="97"/>
      <c r="BL110" s="97"/>
      <c r="BM110" s="97"/>
      <c r="BN110" s="97"/>
      <c r="BO110" s="93"/>
      <c r="BP110" s="93"/>
      <c r="BQ110" s="93"/>
      <c r="BR110" s="93"/>
      <c r="BS110" s="93"/>
      <c r="BT110" s="93"/>
      <c r="BU110" s="93"/>
      <c r="BV110" s="202"/>
      <c r="BW110" s="93"/>
      <c r="BX110" s="93"/>
      <c r="BY110" s="93"/>
      <c r="BZ110" s="120" t="s">
        <v>850</v>
      </c>
      <c r="CA110" s="100" t="str">
        <f ca="1">IFERROR(__xludf.DUMMYFUNCTION("IF(REGEXMATCH(Catalog_RewardType,""reward""), VLOOKUP($E110, {'TitleData rewards.items'!$J$9:$J416,'TitleData rewards.items'!$B$9:$B416}, 2, FALSE), """")"),"")</f>
        <v/>
      </c>
    </row>
    <row r="111" spans="1:79" ht="28" hidden="1" x14ac:dyDescent="0.15">
      <c r="A111" s="82" t="s">
        <v>269</v>
      </c>
      <c r="B111" s="83"/>
      <c r="C111" s="82" t="s">
        <v>811</v>
      </c>
      <c r="D111" s="85" t="b">
        <f>VLOOKUP($C111, '_REF Catalog Classes'!$C$6:$D416, COLUMNS('_REF Catalog Classes'!$C$6:$D416), FALSE)</f>
        <v>1</v>
      </c>
      <c r="E111" s="82" t="s">
        <v>986</v>
      </c>
      <c r="F111" s="82" t="str">
        <f t="shared" si="0"/>
        <v>actionMissionBelleUnlock:</v>
      </c>
      <c r="G111" s="86" t="s">
        <v>987</v>
      </c>
      <c r="H111" s="86" t="s">
        <v>988</v>
      </c>
      <c r="I111" s="82" t="s">
        <v>274</v>
      </c>
      <c r="J111" s="82"/>
      <c r="K111" s="82" t="s">
        <v>275</v>
      </c>
      <c r="L111" s="82"/>
      <c r="M111" s="82"/>
      <c r="N111" s="107"/>
      <c r="O111" s="108"/>
      <c r="P111" s="82"/>
      <c r="Q111" s="88"/>
      <c r="R111" s="82"/>
      <c r="S111" s="82"/>
      <c r="T111" s="82"/>
      <c r="U111" s="82"/>
      <c r="V111" s="82"/>
      <c r="W111" s="89"/>
      <c r="X111" s="90"/>
      <c r="Y111" s="90"/>
      <c r="Z111" s="90"/>
      <c r="AA111" s="89"/>
      <c r="AB111" s="90"/>
      <c r="AC111" s="90"/>
      <c r="AD111" s="90"/>
      <c r="AE111" s="90"/>
      <c r="AF111" s="90"/>
      <c r="AG111" s="92"/>
      <c r="AH111" s="93"/>
      <c r="AI111" s="93"/>
      <c r="AJ111" s="93"/>
      <c r="AK111" s="93"/>
      <c r="AL111" s="93"/>
      <c r="AM111" s="93"/>
      <c r="AN111" s="94"/>
      <c r="AO111" s="95"/>
      <c r="AP111" s="95"/>
      <c r="AQ111" s="95"/>
      <c r="AR111" s="94"/>
      <c r="AS111" s="95"/>
      <c r="AT111" s="95"/>
      <c r="AU111" s="95"/>
      <c r="AV111" s="95"/>
      <c r="AW111" s="92"/>
      <c r="AX111" s="93"/>
      <c r="AY111" s="93"/>
      <c r="AZ111" s="93"/>
      <c r="BA111" s="93"/>
      <c r="BB111" s="93"/>
      <c r="BC111" s="93"/>
      <c r="BD111" s="168"/>
      <c r="BE111" s="97"/>
      <c r="BF111" s="98"/>
      <c r="BG111" s="97"/>
      <c r="BH111" s="168"/>
      <c r="BI111" s="97"/>
      <c r="BJ111" s="97"/>
      <c r="BK111" s="97"/>
      <c r="BL111" s="97"/>
      <c r="BM111" s="97"/>
      <c r="BN111" s="97"/>
      <c r="BO111" s="93"/>
      <c r="BP111" s="93"/>
      <c r="BQ111" s="93"/>
      <c r="BR111" s="93"/>
      <c r="BS111" s="93"/>
      <c r="BT111" s="93"/>
      <c r="BU111" s="93"/>
      <c r="BV111" s="99" t="s">
        <v>989</v>
      </c>
      <c r="BW111" s="86" t="str">
        <f>VLOOKUP($C111, '_REF Catalog Classes'!$C$6:$E416, COLUMNS('_REF Catalog Classes'!$C$6:$E416), FALSE)</f>
        <v>always</v>
      </c>
      <c r="BX111" s="86"/>
      <c r="BY111" s="86"/>
      <c r="BZ111" s="86" t="s">
        <v>354</v>
      </c>
      <c r="CA111" s="100" t="b">
        <f ca="1">IFERROR(__xludf.DUMMYFUNCTION("IF(REGEXMATCH(Catalog_RewardType,""reward""), VLOOKUP($E111, {'TitleData rewards.items'!$J$9:$J416,'TitleData rewards.items'!$B$9:$B416}, 2, FALSE), """")"),FALSE)</f>
        <v>0</v>
      </c>
    </row>
    <row r="112" spans="1:79" ht="42" hidden="1" x14ac:dyDescent="0.15">
      <c r="A112" s="82" t="s">
        <v>269</v>
      </c>
      <c r="B112" s="83"/>
      <c r="C112" s="82" t="s">
        <v>811</v>
      </c>
      <c r="D112" s="85" t="b">
        <f>VLOOKUP($C112, '_REF Catalog Classes'!$C$6:$D416, COLUMNS('_REF Catalog Classes'!$C$6:$D416), FALSE)</f>
        <v>1</v>
      </c>
      <c r="E112" s="82" t="s">
        <v>990</v>
      </c>
      <c r="F112" s="82" t="str">
        <f t="shared" si="0"/>
        <v>actionMissionBelleAttempt:</v>
      </c>
      <c r="G112" s="86" t="s">
        <v>991</v>
      </c>
      <c r="H112" s="86" t="s">
        <v>992</v>
      </c>
      <c r="I112" s="82" t="s">
        <v>847</v>
      </c>
      <c r="J112" s="82" t="s">
        <v>848</v>
      </c>
      <c r="K112" s="82" t="s">
        <v>849</v>
      </c>
      <c r="L112" s="108"/>
      <c r="M112" s="82"/>
      <c r="N112" s="107"/>
      <c r="O112" s="108"/>
      <c r="P112" s="82"/>
      <c r="Q112" s="88"/>
      <c r="R112" s="82"/>
      <c r="S112" s="82"/>
      <c r="T112" s="82"/>
      <c r="U112" s="82"/>
      <c r="V112" s="82"/>
      <c r="W112" s="89"/>
      <c r="X112" s="90"/>
      <c r="Y112" s="90"/>
      <c r="Z112" s="90"/>
      <c r="AA112" s="89"/>
      <c r="AB112" s="90"/>
      <c r="AC112" s="90"/>
      <c r="AD112" s="90"/>
      <c r="AE112" s="90"/>
      <c r="AF112" s="90"/>
      <c r="AG112" s="92"/>
      <c r="AH112" s="93"/>
      <c r="AI112" s="93"/>
      <c r="AJ112" s="93"/>
      <c r="AK112" s="93"/>
      <c r="AL112" s="93"/>
      <c r="AM112" s="93"/>
      <c r="AN112" s="94"/>
      <c r="AO112" s="95"/>
      <c r="AP112" s="95"/>
      <c r="AQ112" s="95"/>
      <c r="AR112" s="94"/>
      <c r="AS112" s="95"/>
      <c r="AT112" s="95"/>
      <c r="AU112" s="95"/>
      <c r="AV112" s="95"/>
      <c r="AW112" s="92"/>
      <c r="AX112" s="93"/>
      <c r="AY112" s="93"/>
      <c r="AZ112" s="93"/>
      <c r="BA112" s="93"/>
      <c r="BB112" s="93"/>
      <c r="BC112" s="93"/>
      <c r="BD112" s="168"/>
      <c r="BE112" s="97"/>
      <c r="BF112" s="98"/>
      <c r="BG112" s="97"/>
      <c r="BH112" s="168"/>
      <c r="BI112" s="97"/>
      <c r="BJ112" s="97"/>
      <c r="BK112" s="97"/>
      <c r="BL112" s="97"/>
      <c r="BM112" s="97"/>
      <c r="BN112" s="97"/>
      <c r="BO112" s="93"/>
      <c r="BP112" s="93"/>
      <c r="BQ112" s="93"/>
      <c r="BR112" s="93"/>
      <c r="BS112" s="93"/>
      <c r="BT112" s="93"/>
      <c r="BU112" s="93"/>
      <c r="BV112" s="99"/>
      <c r="BW112" s="86"/>
      <c r="BX112" s="86"/>
      <c r="BY112" s="86"/>
      <c r="BZ112" s="100" t="s">
        <v>850</v>
      </c>
      <c r="CA112" s="100" t="str">
        <f ca="1">IFERROR(__xludf.DUMMYFUNCTION("IF(REGEXMATCH(Catalog_RewardType,""reward""), VLOOKUP($E112, {'TitleData rewards.items'!$J$9:$J416,'TitleData rewards.items'!$B$9:$B416}, 2, FALSE), """")"),"")</f>
        <v/>
      </c>
    </row>
    <row r="113" spans="1:79" ht="90" x14ac:dyDescent="0.15">
      <c r="A113" s="82" t="s">
        <v>269</v>
      </c>
      <c r="B113" s="83"/>
      <c r="C113" s="82" t="s">
        <v>851</v>
      </c>
      <c r="D113" s="85" t="b">
        <f>VLOOKUP($C113, '_REF Catalog Classes'!$C$6:$D416, COLUMNS('_REF Catalog Classes'!$C$6:$D416), FALSE)</f>
        <v>1</v>
      </c>
      <c r="E113" s="82" t="s">
        <v>993</v>
      </c>
      <c r="F113" s="82" t="str">
        <f t="shared" si="0"/>
        <v>missionBelle:</v>
      </c>
      <c r="G113" s="86" t="s">
        <v>994</v>
      </c>
      <c r="H113" s="86" t="s">
        <v>995</v>
      </c>
      <c r="I113" s="82" t="s">
        <v>855</v>
      </c>
      <c r="J113" s="82" t="s">
        <v>856</v>
      </c>
      <c r="K113" s="82"/>
      <c r="L113" s="82" t="s">
        <v>857</v>
      </c>
      <c r="M113" s="82"/>
      <c r="N113" s="107"/>
      <c r="O113" s="108"/>
      <c r="P113" s="82">
        <v>9</v>
      </c>
      <c r="Q113" s="88"/>
      <c r="R113" s="82"/>
      <c r="S113" s="82"/>
      <c r="T113" s="82"/>
      <c r="U113" s="82"/>
      <c r="V113" s="82"/>
      <c r="W113" s="89">
        <v>0</v>
      </c>
      <c r="X113" s="90" t="s">
        <v>319</v>
      </c>
      <c r="Y113" s="90" t="s">
        <v>996</v>
      </c>
      <c r="Z113" s="90" t="s">
        <v>997</v>
      </c>
      <c r="AA113" s="91" t="s">
        <v>283</v>
      </c>
      <c r="AB113" s="90" t="s">
        <v>914</v>
      </c>
      <c r="AC113" s="90"/>
      <c r="AD113" s="90" t="s">
        <v>998</v>
      </c>
      <c r="AE113" s="90"/>
      <c r="AF113" s="90"/>
      <c r="AG113" s="92"/>
      <c r="AH113" s="93"/>
      <c r="AI113" s="93"/>
      <c r="AJ113" s="93"/>
      <c r="AK113" s="93"/>
      <c r="AL113" s="93"/>
      <c r="AM113" s="93"/>
      <c r="AN113" s="94">
        <v>1</v>
      </c>
      <c r="AO113" s="95" t="s">
        <v>858</v>
      </c>
      <c r="AP113" s="95" t="s">
        <v>996</v>
      </c>
      <c r="AQ113" s="95" t="s">
        <v>997</v>
      </c>
      <c r="AR113" s="94" t="s">
        <v>283</v>
      </c>
      <c r="AS113" s="95" t="s">
        <v>999</v>
      </c>
      <c r="AT113" s="95" t="s">
        <v>1000</v>
      </c>
      <c r="AU113" s="95" t="s">
        <v>1001</v>
      </c>
      <c r="AV113" s="95" t="s">
        <v>1002</v>
      </c>
      <c r="AW113" s="92"/>
      <c r="AX113" s="93"/>
      <c r="AY113" s="93"/>
      <c r="AZ113" s="93"/>
      <c r="BA113" s="93"/>
      <c r="BB113" s="93"/>
      <c r="BC113" s="93"/>
      <c r="BD113" s="96">
        <v>2</v>
      </c>
      <c r="BE113" s="97" t="s">
        <v>865</v>
      </c>
      <c r="BF113" s="98" t="s">
        <v>996</v>
      </c>
      <c r="BG113" s="97" t="s">
        <v>997</v>
      </c>
      <c r="BH113" s="97" t="s">
        <v>283</v>
      </c>
      <c r="BI113" s="97" t="s">
        <v>999</v>
      </c>
      <c r="BJ113" s="97"/>
      <c r="BK113" s="97" t="s">
        <v>1003</v>
      </c>
      <c r="BL113" s="97" t="s">
        <v>1004</v>
      </c>
      <c r="BM113" s="97" t="s">
        <v>1005</v>
      </c>
      <c r="BN113" s="97"/>
      <c r="BO113" s="93"/>
      <c r="BP113" s="93"/>
      <c r="BQ113" s="93"/>
      <c r="BR113" s="93"/>
      <c r="BS113" s="93"/>
      <c r="BT113" s="93"/>
      <c r="BU113" s="93"/>
      <c r="BV113" s="186" t="s">
        <v>1006</v>
      </c>
      <c r="BW113" s="86" t="str">
        <f>VLOOKUP($C113, '_REF Catalog Classes'!$C$6:$E416, COLUMNS('_REF Catalog Classes'!$C$6:$E416), FALSE)</f>
        <v>always</v>
      </c>
      <c r="BX113" s="86"/>
      <c r="BY113" s="86"/>
      <c r="BZ113" s="86" t="s">
        <v>322</v>
      </c>
      <c r="CA113" s="100" t="b">
        <f ca="1">IFERROR(__xludf.DUMMYFUNCTION("IF(REGEXMATCH(Catalog_RewardType,""reward""), VLOOKUP($E113, {'TitleData rewards.items'!$J$9:$J416,'TitleData rewards.items'!$B$9:$B416}, 2, FALSE), """")"),FALSE)</f>
        <v>0</v>
      </c>
    </row>
    <row r="114" spans="1:79" ht="42" x14ac:dyDescent="0.15">
      <c r="A114" s="191" t="s">
        <v>269</v>
      </c>
      <c r="B114" s="83"/>
      <c r="C114" s="82" t="s">
        <v>808</v>
      </c>
      <c r="D114" s="85" t="b">
        <f>VLOOKUP($C114, '_REF Catalog Classes'!$C$6:$D416, COLUMNS('_REF Catalog Classes'!$C$6:$D416), FALSE)</f>
        <v>1</v>
      </c>
      <c r="E114" s="82" t="s">
        <v>1007</v>
      </c>
      <c r="F114" s="82" t="str">
        <f t="shared" si="0"/>
        <v>achievementMissionBelle:</v>
      </c>
      <c r="G114" s="185" t="s">
        <v>994</v>
      </c>
      <c r="H114" s="82" t="s">
        <v>1008</v>
      </c>
      <c r="I114" s="191" t="s">
        <v>274</v>
      </c>
      <c r="J114" s="191"/>
      <c r="K114" s="191"/>
      <c r="L114" s="191"/>
      <c r="M114" s="191" t="s">
        <v>830</v>
      </c>
      <c r="N114" s="192"/>
      <c r="O114" s="193"/>
      <c r="P114" s="191">
        <v>33</v>
      </c>
      <c r="Q114" s="194"/>
      <c r="R114" s="191"/>
      <c r="S114" s="191"/>
      <c r="T114" s="191"/>
      <c r="U114" s="191"/>
      <c r="V114" s="191"/>
      <c r="W114" s="89">
        <v>0</v>
      </c>
      <c r="X114" s="90" t="s">
        <v>37</v>
      </c>
      <c r="Y114" s="90" t="s">
        <v>1009</v>
      </c>
      <c r="Z114" s="195"/>
      <c r="AA114" s="91" t="s">
        <v>283</v>
      </c>
      <c r="AB114" s="195" t="s">
        <v>999</v>
      </c>
      <c r="AC114" s="90"/>
      <c r="AD114" s="90" t="s">
        <v>1010</v>
      </c>
      <c r="AE114" s="195"/>
      <c r="AF114" s="195"/>
      <c r="AG114" s="196"/>
      <c r="AH114" s="197"/>
      <c r="AI114" s="197"/>
      <c r="AJ114" s="197"/>
      <c r="AK114" s="197"/>
      <c r="AL114" s="197"/>
      <c r="AM114" s="197"/>
      <c r="AN114" s="198"/>
      <c r="AO114" s="199"/>
      <c r="AP114" s="95"/>
      <c r="AQ114" s="199"/>
      <c r="AR114" s="198"/>
      <c r="AS114" s="199"/>
      <c r="AT114" s="199"/>
      <c r="AU114" s="199"/>
      <c r="AV114" s="199"/>
      <c r="AW114" s="196"/>
      <c r="AX114" s="197"/>
      <c r="AY114" s="197"/>
      <c r="AZ114" s="197"/>
      <c r="BA114" s="197"/>
      <c r="BB114" s="197"/>
      <c r="BC114" s="197"/>
      <c r="BD114" s="96">
        <v>2</v>
      </c>
      <c r="BE114" s="97" t="s">
        <v>38</v>
      </c>
      <c r="BF114" s="98" t="s">
        <v>1009</v>
      </c>
      <c r="BG114" s="97"/>
      <c r="BH114" s="97" t="s">
        <v>283</v>
      </c>
      <c r="BI114" s="200" t="s">
        <v>999</v>
      </c>
      <c r="BJ114" s="97"/>
      <c r="BK114" s="97"/>
      <c r="BL114" s="97" t="s">
        <v>1011</v>
      </c>
      <c r="BM114" s="97"/>
      <c r="BN114" s="182"/>
      <c r="BO114" s="197"/>
      <c r="BP114" s="197"/>
      <c r="BQ114" s="197"/>
      <c r="BR114" s="197"/>
      <c r="BS114" s="197"/>
      <c r="BT114" s="197"/>
      <c r="BU114" s="197"/>
      <c r="BV114" s="99" t="s">
        <v>1012</v>
      </c>
      <c r="BW114" s="86" t="str">
        <f>VLOOKUP($C114, '_REF Catalog Classes'!$C$6:$E416, COLUMNS('_REF Catalog Classes'!$C$6:$E416), FALSE)</f>
        <v>never</v>
      </c>
      <c r="BX114" s="86"/>
      <c r="BY114" s="86"/>
      <c r="BZ114" s="185" t="s">
        <v>354</v>
      </c>
      <c r="CA114" s="100" t="b">
        <f ca="1">IFERROR(__xludf.DUMMYFUNCTION("IF(REGEXMATCH(Catalog_RewardType,""reward""), VLOOKUP($E114, {'TitleData rewards.items'!$J$9:$J416,'TitleData rewards.items'!$B$9:$B416}, 2, FALSE), """")"),FALSE)</f>
        <v>0</v>
      </c>
    </row>
    <row r="115" spans="1:79" ht="28" hidden="1" x14ac:dyDescent="0.15">
      <c r="A115" s="82" t="s">
        <v>269</v>
      </c>
      <c r="B115" s="83"/>
      <c r="C115" s="82" t="s">
        <v>811</v>
      </c>
      <c r="D115" s="85" t="b">
        <v>1</v>
      </c>
      <c r="E115" s="82" t="s">
        <v>1013</v>
      </c>
      <c r="F115" s="82" t="str">
        <f t="shared" si="0"/>
        <v>actionLauncherStronghold:</v>
      </c>
      <c r="G115" s="86" t="s">
        <v>904</v>
      </c>
      <c r="H115" s="86" t="s">
        <v>1014</v>
      </c>
      <c r="I115" s="82" t="s">
        <v>847</v>
      </c>
      <c r="J115" s="82"/>
      <c r="K115" s="82"/>
      <c r="L115" s="108" t="s">
        <v>857</v>
      </c>
      <c r="M115" s="82"/>
      <c r="N115" s="107"/>
      <c r="O115" s="108"/>
      <c r="P115" s="82"/>
      <c r="Q115" s="88"/>
      <c r="R115" s="82"/>
      <c r="S115" s="82"/>
      <c r="T115" s="82"/>
      <c r="U115" s="82"/>
      <c r="V115" s="82"/>
      <c r="W115" s="89"/>
      <c r="X115" s="90"/>
      <c r="Y115" s="90"/>
      <c r="Z115" s="90"/>
      <c r="AA115" s="89"/>
      <c r="AB115" s="90"/>
      <c r="AC115" s="90"/>
      <c r="AD115" s="90"/>
      <c r="AE115" s="90"/>
      <c r="AF115" s="90"/>
      <c r="AG115" s="92"/>
      <c r="AH115" s="93"/>
      <c r="AI115" s="93"/>
      <c r="AJ115" s="93"/>
      <c r="AK115" s="93"/>
      <c r="AL115" s="93"/>
      <c r="AM115" s="93"/>
      <c r="AN115" s="94"/>
      <c r="AO115" s="95"/>
      <c r="AP115" s="95"/>
      <c r="AQ115" s="95"/>
      <c r="AR115" s="94"/>
      <c r="AS115" s="95"/>
      <c r="AT115" s="95"/>
      <c r="AU115" s="95"/>
      <c r="AV115" s="95"/>
      <c r="AW115" s="92"/>
      <c r="AX115" s="93"/>
      <c r="AY115" s="93"/>
      <c r="AZ115" s="93"/>
      <c r="BA115" s="93"/>
      <c r="BB115" s="93"/>
      <c r="BC115" s="93"/>
      <c r="BD115" s="168"/>
      <c r="BE115" s="97"/>
      <c r="BF115" s="98"/>
      <c r="BG115" s="97"/>
      <c r="BH115" s="168"/>
      <c r="BI115" s="97"/>
      <c r="BJ115" s="97"/>
      <c r="BK115" s="97"/>
      <c r="BL115" s="97"/>
      <c r="BM115" s="97"/>
      <c r="BN115" s="97"/>
      <c r="BO115" s="93"/>
      <c r="BP115" s="93"/>
      <c r="BQ115" s="93"/>
      <c r="BR115" s="93"/>
      <c r="BS115" s="93"/>
      <c r="BT115" s="93"/>
      <c r="BU115" s="93"/>
      <c r="BV115" s="202"/>
      <c r="BW115" s="93"/>
      <c r="BX115" s="93"/>
      <c r="BY115" s="93"/>
      <c r="BZ115" s="120" t="s">
        <v>850</v>
      </c>
      <c r="CA115" s="100" t="str">
        <f ca="1">IFERROR(__xludf.DUMMYFUNCTION("IF(REGEXMATCH(Catalog_RewardType,""reward""), VLOOKUP($E115, {'TitleData rewards.items'!$J$9:$J416,'TitleData rewards.items'!$B$9:$B416}, 2, FALSE), """")"),"")</f>
        <v/>
      </c>
    </row>
    <row r="116" spans="1:79" ht="42" hidden="1" x14ac:dyDescent="0.15">
      <c r="A116" s="82" t="s">
        <v>269</v>
      </c>
      <c r="B116" s="83"/>
      <c r="C116" s="82" t="s">
        <v>811</v>
      </c>
      <c r="D116" s="85" t="b">
        <f>VLOOKUP($C116, '_REF Catalog Classes'!$C$6:$D416, COLUMNS('_REF Catalog Classes'!$C$6:$D416), FALSE)</f>
        <v>1</v>
      </c>
      <c r="E116" s="82" t="s">
        <v>1015</v>
      </c>
      <c r="F116" s="82" t="str">
        <f t="shared" si="0"/>
        <v>actionMissionStrongholdUnlock:</v>
      </c>
      <c r="G116" s="106" t="s">
        <v>904</v>
      </c>
      <c r="H116" s="86" t="s">
        <v>1016</v>
      </c>
      <c r="I116" s="82" t="s">
        <v>274</v>
      </c>
      <c r="J116" s="82"/>
      <c r="K116" s="82" t="s">
        <v>275</v>
      </c>
      <c r="L116" s="82"/>
      <c r="M116" s="82"/>
      <c r="N116" s="107"/>
      <c r="O116" s="108"/>
      <c r="P116" s="82"/>
      <c r="Q116" s="88"/>
      <c r="R116" s="82"/>
      <c r="S116" s="82"/>
      <c r="T116" s="82"/>
      <c r="U116" s="82"/>
      <c r="V116" s="82"/>
      <c r="W116" s="89"/>
      <c r="X116" s="90"/>
      <c r="Y116" s="90"/>
      <c r="Z116" s="90"/>
      <c r="AA116" s="89"/>
      <c r="AB116" s="90"/>
      <c r="AC116" s="90"/>
      <c r="AD116" s="90"/>
      <c r="AE116" s="90"/>
      <c r="AF116" s="90"/>
      <c r="AG116" s="92"/>
      <c r="AH116" s="93"/>
      <c r="AI116" s="93"/>
      <c r="AJ116" s="93"/>
      <c r="AK116" s="93"/>
      <c r="AL116" s="93"/>
      <c r="AM116" s="93"/>
      <c r="AN116" s="94"/>
      <c r="AO116" s="95"/>
      <c r="AP116" s="95"/>
      <c r="AQ116" s="95"/>
      <c r="AR116" s="94"/>
      <c r="AS116" s="95"/>
      <c r="AT116" s="95"/>
      <c r="AU116" s="95"/>
      <c r="AV116" s="95"/>
      <c r="AW116" s="92"/>
      <c r="AX116" s="93"/>
      <c r="AY116" s="93"/>
      <c r="AZ116" s="93"/>
      <c r="BA116" s="93"/>
      <c r="BB116" s="93"/>
      <c r="BC116" s="93"/>
      <c r="BD116" s="168"/>
      <c r="BE116" s="97"/>
      <c r="BF116" s="98"/>
      <c r="BG116" s="97"/>
      <c r="BH116" s="168"/>
      <c r="BI116" s="97"/>
      <c r="BJ116" s="97"/>
      <c r="BK116" s="97"/>
      <c r="BL116" s="97"/>
      <c r="BM116" s="97"/>
      <c r="BN116" s="97"/>
      <c r="BO116" s="93"/>
      <c r="BP116" s="93"/>
      <c r="BQ116" s="93"/>
      <c r="BR116" s="93"/>
      <c r="BS116" s="93"/>
      <c r="BT116" s="93"/>
      <c r="BU116" s="93"/>
      <c r="BV116" s="99" t="s">
        <v>1017</v>
      </c>
      <c r="BW116" s="86" t="str">
        <f>VLOOKUP($C116, '_REF Catalog Classes'!$C$6:$E416, COLUMNS('_REF Catalog Classes'!$C$6:$E416), FALSE)</f>
        <v>always</v>
      </c>
      <c r="BX116" s="86"/>
      <c r="BY116" s="86"/>
      <c r="BZ116" s="185" t="s">
        <v>354</v>
      </c>
      <c r="CA116" s="100" t="b">
        <f ca="1">IFERROR(__xludf.DUMMYFUNCTION("IF(REGEXMATCH(Catalog_RewardType,""reward""), VLOOKUP($E116, {'TitleData rewards.items'!$J$9:$J416,'TitleData rewards.items'!$B$9:$B416}, 2, FALSE), """")"),FALSE)</f>
        <v>0</v>
      </c>
    </row>
    <row r="117" spans="1:79" ht="42" hidden="1" x14ac:dyDescent="0.15">
      <c r="A117" s="82" t="s">
        <v>269</v>
      </c>
      <c r="B117" s="83"/>
      <c r="C117" s="82" t="s">
        <v>811</v>
      </c>
      <c r="D117" s="85" t="b">
        <f>VLOOKUP($C117, '_REF Catalog Classes'!$C$6:$D416, COLUMNS('_REF Catalog Classes'!$C$6:$D416), FALSE)</f>
        <v>1</v>
      </c>
      <c r="E117" s="82" t="s">
        <v>1018</v>
      </c>
      <c r="F117" s="82" t="str">
        <f t="shared" si="0"/>
        <v>actionMissionStrongholdAttempt:</v>
      </c>
      <c r="G117" s="106" t="s">
        <v>904</v>
      </c>
      <c r="H117" s="86" t="s">
        <v>1019</v>
      </c>
      <c r="I117" s="82" t="s">
        <v>847</v>
      </c>
      <c r="J117" s="82" t="s">
        <v>848</v>
      </c>
      <c r="K117" s="82" t="s">
        <v>849</v>
      </c>
      <c r="L117" s="108"/>
      <c r="M117" s="82"/>
      <c r="N117" s="107"/>
      <c r="O117" s="108"/>
      <c r="P117" s="82"/>
      <c r="Q117" s="88"/>
      <c r="R117" s="82"/>
      <c r="S117" s="82"/>
      <c r="T117" s="82"/>
      <c r="U117" s="82"/>
      <c r="V117" s="82"/>
      <c r="W117" s="89"/>
      <c r="X117" s="90"/>
      <c r="Y117" s="90"/>
      <c r="Z117" s="90"/>
      <c r="AA117" s="89"/>
      <c r="AB117" s="90"/>
      <c r="AC117" s="90"/>
      <c r="AD117" s="90"/>
      <c r="AE117" s="90"/>
      <c r="AF117" s="90"/>
      <c r="AG117" s="92"/>
      <c r="AH117" s="93"/>
      <c r="AI117" s="93"/>
      <c r="AJ117" s="93"/>
      <c r="AK117" s="93"/>
      <c r="AL117" s="93"/>
      <c r="AM117" s="93"/>
      <c r="AN117" s="94"/>
      <c r="AO117" s="95"/>
      <c r="AP117" s="95"/>
      <c r="AQ117" s="95"/>
      <c r="AR117" s="94"/>
      <c r="AS117" s="95"/>
      <c r="AT117" s="95"/>
      <c r="AU117" s="95"/>
      <c r="AV117" s="95"/>
      <c r="AW117" s="92"/>
      <c r="AX117" s="93"/>
      <c r="AY117" s="93"/>
      <c r="AZ117" s="93"/>
      <c r="BA117" s="93"/>
      <c r="BB117" s="93"/>
      <c r="BC117" s="93"/>
      <c r="BD117" s="168"/>
      <c r="BE117" s="97"/>
      <c r="BF117" s="98"/>
      <c r="BG117" s="97"/>
      <c r="BH117" s="168"/>
      <c r="BI117" s="97"/>
      <c r="BJ117" s="97"/>
      <c r="BK117" s="97"/>
      <c r="BL117" s="97"/>
      <c r="BM117" s="97"/>
      <c r="BN117" s="97"/>
      <c r="BO117" s="93"/>
      <c r="BP117" s="93"/>
      <c r="BQ117" s="93"/>
      <c r="BR117" s="93"/>
      <c r="BS117" s="93"/>
      <c r="BT117" s="93"/>
      <c r="BU117" s="93"/>
      <c r="BV117" s="99"/>
      <c r="BW117" s="86"/>
      <c r="BX117" s="86"/>
      <c r="BY117" s="86"/>
      <c r="BZ117" s="100" t="s">
        <v>850</v>
      </c>
      <c r="CA117" s="100" t="str">
        <f ca="1">IFERROR(__xludf.DUMMYFUNCTION("IF(REGEXMATCH(Catalog_RewardType,""reward""), VLOOKUP($E117, {'TitleData rewards.items'!$J$9:$J416,'TitleData rewards.items'!$B$9:$B416}, 2, FALSE), """")"),"")</f>
        <v/>
      </c>
    </row>
    <row r="118" spans="1:79" ht="90" x14ac:dyDescent="0.15">
      <c r="A118" s="82" t="s">
        <v>269</v>
      </c>
      <c r="B118" s="83"/>
      <c r="C118" s="82" t="s">
        <v>851</v>
      </c>
      <c r="D118" s="85" t="b">
        <f>VLOOKUP($C118, '_REF Catalog Classes'!$C$6:$D416, COLUMNS('_REF Catalog Classes'!$C$6:$D416), FALSE)</f>
        <v>1</v>
      </c>
      <c r="E118" s="82" t="s">
        <v>1020</v>
      </c>
      <c r="F118" s="82" t="str">
        <f t="shared" si="0"/>
        <v>missionStronghold:</v>
      </c>
      <c r="G118" s="86" t="s">
        <v>1021</v>
      </c>
      <c r="H118" s="86" t="s">
        <v>1022</v>
      </c>
      <c r="I118" s="82" t="s">
        <v>855</v>
      </c>
      <c r="J118" s="82" t="s">
        <v>856</v>
      </c>
      <c r="K118" s="82"/>
      <c r="L118" s="82" t="s">
        <v>857</v>
      </c>
      <c r="M118" s="82"/>
      <c r="N118" s="107"/>
      <c r="O118" s="108"/>
      <c r="P118" s="82">
        <v>5</v>
      </c>
      <c r="Q118" s="88"/>
      <c r="R118" s="82"/>
      <c r="S118" s="82"/>
      <c r="T118" s="82"/>
      <c r="U118" s="82"/>
      <c r="V118" s="82"/>
      <c r="W118" s="89">
        <v>0</v>
      </c>
      <c r="X118" s="90" t="s">
        <v>319</v>
      </c>
      <c r="Y118" s="90" t="s">
        <v>1023</v>
      </c>
      <c r="Z118" s="90" t="s">
        <v>1024</v>
      </c>
      <c r="AA118" s="91" t="s">
        <v>283</v>
      </c>
      <c r="AB118" s="90" t="s">
        <v>914</v>
      </c>
      <c r="AC118" s="90"/>
      <c r="AD118" s="90" t="s">
        <v>1025</v>
      </c>
      <c r="AE118" s="90"/>
      <c r="AF118" s="90"/>
      <c r="AG118" s="92"/>
      <c r="AH118" s="93"/>
      <c r="AI118" s="93"/>
      <c r="AJ118" s="93"/>
      <c r="AK118" s="93"/>
      <c r="AL118" s="93"/>
      <c r="AM118" s="93"/>
      <c r="AN118" s="94">
        <v>1</v>
      </c>
      <c r="AO118" s="95" t="s">
        <v>858</v>
      </c>
      <c r="AP118" s="95" t="s">
        <v>1023</v>
      </c>
      <c r="AQ118" s="95" t="s">
        <v>1024</v>
      </c>
      <c r="AR118" s="94" t="s">
        <v>283</v>
      </c>
      <c r="AS118" s="95" t="s">
        <v>1026</v>
      </c>
      <c r="AT118" s="95" t="s">
        <v>1027</v>
      </c>
      <c r="AU118" s="95" t="s">
        <v>1028</v>
      </c>
      <c r="AV118" s="95" t="s">
        <v>1002</v>
      </c>
      <c r="AW118" s="92"/>
      <c r="AX118" s="93"/>
      <c r="AY118" s="93"/>
      <c r="AZ118" s="93"/>
      <c r="BA118" s="93"/>
      <c r="BB118" s="93"/>
      <c r="BC118" s="93"/>
      <c r="BD118" s="96">
        <v>2</v>
      </c>
      <c r="BE118" s="97" t="s">
        <v>865</v>
      </c>
      <c r="BF118" s="98" t="s">
        <v>1023</v>
      </c>
      <c r="BG118" s="97" t="s">
        <v>1024</v>
      </c>
      <c r="BH118" s="97" t="s">
        <v>283</v>
      </c>
      <c r="BI118" s="97" t="s">
        <v>1026</v>
      </c>
      <c r="BJ118" s="97"/>
      <c r="BK118" s="97" t="s">
        <v>1029</v>
      </c>
      <c r="BL118" s="97" t="s">
        <v>1030</v>
      </c>
      <c r="BM118" s="97" t="s">
        <v>1031</v>
      </c>
      <c r="BN118" s="97"/>
      <c r="BO118" s="93"/>
      <c r="BP118" s="93"/>
      <c r="BQ118" s="93"/>
      <c r="BR118" s="93"/>
      <c r="BS118" s="93"/>
      <c r="BT118" s="93"/>
      <c r="BU118" s="93"/>
      <c r="BV118" s="186" t="s">
        <v>1032</v>
      </c>
      <c r="BW118" s="86" t="str">
        <f>VLOOKUP($C118, '_REF Catalog Classes'!$C$6:$E416, COLUMNS('_REF Catalog Classes'!$C$6:$E416), FALSE)</f>
        <v>always</v>
      </c>
      <c r="BX118" s="86"/>
      <c r="BY118" s="86"/>
      <c r="BZ118" s="86" t="s">
        <v>322</v>
      </c>
      <c r="CA118" s="100" t="b">
        <f ca="1">IFERROR(__xludf.DUMMYFUNCTION("IF(REGEXMATCH(Catalog_RewardType,""reward""), VLOOKUP($E118, {'TitleData rewards.items'!$J$9:$J416,'TitleData rewards.items'!$B$9:$B416}, 2, FALSE), """")"),FALSE)</f>
        <v>0</v>
      </c>
    </row>
    <row r="119" spans="1:79" ht="56" x14ac:dyDescent="0.15">
      <c r="A119" s="191" t="s">
        <v>269</v>
      </c>
      <c r="B119" s="83"/>
      <c r="C119" s="82" t="s">
        <v>808</v>
      </c>
      <c r="D119" s="85" t="b">
        <f>VLOOKUP($C119, '_REF Catalog Classes'!$C$6:$D416, COLUMNS('_REF Catalog Classes'!$C$6:$D416), FALSE)</f>
        <v>1</v>
      </c>
      <c r="E119" s="82" t="s">
        <v>1033</v>
      </c>
      <c r="F119" s="82" t="str">
        <f t="shared" si="0"/>
        <v>achievementMissionStronghold:</v>
      </c>
      <c r="G119" s="185" t="s">
        <v>1034</v>
      </c>
      <c r="H119" s="86" t="s">
        <v>1035</v>
      </c>
      <c r="I119" s="191" t="s">
        <v>274</v>
      </c>
      <c r="J119" s="191"/>
      <c r="K119" s="191"/>
      <c r="L119" s="191"/>
      <c r="M119" s="191" t="s">
        <v>830</v>
      </c>
      <c r="N119" s="192"/>
      <c r="O119" s="193"/>
      <c r="P119" s="191">
        <v>29</v>
      </c>
      <c r="Q119" s="194"/>
      <c r="R119" s="191"/>
      <c r="S119" s="191"/>
      <c r="T119" s="191"/>
      <c r="U119" s="191"/>
      <c r="V119" s="191"/>
      <c r="W119" s="89">
        <v>0</v>
      </c>
      <c r="X119" s="90" t="s">
        <v>37</v>
      </c>
      <c r="Y119" s="90" t="s">
        <v>1009</v>
      </c>
      <c r="Z119" s="195"/>
      <c r="AA119" s="91" t="s">
        <v>283</v>
      </c>
      <c r="AB119" s="195" t="s">
        <v>1036</v>
      </c>
      <c r="AC119" s="90"/>
      <c r="AD119" s="90" t="s">
        <v>1037</v>
      </c>
      <c r="AE119" s="195"/>
      <c r="AF119" s="195"/>
      <c r="AG119" s="196"/>
      <c r="AH119" s="197"/>
      <c r="AI119" s="197"/>
      <c r="AJ119" s="197"/>
      <c r="AK119" s="197"/>
      <c r="AL119" s="197"/>
      <c r="AM119" s="197"/>
      <c r="AN119" s="198"/>
      <c r="AO119" s="199"/>
      <c r="AP119" s="95"/>
      <c r="AQ119" s="199"/>
      <c r="AR119" s="198"/>
      <c r="AS119" s="199"/>
      <c r="AT119" s="199"/>
      <c r="AU119" s="199"/>
      <c r="AV119" s="199"/>
      <c r="AW119" s="196"/>
      <c r="AX119" s="197"/>
      <c r="AY119" s="197"/>
      <c r="AZ119" s="197"/>
      <c r="BA119" s="197"/>
      <c r="BB119" s="197"/>
      <c r="BC119" s="197"/>
      <c r="BD119" s="96">
        <v>2</v>
      </c>
      <c r="BE119" s="97" t="s">
        <v>38</v>
      </c>
      <c r="BF119" s="98" t="s">
        <v>1009</v>
      </c>
      <c r="BG119" s="97"/>
      <c r="BH119" s="97" t="s">
        <v>283</v>
      </c>
      <c r="BI119" s="97" t="s">
        <v>1036</v>
      </c>
      <c r="BJ119" s="97"/>
      <c r="BK119" s="97"/>
      <c r="BL119" s="97" t="s">
        <v>1038</v>
      </c>
      <c r="BM119" s="97"/>
      <c r="BN119" s="182"/>
      <c r="BO119" s="197"/>
      <c r="BP119" s="197"/>
      <c r="BQ119" s="197"/>
      <c r="BR119" s="197"/>
      <c r="BS119" s="197"/>
      <c r="BT119" s="197"/>
      <c r="BU119" s="197"/>
      <c r="BV119" s="99" t="s">
        <v>1039</v>
      </c>
      <c r="BW119" s="86" t="str">
        <f>VLOOKUP($C119, '_REF Catalog Classes'!$C$6:$E416, COLUMNS('_REF Catalog Classes'!$C$6:$E416), FALSE)</f>
        <v>never</v>
      </c>
      <c r="BX119" s="86"/>
      <c r="BY119" s="86"/>
      <c r="BZ119" s="86" t="s">
        <v>354</v>
      </c>
      <c r="CA119" s="100" t="b">
        <f ca="1">IFERROR(__xludf.DUMMYFUNCTION("IF(REGEXMATCH(Catalog_RewardType,""reward""), VLOOKUP($E119, {'TitleData rewards.items'!$J$9:$J416,'TitleData rewards.items'!$B$9:$B416}, 2, FALSE), """")"),FALSE)</f>
        <v>0</v>
      </c>
    </row>
    <row r="120" spans="1:79" ht="28" hidden="1" x14ac:dyDescent="0.15">
      <c r="A120" s="82" t="s">
        <v>269</v>
      </c>
      <c r="B120" s="83"/>
      <c r="C120" s="82" t="s">
        <v>811</v>
      </c>
      <c r="D120" s="85" t="b">
        <v>1</v>
      </c>
      <c r="E120" s="27" t="s">
        <v>1040</v>
      </c>
      <c r="F120" s="82" t="str">
        <f t="shared" si="0"/>
        <v>actionLauncherNunchuck:</v>
      </c>
      <c r="G120" s="106" t="s">
        <v>904</v>
      </c>
      <c r="H120" s="86" t="s">
        <v>1041</v>
      </c>
      <c r="I120" s="82" t="s">
        <v>847</v>
      </c>
      <c r="J120" s="82"/>
      <c r="K120" s="82"/>
      <c r="L120" s="82" t="s">
        <v>857</v>
      </c>
      <c r="M120" s="82"/>
      <c r="N120" s="107"/>
      <c r="O120" s="108"/>
      <c r="P120" s="82"/>
      <c r="Q120" s="88"/>
      <c r="R120" s="82"/>
      <c r="S120" s="82"/>
      <c r="T120" s="82"/>
      <c r="U120" s="82"/>
      <c r="V120" s="82"/>
      <c r="W120" s="89"/>
      <c r="X120" s="90"/>
      <c r="Y120" s="90"/>
      <c r="Z120" s="90"/>
      <c r="AA120" s="89"/>
      <c r="AB120" s="90"/>
      <c r="AC120" s="90"/>
      <c r="AD120" s="90"/>
      <c r="AE120" s="90"/>
      <c r="AF120" s="90"/>
      <c r="AG120" s="92"/>
      <c r="AH120" s="93"/>
      <c r="AI120" s="93"/>
      <c r="AJ120" s="93"/>
      <c r="AK120" s="93"/>
      <c r="AL120" s="93"/>
      <c r="AM120" s="93"/>
      <c r="AN120" s="94"/>
      <c r="AO120" s="95"/>
      <c r="AP120" s="95"/>
      <c r="AQ120" s="95"/>
      <c r="AR120" s="94"/>
      <c r="AS120" s="95"/>
      <c r="AT120" s="95"/>
      <c r="AU120" s="95"/>
      <c r="AV120" s="95"/>
      <c r="AW120" s="92"/>
      <c r="AX120" s="93"/>
      <c r="AY120" s="93"/>
      <c r="AZ120" s="93"/>
      <c r="BA120" s="93"/>
      <c r="BB120" s="93"/>
      <c r="BC120" s="93"/>
      <c r="BD120" s="168"/>
      <c r="BE120" s="97"/>
      <c r="BF120" s="98"/>
      <c r="BG120" s="97"/>
      <c r="BH120" s="97"/>
      <c r="BI120" s="97"/>
      <c r="BJ120" s="97"/>
      <c r="BK120" s="97"/>
      <c r="BL120" s="97"/>
      <c r="BM120" s="97"/>
      <c r="BN120" s="97"/>
      <c r="BO120" s="93"/>
      <c r="BP120" s="93"/>
      <c r="BQ120" s="93"/>
      <c r="BR120" s="93"/>
      <c r="BS120" s="93"/>
      <c r="BT120" s="93"/>
      <c r="BU120" s="93"/>
      <c r="BV120" s="202"/>
      <c r="BW120" s="93"/>
      <c r="BX120" s="93"/>
      <c r="BY120" s="93"/>
      <c r="BZ120" s="120" t="s">
        <v>850</v>
      </c>
      <c r="CA120" s="100" t="str">
        <f ca="1">IFERROR(__xludf.DUMMYFUNCTION("IF(REGEXMATCH(Catalog_RewardType,""reward""), VLOOKUP($E120, {'TitleData rewards.items'!$J$9:$J416,'TitleData rewards.items'!$B$9:$B416}, 2, FALSE), """")"),"")</f>
        <v/>
      </c>
    </row>
    <row r="121" spans="1:79" ht="42" hidden="1" x14ac:dyDescent="0.15">
      <c r="A121" s="82" t="s">
        <v>269</v>
      </c>
      <c r="B121" s="83"/>
      <c r="C121" s="82" t="s">
        <v>811</v>
      </c>
      <c r="D121" s="85" t="b">
        <f>VLOOKUP($C121, '_REF Catalog Classes'!$C$6:$D416, COLUMNS('_REF Catalog Classes'!$C$6:$D416), FALSE)</f>
        <v>1</v>
      </c>
      <c r="E121" s="82" t="s">
        <v>1042</v>
      </c>
      <c r="F121" s="82" t="str">
        <f t="shared" si="0"/>
        <v>actionMissionNunchuckUnlock:</v>
      </c>
      <c r="G121" s="106" t="s">
        <v>904</v>
      </c>
      <c r="H121" s="86" t="s">
        <v>1043</v>
      </c>
      <c r="I121" s="82" t="s">
        <v>274</v>
      </c>
      <c r="J121" s="82"/>
      <c r="K121" s="82" t="s">
        <v>275</v>
      </c>
      <c r="L121" s="82"/>
      <c r="M121" s="82"/>
      <c r="N121" s="107"/>
      <c r="O121" s="108"/>
      <c r="P121" s="82"/>
      <c r="Q121" s="88"/>
      <c r="R121" s="82"/>
      <c r="S121" s="82"/>
      <c r="T121" s="82"/>
      <c r="U121" s="82"/>
      <c r="V121" s="82"/>
      <c r="W121" s="89"/>
      <c r="X121" s="90"/>
      <c r="Y121" s="90"/>
      <c r="Z121" s="90"/>
      <c r="AA121" s="89"/>
      <c r="AB121" s="90"/>
      <c r="AC121" s="90"/>
      <c r="AD121" s="90"/>
      <c r="AE121" s="90"/>
      <c r="AF121" s="90"/>
      <c r="AG121" s="92"/>
      <c r="AH121" s="93"/>
      <c r="AI121" s="93"/>
      <c r="AJ121" s="93"/>
      <c r="AK121" s="93"/>
      <c r="AL121" s="93"/>
      <c r="AM121" s="93"/>
      <c r="AN121" s="94"/>
      <c r="AO121" s="95"/>
      <c r="AP121" s="95"/>
      <c r="AQ121" s="95"/>
      <c r="AR121" s="94"/>
      <c r="AS121" s="95"/>
      <c r="AT121" s="95"/>
      <c r="AU121" s="95"/>
      <c r="AV121" s="95"/>
      <c r="AW121" s="92"/>
      <c r="AX121" s="93"/>
      <c r="AY121" s="93"/>
      <c r="AZ121" s="93"/>
      <c r="BA121" s="93"/>
      <c r="BB121" s="93"/>
      <c r="BC121" s="93"/>
      <c r="BD121" s="168"/>
      <c r="BE121" s="97"/>
      <c r="BF121" s="98"/>
      <c r="BG121" s="97"/>
      <c r="BH121" s="168"/>
      <c r="BI121" s="97"/>
      <c r="BJ121" s="97"/>
      <c r="BK121" s="97"/>
      <c r="BL121" s="97"/>
      <c r="BM121" s="97"/>
      <c r="BN121" s="97"/>
      <c r="BO121" s="93"/>
      <c r="BP121" s="93"/>
      <c r="BQ121" s="93"/>
      <c r="BR121" s="93"/>
      <c r="BS121" s="93"/>
      <c r="BT121" s="93"/>
      <c r="BU121" s="93"/>
      <c r="BV121" s="99" t="s">
        <v>1044</v>
      </c>
      <c r="BW121" s="86" t="str">
        <f>VLOOKUP($C121, '_REF Catalog Classes'!$C$6:$E416, COLUMNS('_REF Catalog Classes'!$C$6:$E416), FALSE)</f>
        <v>always</v>
      </c>
      <c r="BX121" s="86"/>
      <c r="BY121" s="86"/>
      <c r="BZ121" s="185" t="s">
        <v>354</v>
      </c>
      <c r="CA121" s="100" t="b">
        <f ca="1">IFERROR(__xludf.DUMMYFUNCTION("IF(REGEXMATCH(Catalog_RewardType,""reward""), VLOOKUP($E121, {'TitleData rewards.items'!$J$9:$J416,'TitleData rewards.items'!$B$9:$B416}, 2, FALSE), """")"),FALSE)</f>
        <v>0</v>
      </c>
    </row>
    <row r="122" spans="1:79" ht="42" hidden="1" x14ac:dyDescent="0.15">
      <c r="A122" s="82" t="s">
        <v>269</v>
      </c>
      <c r="B122" s="83"/>
      <c r="C122" s="82" t="s">
        <v>811</v>
      </c>
      <c r="D122" s="85" t="b">
        <f>VLOOKUP($C122, '_REF Catalog Classes'!$C$6:$D416, COLUMNS('_REF Catalog Classes'!$C$6:$D416), FALSE)</f>
        <v>1</v>
      </c>
      <c r="E122" s="82" t="s">
        <v>1045</v>
      </c>
      <c r="F122" s="82" t="str">
        <f t="shared" si="0"/>
        <v>actionMissionNunchuckAttempt:</v>
      </c>
      <c r="G122" s="106" t="s">
        <v>904</v>
      </c>
      <c r="H122" s="203" t="s">
        <v>1046</v>
      </c>
      <c r="I122" s="82" t="s">
        <v>847</v>
      </c>
      <c r="J122" s="82" t="s">
        <v>848</v>
      </c>
      <c r="K122" s="82" t="s">
        <v>849</v>
      </c>
      <c r="L122" s="108"/>
      <c r="M122" s="82"/>
      <c r="N122" s="107"/>
      <c r="O122" s="108"/>
      <c r="P122" s="82"/>
      <c r="Q122" s="88"/>
      <c r="R122" s="82"/>
      <c r="S122" s="82"/>
      <c r="T122" s="82"/>
      <c r="U122" s="82"/>
      <c r="V122" s="82"/>
      <c r="W122" s="89"/>
      <c r="X122" s="90"/>
      <c r="Y122" s="90"/>
      <c r="Z122" s="90"/>
      <c r="AA122" s="89"/>
      <c r="AB122" s="90"/>
      <c r="AC122" s="90"/>
      <c r="AD122" s="90"/>
      <c r="AE122" s="90"/>
      <c r="AF122" s="90"/>
      <c r="AG122" s="92"/>
      <c r="AH122" s="93"/>
      <c r="AI122" s="93"/>
      <c r="AJ122" s="93"/>
      <c r="AK122" s="93"/>
      <c r="AL122" s="93"/>
      <c r="AM122" s="93"/>
      <c r="AN122" s="94"/>
      <c r="AO122" s="95"/>
      <c r="AP122" s="95"/>
      <c r="AQ122" s="95"/>
      <c r="AR122" s="94"/>
      <c r="AS122" s="95"/>
      <c r="AT122" s="95"/>
      <c r="AU122" s="95"/>
      <c r="AV122" s="95"/>
      <c r="AW122" s="92"/>
      <c r="AX122" s="93"/>
      <c r="AY122" s="93"/>
      <c r="AZ122" s="93"/>
      <c r="BA122" s="93"/>
      <c r="BB122" s="93"/>
      <c r="BC122" s="93"/>
      <c r="BD122" s="168"/>
      <c r="BE122" s="97"/>
      <c r="BF122" s="98"/>
      <c r="BG122" s="97"/>
      <c r="BH122" s="168"/>
      <c r="BI122" s="97"/>
      <c r="BJ122" s="97"/>
      <c r="BK122" s="97"/>
      <c r="BL122" s="97"/>
      <c r="BM122" s="97"/>
      <c r="BN122" s="97"/>
      <c r="BO122" s="93"/>
      <c r="BP122" s="93"/>
      <c r="BQ122" s="93"/>
      <c r="BR122" s="93"/>
      <c r="BS122" s="93"/>
      <c r="BT122" s="93"/>
      <c r="BU122" s="93"/>
      <c r="BV122" s="99"/>
      <c r="BW122" s="86"/>
      <c r="BX122" s="86"/>
      <c r="BY122" s="86"/>
      <c r="BZ122" s="100" t="s">
        <v>850</v>
      </c>
      <c r="CA122" s="100" t="str">
        <f ca="1">IFERROR(__xludf.DUMMYFUNCTION("IF(REGEXMATCH(Catalog_RewardType,""reward""), VLOOKUP($E122, {'TitleData rewards.items'!$J$9:$J416,'TitleData rewards.items'!$B$9:$B416}, 2, FALSE), """")"),"")</f>
        <v/>
      </c>
    </row>
    <row r="123" spans="1:79" ht="105" x14ac:dyDescent="0.15">
      <c r="A123" s="82" t="s">
        <v>269</v>
      </c>
      <c r="B123" s="83"/>
      <c r="C123" s="82" t="s">
        <v>851</v>
      </c>
      <c r="D123" s="85" t="b">
        <f>VLOOKUP($C123, '_REF Catalog Classes'!$C$6:$D416, COLUMNS('_REF Catalog Classes'!$C$6:$D416), FALSE)</f>
        <v>1</v>
      </c>
      <c r="E123" s="82" t="s">
        <v>1047</v>
      </c>
      <c r="F123" s="82" t="str">
        <f t="shared" si="0"/>
        <v>missionNunchuck:</v>
      </c>
      <c r="G123" s="86" t="s">
        <v>1048</v>
      </c>
      <c r="H123" s="86" t="s">
        <v>1049</v>
      </c>
      <c r="I123" s="82" t="s">
        <v>855</v>
      </c>
      <c r="J123" s="82" t="s">
        <v>856</v>
      </c>
      <c r="K123" s="82"/>
      <c r="L123" s="82" t="s">
        <v>857</v>
      </c>
      <c r="M123" s="82"/>
      <c r="N123" s="107"/>
      <c r="O123" s="108"/>
      <c r="P123" s="82">
        <v>6</v>
      </c>
      <c r="Q123" s="88"/>
      <c r="R123" s="82"/>
      <c r="S123" s="82"/>
      <c r="T123" s="82"/>
      <c r="U123" s="82"/>
      <c r="V123" s="82"/>
      <c r="W123" s="89">
        <v>0</v>
      </c>
      <c r="X123" s="90" t="s">
        <v>319</v>
      </c>
      <c r="Y123" s="90" t="s">
        <v>1050</v>
      </c>
      <c r="Z123" s="90" t="s">
        <v>1051</v>
      </c>
      <c r="AA123" s="91" t="s">
        <v>283</v>
      </c>
      <c r="AB123" s="90" t="s">
        <v>914</v>
      </c>
      <c r="AC123" s="90"/>
      <c r="AD123" s="90" t="s">
        <v>1052</v>
      </c>
      <c r="AE123" s="90"/>
      <c r="AF123" s="90"/>
      <c r="AG123" s="92"/>
      <c r="AH123" s="93"/>
      <c r="AI123" s="93"/>
      <c r="AJ123" s="93"/>
      <c r="AK123" s="93"/>
      <c r="AL123" s="93"/>
      <c r="AM123" s="93"/>
      <c r="AN123" s="94">
        <v>1</v>
      </c>
      <c r="AO123" s="95" t="s">
        <v>858</v>
      </c>
      <c r="AP123" s="95" t="s">
        <v>1050</v>
      </c>
      <c r="AQ123" s="95" t="s">
        <v>1051</v>
      </c>
      <c r="AR123" s="94" t="s">
        <v>283</v>
      </c>
      <c r="AS123" s="95" t="s">
        <v>1053</v>
      </c>
      <c r="AT123" s="95" t="s">
        <v>1054</v>
      </c>
      <c r="AU123" s="95" t="s">
        <v>1055</v>
      </c>
      <c r="AV123" s="95" t="s">
        <v>1002</v>
      </c>
      <c r="AW123" s="92"/>
      <c r="AX123" s="93"/>
      <c r="AY123" s="93"/>
      <c r="AZ123" s="93"/>
      <c r="BA123" s="93"/>
      <c r="BB123" s="93"/>
      <c r="BC123" s="93"/>
      <c r="BD123" s="96">
        <v>2</v>
      </c>
      <c r="BE123" s="97" t="s">
        <v>865</v>
      </c>
      <c r="BF123" s="98" t="s">
        <v>1050</v>
      </c>
      <c r="BG123" s="97" t="s">
        <v>1051</v>
      </c>
      <c r="BH123" s="97" t="s">
        <v>283</v>
      </c>
      <c r="BI123" s="97" t="s">
        <v>1053</v>
      </c>
      <c r="BJ123" s="97"/>
      <c r="BK123" s="97" t="s">
        <v>1056</v>
      </c>
      <c r="BL123" s="97" t="s">
        <v>1057</v>
      </c>
      <c r="BM123" s="97" t="s">
        <v>1058</v>
      </c>
      <c r="BN123" s="97"/>
      <c r="BO123" s="93"/>
      <c r="BP123" s="93"/>
      <c r="BQ123" s="93"/>
      <c r="BR123" s="93"/>
      <c r="BS123" s="93"/>
      <c r="BT123" s="93"/>
      <c r="BU123" s="93"/>
      <c r="BV123" s="186" t="s">
        <v>1059</v>
      </c>
      <c r="BW123" s="86" t="str">
        <f>VLOOKUP($C123, '_REF Catalog Classes'!$C$6:$E416, COLUMNS('_REF Catalog Classes'!$C$6:$E416), FALSE)</f>
        <v>always</v>
      </c>
      <c r="BX123" s="86"/>
      <c r="BY123" s="86"/>
      <c r="BZ123" s="86" t="s">
        <v>322</v>
      </c>
      <c r="CA123" s="100" t="b">
        <f ca="1">IFERROR(__xludf.DUMMYFUNCTION("IF(REGEXMATCH(Catalog_RewardType,""reward""), VLOOKUP($E123, {'TitleData rewards.items'!$J$9:$J416,'TitleData rewards.items'!$B$9:$B416}, 2, FALSE), """")"),FALSE)</f>
        <v>0</v>
      </c>
    </row>
    <row r="124" spans="1:79" ht="56" x14ac:dyDescent="0.15">
      <c r="A124" s="191" t="s">
        <v>269</v>
      </c>
      <c r="B124" s="83"/>
      <c r="C124" s="82" t="s">
        <v>808</v>
      </c>
      <c r="D124" s="85" t="b">
        <f>VLOOKUP($C124, '_REF Catalog Classes'!$C$6:$D416, COLUMNS('_REF Catalog Classes'!$C$6:$D416), FALSE)</f>
        <v>1</v>
      </c>
      <c r="E124" s="82" t="s">
        <v>1060</v>
      </c>
      <c r="F124" s="82" t="str">
        <f t="shared" si="0"/>
        <v>achievementMissionNunchuck:</v>
      </c>
      <c r="G124" s="185" t="s">
        <v>1061</v>
      </c>
      <c r="H124" s="201" t="s">
        <v>1062</v>
      </c>
      <c r="I124" s="191" t="s">
        <v>274</v>
      </c>
      <c r="J124" s="191"/>
      <c r="K124" s="191"/>
      <c r="L124" s="191"/>
      <c r="M124" s="191" t="s">
        <v>830</v>
      </c>
      <c r="N124" s="192"/>
      <c r="O124" s="193"/>
      <c r="P124" s="191">
        <v>30</v>
      </c>
      <c r="Q124" s="194"/>
      <c r="R124" s="191"/>
      <c r="S124" s="191"/>
      <c r="T124" s="191"/>
      <c r="U124" s="191"/>
      <c r="V124" s="191"/>
      <c r="W124" s="89">
        <v>0</v>
      </c>
      <c r="X124" s="90" t="s">
        <v>37</v>
      </c>
      <c r="Y124" s="90" t="s">
        <v>1009</v>
      </c>
      <c r="Z124" s="195"/>
      <c r="AA124" s="91" t="s">
        <v>283</v>
      </c>
      <c r="AB124" s="195" t="s">
        <v>1063</v>
      </c>
      <c r="AC124" s="195"/>
      <c r="AD124" s="90" t="s">
        <v>1064</v>
      </c>
      <c r="AE124" s="195"/>
      <c r="AF124" s="195"/>
      <c r="AG124" s="196"/>
      <c r="AH124" s="197"/>
      <c r="AI124" s="197"/>
      <c r="AJ124" s="197"/>
      <c r="AK124" s="197"/>
      <c r="AL124" s="197"/>
      <c r="AM124" s="197"/>
      <c r="AN124" s="198"/>
      <c r="AO124" s="199"/>
      <c r="AP124" s="95"/>
      <c r="AQ124" s="199"/>
      <c r="AR124" s="198"/>
      <c r="AS124" s="199"/>
      <c r="AT124" s="199"/>
      <c r="AU124" s="199"/>
      <c r="AV124" s="199"/>
      <c r="AW124" s="196"/>
      <c r="AX124" s="197"/>
      <c r="AY124" s="197"/>
      <c r="AZ124" s="197"/>
      <c r="BA124" s="197"/>
      <c r="BB124" s="197"/>
      <c r="BC124" s="197"/>
      <c r="BD124" s="96">
        <v>2</v>
      </c>
      <c r="BE124" s="97" t="s">
        <v>38</v>
      </c>
      <c r="BF124" s="98" t="s">
        <v>1009</v>
      </c>
      <c r="BG124" s="97"/>
      <c r="BH124" s="97" t="s">
        <v>283</v>
      </c>
      <c r="BI124" s="200" t="s">
        <v>1063</v>
      </c>
      <c r="BJ124" s="97"/>
      <c r="BK124" s="97"/>
      <c r="BL124" s="97" t="s">
        <v>1065</v>
      </c>
      <c r="BM124" s="97"/>
      <c r="BN124" s="182"/>
      <c r="BO124" s="197"/>
      <c r="BP124" s="197"/>
      <c r="BQ124" s="197"/>
      <c r="BR124" s="197"/>
      <c r="BS124" s="197"/>
      <c r="BT124" s="197"/>
      <c r="BU124" s="197"/>
      <c r="BV124" s="99" t="s">
        <v>1066</v>
      </c>
      <c r="BW124" s="86" t="str">
        <f>VLOOKUP($C124, '_REF Catalog Classes'!$C$6:$E416, COLUMNS('_REF Catalog Classes'!$C$6:$E416), FALSE)</f>
        <v>never</v>
      </c>
      <c r="BX124" s="86"/>
      <c r="BY124" s="86"/>
      <c r="BZ124" s="86" t="s">
        <v>322</v>
      </c>
      <c r="CA124" s="100" t="b">
        <f ca="1">IFERROR(__xludf.DUMMYFUNCTION("IF(REGEXMATCH(Catalog_RewardType,""reward""), VLOOKUP($E124, {'TitleData rewards.items'!$J$9:$J416,'TitleData rewards.items'!$B$9:$B416}, 2, FALSE), """")"),FALSE)</f>
        <v>0</v>
      </c>
    </row>
    <row r="125" spans="1:79" ht="28" hidden="1" x14ac:dyDescent="0.15">
      <c r="A125" s="82" t="s">
        <v>269</v>
      </c>
      <c r="B125" s="83"/>
      <c r="C125" s="82" t="s">
        <v>811</v>
      </c>
      <c r="D125" s="85" t="b">
        <v>1</v>
      </c>
      <c r="E125" s="27" t="s">
        <v>1067</v>
      </c>
      <c r="F125" s="82" t="str">
        <f t="shared" si="0"/>
        <v>actionLauncherSvengeance:</v>
      </c>
      <c r="G125" s="106" t="s">
        <v>904</v>
      </c>
      <c r="H125" s="86" t="s">
        <v>1068</v>
      </c>
      <c r="I125" s="82" t="s">
        <v>847</v>
      </c>
      <c r="J125" s="82"/>
      <c r="K125" s="82" t="s">
        <v>275</v>
      </c>
      <c r="L125" s="82" t="s">
        <v>857</v>
      </c>
      <c r="M125" s="82"/>
      <c r="N125" s="107"/>
      <c r="O125" s="108"/>
      <c r="P125" s="82"/>
      <c r="Q125" s="88"/>
      <c r="R125" s="82"/>
      <c r="S125" s="82"/>
      <c r="T125" s="82"/>
      <c r="U125" s="82"/>
      <c r="V125" s="82"/>
      <c r="W125" s="89"/>
      <c r="X125" s="90"/>
      <c r="Y125" s="90"/>
      <c r="Z125" s="90"/>
      <c r="AA125" s="89"/>
      <c r="AB125" s="90"/>
      <c r="AC125" s="90"/>
      <c r="AD125" s="90"/>
      <c r="AE125" s="90"/>
      <c r="AF125" s="90"/>
      <c r="AG125" s="92"/>
      <c r="AH125" s="93"/>
      <c r="AI125" s="93"/>
      <c r="AJ125" s="93"/>
      <c r="AK125" s="93"/>
      <c r="AL125" s="93"/>
      <c r="AM125" s="93"/>
      <c r="AN125" s="94"/>
      <c r="AO125" s="95"/>
      <c r="AP125" s="95"/>
      <c r="AQ125" s="95"/>
      <c r="AR125" s="94"/>
      <c r="AS125" s="95"/>
      <c r="AT125" s="95"/>
      <c r="AU125" s="95"/>
      <c r="AV125" s="95"/>
      <c r="AW125" s="92"/>
      <c r="AX125" s="93"/>
      <c r="AY125" s="93"/>
      <c r="AZ125" s="93"/>
      <c r="BA125" s="93"/>
      <c r="BB125" s="93"/>
      <c r="BC125" s="93"/>
      <c r="BD125" s="168"/>
      <c r="BE125" s="97"/>
      <c r="BF125" s="98"/>
      <c r="BG125" s="97"/>
      <c r="BH125" s="97"/>
      <c r="BI125" s="97"/>
      <c r="BJ125" s="97"/>
      <c r="BK125" s="97"/>
      <c r="BL125" s="97"/>
      <c r="BM125" s="97"/>
      <c r="BN125" s="97"/>
      <c r="BO125" s="93"/>
      <c r="BP125" s="93"/>
      <c r="BQ125" s="93"/>
      <c r="BR125" s="93"/>
      <c r="BS125" s="93"/>
      <c r="BT125" s="93"/>
      <c r="BU125" s="93"/>
      <c r="BV125" s="202"/>
      <c r="BW125" s="93"/>
      <c r="BX125" s="93"/>
      <c r="BY125" s="93"/>
      <c r="BZ125" s="120" t="s">
        <v>850</v>
      </c>
      <c r="CA125" s="100" t="str">
        <f ca="1">IFERROR(__xludf.DUMMYFUNCTION("IF(REGEXMATCH(Catalog_RewardType,""reward""), VLOOKUP($E125, {'TitleData rewards.items'!$J$9:$J416,'TitleData rewards.items'!$B$9:$B416}, 2, FALSE), """")"),"")</f>
        <v/>
      </c>
    </row>
    <row r="126" spans="1:79" ht="42" hidden="1" x14ac:dyDescent="0.15">
      <c r="A126" s="82" t="s">
        <v>269</v>
      </c>
      <c r="B126" s="83"/>
      <c r="C126" s="82" t="s">
        <v>811</v>
      </c>
      <c r="D126" s="85" t="b">
        <f>VLOOKUP($C126, '_REF Catalog Classes'!$C$6:$D416, COLUMNS('_REF Catalog Classes'!$C$6:$D416), FALSE)</f>
        <v>1</v>
      </c>
      <c r="E126" s="82" t="s">
        <v>1069</v>
      </c>
      <c r="F126" s="82" t="str">
        <f t="shared" si="0"/>
        <v>actionMissionSvengeanceUnlock:</v>
      </c>
      <c r="G126" s="106" t="s">
        <v>904</v>
      </c>
      <c r="H126" s="86" t="s">
        <v>1070</v>
      </c>
      <c r="I126" s="82" t="s">
        <v>274</v>
      </c>
      <c r="J126" s="82"/>
      <c r="K126" s="82" t="s">
        <v>275</v>
      </c>
      <c r="L126" s="82"/>
      <c r="M126" s="82"/>
      <c r="N126" s="107"/>
      <c r="O126" s="108"/>
      <c r="P126" s="82"/>
      <c r="Q126" s="88"/>
      <c r="R126" s="82"/>
      <c r="S126" s="82"/>
      <c r="T126" s="82"/>
      <c r="U126" s="82"/>
      <c r="V126" s="82"/>
      <c r="W126" s="89"/>
      <c r="X126" s="90"/>
      <c r="Y126" s="90"/>
      <c r="Z126" s="90"/>
      <c r="AA126" s="89"/>
      <c r="AB126" s="90"/>
      <c r="AC126" s="90"/>
      <c r="AD126" s="90"/>
      <c r="AE126" s="90"/>
      <c r="AF126" s="90"/>
      <c r="AG126" s="92"/>
      <c r="AH126" s="93"/>
      <c r="AI126" s="93"/>
      <c r="AJ126" s="93"/>
      <c r="AK126" s="93"/>
      <c r="AL126" s="93"/>
      <c r="AM126" s="93"/>
      <c r="AN126" s="94"/>
      <c r="AO126" s="95"/>
      <c r="AP126" s="95"/>
      <c r="AQ126" s="95"/>
      <c r="AR126" s="94"/>
      <c r="AS126" s="95"/>
      <c r="AT126" s="95"/>
      <c r="AU126" s="95"/>
      <c r="AV126" s="95"/>
      <c r="AW126" s="92"/>
      <c r="AX126" s="93"/>
      <c r="AY126" s="93"/>
      <c r="AZ126" s="93"/>
      <c r="BA126" s="93"/>
      <c r="BB126" s="93"/>
      <c r="BC126" s="93"/>
      <c r="BD126" s="168"/>
      <c r="BE126" s="97"/>
      <c r="BF126" s="98"/>
      <c r="BG126" s="97"/>
      <c r="BH126" s="168"/>
      <c r="BI126" s="97"/>
      <c r="BJ126" s="97"/>
      <c r="BK126" s="97"/>
      <c r="BL126" s="97"/>
      <c r="BM126" s="97"/>
      <c r="BN126" s="97"/>
      <c r="BO126" s="93"/>
      <c r="BP126" s="93"/>
      <c r="BQ126" s="93"/>
      <c r="BR126" s="93"/>
      <c r="BS126" s="93"/>
      <c r="BT126" s="93"/>
      <c r="BU126" s="93"/>
      <c r="BV126" s="99" t="s">
        <v>1071</v>
      </c>
      <c r="BW126" s="86" t="str">
        <f>VLOOKUP($C126, '_REF Catalog Classes'!$C$6:$E416, COLUMNS('_REF Catalog Classes'!$C$6:$E416), FALSE)</f>
        <v>always</v>
      </c>
      <c r="BX126" s="86"/>
      <c r="BY126" s="86"/>
      <c r="BZ126" s="86" t="s">
        <v>354</v>
      </c>
      <c r="CA126" s="100" t="b">
        <f ca="1">IFERROR(__xludf.DUMMYFUNCTION("IF(REGEXMATCH(Catalog_RewardType,""reward""), VLOOKUP($E126, {'TitleData rewards.items'!$J$9:$J416,'TitleData rewards.items'!$B$9:$B416}, 2, FALSE), """")"),FALSE)</f>
        <v>0</v>
      </c>
    </row>
    <row r="127" spans="1:79" ht="42" hidden="1" x14ac:dyDescent="0.15">
      <c r="A127" s="82" t="s">
        <v>269</v>
      </c>
      <c r="B127" s="83"/>
      <c r="C127" s="82" t="s">
        <v>811</v>
      </c>
      <c r="D127" s="85" t="b">
        <f>VLOOKUP($C127, '_REF Catalog Classes'!$C$6:$D416, COLUMNS('_REF Catalog Classes'!$C$6:$D416), FALSE)</f>
        <v>1</v>
      </c>
      <c r="E127" s="82" t="s">
        <v>1072</v>
      </c>
      <c r="F127" s="82" t="str">
        <f t="shared" si="0"/>
        <v>actionMissionSvengeanceAttempt:</v>
      </c>
      <c r="G127" s="106" t="s">
        <v>904</v>
      </c>
      <c r="H127" s="203" t="s">
        <v>1073</v>
      </c>
      <c r="I127" s="82" t="s">
        <v>847</v>
      </c>
      <c r="J127" s="82" t="s">
        <v>848</v>
      </c>
      <c r="K127" s="82" t="s">
        <v>849</v>
      </c>
      <c r="L127" s="108"/>
      <c r="M127" s="82"/>
      <c r="N127" s="107"/>
      <c r="O127" s="108"/>
      <c r="P127" s="82"/>
      <c r="Q127" s="88"/>
      <c r="R127" s="82"/>
      <c r="S127" s="82"/>
      <c r="T127" s="82"/>
      <c r="U127" s="82"/>
      <c r="V127" s="82"/>
      <c r="W127" s="89"/>
      <c r="X127" s="90"/>
      <c r="Y127" s="90"/>
      <c r="Z127" s="90"/>
      <c r="AA127" s="89"/>
      <c r="AB127" s="90"/>
      <c r="AC127" s="90"/>
      <c r="AD127" s="90"/>
      <c r="AE127" s="90"/>
      <c r="AF127" s="90"/>
      <c r="AG127" s="92"/>
      <c r="AH127" s="93"/>
      <c r="AI127" s="93"/>
      <c r="AJ127" s="93"/>
      <c r="AK127" s="93"/>
      <c r="AL127" s="93"/>
      <c r="AM127" s="93"/>
      <c r="AN127" s="94"/>
      <c r="AO127" s="95"/>
      <c r="AP127" s="95"/>
      <c r="AQ127" s="95"/>
      <c r="AR127" s="94"/>
      <c r="AS127" s="95"/>
      <c r="AT127" s="95"/>
      <c r="AU127" s="95"/>
      <c r="AV127" s="95"/>
      <c r="AW127" s="92"/>
      <c r="AX127" s="93"/>
      <c r="AY127" s="93"/>
      <c r="AZ127" s="93"/>
      <c r="BA127" s="93"/>
      <c r="BB127" s="93"/>
      <c r="BC127" s="93"/>
      <c r="BD127" s="168"/>
      <c r="BE127" s="97"/>
      <c r="BF127" s="98"/>
      <c r="BG127" s="97"/>
      <c r="BH127" s="168"/>
      <c r="BI127" s="97"/>
      <c r="BJ127" s="97"/>
      <c r="BK127" s="97"/>
      <c r="BL127" s="97"/>
      <c r="BM127" s="97"/>
      <c r="BN127" s="97"/>
      <c r="BO127" s="93"/>
      <c r="BP127" s="93"/>
      <c r="BQ127" s="93"/>
      <c r="BR127" s="93"/>
      <c r="BS127" s="93"/>
      <c r="BT127" s="93"/>
      <c r="BU127" s="93"/>
      <c r="BV127" s="99"/>
      <c r="BW127" s="86"/>
      <c r="BX127" s="86"/>
      <c r="BY127" s="86"/>
      <c r="BZ127" s="100" t="s">
        <v>850</v>
      </c>
      <c r="CA127" s="100" t="str">
        <f ca="1">IFERROR(__xludf.DUMMYFUNCTION("IF(REGEXMATCH(Catalog_RewardType,""reward""), VLOOKUP($E127, {'TitleData rewards.items'!$J$9:$J416,'TitleData rewards.items'!$B$9:$B416}, 2, FALSE), """")"),"")</f>
        <v/>
      </c>
    </row>
    <row r="128" spans="1:79" ht="90" x14ac:dyDescent="0.15">
      <c r="A128" s="82" t="s">
        <v>269</v>
      </c>
      <c r="B128" s="83"/>
      <c r="C128" s="82" t="s">
        <v>851</v>
      </c>
      <c r="D128" s="85" t="b">
        <f>VLOOKUP($C128, '_REF Catalog Classes'!$C$6:$D416, COLUMNS('_REF Catalog Classes'!$C$6:$D416), FALSE)</f>
        <v>1</v>
      </c>
      <c r="E128" s="82" t="s">
        <v>1074</v>
      </c>
      <c r="F128" s="82" t="str">
        <f t="shared" si="0"/>
        <v>missionSvengeance:</v>
      </c>
      <c r="G128" s="86" t="s">
        <v>1075</v>
      </c>
      <c r="H128" s="86" t="s">
        <v>1076</v>
      </c>
      <c r="I128" s="82" t="s">
        <v>855</v>
      </c>
      <c r="J128" s="82" t="s">
        <v>856</v>
      </c>
      <c r="K128" s="82"/>
      <c r="L128" s="82" t="s">
        <v>857</v>
      </c>
      <c r="M128" s="82"/>
      <c r="N128" s="107"/>
      <c r="O128" s="108"/>
      <c r="P128" s="82">
        <v>8</v>
      </c>
      <c r="Q128" s="88"/>
      <c r="R128" s="82"/>
      <c r="S128" s="82"/>
      <c r="T128" s="82"/>
      <c r="U128" s="82"/>
      <c r="V128" s="82"/>
      <c r="W128" s="89">
        <v>0</v>
      </c>
      <c r="X128" s="90" t="s">
        <v>319</v>
      </c>
      <c r="Y128" s="90" t="s">
        <v>1077</v>
      </c>
      <c r="Z128" s="90" t="s">
        <v>1078</v>
      </c>
      <c r="AA128" s="91" t="s">
        <v>283</v>
      </c>
      <c r="AB128" s="90" t="s">
        <v>914</v>
      </c>
      <c r="AC128" s="90"/>
      <c r="AD128" s="90" t="s">
        <v>1079</v>
      </c>
      <c r="AE128" s="90"/>
      <c r="AF128" s="90"/>
      <c r="AG128" s="92"/>
      <c r="AH128" s="93"/>
      <c r="AI128" s="93"/>
      <c r="AJ128" s="93"/>
      <c r="AK128" s="93"/>
      <c r="AL128" s="93"/>
      <c r="AM128" s="93"/>
      <c r="AN128" s="94">
        <v>1</v>
      </c>
      <c r="AO128" s="95" t="s">
        <v>858</v>
      </c>
      <c r="AP128" s="95" t="s">
        <v>1077</v>
      </c>
      <c r="AQ128" s="95" t="s">
        <v>1078</v>
      </c>
      <c r="AR128" s="94" t="s">
        <v>283</v>
      </c>
      <c r="AS128" s="95" t="s">
        <v>1080</v>
      </c>
      <c r="AT128" s="95" t="s">
        <v>1081</v>
      </c>
      <c r="AU128" s="95" t="s">
        <v>1082</v>
      </c>
      <c r="AV128" s="95" t="s">
        <v>1002</v>
      </c>
      <c r="AW128" s="92"/>
      <c r="AX128" s="93"/>
      <c r="AY128" s="93"/>
      <c r="AZ128" s="93"/>
      <c r="BA128" s="93"/>
      <c r="BB128" s="93"/>
      <c r="BC128" s="93"/>
      <c r="BD128" s="96">
        <v>2</v>
      </c>
      <c r="BE128" s="97" t="s">
        <v>865</v>
      </c>
      <c r="BF128" s="98" t="s">
        <v>1077</v>
      </c>
      <c r="BG128" s="97" t="s">
        <v>1078</v>
      </c>
      <c r="BH128" s="97" t="s">
        <v>283</v>
      </c>
      <c r="BI128" s="97" t="s">
        <v>1080</v>
      </c>
      <c r="BJ128" s="97"/>
      <c r="BK128" s="97" t="s">
        <v>1083</v>
      </c>
      <c r="BL128" s="97" t="s">
        <v>1084</v>
      </c>
      <c r="BM128" s="97" t="s">
        <v>1085</v>
      </c>
      <c r="BN128" s="97"/>
      <c r="BO128" s="93"/>
      <c r="BP128" s="93"/>
      <c r="BQ128" s="93"/>
      <c r="BR128" s="93"/>
      <c r="BS128" s="93"/>
      <c r="BT128" s="93"/>
      <c r="BU128" s="93"/>
      <c r="BV128" s="186" t="s">
        <v>1086</v>
      </c>
      <c r="BW128" s="86" t="str">
        <f>VLOOKUP($C128, '_REF Catalog Classes'!$C$6:$E416, COLUMNS('_REF Catalog Classes'!$C$6:$E416), FALSE)</f>
        <v>always</v>
      </c>
      <c r="BX128" s="86"/>
      <c r="BY128" s="86"/>
      <c r="BZ128" s="86" t="s">
        <v>322</v>
      </c>
      <c r="CA128" s="100" t="b">
        <f ca="1">IFERROR(__xludf.DUMMYFUNCTION("IF(REGEXMATCH(Catalog_RewardType,""reward""), VLOOKUP($E128, {'TitleData rewards.items'!$J$9:$J416,'TitleData rewards.items'!$B$9:$B416}, 2, FALSE), """")"),FALSE)</f>
        <v>0</v>
      </c>
    </row>
    <row r="129" spans="1:79" ht="42" x14ac:dyDescent="0.15">
      <c r="A129" s="191" t="s">
        <v>269</v>
      </c>
      <c r="B129" s="83"/>
      <c r="C129" s="82" t="s">
        <v>808</v>
      </c>
      <c r="D129" s="85" t="b">
        <f>VLOOKUP($C129, '_REF Catalog Classes'!$C$6:$D416, COLUMNS('_REF Catalog Classes'!$C$6:$D416), FALSE)</f>
        <v>1</v>
      </c>
      <c r="E129" s="82" t="s">
        <v>1087</v>
      </c>
      <c r="F129" s="82" t="str">
        <f t="shared" si="0"/>
        <v>achievementMissionSvengeance:</v>
      </c>
      <c r="G129" s="185" t="s">
        <v>1088</v>
      </c>
      <c r="H129" s="86" t="s">
        <v>1089</v>
      </c>
      <c r="I129" s="191" t="s">
        <v>274</v>
      </c>
      <c r="J129" s="191"/>
      <c r="K129" s="191"/>
      <c r="L129" s="191"/>
      <c r="M129" s="191" t="s">
        <v>830</v>
      </c>
      <c r="N129" s="192"/>
      <c r="O129" s="193"/>
      <c r="P129" s="191">
        <v>32</v>
      </c>
      <c r="Q129" s="194"/>
      <c r="R129" s="191"/>
      <c r="S129" s="191"/>
      <c r="T129" s="191"/>
      <c r="U129" s="191"/>
      <c r="V129" s="191"/>
      <c r="W129" s="89">
        <v>0</v>
      </c>
      <c r="X129" s="90" t="s">
        <v>37</v>
      </c>
      <c r="Y129" s="90" t="s">
        <v>1009</v>
      </c>
      <c r="Z129" s="195"/>
      <c r="AA129" s="91" t="s">
        <v>283</v>
      </c>
      <c r="AB129" s="195" t="s">
        <v>1090</v>
      </c>
      <c r="AC129" s="90"/>
      <c r="AD129" s="90" t="s">
        <v>1091</v>
      </c>
      <c r="AE129" s="195"/>
      <c r="AF129" s="195"/>
      <c r="AG129" s="196"/>
      <c r="AH129" s="197"/>
      <c r="AI129" s="197"/>
      <c r="AJ129" s="197"/>
      <c r="AK129" s="197"/>
      <c r="AL129" s="197"/>
      <c r="AM129" s="197"/>
      <c r="AN129" s="198"/>
      <c r="AO129" s="199"/>
      <c r="AP129" s="95"/>
      <c r="AQ129" s="199"/>
      <c r="AR129" s="198"/>
      <c r="AS129" s="199"/>
      <c r="AT129" s="199"/>
      <c r="AU129" s="199"/>
      <c r="AV129" s="199"/>
      <c r="AW129" s="196"/>
      <c r="AX129" s="197"/>
      <c r="AY129" s="197"/>
      <c r="AZ129" s="197"/>
      <c r="BA129" s="197"/>
      <c r="BB129" s="197"/>
      <c r="BC129" s="197"/>
      <c r="BD129" s="184">
        <v>2</v>
      </c>
      <c r="BE129" s="97" t="s">
        <v>38</v>
      </c>
      <c r="BF129" s="98" t="s">
        <v>1009</v>
      </c>
      <c r="BG129" s="97"/>
      <c r="BH129" s="97" t="s">
        <v>283</v>
      </c>
      <c r="BI129" s="200" t="s">
        <v>1090</v>
      </c>
      <c r="BJ129" s="97"/>
      <c r="BK129" s="97"/>
      <c r="BL129" s="97" t="s">
        <v>1092</v>
      </c>
      <c r="BM129" s="97"/>
      <c r="BN129" s="167"/>
      <c r="BO129" s="197"/>
      <c r="BP129" s="197"/>
      <c r="BQ129" s="197"/>
      <c r="BR129" s="197"/>
      <c r="BS129" s="197"/>
      <c r="BT129" s="197"/>
      <c r="BU129" s="197"/>
      <c r="BV129" s="99" t="s">
        <v>1093</v>
      </c>
      <c r="BW129" s="86" t="str">
        <f>VLOOKUP($C129, '_REF Catalog Classes'!$C$6:$E416, COLUMNS('_REF Catalog Classes'!$C$6:$E416), FALSE)</f>
        <v>never</v>
      </c>
      <c r="BX129" s="86"/>
      <c r="BY129" s="86"/>
      <c r="BZ129" s="185" t="s">
        <v>322</v>
      </c>
      <c r="CA129" s="100" t="b">
        <f ca="1">IFERROR(__xludf.DUMMYFUNCTION("IF(REGEXMATCH(Catalog_RewardType,""reward""), VLOOKUP($E129, {'TitleData rewards.items'!$J$9:$J416,'TitleData rewards.items'!$B$9:$B416}, 2, FALSE), """")"),FALSE)</f>
        <v>0</v>
      </c>
    </row>
    <row r="130" spans="1:79" ht="28" hidden="1" x14ac:dyDescent="0.15">
      <c r="A130" s="82" t="s">
        <v>269</v>
      </c>
      <c r="B130" s="83"/>
      <c r="C130" s="82" t="s">
        <v>811</v>
      </c>
      <c r="D130" s="85" t="b">
        <v>1</v>
      </c>
      <c r="E130" s="27" t="s">
        <v>1094</v>
      </c>
      <c r="F130" s="82" t="str">
        <f t="shared" si="0"/>
        <v>actionLauncherJeanClawed:</v>
      </c>
      <c r="G130" s="106" t="s">
        <v>904</v>
      </c>
      <c r="H130" s="86" t="s">
        <v>1095</v>
      </c>
      <c r="I130" s="82" t="s">
        <v>847</v>
      </c>
      <c r="J130" s="82"/>
      <c r="K130" s="82" t="s">
        <v>275</v>
      </c>
      <c r="L130" s="82" t="s">
        <v>857</v>
      </c>
      <c r="M130" s="82"/>
      <c r="N130" s="107"/>
      <c r="O130" s="108"/>
      <c r="P130" s="82"/>
      <c r="Q130" s="88"/>
      <c r="R130" s="82"/>
      <c r="S130" s="82"/>
      <c r="T130" s="82"/>
      <c r="U130" s="82"/>
      <c r="V130" s="82"/>
      <c r="W130" s="89"/>
      <c r="X130" s="90"/>
      <c r="Y130" s="90"/>
      <c r="Z130" s="90"/>
      <c r="AA130" s="89"/>
      <c r="AB130" s="90"/>
      <c r="AC130" s="90"/>
      <c r="AD130" s="90"/>
      <c r="AE130" s="90"/>
      <c r="AF130" s="90"/>
      <c r="AG130" s="92"/>
      <c r="AH130" s="93"/>
      <c r="AI130" s="93"/>
      <c r="AJ130" s="93"/>
      <c r="AK130" s="93"/>
      <c r="AL130" s="93"/>
      <c r="AM130" s="93"/>
      <c r="AN130" s="94"/>
      <c r="AO130" s="95"/>
      <c r="AP130" s="95"/>
      <c r="AQ130" s="95"/>
      <c r="AR130" s="94"/>
      <c r="AS130" s="95"/>
      <c r="AT130" s="95"/>
      <c r="AU130" s="95"/>
      <c r="AV130" s="95"/>
      <c r="AW130" s="92"/>
      <c r="AX130" s="93"/>
      <c r="AY130" s="93"/>
      <c r="AZ130" s="93"/>
      <c r="BA130" s="93"/>
      <c r="BB130" s="93"/>
      <c r="BC130" s="93"/>
      <c r="BD130" s="97"/>
      <c r="BE130" s="97"/>
      <c r="BF130" s="98"/>
      <c r="BG130" s="97"/>
      <c r="BH130" s="97"/>
      <c r="BI130" s="97"/>
      <c r="BJ130" s="97"/>
      <c r="BK130" s="97"/>
      <c r="BL130" s="97"/>
      <c r="BM130" s="97"/>
      <c r="BN130" s="97"/>
      <c r="BO130" s="93"/>
      <c r="BP130" s="93"/>
      <c r="BQ130" s="93"/>
      <c r="BR130" s="93"/>
      <c r="BS130" s="93"/>
      <c r="BT130" s="93"/>
      <c r="BU130" s="93"/>
      <c r="BV130" s="202"/>
      <c r="BW130" s="93"/>
      <c r="BX130" s="93"/>
      <c r="BY130" s="93"/>
      <c r="BZ130" s="120" t="s">
        <v>850</v>
      </c>
      <c r="CA130" s="100" t="str">
        <f ca="1">IFERROR(__xludf.DUMMYFUNCTION("IF(REGEXMATCH(Catalog_RewardType,""reward""), VLOOKUP($E130, {'TitleData rewards.items'!$J$9:$J416,'TitleData rewards.items'!$B$9:$B416}, 2, FALSE), """")"),"")</f>
        <v/>
      </c>
    </row>
    <row r="131" spans="1:79" ht="42" hidden="1" x14ac:dyDescent="0.15">
      <c r="A131" s="82" t="s">
        <v>269</v>
      </c>
      <c r="B131" s="83"/>
      <c r="C131" s="82" t="s">
        <v>811</v>
      </c>
      <c r="D131" s="85" t="b">
        <f>VLOOKUP($C131, '_REF Catalog Classes'!$C$6:$D416, COLUMNS('_REF Catalog Classes'!$C$6:$D416), FALSE)</f>
        <v>1</v>
      </c>
      <c r="E131" s="82" t="s">
        <v>1096</v>
      </c>
      <c r="F131" s="82" t="str">
        <f t="shared" si="0"/>
        <v>actionMissionJeanClawedUnlock:</v>
      </c>
      <c r="G131" s="106" t="s">
        <v>904</v>
      </c>
      <c r="H131" s="86" t="s">
        <v>1097</v>
      </c>
      <c r="I131" s="82" t="s">
        <v>274</v>
      </c>
      <c r="J131" s="82"/>
      <c r="K131" s="82" t="s">
        <v>275</v>
      </c>
      <c r="L131" s="82"/>
      <c r="M131" s="82"/>
      <c r="N131" s="107"/>
      <c r="O131" s="108"/>
      <c r="P131" s="82"/>
      <c r="Q131" s="88"/>
      <c r="R131" s="82"/>
      <c r="S131" s="82"/>
      <c r="T131" s="82"/>
      <c r="U131" s="82"/>
      <c r="V131" s="82"/>
      <c r="W131" s="89"/>
      <c r="X131" s="90"/>
      <c r="Y131" s="90"/>
      <c r="Z131" s="90"/>
      <c r="AA131" s="89"/>
      <c r="AB131" s="90"/>
      <c r="AC131" s="90"/>
      <c r="AD131" s="90"/>
      <c r="AE131" s="90"/>
      <c r="AF131" s="90"/>
      <c r="AG131" s="92"/>
      <c r="AH131" s="93"/>
      <c r="AI131" s="93"/>
      <c r="AJ131" s="93"/>
      <c r="AK131" s="93"/>
      <c r="AL131" s="93"/>
      <c r="AM131" s="93"/>
      <c r="AN131" s="94"/>
      <c r="AO131" s="95"/>
      <c r="AP131" s="95"/>
      <c r="AQ131" s="95"/>
      <c r="AR131" s="94"/>
      <c r="AS131" s="95"/>
      <c r="AT131" s="95"/>
      <c r="AU131" s="95"/>
      <c r="AV131" s="95"/>
      <c r="AW131" s="92"/>
      <c r="AX131" s="93"/>
      <c r="AY131" s="93"/>
      <c r="AZ131" s="93"/>
      <c r="BA131" s="93"/>
      <c r="BB131" s="93"/>
      <c r="BC131" s="93"/>
      <c r="BD131" s="168"/>
      <c r="BE131" s="97"/>
      <c r="BF131" s="98"/>
      <c r="BG131" s="97"/>
      <c r="BH131" s="168"/>
      <c r="BI131" s="97"/>
      <c r="BJ131" s="97"/>
      <c r="BK131" s="97"/>
      <c r="BL131" s="97"/>
      <c r="BM131" s="97"/>
      <c r="BN131" s="97"/>
      <c r="BO131" s="93"/>
      <c r="BP131" s="93"/>
      <c r="BQ131" s="93"/>
      <c r="BR131" s="93"/>
      <c r="BS131" s="93"/>
      <c r="BT131" s="93"/>
      <c r="BU131" s="93"/>
      <c r="BV131" s="99" t="s">
        <v>1098</v>
      </c>
      <c r="BW131" s="86" t="str">
        <f>VLOOKUP($C131, '_REF Catalog Classes'!$C$6:$E416, COLUMNS('_REF Catalog Classes'!$C$6:$E416), FALSE)</f>
        <v>always</v>
      </c>
      <c r="BX131" s="86"/>
      <c r="BY131" s="86"/>
      <c r="BZ131" s="86" t="s">
        <v>354</v>
      </c>
      <c r="CA131" s="100" t="b">
        <f ca="1">IFERROR(__xludf.DUMMYFUNCTION("IF(REGEXMATCH(Catalog_RewardType,""reward""), VLOOKUP($E131, {'TitleData rewards.items'!$J$9:$J416,'TitleData rewards.items'!$B$9:$B416}, 2, FALSE), """")"),FALSE)</f>
        <v>0</v>
      </c>
    </row>
    <row r="132" spans="1:79" ht="42" hidden="1" x14ac:dyDescent="0.15">
      <c r="A132" s="82" t="s">
        <v>269</v>
      </c>
      <c r="B132" s="83"/>
      <c r="C132" s="82" t="s">
        <v>811</v>
      </c>
      <c r="D132" s="85" t="b">
        <f>VLOOKUP($C132, '_REF Catalog Classes'!$C$6:$D416, COLUMNS('_REF Catalog Classes'!$C$6:$D416), FALSE)</f>
        <v>1</v>
      </c>
      <c r="E132" s="82" t="s">
        <v>1099</v>
      </c>
      <c r="F132" s="82" t="str">
        <f t="shared" si="0"/>
        <v>actionMissionJeanClawedAttempt:</v>
      </c>
      <c r="G132" s="106" t="s">
        <v>904</v>
      </c>
      <c r="H132" s="203" t="s">
        <v>1100</v>
      </c>
      <c r="I132" s="82" t="s">
        <v>847</v>
      </c>
      <c r="J132" s="82" t="s">
        <v>848</v>
      </c>
      <c r="K132" s="82" t="s">
        <v>849</v>
      </c>
      <c r="L132" s="108"/>
      <c r="M132" s="82"/>
      <c r="N132" s="107"/>
      <c r="O132" s="108"/>
      <c r="P132" s="82"/>
      <c r="Q132" s="88"/>
      <c r="R132" s="82"/>
      <c r="S132" s="82"/>
      <c r="T132" s="82"/>
      <c r="U132" s="82"/>
      <c r="V132" s="82"/>
      <c r="W132" s="89"/>
      <c r="X132" s="90"/>
      <c r="Y132" s="90"/>
      <c r="Z132" s="90"/>
      <c r="AA132" s="89"/>
      <c r="AB132" s="90"/>
      <c r="AC132" s="90"/>
      <c r="AD132" s="90"/>
      <c r="AE132" s="90"/>
      <c r="AF132" s="90"/>
      <c r="AG132" s="92"/>
      <c r="AH132" s="93"/>
      <c r="AI132" s="93"/>
      <c r="AJ132" s="93"/>
      <c r="AK132" s="93"/>
      <c r="AL132" s="93"/>
      <c r="AM132" s="93"/>
      <c r="AN132" s="94"/>
      <c r="AO132" s="95"/>
      <c r="AP132" s="95"/>
      <c r="AQ132" s="95"/>
      <c r="AR132" s="94"/>
      <c r="AS132" s="95"/>
      <c r="AT132" s="95"/>
      <c r="AU132" s="95"/>
      <c r="AV132" s="95"/>
      <c r="AW132" s="92"/>
      <c r="AX132" s="93"/>
      <c r="AY132" s="93"/>
      <c r="AZ132" s="93"/>
      <c r="BA132" s="93"/>
      <c r="BB132" s="93"/>
      <c r="BC132" s="93"/>
      <c r="BD132" s="168"/>
      <c r="BE132" s="97"/>
      <c r="BF132" s="98"/>
      <c r="BG132" s="97"/>
      <c r="BH132" s="168"/>
      <c r="BI132" s="97"/>
      <c r="BJ132" s="97"/>
      <c r="BK132" s="97"/>
      <c r="BL132" s="97"/>
      <c r="BM132" s="97"/>
      <c r="BN132" s="97"/>
      <c r="BO132" s="93"/>
      <c r="BP132" s="93"/>
      <c r="BQ132" s="93"/>
      <c r="BR132" s="93"/>
      <c r="BS132" s="93"/>
      <c r="BT132" s="93"/>
      <c r="BU132" s="93"/>
      <c r="BV132" s="99"/>
      <c r="BW132" s="86"/>
      <c r="BX132" s="86"/>
      <c r="BY132" s="86"/>
      <c r="BZ132" s="100" t="s">
        <v>850</v>
      </c>
      <c r="CA132" s="100" t="str">
        <f ca="1">IFERROR(__xludf.DUMMYFUNCTION("IF(REGEXMATCH(Catalog_RewardType,""reward""), VLOOKUP($E132, {'TitleData rewards.items'!$J$9:$J416,'TitleData rewards.items'!$B$9:$B416}, 2, FALSE), """")"),"")</f>
        <v/>
      </c>
    </row>
    <row r="133" spans="1:79" ht="90" x14ac:dyDescent="0.15">
      <c r="A133" s="82" t="s">
        <v>269</v>
      </c>
      <c r="B133" s="83"/>
      <c r="C133" s="82" t="s">
        <v>851</v>
      </c>
      <c r="D133" s="85" t="b">
        <f>VLOOKUP($C133, '_REF Catalog Classes'!$C$6:$D416, COLUMNS('_REF Catalog Classes'!$C$6:$D416), FALSE)</f>
        <v>1</v>
      </c>
      <c r="E133" s="82" t="s">
        <v>1101</v>
      </c>
      <c r="F133" s="82" t="str">
        <f t="shared" si="0"/>
        <v>missionJeanClawed:</v>
      </c>
      <c r="G133" s="86" t="s">
        <v>1102</v>
      </c>
      <c r="H133" s="86" t="s">
        <v>1103</v>
      </c>
      <c r="I133" s="82" t="s">
        <v>855</v>
      </c>
      <c r="J133" s="82" t="s">
        <v>856</v>
      </c>
      <c r="K133" s="82"/>
      <c r="L133" s="82" t="s">
        <v>857</v>
      </c>
      <c r="M133" s="82"/>
      <c r="N133" s="107"/>
      <c r="O133" s="108"/>
      <c r="P133" s="82">
        <v>7</v>
      </c>
      <c r="Q133" s="88"/>
      <c r="R133" s="82"/>
      <c r="S133" s="82"/>
      <c r="T133" s="82"/>
      <c r="U133" s="82"/>
      <c r="V133" s="82"/>
      <c r="W133" s="89">
        <v>0</v>
      </c>
      <c r="X133" s="90" t="s">
        <v>319</v>
      </c>
      <c r="Y133" s="90" t="s">
        <v>1104</v>
      </c>
      <c r="Z133" s="90"/>
      <c r="AA133" s="91" t="s">
        <v>283</v>
      </c>
      <c r="AB133" s="90" t="s">
        <v>914</v>
      </c>
      <c r="AC133" s="90"/>
      <c r="AD133" s="90" t="s">
        <v>1105</v>
      </c>
      <c r="AE133" s="90"/>
      <c r="AF133" s="90"/>
      <c r="AG133" s="92"/>
      <c r="AH133" s="93"/>
      <c r="AI133" s="93"/>
      <c r="AJ133" s="93"/>
      <c r="AK133" s="93"/>
      <c r="AL133" s="93"/>
      <c r="AM133" s="93"/>
      <c r="AN133" s="94">
        <v>1</v>
      </c>
      <c r="AO133" s="95" t="s">
        <v>858</v>
      </c>
      <c r="AP133" s="95" t="s">
        <v>1104</v>
      </c>
      <c r="AQ133" s="95"/>
      <c r="AR133" s="94" t="s">
        <v>283</v>
      </c>
      <c r="AS133" s="95" t="s">
        <v>1106</v>
      </c>
      <c r="AT133" s="95" t="s">
        <v>1107</v>
      </c>
      <c r="AU133" s="95" t="s">
        <v>1108</v>
      </c>
      <c r="AV133" s="95" t="s">
        <v>1002</v>
      </c>
      <c r="AW133" s="92"/>
      <c r="AX133" s="93"/>
      <c r="AY133" s="93"/>
      <c r="AZ133" s="93"/>
      <c r="BA133" s="93"/>
      <c r="BB133" s="93"/>
      <c r="BC133" s="93"/>
      <c r="BD133" s="96">
        <v>2</v>
      </c>
      <c r="BE133" s="97" t="s">
        <v>865</v>
      </c>
      <c r="BF133" s="98" t="s">
        <v>1104</v>
      </c>
      <c r="BG133" s="97"/>
      <c r="BH133" s="97" t="s">
        <v>283</v>
      </c>
      <c r="BI133" s="97" t="s">
        <v>1106</v>
      </c>
      <c r="BJ133" s="97"/>
      <c r="BK133" s="97" t="s">
        <v>1109</v>
      </c>
      <c r="BL133" s="97" t="s">
        <v>1110</v>
      </c>
      <c r="BM133" s="97" t="s">
        <v>1111</v>
      </c>
      <c r="BN133" s="97"/>
      <c r="BO133" s="93"/>
      <c r="BP133" s="93"/>
      <c r="BQ133" s="93"/>
      <c r="BR133" s="93"/>
      <c r="BS133" s="93"/>
      <c r="BT133" s="93"/>
      <c r="BU133" s="93"/>
      <c r="BV133" s="186" t="s">
        <v>1112</v>
      </c>
      <c r="BW133" s="86" t="str">
        <f>VLOOKUP($C133, '_REF Catalog Classes'!$C$6:$E416, COLUMNS('_REF Catalog Classes'!$C$6:$E416), FALSE)</f>
        <v>always</v>
      </c>
      <c r="BX133" s="86"/>
      <c r="BY133" s="86"/>
      <c r="BZ133" s="86" t="s">
        <v>322</v>
      </c>
      <c r="CA133" s="100" t="b">
        <f ca="1">IFERROR(__xludf.DUMMYFUNCTION("IF(REGEXMATCH(Catalog_RewardType,""reward""), VLOOKUP($E133, {'TitleData rewards.items'!$J$9:$J416,'TitleData rewards.items'!$B$9:$B416}, 2, FALSE), """")"),FALSE)</f>
        <v>0</v>
      </c>
    </row>
    <row r="134" spans="1:79" ht="42" hidden="1" x14ac:dyDescent="0.15">
      <c r="A134" s="82" t="s">
        <v>314</v>
      </c>
      <c r="B134" s="83" t="b">
        <v>1</v>
      </c>
      <c r="C134" s="82" t="s">
        <v>808</v>
      </c>
      <c r="D134" s="85" t="b">
        <f>VLOOKUP($C134, '_REF Catalog Classes'!$C$6:$D416, COLUMNS('_REF Catalog Classes'!$C$6:$D416), FALSE)</f>
        <v>1</v>
      </c>
      <c r="E134" s="86" t="s">
        <v>1113</v>
      </c>
      <c r="F134" s="82" t="str">
        <f t="shared" si="0"/>
        <v>achievementPlayBlasterOvercharge:TRUE</v>
      </c>
      <c r="G134" s="86" t="s">
        <v>1114</v>
      </c>
      <c r="H134" s="86" t="s">
        <v>1115</v>
      </c>
      <c r="I134" s="187" t="s">
        <v>274</v>
      </c>
      <c r="J134" s="86"/>
      <c r="K134" s="86"/>
      <c r="L134" s="86"/>
      <c r="M134" s="86" t="s">
        <v>820</v>
      </c>
      <c r="N134" s="107"/>
      <c r="O134" s="108"/>
      <c r="P134" s="187">
        <v>8</v>
      </c>
      <c r="Q134" s="82"/>
      <c r="R134" s="82"/>
      <c r="S134" s="82"/>
      <c r="T134" s="82"/>
      <c r="U134" s="82"/>
      <c r="V134" s="187"/>
      <c r="W134" s="89">
        <v>0</v>
      </c>
      <c r="X134" s="90" t="s">
        <v>37</v>
      </c>
      <c r="Y134" s="90" t="str">
        <f>"file://"&amp;$E134&amp;"-state0-image0"</f>
        <v>file://achievementPlayBlasterOvercharge-state0-image0</v>
      </c>
      <c r="Z134" s="90"/>
      <c r="AA134" s="89" t="s">
        <v>283</v>
      </c>
      <c r="AB134" s="90" t="s">
        <v>1114</v>
      </c>
      <c r="AC134" s="90"/>
      <c r="AD134" s="90" t="s">
        <v>1116</v>
      </c>
      <c r="AE134" s="90"/>
      <c r="AF134" s="188"/>
      <c r="AG134" s="93"/>
      <c r="AH134" s="93"/>
      <c r="AI134" s="93"/>
      <c r="AJ134" s="93"/>
      <c r="AK134" s="93"/>
      <c r="AL134" s="93"/>
      <c r="AM134" s="189"/>
      <c r="AN134" s="95"/>
      <c r="AO134" s="95"/>
      <c r="AP134" s="95" t="str">
        <f>"file://"&amp;$E134&amp;"-state1-image0"</f>
        <v>file://achievementPlayBlasterOvercharge-state1-image0</v>
      </c>
      <c r="AQ134" s="95"/>
      <c r="AR134" s="95"/>
      <c r="AS134" s="95"/>
      <c r="AT134" s="95"/>
      <c r="AU134" s="95"/>
      <c r="AV134" s="95"/>
      <c r="AW134" s="93"/>
      <c r="AX134" s="93"/>
      <c r="AY134" s="93"/>
      <c r="AZ134" s="93"/>
      <c r="BA134" s="93"/>
      <c r="BB134" s="93"/>
      <c r="BC134" s="189"/>
      <c r="BD134" s="96">
        <v>2</v>
      </c>
      <c r="BE134" s="167" t="s">
        <v>823</v>
      </c>
      <c r="BF134" s="98"/>
      <c r="BG134" s="97"/>
      <c r="BH134" s="97" t="s">
        <v>283</v>
      </c>
      <c r="BI134" s="97" t="s">
        <v>1114</v>
      </c>
      <c r="BJ134" s="167"/>
      <c r="BK134" s="97"/>
      <c r="BL134" s="167" t="s">
        <v>1117</v>
      </c>
      <c r="BM134" s="97"/>
      <c r="BN134" s="167"/>
      <c r="BO134" s="93"/>
      <c r="BP134" s="93"/>
      <c r="BQ134" s="93"/>
      <c r="BR134" s="93"/>
      <c r="BS134" s="93"/>
      <c r="BT134" s="93"/>
      <c r="BU134" s="93"/>
      <c r="BV134" s="99" t="s">
        <v>1118</v>
      </c>
      <c r="BW134" s="86" t="str">
        <f>VLOOKUP($C134, '_REF Catalog Classes'!$C$6:$E416, COLUMNS('_REF Catalog Classes'!$C$6:$E416), FALSE)</f>
        <v>never</v>
      </c>
      <c r="BX134" s="86"/>
      <c r="BY134" s="86"/>
      <c r="BZ134" s="86" t="s">
        <v>322</v>
      </c>
      <c r="CA134" s="100" t="str">
        <f ca="1">IFERROR(__xludf.DUMMYFUNCTION("IF(REGEXMATCH(Catalog_RewardType,""reward""), VLOOKUP($E134, {'TitleData rewards.items'!$J$9:$J416,'TitleData rewards.items'!$B$9:$B416}, 2, FALSE), """")"),"#N/A")</f>
        <v>#N/A</v>
      </c>
    </row>
    <row r="135" spans="1:79" ht="42" x14ac:dyDescent="0.15">
      <c r="A135" s="191" t="s">
        <v>269</v>
      </c>
      <c r="B135" s="83"/>
      <c r="C135" s="82" t="s">
        <v>808</v>
      </c>
      <c r="D135" s="85" t="b">
        <f>VLOOKUP($C135, '_REF Catalog Classes'!$C$6:$D416, COLUMNS('_REF Catalog Classes'!$C$6:$D416), FALSE)</f>
        <v>1</v>
      </c>
      <c r="E135" s="82" t="s">
        <v>1119</v>
      </c>
      <c r="F135" s="82" t="str">
        <f t="shared" si="0"/>
        <v>achievementMissionJeanClawed:</v>
      </c>
      <c r="G135" s="185" t="s">
        <v>1120</v>
      </c>
      <c r="H135" s="86" t="s">
        <v>1121</v>
      </c>
      <c r="I135" s="191" t="s">
        <v>274</v>
      </c>
      <c r="J135" s="191"/>
      <c r="K135" s="191"/>
      <c r="L135" s="191"/>
      <c r="M135" s="191" t="s">
        <v>830</v>
      </c>
      <c r="N135" s="192"/>
      <c r="O135" s="193"/>
      <c r="P135" s="191">
        <v>31</v>
      </c>
      <c r="Q135" s="194"/>
      <c r="R135" s="191"/>
      <c r="S135" s="191"/>
      <c r="T135" s="191"/>
      <c r="U135" s="191"/>
      <c r="V135" s="191"/>
      <c r="W135" s="89">
        <v>0</v>
      </c>
      <c r="X135" s="90" t="s">
        <v>37</v>
      </c>
      <c r="Y135" s="90" t="s">
        <v>1009</v>
      </c>
      <c r="Z135" s="195"/>
      <c r="AA135" s="91" t="s">
        <v>283</v>
      </c>
      <c r="AB135" s="195" t="s">
        <v>1122</v>
      </c>
      <c r="AC135" s="90"/>
      <c r="AD135" s="90" t="s">
        <v>1123</v>
      </c>
      <c r="AE135" s="195"/>
      <c r="AF135" s="195"/>
      <c r="AG135" s="196"/>
      <c r="AH135" s="197"/>
      <c r="AI135" s="197"/>
      <c r="AJ135" s="197"/>
      <c r="AK135" s="197"/>
      <c r="AL135" s="197"/>
      <c r="AM135" s="197"/>
      <c r="AN135" s="198"/>
      <c r="AO135" s="199"/>
      <c r="AP135" s="95"/>
      <c r="AQ135" s="199"/>
      <c r="AR135" s="198"/>
      <c r="AS135" s="199"/>
      <c r="AT135" s="199"/>
      <c r="AU135" s="199"/>
      <c r="AV135" s="199"/>
      <c r="AW135" s="196"/>
      <c r="AX135" s="197"/>
      <c r="AY135" s="197"/>
      <c r="AZ135" s="197"/>
      <c r="BA135" s="197"/>
      <c r="BB135" s="197"/>
      <c r="BC135" s="197"/>
      <c r="BD135" s="96">
        <v>2</v>
      </c>
      <c r="BE135" s="97" t="s">
        <v>38</v>
      </c>
      <c r="BF135" s="98" t="s">
        <v>1009</v>
      </c>
      <c r="BG135" s="97"/>
      <c r="BH135" s="97" t="s">
        <v>283</v>
      </c>
      <c r="BI135" s="200" t="s">
        <v>1122</v>
      </c>
      <c r="BJ135" s="97"/>
      <c r="BK135" s="97"/>
      <c r="BL135" s="97" t="s">
        <v>1124</v>
      </c>
      <c r="BM135" s="97"/>
      <c r="BN135" s="182"/>
      <c r="BO135" s="197"/>
      <c r="BP135" s="197"/>
      <c r="BQ135" s="197"/>
      <c r="BR135" s="197"/>
      <c r="BS135" s="197"/>
      <c r="BT135" s="197"/>
      <c r="BU135" s="197"/>
      <c r="BV135" s="99" t="s">
        <v>1125</v>
      </c>
      <c r="BW135" s="86" t="str">
        <f>VLOOKUP($C135, '_REF Catalog Classes'!$C$6:$E416, COLUMNS('_REF Catalog Classes'!$C$6:$E416), FALSE)</f>
        <v>never</v>
      </c>
      <c r="BX135" s="86"/>
      <c r="BY135" s="86"/>
      <c r="BZ135" s="185" t="s">
        <v>322</v>
      </c>
      <c r="CA135" s="100" t="b">
        <f ca="1">IFERROR(__xludf.DUMMYFUNCTION("IF(REGEXMATCH(Catalog_RewardType,""reward""), VLOOKUP($E135, {'TitleData rewards.items'!$J$9:$J416,'TitleData rewards.items'!$B$9:$B416}, 2, FALSE), """")"),FALSE)</f>
        <v>0</v>
      </c>
    </row>
    <row r="136" spans="1:79" ht="56" x14ac:dyDescent="0.15">
      <c r="A136" s="106" t="s">
        <v>269</v>
      </c>
      <c r="B136" s="83"/>
      <c r="C136" s="106" t="s">
        <v>808</v>
      </c>
      <c r="D136" s="85" t="b">
        <f>VLOOKUP($C136, '_REF Catalog Classes'!$C$6:$D416, COLUMNS('_REF Catalog Classes'!$C$6:$D416), FALSE)</f>
        <v>1</v>
      </c>
      <c r="E136" s="106" t="s">
        <v>1126</v>
      </c>
      <c r="F136" s="82" t="str">
        <f t="shared" si="0"/>
        <v>achievementPlayRankDaily:</v>
      </c>
      <c r="G136" s="106" t="s">
        <v>1127</v>
      </c>
      <c r="H136" s="125" t="s">
        <v>1128</v>
      </c>
      <c r="I136" s="187" t="s">
        <v>274</v>
      </c>
      <c r="J136" s="82"/>
      <c r="K136" s="82"/>
      <c r="L136" s="82"/>
      <c r="M136" s="86" t="s">
        <v>830</v>
      </c>
      <c r="N136" s="107"/>
      <c r="O136" s="108"/>
      <c r="P136" s="187">
        <v>3</v>
      </c>
      <c r="Q136" s="82"/>
      <c r="R136" s="82"/>
      <c r="S136" s="82"/>
      <c r="T136" s="82"/>
      <c r="U136" s="82"/>
      <c r="V136" s="187"/>
      <c r="W136" s="89">
        <v>0</v>
      </c>
      <c r="X136" s="90" t="s">
        <v>37</v>
      </c>
      <c r="Y136" s="90" t="s">
        <v>873</v>
      </c>
      <c r="Z136" s="162"/>
      <c r="AA136" s="91" t="s">
        <v>283</v>
      </c>
      <c r="AB136" s="162" t="s">
        <v>1129</v>
      </c>
      <c r="AC136" s="90"/>
      <c r="AD136" s="162" t="s">
        <v>1130</v>
      </c>
      <c r="AE136" s="162"/>
      <c r="AF136" s="188"/>
      <c r="AG136" s="108"/>
      <c r="AH136" s="108"/>
      <c r="AI136" s="108"/>
      <c r="AJ136" s="108"/>
      <c r="AK136" s="108"/>
      <c r="AL136" s="108"/>
      <c r="AM136" s="204"/>
      <c r="AN136" s="95"/>
      <c r="AO136" s="95"/>
      <c r="AP136" s="95"/>
      <c r="AQ136" s="95"/>
      <c r="AR136" s="95"/>
      <c r="AS136" s="95"/>
      <c r="AT136" s="95"/>
      <c r="AU136" s="95"/>
      <c r="AV136" s="95"/>
      <c r="AW136" s="108"/>
      <c r="AX136" s="108"/>
      <c r="AY136" s="108"/>
      <c r="AZ136" s="108"/>
      <c r="BA136" s="108"/>
      <c r="BB136" s="108"/>
      <c r="BC136" s="204"/>
      <c r="BD136" s="96">
        <v>2</v>
      </c>
      <c r="BE136" s="97" t="s">
        <v>38</v>
      </c>
      <c r="BF136" s="98" t="s">
        <v>873</v>
      </c>
      <c r="BG136" s="167"/>
      <c r="BH136" s="97" t="s">
        <v>283</v>
      </c>
      <c r="BI136" s="97" t="s">
        <v>1129</v>
      </c>
      <c r="BJ136" s="167"/>
      <c r="BK136" s="167"/>
      <c r="BL136" s="167" t="s">
        <v>1131</v>
      </c>
      <c r="BM136" s="167"/>
      <c r="BN136" s="167"/>
      <c r="BO136" s="108"/>
      <c r="BP136" s="108"/>
      <c r="BQ136" s="108"/>
      <c r="BR136" s="108"/>
      <c r="BS136" s="108"/>
      <c r="BT136" s="108"/>
      <c r="BU136" s="108"/>
      <c r="BV136" s="113" t="s">
        <v>1132</v>
      </c>
      <c r="BW136" s="82"/>
      <c r="BX136" s="86"/>
      <c r="BY136" s="86"/>
      <c r="BZ136" s="205" t="s">
        <v>1133</v>
      </c>
      <c r="CA136" s="100" t="str">
        <f ca="1">IFERROR(__xludf.DUMMYFUNCTION("IF(REGEXMATCH(Catalog_RewardType,""reward""), VLOOKUP($E136, {'TitleData rewards.items'!$J$9:$J416,'TitleData rewards.items'!$B$9:$B416}, 2, FALSE), """")"),"")</f>
        <v/>
      </c>
    </row>
    <row r="137" spans="1:79" ht="28" hidden="1" x14ac:dyDescent="0.15">
      <c r="A137" s="82" t="s">
        <v>491</v>
      </c>
      <c r="B137" s="83" t="b">
        <v>1</v>
      </c>
      <c r="C137" s="82" t="s">
        <v>811</v>
      </c>
      <c r="D137" s="85" t="b">
        <f>VLOOKUP($C137, '_REF Catalog Classes'!$C$6:$D416, COLUMNS('_REF Catalog Classes'!$C$6:$D416), FALSE)</f>
        <v>1</v>
      </c>
      <c r="E137" s="82" t="s">
        <v>1134</v>
      </c>
      <c r="F137" s="82" t="str">
        <f t="shared" si="0"/>
        <v>actionAccurate:TRUE</v>
      </c>
      <c r="G137" s="86" t="s">
        <v>904</v>
      </c>
      <c r="H137" s="86" t="s">
        <v>1135</v>
      </c>
      <c r="I137" s="82" t="s">
        <v>847</v>
      </c>
      <c r="J137" s="82" t="s">
        <v>1136</v>
      </c>
      <c r="K137" s="82" t="s">
        <v>275</v>
      </c>
      <c r="L137" s="82" t="s">
        <v>857</v>
      </c>
      <c r="M137" s="82"/>
      <c r="N137" s="107"/>
      <c r="O137" s="108"/>
      <c r="P137" s="82"/>
      <c r="Q137" s="88"/>
      <c r="R137" s="82"/>
      <c r="S137" s="82"/>
      <c r="T137" s="82"/>
      <c r="U137" s="82"/>
      <c r="V137" s="82"/>
      <c r="W137" s="89"/>
      <c r="X137" s="90"/>
      <c r="Y137" s="90" t="str">
        <f t="shared" ref="Y137:Y138" si="11">"file://"&amp;$E137&amp;"-state0-image0"</f>
        <v>file://actionAccurate-state0-image0</v>
      </c>
      <c r="Z137" s="90"/>
      <c r="AA137" s="89"/>
      <c r="AB137" s="90"/>
      <c r="AC137" s="90"/>
      <c r="AD137" s="90"/>
      <c r="AE137" s="90"/>
      <c r="AF137" s="90"/>
      <c r="AG137" s="93"/>
      <c r="AH137" s="93"/>
      <c r="AI137" s="93"/>
      <c r="AJ137" s="93"/>
      <c r="AK137" s="93"/>
      <c r="AL137" s="93"/>
      <c r="AM137" s="93"/>
      <c r="AN137" s="95"/>
      <c r="AO137" s="95"/>
      <c r="AP137" s="95" t="str">
        <f t="shared" ref="AP137:AP138" si="12">"file://"&amp;$E137&amp;"-state1-image0"</f>
        <v>file://actionAccurate-state1-image0</v>
      </c>
      <c r="AQ137" s="95"/>
      <c r="AR137" s="95"/>
      <c r="AS137" s="95"/>
      <c r="AT137" s="95"/>
      <c r="AU137" s="95"/>
      <c r="AV137" s="95"/>
      <c r="AW137" s="93"/>
      <c r="AX137" s="93"/>
      <c r="AY137" s="93"/>
      <c r="AZ137" s="93"/>
      <c r="BA137" s="93"/>
      <c r="BB137" s="93"/>
      <c r="BC137" s="93"/>
      <c r="BD137" s="97"/>
      <c r="BE137" s="97"/>
      <c r="BF137" s="98"/>
      <c r="BG137" s="97"/>
      <c r="BH137" s="97"/>
      <c r="BI137" s="97"/>
      <c r="BJ137" s="97"/>
      <c r="BK137" s="97"/>
      <c r="BL137" s="97"/>
      <c r="BM137" s="97"/>
      <c r="BN137" s="97"/>
      <c r="BO137" s="93"/>
      <c r="BP137" s="93"/>
      <c r="BQ137" s="93"/>
      <c r="BR137" s="93"/>
      <c r="BS137" s="93"/>
      <c r="BT137" s="93"/>
      <c r="BU137" s="93"/>
      <c r="BV137" s="99"/>
      <c r="BW137" s="86"/>
      <c r="BX137" s="86"/>
      <c r="BY137" s="86"/>
      <c r="BZ137" s="100" t="s">
        <v>850</v>
      </c>
      <c r="CA137" s="100" t="str">
        <f ca="1">IFERROR(__xludf.DUMMYFUNCTION("IF(REGEXMATCH(Catalog_RewardType,""reward""), VLOOKUP($E137, {'TitleData rewards.items'!$J$9:$J416,'TitleData rewards.items'!$B$9:$B416}, 2, FALSE), """")"),"")</f>
        <v/>
      </c>
    </row>
    <row r="138" spans="1:79" ht="45" hidden="1" x14ac:dyDescent="0.15">
      <c r="A138" s="106" t="s">
        <v>269</v>
      </c>
      <c r="B138" s="83" t="b">
        <v>1</v>
      </c>
      <c r="C138" s="106" t="s">
        <v>808</v>
      </c>
      <c r="D138" s="85" t="b">
        <f>VLOOKUP($C138, '_REF Catalog Classes'!$C$6:$D416, COLUMNS('_REF Catalog Classes'!$C$6:$D416), FALSE)</f>
        <v>1</v>
      </c>
      <c r="E138" s="106" t="s">
        <v>1137</v>
      </c>
      <c r="F138" s="82" t="str">
        <f t="shared" si="0"/>
        <v>achievementPlayAccurate:TRUE</v>
      </c>
      <c r="G138" s="106" t="s">
        <v>1138</v>
      </c>
      <c r="H138" s="125" t="s">
        <v>1139</v>
      </c>
      <c r="I138" s="187" t="s">
        <v>274</v>
      </c>
      <c r="J138" s="82"/>
      <c r="K138" s="82"/>
      <c r="L138" s="82"/>
      <c r="M138" s="86" t="s">
        <v>830</v>
      </c>
      <c r="N138" s="107"/>
      <c r="O138" s="108"/>
      <c r="P138" s="187">
        <v>5</v>
      </c>
      <c r="Q138" s="82"/>
      <c r="R138" s="82"/>
      <c r="S138" s="82"/>
      <c r="T138" s="82"/>
      <c r="U138" s="82"/>
      <c r="V138" s="187"/>
      <c r="W138" s="89">
        <v>0</v>
      </c>
      <c r="X138" s="90" t="s">
        <v>37</v>
      </c>
      <c r="Y138" s="90" t="str">
        <f t="shared" si="11"/>
        <v>file://achievementPlayAccurate-state0-image0</v>
      </c>
      <c r="Z138" s="162"/>
      <c r="AA138" s="91" t="s">
        <v>283</v>
      </c>
      <c r="AB138" s="162" t="s">
        <v>1140</v>
      </c>
      <c r="AC138" s="90"/>
      <c r="AD138" s="162" t="s">
        <v>1141</v>
      </c>
      <c r="AE138" s="162"/>
      <c r="AF138" s="188"/>
      <c r="AG138" s="108"/>
      <c r="AH138" s="108"/>
      <c r="AI138" s="108"/>
      <c r="AJ138" s="108"/>
      <c r="AK138" s="108"/>
      <c r="AL138" s="108"/>
      <c r="AM138" s="204"/>
      <c r="AN138" s="95"/>
      <c r="AO138" s="95"/>
      <c r="AP138" s="95" t="str">
        <f t="shared" si="12"/>
        <v>file://achievementPlayAccurate-state1-image0</v>
      </c>
      <c r="AQ138" s="95"/>
      <c r="AR138" s="95"/>
      <c r="AS138" s="95"/>
      <c r="AT138" s="206"/>
      <c r="AU138" s="206"/>
      <c r="AV138" s="206"/>
      <c r="AW138" s="108"/>
      <c r="AX138" s="108"/>
      <c r="AY138" s="108"/>
      <c r="AZ138" s="108"/>
      <c r="BA138" s="108"/>
      <c r="BB138" s="108"/>
      <c r="BC138" s="204"/>
      <c r="BD138" s="96">
        <v>2</v>
      </c>
      <c r="BE138" s="97" t="s">
        <v>38</v>
      </c>
      <c r="BF138" s="98"/>
      <c r="BG138" s="167"/>
      <c r="BH138" s="97" t="s">
        <v>283</v>
      </c>
      <c r="BI138" s="97" t="s">
        <v>1140</v>
      </c>
      <c r="BJ138" s="167"/>
      <c r="BK138" s="167"/>
      <c r="BL138" s="167" t="s">
        <v>1142</v>
      </c>
      <c r="BM138" s="167"/>
      <c r="BN138" s="167"/>
      <c r="BO138" s="108"/>
      <c r="BP138" s="108"/>
      <c r="BQ138" s="108"/>
      <c r="BR138" s="108"/>
      <c r="BS138" s="108"/>
      <c r="BT138" s="108"/>
      <c r="BU138" s="108"/>
      <c r="BV138" s="207" t="s">
        <v>1143</v>
      </c>
      <c r="BW138" s="86" t="str">
        <f>VLOOKUP($C138, '_REF Catalog Classes'!$C$6:$E416, COLUMNS('_REF Catalog Classes'!$C$6:$E416), FALSE)</f>
        <v>never</v>
      </c>
      <c r="BX138" s="86"/>
      <c r="BY138" s="86"/>
      <c r="BZ138" s="206" t="s">
        <v>322</v>
      </c>
      <c r="CA138" s="100" t="str">
        <f ca="1">IFERROR(__xludf.DUMMYFUNCTION("IF(REGEXMATCH(Catalog_RewardType,""reward""), VLOOKUP($E138, {'TitleData rewards.items'!$J$9:$J416,'TitleData rewards.items'!$B$9:$B416}, 2, FALSE), """")"),"#N/A")</f>
        <v>#N/A</v>
      </c>
    </row>
    <row r="139" spans="1:79" ht="56" hidden="1" x14ac:dyDescent="0.15">
      <c r="A139" s="82" t="s">
        <v>491</v>
      </c>
      <c r="B139" s="83"/>
      <c r="C139" s="82" t="s">
        <v>811</v>
      </c>
      <c r="D139" s="85" t="b">
        <f>VLOOKUP($C139, '_REF Catalog Classes'!$C$6:$D416, COLUMNS('_REF Catalog Classes'!$C$6:$D416), FALSE)</f>
        <v>1</v>
      </c>
      <c r="E139" s="86" t="s">
        <v>1144</v>
      </c>
      <c r="F139" s="82" t="str">
        <f t="shared" si="0"/>
        <v>actionMinionsHit:</v>
      </c>
      <c r="G139" s="106" t="s">
        <v>904</v>
      </c>
      <c r="H139" s="86" t="s">
        <v>1115</v>
      </c>
      <c r="I139" s="82" t="s">
        <v>847</v>
      </c>
      <c r="J139" s="82" t="s">
        <v>1145</v>
      </c>
      <c r="K139" s="82" t="s">
        <v>275</v>
      </c>
      <c r="L139" s="86" t="s">
        <v>857</v>
      </c>
      <c r="M139" s="82"/>
      <c r="N139" s="107"/>
      <c r="O139" s="108"/>
      <c r="P139" s="82"/>
      <c r="Q139" s="88"/>
      <c r="R139" s="82"/>
      <c r="S139" s="82"/>
      <c r="T139" s="82"/>
      <c r="U139" s="82"/>
      <c r="V139" s="82"/>
      <c r="W139" s="89"/>
      <c r="X139" s="90"/>
      <c r="Y139" s="90"/>
      <c r="Z139" s="90"/>
      <c r="AA139" s="89"/>
      <c r="AB139" s="90"/>
      <c r="AC139" s="90"/>
      <c r="AD139" s="90"/>
      <c r="AE139" s="90"/>
      <c r="AF139" s="90"/>
      <c r="AG139" s="92"/>
      <c r="AH139" s="93"/>
      <c r="AI139" s="93"/>
      <c r="AJ139" s="93"/>
      <c r="AK139" s="93"/>
      <c r="AL139" s="93"/>
      <c r="AM139" s="93"/>
      <c r="AN139" s="94"/>
      <c r="AO139" s="95"/>
      <c r="AP139" s="95"/>
      <c r="AQ139" s="95"/>
      <c r="AR139" s="94"/>
      <c r="AS139" s="95"/>
      <c r="AT139" s="95"/>
      <c r="AU139" s="95"/>
      <c r="AV139" s="95"/>
      <c r="AW139" s="92"/>
      <c r="AX139" s="93"/>
      <c r="AY139" s="93"/>
      <c r="AZ139" s="93"/>
      <c r="BA139" s="93"/>
      <c r="BB139" s="93"/>
      <c r="BC139" s="93"/>
      <c r="BD139" s="168"/>
      <c r="BE139" s="97"/>
      <c r="BF139" s="98"/>
      <c r="BG139" s="97"/>
      <c r="BH139" s="168"/>
      <c r="BI139" s="97"/>
      <c r="BJ139" s="97"/>
      <c r="BK139" s="97"/>
      <c r="BL139" s="97"/>
      <c r="BM139" s="97"/>
      <c r="BN139" s="97"/>
      <c r="BO139" s="93"/>
      <c r="BP139" s="93"/>
      <c r="BQ139" s="93"/>
      <c r="BR139" s="93"/>
      <c r="BS139" s="93"/>
      <c r="BT139" s="93"/>
      <c r="BU139" s="93"/>
      <c r="BV139" s="99"/>
      <c r="BW139" s="86"/>
      <c r="BX139" s="86"/>
      <c r="BY139" s="86"/>
      <c r="BZ139" s="100" t="s">
        <v>850</v>
      </c>
      <c r="CA139" s="100" t="str">
        <f ca="1">IFERROR(__xludf.DUMMYFUNCTION("IF(REGEXMATCH(Catalog_RewardType,""reward""), VLOOKUP($E139, {'TitleData rewards.items'!$J$9:$J416,'TitleData rewards.items'!$B$9:$B416}, 2, FALSE), """")"),"")</f>
        <v/>
      </c>
    </row>
    <row r="140" spans="1:79" ht="70" x14ac:dyDescent="0.15">
      <c r="A140" s="82" t="s">
        <v>269</v>
      </c>
      <c r="B140" s="83"/>
      <c r="C140" s="82" t="s">
        <v>808</v>
      </c>
      <c r="D140" s="85" t="b">
        <f>VLOOKUP($C140, '_REF Catalog Classes'!$C$6:$D416, COLUMNS('_REF Catalog Classes'!$C$6:$D416), FALSE)</f>
        <v>1</v>
      </c>
      <c r="E140" s="82" t="s">
        <v>1146</v>
      </c>
      <c r="F140" s="82" t="str">
        <f t="shared" si="0"/>
        <v>achievementPlayNoMinionHits:</v>
      </c>
      <c r="G140" s="106" t="s">
        <v>1147</v>
      </c>
      <c r="H140" s="86" t="s">
        <v>1148</v>
      </c>
      <c r="I140" s="82" t="s">
        <v>274</v>
      </c>
      <c r="J140" s="82"/>
      <c r="K140" s="82"/>
      <c r="L140" s="82"/>
      <c r="M140" s="86" t="s">
        <v>830</v>
      </c>
      <c r="N140" s="107"/>
      <c r="O140" s="108"/>
      <c r="P140" s="82">
        <v>4</v>
      </c>
      <c r="Q140" s="88"/>
      <c r="R140" s="82"/>
      <c r="S140" s="82"/>
      <c r="T140" s="82"/>
      <c r="U140" s="82"/>
      <c r="V140" s="82"/>
      <c r="W140" s="89">
        <v>0</v>
      </c>
      <c r="X140" s="90" t="s">
        <v>37</v>
      </c>
      <c r="Y140" s="90" t="s">
        <v>1009</v>
      </c>
      <c r="Z140" s="162"/>
      <c r="AA140" s="91" t="s">
        <v>283</v>
      </c>
      <c r="AB140" s="162" t="s">
        <v>1149</v>
      </c>
      <c r="AC140" s="90"/>
      <c r="AD140" s="162" t="s">
        <v>1150</v>
      </c>
      <c r="AE140" s="162"/>
      <c r="AF140" s="162"/>
      <c r="AG140" s="164"/>
      <c r="AH140" s="108"/>
      <c r="AI140" s="108"/>
      <c r="AJ140" s="108"/>
      <c r="AK140" s="108"/>
      <c r="AL140" s="108"/>
      <c r="AM140" s="108"/>
      <c r="AN140" s="94"/>
      <c r="AO140" s="95"/>
      <c r="AP140" s="95"/>
      <c r="AQ140" s="95"/>
      <c r="AR140" s="94"/>
      <c r="AS140" s="95"/>
      <c r="AT140" s="95"/>
      <c r="AU140" s="95"/>
      <c r="AV140" s="95"/>
      <c r="AW140" s="164"/>
      <c r="AX140" s="108"/>
      <c r="AY140" s="108"/>
      <c r="AZ140" s="108"/>
      <c r="BA140" s="108"/>
      <c r="BB140" s="108"/>
      <c r="BC140" s="108"/>
      <c r="BD140" s="96">
        <v>2</v>
      </c>
      <c r="BE140" s="97" t="s">
        <v>38</v>
      </c>
      <c r="BF140" s="98" t="s">
        <v>1009</v>
      </c>
      <c r="BG140" s="167"/>
      <c r="BH140" s="97" t="s">
        <v>283</v>
      </c>
      <c r="BI140" s="167" t="s">
        <v>1149</v>
      </c>
      <c r="BJ140" s="167"/>
      <c r="BK140" s="167"/>
      <c r="BL140" s="167" t="s">
        <v>1151</v>
      </c>
      <c r="BM140" s="167"/>
      <c r="BN140" s="167"/>
      <c r="BO140" s="108"/>
      <c r="BP140" s="108"/>
      <c r="BQ140" s="108"/>
      <c r="BR140" s="108"/>
      <c r="BS140" s="108"/>
      <c r="BT140" s="108"/>
      <c r="BU140" s="108"/>
      <c r="BV140" s="208" t="s">
        <v>1152</v>
      </c>
      <c r="BW140" s="86" t="str">
        <f>VLOOKUP($C140, '_REF Catalog Classes'!$C$6:$E416, COLUMNS('_REF Catalog Classes'!$C$6:$E416), FALSE)</f>
        <v>never</v>
      </c>
      <c r="BX140" s="86"/>
      <c r="BY140" s="86"/>
      <c r="BZ140" s="86" t="s">
        <v>322</v>
      </c>
      <c r="CA140" s="100" t="b">
        <f ca="1">IFERROR(__xludf.DUMMYFUNCTION("IF(REGEXMATCH(Catalog_RewardType,""reward""), VLOOKUP($E140, {'TitleData rewards.items'!$J$9:$J416,'TitleData rewards.items'!$B$9:$B416}, 2, FALSE), """")"),FALSE)</f>
        <v>0</v>
      </c>
    </row>
    <row r="141" spans="1:79" ht="28" hidden="1" x14ac:dyDescent="0.15">
      <c r="A141" s="82" t="s">
        <v>491</v>
      </c>
      <c r="B141" s="83"/>
      <c r="C141" s="82" t="s">
        <v>811</v>
      </c>
      <c r="D141" s="85" t="b">
        <f>VLOOKUP($C141, '_REF Catalog Classes'!$C$6:$D416, COLUMNS('_REF Catalog Classes'!$C$6:$D416), FALSE)</f>
        <v>1</v>
      </c>
      <c r="E141" s="82" t="s">
        <v>1153</v>
      </c>
      <c r="F141" s="82" t="str">
        <f t="shared" si="0"/>
        <v>actionLauncherUse:</v>
      </c>
      <c r="G141" s="106" t="s">
        <v>904</v>
      </c>
      <c r="H141" s="86" t="s">
        <v>1154</v>
      </c>
      <c r="I141" s="82" t="s">
        <v>847</v>
      </c>
      <c r="J141" s="82" t="s">
        <v>275</v>
      </c>
      <c r="K141" s="82" t="s">
        <v>275</v>
      </c>
      <c r="L141" s="86" t="s">
        <v>857</v>
      </c>
      <c r="M141" s="82"/>
      <c r="N141" s="107"/>
      <c r="O141" s="108"/>
      <c r="P141" s="82"/>
      <c r="Q141" s="88"/>
      <c r="R141" s="82"/>
      <c r="S141" s="82"/>
      <c r="T141" s="82"/>
      <c r="U141" s="82"/>
      <c r="V141" s="82"/>
      <c r="W141" s="89"/>
      <c r="X141" s="90"/>
      <c r="Y141" s="90"/>
      <c r="Z141" s="90"/>
      <c r="AA141" s="89"/>
      <c r="AB141" s="90"/>
      <c r="AC141" s="90"/>
      <c r="AD141" s="90"/>
      <c r="AE141" s="90"/>
      <c r="AF141" s="90"/>
      <c r="AG141" s="92"/>
      <c r="AH141" s="93"/>
      <c r="AI141" s="93"/>
      <c r="AJ141" s="93"/>
      <c r="AK141" s="93"/>
      <c r="AL141" s="93"/>
      <c r="AM141" s="93"/>
      <c r="AN141" s="94"/>
      <c r="AO141" s="95"/>
      <c r="AP141" s="95"/>
      <c r="AQ141" s="95"/>
      <c r="AR141" s="94"/>
      <c r="AS141" s="95"/>
      <c r="AT141" s="95"/>
      <c r="AU141" s="95"/>
      <c r="AV141" s="95"/>
      <c r="AW141" s="92"/>
      <c r="AX141" s="93"/>
      <c r="AY141" s="93"/>
      <c r="AZ141" s="93"/>
      <c r="BA141" s="93"/>
      <c r="BB141" s="93"/>
      <c r="BC141" s="93"/>
      <c r="BD141" s="168"/>
      <c r="BE141" s="97"/>
      <c r="BF141" s="98"/>
      <c r="BG141" s="97"/>
      <c r="BH141" s="97"/>
      <c r="BI141" s="97"/>
      <c r="BJ141" s="97"/>
      <c r="BK141" s="97"/>
      <c r="BL141" s="97"/>
      <c r="BM141" s="97"/>
      <c r="BN141" s="97"/>
      <c r="BO141" s="93"/>
      <c r="BP141" s="93"/>
      <c r="BQ141" s="93"/>
      <c r="BR141" s="93"/>
      <c r="BS141" s="93"/>
      <c r="BT141" s="93"/>
      <c r="BU141" s="93"/>
      <c r="BV141" s="99"/>
      <c r="BW141" s="86"/>
      <c r="BX141" s="86"/>
      <c r="BY141" s="86"/>
      <c r="BZ141" s="100"/>
      <c r="CA141" s="100" t="str">
        <f ca="1">IFERROR(__xludf.DUMMYFUNCTION("IF(REGEXMATCH(Catalog_RewardType,""reward""), VLOOKUP($E141, {'TitleData rewards.items'!$J$9:$J416,'TitleData rewards.items'!$B$9:$B416}, 2, FALSE), """")"),"")</f>
        <v/>
      </c>
    </row>
    <row r="142" spans="1:79" ht="70" x14ac:dyDescent="0.15">
      <c r="A142" s="82" t="s">
        <v>269</v>
      </c>
      <c r="B142" s="83"/>
      <c r="C142" s="82" t="s">
        <v>808</v>
      </c>
      <c r="D142" s="85" t="b">
        <v>1</v>
      </c>
      <c r="E142" s="82" t="s">
        <v>1155</v>
      </c>
      <c r="F142" s="82" t="str">
        <f t="shared" si="0"/>
        <v>achievementPlayLauncherUse:</v>
      </c>
      <c r="G142" s="86" t="s">
        <v>1156</v>
      </c>
      <c r="H142" s="86" t="s">
        <v>1157</v>
      </c>
      <c r="I142" s="187" t="s">
        <v>274</v>
      </c>
      <c r="J142" s="86"/>
      <c r="K142" s="86"/>
      <c r="L142" s="86"/>
      <c r="M142" s="86" t="s">
        <v>830</v>
      </c>
      <c r="N142" s="107"/>
      <c r="O142" s="108"/>
      <c r="P142" s="187">
        <v>7</v>
      </c>
      <c r="Q142" s="82"/>
      <c r="R142" s="82"/>
      <c r="S142" s="82"/>
      <c r="T142" s="82"/>
      <c r="U142" s="82"/>
      <c r="V142" s="187"/>
      <c r="W142" s="89">
        <v>0</v>
      </c>
      <c r="X142" s="90" t="s">
        <v>37</v>
      </c>
      <c r="Y142" s="90" t="s">
        <v>873</v>
      </c>
      <c r="Z142" s="162"/>
      <c r="AA142" s="91" t="s">
        <v>283</v>
      </c>
      <c r="AB142" s="162" t="s">
        <v>1158</v>
      </c>
      <c r="AC142" s="90"/>
      <c r="AD142" s="162" t="s">
        <v>1159</v>
      </c>
      <c r="AE142" s="162"/>
      <c r="AF142" s="188"/>
      <c r="AG142" s="108"/>
      <c r="AH142" s="108"/>
      <c r="AI142" s="108"/>
      <c r="AJ142" s="108"/>
      <c r="AK142" s="108"/>
      <c r="AL142" s="108"/>
      <c r="AM142" s="204"/>
      <c r="AN142" s="95"/>
      <c r="AO142" s="95"/>
      <c r="AP142" s="95"/>
      <c r="AQ142" s="95"/>
      <c r="AR142" s="95"/>
      <c r="AS142" s="95"/>
      <c r="AT142" s="95"/>
      <c r="AU142" s="95"/>
      <c r="AV142" s="95"/>
      <c r="AW142" s="108"/>
      <c r="AX142" s="108"/>
      <c r="AY142" s="108"/>
      <c r="AZ142" s="108"/>
      <c r="BA142" s="108"/>
      <c r="BB142" s="108"/>
      <c r="BC142" s="108"/>
      <c r="BD142" s="96">
        <v>2</v>
      </c>
      <c r="BE142" s="97" t="s">
        <v>38</v>
      </c>
      <c r="BF142" s="98" t="s">
        <v>873</v>
      </c>
      <c r="BG142" s="97"/>
      <c r="BH142" s="97" t="s">
        <v>283</v>
      </c>
      <c r="BI142" s="97" t="s">
        <v>1158</v>
      </c>
      <c r="BJ142" s="167"/>
      <c r="BK142" s="97"/>
      <c r="BL142" s="167" t="s">
        <v>1160</v>
      </c>
      <c r="BM142" s="167"/>
      <c r="BN142" s="167"/>
      <c r="BO142" s="108"/>
      <c r="BP142" s="108"/>
      <c r="BQ142" s="108"/>
      <c r="BR142" s="108"/>
      <c r="BS142" s="108"/>
      <c r="BT142" s="108"/>
      <c r="BU142" s="108"/>
      <c r="BV142" s="207" t="s">
        <v>1161</v>
      </c>
      <c r="BW142" s="86" t="str">
        <f>VLOOKUP($C142, '_REF Catalog Classes'!$C$6:$E416, COLUMNS('_REF Catalog Classes'!$C$6:$E416), FALSE)</f>
        <v>never</v>
      </c>
      <c r="BX142" s="86"/>
      <c r="BY142" s="86"/>
      <c r="BZ142" s="86" t="s">
        <v>322</v>
      </c>
      <c r="CA142" s="100" t="b">
        <f ca="1">IFERROR(__xludf.DUMMYFUNCTION("IF(REGEXMATCH(Catalog_RewardType,""reward""), VLOOKUP($E142, {'TitleData rewards.items'!$J$9:$J416,'TitleData rewards.items'!$B$9:$B416}, 2, FALSE), """")"),FALSE)</f>
        <v>0</v>
      </c>
    </row>
    <row r="143" spans="1:79" ht="42" hidden="1" x14ac:dyDescent="0.15">
      <c r="A143" s="82" t="s">
        <v>491</v>
      </c>
      <c r="B143" s="83"/>
      <c r="C143" s="82" t="s">
        <v>811</v>
      </c>
      <c r="D143" s="85" t="b">
        <f>VLOOKUP($C143, '_REF Catalog Classes'!$C$6:$D416, COLUMNS('_REF Catalog Classes'!$C$6:$D416), FALSE)</f>
        <v>1</v>
      </c>
      <c r="E143" s="82" t="s">
        <v>1162</v>
      </c>
      <c r="F143" s="82" t="str">
        <f t="shared" si="0"/>
        <v>actionUltimateUse:</v>
      </c>
      <c r="G143" s="106" t="s">
        <v>904</v>
      </c>
      <c r="H143" s="86" t="s">
        <v>1163</v>
      </c>
      <c r="I143" s="82" t="s">
        <v>847</v>
      </c>
      <c r="J143" s="82" t="s">
        <v>275</v>
      </c>
      <c r="K143" s="82" t="s">
        <v>275</v>
      </c>
      <c r="L143" s="86" t="s">
        <v>857</v>
      </c>
      <c r="M143" s="82"/>
      <c r="N143" s="107"/>
      <c r="O143" s="108"/>
      <c r="P143" s="82"/>
      <c r="Q143" s="88"/>
      <c r="R143" s="82"/>
      <c r="S143" s="82"/>
      <c r="T143" s="82"/>
      <c r="U143" s="82"/>
      <c r="V143" s="82"/>
      <c r="W143" s="89"/>
      <c r="X143" s="90"/>
      <c r="Y143" s="90"/>
      <c r="Z143" s="90"/>
      <c r="AA143" s="89"/>
      <c r="AB143" s="90"/>
      <c r="AC143" s="90"/>
      <c r="AD143" s="90"/>
      <c r="AE143" s="90"/>
      <c r="AF143" s="90"/>
      <c r="AG143" s="92"/>
      <c r="AH143" s="93"/>
      <c r="AI143" s="93"/>
      <c r="AJ143" s="93"/>
      <c r="AK143" s="93"/>
      <c r="AL143" s="93"/>
      <c r="AM143" s="93"/>
      <c r="AN143" s="94"/>
      <c r="AO143" s="95"/>
      <c r="AP143" s="95"/>
      <c r="AQ143" s="95"/>
      <c r="AR143" s="94"/>
      <c r="AS143" s="95"/>
      <c r="AT143" s="95"/>
      <c r="AU143" s="95"/>
      <c r="AV143" s="95"/>
      <c r="AW143" s="92"/>
      <c r="AX143" s="93"/>
      <c r="AY143" s="93"/>
      <c r="AZ143" s="93"/>
      <c r="BA143" s="93"/>
      <c r="BB143" s="93"/>
      <c r="BC143" s="93"/>
      <c r="BD143" s="168"/>
      <c r="BE143" s="97"/>
      <c r="BF143" s="98"/>
      <c r="BG143" s="97"/>
      <c r="BH143" s="168"/>
      <c r="BI143" s="97"/>
      <c r="BJ143" s="97"/>
      <c r="BK143" s="97"/>
      <c r="BL143" s="97"/>
      <c r="BM143" s="97"/>
      <c r="BN143" s="97"/>
      <c r="BO143" s="93"/>
      <c r="BP143" s="93"/>
      <c r="BQ143" s="93"/>
      <c r="BR143" s="93"/>
      <c r="BS143" s="93"/>
      <c r="BT143" s="93"/>
      <c r="BU143" s="93"/>
      <c r="BV143" s="99"/>
      <c r="BW143" s="86"/>
      <c r="BX143" s="86"/>
      <c r="BY143" s="86"/>
      <c r="BZ143" s="100" t="s">
        <v>850</v>
      </c>
      <c r="CA143" s="100" t="str">
        <f ca="1">IFERROR(__xludf.DUMMYFUNCTION("IF(REGEXMATCH(Catalog_RewardType,""reward""), VLOOKUP($E143, {'TitleData rewards.items'!$J$9:$J416,'TitleData rewards.items'!$B$9:$B416}, 2, FALSE), """")"),"")</f>
        <v/>
      </c>
    </row>
    <row r="144" spans="1:79" ht="30" x14ac:dyDescent="0.15">
      <c r="A144" s="82" t="s">
        <v>269</v>
      </c>
      <c r="B144" s="83"/>
      <c r="C144" s="82" t="s">
        <v>808</v>
      </c>
      <c r="D144" s="85" t="b">
        <f>VLOOKUP($C144, '_REF Catalog Classes'!$C$6:$D416, COLUMNS('_REF Catalog Classes'!$C$6:$D416), FALSE)</f>
        <v>1</v>
      </c>
      <c r="E144" s="82" t="s">
        <v>1164</v>
      </c>
      <c r="F144" s="82" t="str">
        <f t="shared" si="0"/>
        <v>achievementPlayUltimateUse:</v>
      </c>
      <c r="G144" s="86" t="s">
        <v>1165</v>
      </c>
      <c r="H144" s="86" t="s">
        <v>1166</v>
      </c>
      <c r="I144" s="187" t="s">
        <v>274</v>
      </c>
      <c r="J144" s="86"/>
      <c r="K144" s="86"/>
      <c r="L144" s="86"/>
      <c r="M144" s="86" t="s">
        <v>830</v>
      </c>
      <c r="N144" s="107"/>
      <c r="O144" s="108"/>
      <c r="P144" s="187">
        <v>8</v>
      </c>
      <c r="Q144" s="82"/>
      <c r="R144" s="82"/>
      <c r="S144" s="82"/>
      <c r="T144" s="82"/>
      <c r="U144" s="82"/>
      <c r="V144" s="187"/>
      <c r="W144" s="89">
        <v>0</v>
      </c>
      <c r="X144" s="90" t="s">
        <v>37</v>
      </c>
      <c r="Y144" s="90" t="s">
        <v>873</v>
      </c>
      <c r="Z144" s="162"/>
      <c r="AA144" s="91" t="s">
        <v>283</v>
      </c>
      <c r="AB144" s="162" t="s">
        <v>1167</v>
      </c>
      <c r="AC144" s="90"/>
      <c r="AD144" s="162" t="s">
        <v>1168</v>
      </c>
      <c r="AE144" s="162"/>
      <c r="AF144" s="188"/>
      <c r="AG144" s="108"/>
      <c r="AH144" s="108"/>
      <c r="AI144" s="108"/>
      <c r="AJ144" s="108"/>
      <c r="AK144" s="108"/>
      <c r="AL144" s="108"/>
      <c r="AM144" s="204"/>
      <c r="AN144" s="95"/>
      <c r="AO144" s="95"/>
      <c r="AP144" s="95"/>
      <c r="AQ144" s="95"/>
      <c r="AR144" s="95"/>
      <c r="AS144" s="95"/>
      <c r="AT144" s="95"/>
      <c r="AU144" s="95"/>
      <c r="AV144" s="95"/>
      <c r="AW144" s="108"/>
      <c r="AX144" s="108"/>
      <c r="AY144" s="108"/>
      <c r="AZ144" s="108"/>
      <c r="BA144" s="108"/>
      <c r="BB144" s="108"/>
      <c r="BC144" s="108"/>
      <c r="BD144" s="96">
        <v>2</v>
      </c>
      <c r="BE144" s="97" t="s">
        <v>38</v>
      </c>
      <c r="BF144" s="98" t="s">
        <v>873</v>
      </c>
      <c r="BG144" s="97"/>
      <c r="BH144" s="97" t="s">
        <v>283</v>
      </c>
      <c r="BI144" s="97" t="s">
        <v>1167</v>
      </c>
      <c r="BJ144" s="167"/>
      <c r="BK144" s="97"/>
      <c r="BL144" s="167" t="s">
        <v>1169</v>
      </c>
      <c r="BM144" s="167"/>
      <c r="BN144" s="167"/>
      <c r="BO144" s="108"/>
      <c r="BP144" s="108"/>
      <c r="BQ144" s="108"/>
      <c r="BR144" s="108"/>
      <c r="BS144" s="108"/>
      <c r="BT144" s="108"/>
      <c r="BU144" s="108"/>
      <c r="BV144" s="207" t="s">
        <v>1170</v>
      </c>
      <c r="BW144" s="86" t="str">
        <f>VLOOKUP($C144, '_REF Catalog Classes'!$C$6:$E416, COLUMNS('_REF Catalog Classes'!$C$6:$E416), FALSE)</f>
        <v>never</v>
      </c>
      <c r="BX144" s="86"/>
      <c r="BY144" s="86"/>
      <c r="BZ144" s="86" t="s">
        <v>322</v>
      </c>
      <c r="CA144" s="100" t="b">
        <f ca="1">IFERROR(__xludf.DUMMYFUNCTION("IF(REGEXMATCH(Catalog_RewardType,""reward""), VLOOKUP($E144, {'TitleData rewards.items'!$J$9:$J416,'TitleData rewards.items'!$B$9:$B416}, 2, FALSE), """")"),FALSE)</f>
        <v>0</v>
      </c>
    </row>
    <row r="145" spans="1:79" ht="28" hidden="1" x14ac:dyDescent="0.15">
      <c r="A145" s="82" t="s">
        <v>491</v>
      </c>
      <c r="B145" s="83"/>
      <c r="C145" s="82" t="s">
        <v>811</v>
      </c>
      <c r="D145" s="85" t="b">
        <f>VLOOKUP($C145, '_REF Catalog Classes'!$C$6:$D416, COLUMNS('_REF Catalog Classes'!$C$6:$D416), FALSE)</f>
        <v>1</v>
      </c>
      <c r="E145" s="82" t="s">
        <v>1171</v>
      </c>
      <c r="F145" s="82" t="str">
        <f t="shared" si="0"/>
        <v>actionObjectsFreeze:</v>
      </c>
      <c r="G145" s="106" t="s">
        <v>904</v>
      </c>
      <c r="H145" s="86" t="s">
        <v>1172</v>
      </c>
      <c r="I145" s="82" t="s">
        <v>847</v>
      </c>
      <c r="J145" s="82" t="s">
        <v>275</v>
      </c>
      <c r="K145" s="82" t="s">
        <v>275</v>
      </c>
      <c r="L145" s="82" t="s">
        <v>857</v>
      </c>
      <c r="M145" s="82"/>
      <c r="N145" s="107"/>
      <c r="O145" s="108"/>
      <c r="P145" s="82"/>
      <c r="Q145" s="88"/>
      <c r="R145" s="82"/>
      <c r="S145" s="82"/>
      <c r="T145" s="82"/>
      <c r="U145" s="82"/>
      <c r="V145" s="82"/>
      <c r="W145" s="89"/>
      <c r="X145" s="90"/>
      <c r="Y145" s="90"/>
      <c r="Z145" s="90"/>
      <c r="AA145" s="89"/>
      <c r="AB145" s="90"/>
      <c r="AC145" s="90"/>
      <c r="AD145" s="90"/>
      <c r="AE145" s="90"/>
      <c r="AF145" s="90"/>
      <c r="AG145" s="92"/>
      <c r="AH145" s="93"/>
      <c r="AI145" s="93"/>
      <c r="AJ145" s="93"/>
      <c r="AK145" s="93"/>
      <c r="AL145" s="93"/>
      <c r="AM145" s="93"/>
      <c r="AN145" s="94"/>
      <c r="AO145" s="95"/>
      <c r="AP145" s="95"/>
      <c r="AQ145" s="95"/>
      <c r="AR145" s="94"/>
      <c r="AS145" s="95"/>
      <c r="AT145" s="95"/>
      <c r="AU145" s="95"/>
      <c r="AV145" s="95"/>
      <c r="AW145" s="92"/>
      <c r="AX145" s="93"/>
      <c r="AY145" s="93"/>
      <c r="AZ145" s="93"/>
      <c r="BA145" s="93"/>
      <c r="BB145" s="93"/>
      <c r="BC145" s="93"/>
      <c r="BD145" s="168"/>
      <c r="BE145" s="97"/>
      <c r="BF145" s="98"/>
      <c r="BG145" s="97"/>
      <c r="BH145" s="168"/>
      <c r="BI145" s="97"/>
      <c r="BJ145" s="97"/>
      <c r="BK145" s="97"/>
      <c r="BL145" s="97"/>
      <c r="BM145" s="97"/>
      <c r="BN145" s="97"/>
      <c r="BO145" s="93"/>
      <c r="BP145" s="93"/>
      <c r="BQ145" s="93"/>
      <c r="BR145" s="93"/>
      <c r="BS145" s="93"/>
      <c r="BT145" s="93"/>
      <c r="BU145" s="93"/>
      <c r="BV145" s="99"/>
      <c r="BW145" s="86"/>
      <c r="BX145" s="86"/>
      <c r="BY145" s="86"/>
      <c r="BZ145" s="100" t="s">
        <v>850</v>
      </c>
      <c r="CA145" s="100" t="str">
        <f ca="1">IFERROR(__xludf.DUMMYFUNCTION("IF(REGEXMATCH(Catalog_RewardType,""reward""), VLOOKUP($E145, {'TitleData rewards.items'!$J$9:$J416,'TitleData rewards.items'!$B$9:$B416}, 2, FALSE), """")"),"")</f>
        <v/>
      </c>
    </row>
    <row r="146" spans="1:79" ht="30" x14ac:dyDescent="0.15">
      <c r="A146" s="82" t="s">
        <v>269</v>
      </c>
      <c r="B146" s="83"/>
      <c r="C146" s="82" t="s">
        <v>808</v>
      </c>
      <c r="D146" s="85" t="b">
        <f>VLOOKUP($C146, '_REF Catalog Classes'!$C$6:$D416, COLUMNS('_REF Catalog Classes'!$C$6:$D416), FALSE)</f>
        <v>1</v>
      </c>
      <c r="E146" s="82" t="s">
        <v>1173</v>
      </c>
      <c r="F146" s="82" t="str">
        <f t="shared" si="0"/>
        <v>achievementPlayObjectsFreeze:</v>
      </c>
      <c r="G146" s="86" t="s">
        <v>1174</v>
      </c>
      <c r="H146" s="86" t="s">
        <v>1175</v>
      </c>
      <c r="I146" s="187" t="s">
        <v>274</v>
      </c>
      <c r="J146" s="82"/>
      <c r="K146" s="82"/>
      <c r="L146" s="82"/>
      <c r="M146" s="86" t="s">
        <v>830</v>
      </c>
      <c r="N146" s="107"/>
      <c r="O146" s="108"/>
      <c r="P146" s="187">
        <v>9</v>
      </c>
      <c r="Q146" s="82"/>
      <c r="R146" s="82"/>
      <c r="S146" s="82"/>
      <c r="T146" s="82"/>
      <c r="U146" s="82"/>
      <c r="V146" s="187"/>
      <c r="W146" s="89">
        <v>0</v>
      </c>
      <c r="X146" s="90" t="s">
        <v>37</v>
      </c>
      <c r="Y146" s="90" t="s">
        <v>831</v>
      </c>
      <c r="Z146" s="162"/>
      <c r="AA146" s="91" t="s">
        <v>283</v>
      </c>
      <c r="AB146" s="162" t="s">
        <v>1176</v>
      </c>
      <c r="AC146" s="90"/>
      <c r="AD146" s="162" t="s">
        <v>1177</v>
      </c>
      <c r="AE146" s="162"/>
      <c r="AF146" s="188"/>
      <c r="AG146" s="108"/>
      <c r="AH146" s="108"/>
      <c r="AI146" s="108"/>
      <c r="AJ146" s="108"/>
      <c r="AK146" s="108"/>
      <c r="AL146" s="108"/>
      <c r="AM146" s="204"/>
      <c r="AN146" s="95"/>
      <c r="AO146" s="95"/>
      <c r="AP146" s="95"/>
      <c r="AQ146" s="95"/>
      <c r="AR146" s="95"/>
      <c r="AS146" s="95"/>
      <c r="AT146" s="95"/>
      <c r="AU146" s="95"/>
      <c r="AV146" s="95"/>
      <c r="AW146" s="108"/>
      <c r="AX146" s="108"/>
      <c r="AY146" s="108"/>
      <c r="AZ146" s="108"/>
      <c r="BA146" s="108"/>
      <c r="BB146" s="108"/>
      <c r="BC146" s="204"/>
      <c r="BD146" s="96">
        <v>2</v>
      </c>
      <c r="BE146" s="97" t="s">
        <v>38</v>
      </c>
      <c r="BF146" s="98" t="s">
        <v>831</v>
      </c>
      <c r="BG146" s="97"/>
      <c r="BH146" s="97" t="s">
        <v>283</v>
      </c>
      <c r="BI146" s="97" t="s">
        <v>1176</v>
      </c>
      <c r="BJ146" s="167"/>
      <c r="BK146" s="97"/>
      <c r="BL146" s="167" t="s">
        <v>1178</v>
      </c>
      <c r="BM146" s="167"/>
      <c r="BN146" s="167"/>
      <c r="BO146" s="108"/>
      <c r="BP146" s="108"/>
      <c r="BQ146" s="108"/>
      <c r="BR146" s="108"/>
      <c r="BS146" s="108"/>
      <c r="BT146" s="108"/>
      <c r="BU146" s="108"/>
      <c r="BV146" s="207" t="s">
        <v>1179</v>
      </c>
      <c r="BW146" s="86" t="str">
        <f>VLOOKUP($C146, '_REF Catalog Classes'!$C$6:$E416, COLUMNS('_REF Catalog Classes'!$C$6:$E416), FALSE)</f>
        <v>never</v>
      </c>
      <c r="BX146" s="86"/>
      <c r="BY146" s="86"/>
      <c r="BZ146" s="86" t="s">
        <v>322</v>
      </c>
      <c r="CA146" s="100" t="b">
        <f ca="1">IFERROR(__xludf.DUMMYFUNCTION("IF(REGEXMATCH(Catalog_RewardType,""reward""), VLOOKUP($E146, {'TitleData rewards.items'!$J$9:$J416,'TitleData rewards.items'!$B$9:$B416}, 2, FALSE), """")"),FALSE)</f>
        <v>0</v>
      </c>
    </row>
    <row r="147" spans="1:79" ht="28" hidden="1" x14ac:dyDescent="0.15">
      <c r="A147" s="82" t="s">
        <v>491</v>
      </c>
      <c r="B147" s="83"/>
      <c r="C147" s="82" t="s">
        <v>811</v>
      </c>
      <c r="D147" s="85" t="b">
        <f>VLOOKUP($C147, '_REF Catalog Classes'!$C$6:$D416, COLUMNS('_REF Catalog Classes'!$C$6:$D416), FALSE)</f>
        <v>1</v>
      </c>
      <c r="E147" s="82" t="s">
        <v>1180</v>
      </c>
      <c r="F147" s="82" t="str">
        <f t="shared" si="0"/>
        <v>actionObjectsBurn:</v>
      </c>
      <c r="G147" s="106" t="s">
        <v>904</v>
      </c>
      <c r="H147" s="86" t="s">
        <v>1181</v>
      </c>
      <c r="I147" s="82" t="s">
        <v>847</v>
      </c>
      <c r="J147" s="82" t="s">
        <v>275</v>
      </c>
      <c r="K147" s="82" t="s">
        <v>275</v>
      </c>
      <c r="L147" s="86" t="s">
        <v>857</v>
      </c>
      <c r="M147" s="82"/>
      <c r="N147" s="107"/>
      <c r="O147" s="108"/>
      <c r="P147" s="82"/>
      <c r="Q147" s="88"/>
      <c r="R147" s="82"/>
      <c r="S147" s="82"/>
      <c r="T147" s="82"/>
      <c r="U147" s="82"/>
      <c r="V147" s="82"/>
      <c r="W147" s="89"/>
      <c r="X147" s="90"/>
      <c r="Y147" s="90"/>
      <c r="Z147" s="90"/>
      <c r="AA147" s="89"/>
      <c r="AB147" s="90"/>
      <c r="AC147" s="90"/>
      <c r="AD147" s="90"/>
      <c r="AE147" s="90"/>
      <c r="AF147" s="90"/>
      <c r="AG147" s="92"/>
      <c r="AH147" s="93"/>
      <c r="AI147" s="93"/>
      <c r="AJ147" s="93"/>
      <c r="AK147" s="93"/>
      <c r="AL147" s="93"/>
      <c r="AM147" s="93"/>
      <c r="AN147" s="94"/>
      <c r="AO147" s="95"/>
      <c r="AP147" s="95"/>
      <c r="AQ147" s="95"/>
      <c r="AR147" s="94"/>
      <c r="AS147" s="95"/>
      <c r="AT147" s="95"/>
      <c r="AU147" s="95"/>
      <c r="AV147" s="95"/>
      <c r="AW147" s="92"/>
      <c r="AX147" s="93"/>
      <c r="AY147" s="93"/>
      <c r="AZ147" s="93"/>
      <c r="BA147" s="93"/>
      <c r="BB147" s="93"/>
      <c r="BC147" s="93"/>
      <c r="BD147" s="168"/>
      <c r="BE147" s="97"/>
      <c r="BF147" s="98"/>
      <c r="BG147" s="97"/>
      <c r="BH147" s="168"/>
      <c r="BI147" s="97"/>
      <c r="BJ147" s="97"/>
      <c r="BK147" s="97"/>
      <c r="BL147" s="97"/>
      <c r="BM147" s="97"/>
      <c r="BN147" s="97"/>
      <c r="BO147" s="93"/>
      <c r="BP147" s="93"/>
      <c r="BQ147" s="93"/>
      <c r="BR147" s="93"/>
      <c r="BS147" s="93"/>
      <c r="BT147" s="93"/>
      <c r="BU147" s="93"/>
      <c r="BV147" s="99"/>
      <c r="BW147" s="86"/>
      <c r="BX147" s="86"/>
      <c r="BY147" s="86"/>
      <c r="BZ147" s="100" t="s">
        <v>850</v>
      </c>
      <c r="CA147" s="100" t="str">
        <f ca="1">IFERROR(__xludf.DUMMYFUNCTION("IF(REGEXMATCH(Catalog_RewardType,""reward""), VLOOKUP($E147, {'TitleData rewards.items'!$J$9:$J416,'TitleData rewards.items'!$B$9:$B416}, 2, FALSE), """")"),"")</f>
        <v/>
      </c>
    </row>
    <row r="148" spans="1:79" ht="30" x14ac:dyDescent="0.15">
      <c r="A148" s="82" t="s">
        <v>269</v>
      </c>
      <c r="B148" s="83"/>
      <c r="C148" s="82" t="s">
        <v>808</v>
      </c>
      <c r="D148" s="85" t="b">
        <f>VLOOKUP($C148, '_REF Catalog Classes'!$C$6:$D416, COLUMNS('_REF Catalog Classes'!$C$6:$D416), FALSE)</f>
        <v>1</v>
      </c>
      <c r="E148" s="82" t="s">
        <v>1182</v>
      </c>
      <c r="F148" s="82" t="str">
        <f t="shared" si="0"/>
        <v>achievementPlayObjectsBurn:</v>
      </c>
      <c r="G148" s="86" t="s">
        <v>1183</v>
      </c>
      <c r="H148" s="86" t="s">
        <v>1184</v>
      </c>
      <c r="I148" s="187" t="s">
        <v>274</v>
      </c>
      <c r="J148" s="86"/>
      <c r="K148" s="86"/>
      <c r="L148" s="86"/>
      <c r="M148" s="86" t="s">
        <v>830</v>
      </c>
      <c r="N148" s="107"/>
      <c r="O148" s="108"/>
      <c r="P148" s="187">
        <v>10</v>
      </c>
      <c r="Q148" s="82"/>
      <c r="R148" s="82"/>
      <c r="S148" s="82"/>
      <c r="T148" s="82"/>
      <c r="U148" s="82"/>
      <c r="V148" s="187"/>
      <c r="W148" s="89">
        <v>0</v>
      </c>
      <c r="X148" s="90" t="s">
        <v>37</v>
      </c>
      <c r="Y148" s="90" t="s">
        <v>831</v>
      </c>
      <c r="Z148" s="162"/>
      <c r="AA148" s="91" t="s">
        <v>283</v>
      </c>
      <c r="AB148" s="162" t="s">
        <v>1185</v>
      </c>
      <c r="AC148" s="90"/>
      <c r="AD148" s="162" t="s">
        <v>1186</v>
      </c>
      <c r="AE148" s="162"/>
      <c r="AF148" s="188"/>
      <c r="AG148" s="108"/>
      <c r="AH148" s="108"/>
      <c r="AI148" s="108"/>
      <c r="AJ148" s="108"/>
      <c r="AK148" s="108"/>
      <c r="AL148" s="108"/>
      <c r="AM148" s="204"/>
      <c r="AN148" s="95"/>
      <c r="AO148" s="95"/>
      <c r="AP148" s="95"/>
      <c r="AQ148" s="95"/>
      <c r="AR148" s="95"/>
      <c r="AS148" s="95"/>
      <c r="AT148" s="95"/>
      <c r="AU148" s="95"/>
      <c r="AV148" s="95"/>
      <c r="AW148" s="108"/>
      <c r="AX148" s="108"/>
      <c r="AY148" s="108"/>
      <c r="AZ148" s="108"/>
      <c r="BA148" s="108"/>
      <c r="BB148" s="108"/>
      <c r="BC148" s="204"/>
      <c r="BD148" s="96">
        <v>2</v>
      </c>
      <c r="BE148" s="97" t="s">
        <v>38</v>
      </c>
      <c r="BF148" s="98" t="s">
        <v>831</v>
      </c>
      <c r="BG148" s="97"/>
      <c r="BH148" s="97" t="s">
        <v>283</v>
      </c>
      <c r="BI148" s="97" t="s">
        <v>1185</v>
      </c>
      <c r="BJ148" s="167"/>
      <c r="BK148" s="97"/>
      <c r="BL148" s="167" t="s">
        <v>1187</v>
      </c>
      <c r="BM148" s="167"/>
      <c r="BN148" s="167"/>
      <c r="BO148" s="108"/>
      <c r="BP148" s="108"/>
      <c r="BQ148" s="108"/>
      <c r="BR148" s="108"/>
      <c r="BS148" s="108"/>
      <c r="BT148" s="108"/>
      <c r="BU148" s="108"/>
      <c r="BV148" s="207" t="s">
        <v>1188</v>
      </c>
      <c r="BW148" s="86" t="str">
        <f>VLOOKUP($C148, '_REF Catalog Classes'!$C$6:$E416, COLUMNS('_REF Catalog Classes'!$C$6:$E416), FALSE)</f>
        <v>never</v>
      </c>
      <c r="BX148" s="86"/>
      <c r="BY148" s="86"/>
      <c r="BZ148" s="86" t="s">
        <v>322</v>
      </c>
      <c r="CA148" s="100" t="b">
        <f ca="1">IFERROR(__xludf.DUMMYFUNCTION("IF(REGEXMATCH(Catalog_RewardType,""reward""), VLOOKUP($E148, {'TitleData rewards.items'!$J$9:$J416,'TitleData rewards.items'!$B$9:$B416}, 2, FALSE), """")"),FALSE)</f>
        <v>0</v>
      </c>
    </row>
    <row r="149" spans="1:79" ht="42" hidden="1" x14ac:dyDescent="0.15">
      <c r="A149" s="82" t="s">
        <v>491</v>
      </c>
      <c r="B149" s="83"/>
      <c r="C149" s="82" t="s">
        <v>811</v>
      </c>
      <c r="D149" s="85" t="b">
        <f>VLOOKUP($C149, '_REF Catalog Classes'!$C$6:$D416, COLUMNS('_REF Catalog Classes'!$C$6:$D416), FALSE)</f>
        <v>1</v>
      </c>
      <c r="E149" s="82" t="s">
        <v>1189</v>
      </c>
      <c r="F149" s="82" t="str">
        <f t="shared" si="0"/>
        <v>actionObjectsElectrify:</v>
      </c>
      <c r="G149" s="106" t="s">
        <v>904</v>
      </c>
      <c r="H149" s="86" t="s">
        <v>1190</v>
      </c>
      <c r="I149" s="82" t="s">
        <v>847</v>
      </c>
      <c r="J149" s="82" t="s">
        <v>275</v>
      </c>
      <c r="K149" s="82" t="s">
        <v>275</v>
      </c>
      <c r="L149" s="86" t="s">
        <v>857</v>
      </c>
      <c r="M149" s="82"/>
      <c r="N149" s="107"/>
      <c r="O149" s="108"/>
      <c r="P149" s="82"/>
      <c r="Q149" s="88"/>
      <c r="R149" s="82"/>
      <c r="S149" s="82"/>
      <c r="T149" s="82"/>
      <c r="U149" s="82"/>
      <c r="V149" s="82"/>
      <c r="W149" s="89"/>
      <c r="X149" s="90"/>
      <c r="Y149" s="90"/>
      <c r="Z149" s="90"/>
      <c r="AA149" s="89"/>
      <c r="AB149" s="90"/>
      <c r="AC149" s="90"/>
      <c r="AD149" s="90"/>
      <c r="AE149" s="90"/>
      <c r="AF149" s="90"/>
      <c r="AG149" s="92"/>
      <c r="AH149" s="93"/>
      <c r="AI149" s="93"/>
      <c r="AJ149" s="93"/>
      <c r="AK149" s="93"/>
      <c r="AL149" s="93"/>
      <c r="AM149" s="93"/>
      <c r="AN149" s="94"/>
      <c r="AO149" s="95"/>
      <c r="AP149" s="95"/>
      <c r="AQ149" s="95"/>
      <c r="AR149" s="94"/>
      <c r="AS149" s="95"/>
      <c r="AT149" s="95"/>
      <c r="AU149" s="95"/>
      <c r="AV149" s="95"/>
      <c r="AW149" s="92"/>
      <c r="AX149" s="93"/>
      <c r="AY149" s="93"/>
      <c r="AZ149" s="93"/>
      <c r="BA149" s="93"/>
      <c r="BB149" s="93"/>
      <c r="BC149" s="93"/>
      <c r="BD149" s="168"/>
      <c r="BE149" s="97"/>
      <c r="BF149" s="98"/>
      <c r="BG149" s="97"/>
      <c r="BH149" s="168"/>
      <c r="BI149" s="97"/>
      <c r="BJ149" s="97"/>
      <c r="BK149" s="97"/>
      <c r="BL149" s="97"/>
      <c r="BM149" s="97"/>
      <c r="BN149" s="97"/>
      <c r="BO149" s="93"/>
      <c r="BP149" s="93"/>
      <c r="BQ149" s="93"/>
      <c r="BR149" s="93"/>
      <c r="BS149" s="93"/>
      <c r="BT149" s="93"/>
      <c r="BU149" s="93"/>
      <c r="BV149" s="99"/>
      <c r="BW149" s="86"/>
      <c r="BX149" s="86"/>
      <c r="BY149" s="86"/>
      <c r="BZ149" s="100" t="s">
        <v>850</v>
      </c>
      <c r="CA149" s="100" t="str">
        <f ca="1">IFERROR(__xludf.DUMMYFUNCTION("IF(REGEXMATCH(Catalog_RewardType,""reward""), VLOOKUP($E149, {'TitleData rewards.items'!$J$9:$J416,'TitleData rewards.items'!$B$9:$B416}, 2, FALSE), """")"),"")</f>
        <v/>
      </c>
    </row>
    <row r="150" spans="1:79" ht="30" x14ac:dyDescent="0.15">
      <c r="A150" s="82" t="s">
        <v>269</v>
      </c>
      <c r="B150" s="83"/>
      <c r="C150" s="82" t="s">
        <v>808</v>
      </c>
      <c r="D150" s="85" t="b">
        <f>VLOOKUP($C150, '_REF Catalog Classes'!$C$6:$D416, COLUMNS('_REF Catalog Classes'!$C$6:$D416), FALSE)</f>
        <v>1</v>
      </c>
      <c r="E150" s="82" t="s">
        <v>1191</v>
      </c>
      <c r="F150" s="82" t="str">
        <f t="shared" si="0"/>
        <v>achievementPlayObjectsElectrify:</v>
      </c>
      <c r="G150" s="86" t="s">
        <v>1192</v>
      </c>
      <c r="H150" s="86" t="s">
        <v>1193</v>
      </c>
      <c r="I150" s="187" t="s">
        <v>274</v>
      </c>
      <c r="J150" s="86"/>
      <c r="K150" s="86"/>
      <c r="L150" s="86"/>
      <c r="M150" s="86" t="s">
        <v>830</v>
      </c>
      <c r="N150" s="107"/>
      <c r="O150" s="108"/>
      <c r="P150" s="187">
        <v>11</v>
      </c>
      <c r="Q150" s="82"/>
      <c r="R150" s="82"/>
      <c r="S150" s="82"/>
      <c r="T150" s="82"/>
      <c r="U150" s="82"/>
      <c r="V150" s="187"/>
      <c r="W150" s="89">
        <v>0</v>
      </c>
      <c r="X150" s="90" t="s">
        <v>37</v>
      </c>
      <c r="Y150" s="90" t="s">
        <v>831</v>
      </c>
      <c r="Z150" s="162"/>
      <c r="AA150" s="91" t="s">
        <v>283</v>
      </c>
      <c r="AB150" s="162" t="s">
        <v>1194</v>
      </c>
      <c r="AC150" s="90"/>
      <c r="AD150" s="162" t="s">
        <v>1195</v>
      </c>
      <c r="AE150" s="162"/>
      <c r="AF150" s="188"/>
      <c r="AG150" s="108"/>
      <c r="AH150" s="108"/>
      <c r="AI150" s="108"/>
      <c r="AJ150" s="108"/>
      <c r="AK150" s="108"/>
      <c r="AL150" s="108"/>
      <c r="AM150" s="204"/>
      <c r="AN150" s="95"/>
      <c r="AO150" s="95"/>
      <c r="AP150" s="95"/>
      <c r="AQ150" s="95"/>
      <c r="AR150" s="95"/>
      <c r="AS150" s="95"/>
      <c r="AT150" s="95"/>
      <c r="AU150" s="95"/>
      <c r="AV150" s="95"/>
      <c r="AW150" s="108"/>
      <c r="AX150" s="108"/>
      <c r="AY150" s="108"/>
      <c r="AZ150" s="108"/>
      <c r="BA150" s="108"/>
      <c r="BB150" s="108"/>
      <c r="BC150" s="204"/>
      <c r="BD150" s="96">
        <v>2</v>
      </c>
      <c r="BE150" s="97" t="s">
        <v>38</v>
      </c>
      <c r="BF150" s="98" t="s">
        <v>831</v>
      </c>
      <c r="BG150" s="97"/>
      <c r="BH150" s="97" t="s">
        <v>283</v>
      </c>
      <c r="BI150" s="97" t="s">
        <v>1194</v>
      </c>
      <c r="BJ150" s="167"/>
      <c r="BK150" s="97"/>
      <c r="BL150" s="167" t="s">
        <v>1196</v>
      </c>
      <c r="BM150" s="167"/>
      <c r="BN150" s="167"/>
      <c r="BO150" s="108"/>
      <c r="BP150" s="108"/>
      <c r="BQ150" s="108"/>
      <c r="BR150" s="108"/>
      <c r="BS150" s="108"/>
      <c r="BT150" s="108"/>
      <c r="BU150" s="108"/>
      <c r="BV150" s="207" t="s">
        <v>1197</v>
      </c>
      <c r="BW150" s="86" t="str">
        <f>VLOOKUP($C150, '_REF Catalog Classes'!$C$6:$E416, COLUMNS('_REF Catalog Classes'!$C$6:$E416), FALSE)</f>
        <v>never</v>
      </c>
      <c r="BX150" s="86"/>
      <c r="BY150" s="86"/>
      <c r="BZ150" s="86" t="s">
        <v>322</v>
      </c>
      <c r="CA150" s="100" t="b">
        <f ca="1">IFERROR(__xludf.DUMMYFUNCTION("IF(REGEXMATCH(Catalog_RewardType,""reward""), VLOOKUP($E150, {'TitleData rewards.items'!$J$9:$J416,'TitleData rewards.items'!$B$9:$B416}, 2, FALSE), """")"),FALSE)</f>
        <v>0</v>
      </c>
    </row>
    <row r="151" spans="1:79" ht="28" hidden="1" x14ac:dyDescent="0.15">
      <c r="A151" s="82" t="s">
        <v>491</v>
      </c>
      <c r="B151" s="83"/>
      <c r="C151" s="82" t="s">
        <v>811</v>
      </c>
      <c r="D151" s="85" t="b">
        <f>VLOOKUP($C151, '_REF Catalog Classes'!$C$6:$D416, COLUMNS('_REF Catalog Classes'!$C$6:$D416), FALSE)</f>
        <v>1</v>
      </c>
      <c r="E151" s="82" t="s">
        <v>1198</v>
      </c>
      <c r="F151" s="82" t="str">
        <f t="shared" si="0"/>
        <v>actionObjectsCrush:</v>
      </c>
      <c r="G151" s="106" t="s">
        <v>904</v>
      </c>
      <c r="H151" s="86" t="s">
        <v>1199</v>
      </c>
      <c r="I151" s="82" t="s">
        <v>847</v>
      </c>
      <c r="J151" s="82" t="s">
        <v>275</v>
      </c>
      <c r="K151" s="82" t="s">
        <v>275</v>
      </c>
      <c r="L151" s="86" t="s">
        <v>857</v>
      </c>
      <c r="M151" s="82"/>
      <c r="N151" s="107"/>
      <c r="O151" s="108"/>
      <c r="P151" s="82"/>
      <c r="Q151" s="88"/>
      <c r="R151" s="82"/>
      <c r="S151" s="82"/>
      <c r="T151" s="82"/>
      <c r="U151" s="82"/>
      <c r="V151" s="82"/>
      <c r="W151" s="89"/>
      <c r="X151" s="90"/>
      <c r="Y151" s="90"/>
      <c r="Z151" s="90"/>
      <c r="AA151" s="89"/>
      <c r="AB151" s="90"/>
      <c r="AC151" s="90"/>
      <c r="AD151" s="90"/>
      <c r="AE151" s="90"/>
      <c r="AF151" s="90"/>
      <c r="AG151" s="92"/>
      <c r="AH151" s="93"/>
      <c r="AI151" s="93"/>
      <c r="AJ151" s="93"/>
      <c r="AK151" s="93"/>
      <c r="AL151" s="93"/>
      <c r="AM151" s="93"/>
      <c r="AN151" s="94"/>
      <c r="AO151" s="95"/>
      <c r="AP151" s="95"/>
      <c r="AQ151" s="95"/>
      <c r="AR151" s="94"/>
      <c r="AS151" s="95"/>
      <c r="AT151" s="95"/>
      <c r="AU151" s="95"/>
      <c r="AV151" s="95"/>
      <c r="AW151" s="92"/>
      <c r="AX151" s="93"/>
      <c r="AY151" s="93"/>
      <c r="AZ151" s="93"/>
      <c r="BA151" s="93"/>
      <c r="BB151" s="93"/>
      <c r="BC151" s="93"/>
      <c r="BD151" s="168"/>
      <c r="BE151" s="97"/>
      <c r="BF151" s="98"/>
      <c r="BG151" s="97"/>
      <c r="BH151" s="168"/>
      <c r="BI151" s="97"/>
      <c r="BJ151" s="97"/>
      <c r="BK151" s="97"/>
      <c r="BL151" s="97"/>
      <c r="BM151" s="97"/>
      <c r="BN151" s="97"/>
      <c r="BO151" s="93"/>
      <c r="BP151" s="93"/>
      <c r="BQ151" s="93"/>
      <c r="BR151" s="93"/>
      <c r="BS151" s="93"/>
      <c r="BT151" s="93"/>
      <c r="BU151" s="93"/>
      <c r="BV151" s="99"/>
      <c r="BW151" s="86"/>
      <c r="BX151" s="86"/>
      <c r="BY151" s="86"/>
      <c r="BZ151" s="100" t="s">
        <v>850</v>
      </c>
      <c r="CA151" s="100" t="str">
        <f ca="1">IFERROR(__xludf.DUMMYFUNCTION("IF(REGEXMATCH(Catalog_RewardType,""reward""), VLOOKUP($E151, {'TitleData rewards.items'!$J$9:$J416,'TitleData rewards.items'!$B$9:$B416}, 2, FALSE), """")"),"")</f>
        <v/>
      </c>
    </row>
    <row r="152" spans="1:79" ht="30" x14ac:dyDescent="0.15">
      <c r="A152" s="82" t="s">
        <v>269</v>
      </c>
      <c r="B152" s="83"/>
      <c r="C152" s="82" t="s">
        <v>808</v>
      </c>
      <c r="D152" s="85" t="b">
        <f>VLOOKUP($C152, '_REF Catalog Classes'!$C$6:$D416, COLUMNS('_REF Catalog Classes'!$C$6:$D416), FALSE)</f>
        <v>1</v>
      </c>
      <c r="E152" s="82" t="s">
        <v>1200</v>
      </c>
      <c r="F152" s="82" t="str">
        <f t="shared" si="0"/>
        <v>achievementPlayObjectsCrush:</v>
      </c>
      <c r="G152" s="86" t="s">
        <v>1201</v>
      </c>
      <c r="H152" s="86" t="s">
        <v>1202</v>
      </c>
      <c r="I152" s="187" t="s">
        <v>274</v>
      </c>
      <c r="J152" s="86"/>
      <c r="K152" s="86"/>
      <c r="L152" s="86"/>
      <c r="M152" s="86" t="s">
        <v>830</v>
      </c>
      <c r="N152" s="107"/>
      <c r="O152" s="108"/>
      <c r="P152" s="187">
        <v>12</v>
      </c>
      <c r="Q152" s="82"/>
      <c r="R152" s="82"/>
      <c r="S152" s="82"/>
      <c r="T152" s="82"/>
      <c r="U152" s="82"/>
      <c r="V152" s="187"/>
      <c r="W152" s="89">
        <v>0</v>
      </c>
      <c r="X152" s="90" t="s">
        <v>37</v>
      </c>
      <c r="Y152" s="90" t="s">
        <v>831</v>
      </c>
      <c r="Z152" s="162"/>
      <c r="AA152" s="91" t="s">
        <v>283</v>
      </c>
      <c r="AB152" s="162" t="s">
        <v>1203</v>
      </c>
      <c r="AC152" s="90"/>
      <c r="AD152" s="162" t="s">
        <v>1204</v>
      </c>
      <c r="AE152" s="162"/>
      <c r="AF152" s="188"/>
      <c r="AG152" s="108"/>
      <c r="AH152" s="108"/>
      <c r="AI152" s="108"/>
      <c r="AJ152" s="108"/>
      <c r="AK152" s="108"/>
      <c r="AL152" s="108"/>
      <c r="AM152" s="204"/>
      <c r="AN152" s="95"/>
      <c r="AO152" s="95"/>
      <c r="AP152" s="95"/>
      <c r="AQ152" s="95"/>
      <c r="AR152" s="95"/>
      <c r="AS152" s="95"/>
      <c r="AT152" s="95"/>
      <c r="AU152" s="95"/>
      <c r="AV152" s="95"/>
      <c r="AW152" s="108"/>
      <c r="AX152" s="108"/>
      <c r="AY152" s="108"/>
      <c r="AZ152" s="108"/>
      <c r="BA152" s="108"/>
      <c r="BB152" s="108"/>
      <c r="BC152" s="204"/>
      <c r="BD152" s="96">
        <v>2</v>
      </c>
      <c r="BE152" s="97" t="s">
        <v>38</v>
      </c>
      <c r="BF152" s="98" t="s">
        <v>831</v>
      </c>
      <c r="BG152" s="97"/>
      <c r="BH152" s="97" t="s">
        <v>283</v>
      </c>
      <c r="BI152" s="97" t="s">
        <v>1203</v>
      </c>
      <c r="BJ152" s="167"/>
      <c r="BK152" s="97"/>
      <c r="BL152" s="167" t="s">
        <v>1205</v>
      </c>
      <c r="BM152" s="167"/>
      <c r="BN152" s="167"/>
      <c r="BO152" s="108"/>
      <c r="BP152" s="108"/>
      <c r="BQ152" s="108"/>
      <c r="BR152" s="108"/>
      <c r="BS152" s="108"/>
      <c r="BT152" s="108"/>
      <c r="BU152" s="108"/>
      <c r="BV152" s="207" t="s">
        <v>1206</v>
      </c>
      <c r="BW152" s="86" t="str">
        <f>VLOOKUP($C152, '_REF Catalog Classes'!$C$6:$E416, COLUMNS('_REF Catalog Classes'!$C$6:$E416), FALSE)</f>
        <v>never</v>
      </c>
      <c r="BX152" s="86"/>
      <c r="BY152" s="86"/>
      <c r="BZ152" s="86" t="s">
        <v>322</v>
      </c>
      <c r="CA152" s="100" t="b">
        <f ca="1">IFERROR(__xludf.DUMMYFUNCTION("IF(REGEXMATCH(Catalog_RewardType,""reward""), VLOOKUP($E152, {'TitleData rewards.items'!$J$9:$J416,'TitleData rewards.items'!$B$9:$B416}, 2, FALSE), """")"),FALSE)</f>
        <v>0</v>
      </c>
    </row>
    <row r="153" spans="1:79" ht="28" hidden="1" x14ac:dyDescent="0.15">
      <c r="A153" s="82" t="s">
        <v>491</v>
      </c>
      <c r="B153" s="83"/>
      <c r="C153" s="82" t="s">
        <v>811</v>
      </c>
      <c r="D153" s="85" t="b">
        <f>VLOOKUP($C153, '_REF Catalog Classes'!$C$6:$D416, COLUMNS('_REF Catalog Classes'!$C$6:$D416), FALSE)</f>
        <v>1</v>
      </c>
      <c r="E153" s="82" t="s">
        <v>1207</v>
      </c>
      <c r="F153" s="82" t="str">
        <f t="shared" si="0"/>
        <v>actionBombsExplode:</v>
      </c>
      <c r="G153" s="106" t="s">
        <v>904</v>
      </c>
      <c r="H153" s="86" t="s">
        <v>1208</v>
      </c>
      <c r="I153" s="82" t="s">
        <v>847</v>
      </c>
      <c r="J153" s="82" t="s">
        <v>275</v>
      </c>
      <c r="K153" s="82" t="s">
        <v>275</v>
      </c>
      <c r="L153" s="86" t="s">
        <v>857</v>
      </c>
      <c r="M153" s="82"/>
      <c r="N153" s="107"/>
      <c r="O153" s="108"/>
      <c r="P153" s="82"/>
      <c r="Q153" s="88"/>
      <c r="R153" s="82"/>
      <c r="S153" s="82"/>
      <c r="T153" s="82"/>
      <c r="U153" s="82"/>
      <c r="V153" s="82"/>
      <c r="W153" s="89"/>
      <c r="X153" s="90"/>
      <c r="Y153" s="90"/>
      <c r="Z153" s="90"/>
      <c r="AA153" s="89"/>
      <c r="AB153" s="90"/>
      <c r="AC153" s="90"/>
      <c r="AD153" s="90"/>
      <c r="AE153" s="90"/>
      <c r="AF153" s="162"/>
      <c r="AG153" s="92"/>
      <c r="AH153" s="93"/>
      <c r="AI153" s="93"/>
      <c r="AJ153" s="93"/>
      <c r="AK153" s="93"/>
      <c r="AL153" s="93"/>
      <c r="AM153" s="93"/>
      <c r="AN153" s="94"/>
      <c r="AO153" s="95"/>
      <c r="AP153" s="95"/>
      <c r="AQ153" s="95"/>
      <c r="AR153" s="94"/>
      <c r="AS153" s="95"/>
      <c r="AT153" s="95"/>
      <c r="AU153" s="95"/>
      <c r="AV153" s="95"/>
      <c r="AW153" s="92"/>
      <c r="AX153" s="93"/>
      <c r="AY153" s="93"/>
      <c r="AZ153" s="93"/>
      <c r="BA153" s="93"/>
      <c r="BB153" s="93"/>
      <c r="BC153" s="93"/>
      <c r="BD153" s="168"/>
      <c r="BE153" s="97"/>
      <c r="BF153" s="98"/>
      <c r="BG153" s="97"/>
      <c r="BH153" s="168"/>
      <c r="BI153" s="97"/>
      <c r="BJ153" s="97"/>
      <c r="BK153" s="97"/>
      <c r="BL153" s="97"/>
      <c r="BM153" s="97"/>
      <c r="BN153" s="97"/>
      <c r="BO153" s="93"/>
      <c r="BP153" s="93"/>
      <c r="BQ153" s="93"/>
      <c r="BR153" s="93"/>
      <c r="BS153" s="93"/>
      <c r="BT153" s="93"/>
      <c r="BU153" s="93"/>
      <c r="BV153" s="99"/>
      <c r="BW153" s="86"/>
      <c r="BX153" s="86"/>
      <c r="BY153" s="86"/>
      <c r="BZ153" s="100" t="s">
        <v>850</v>
      </c>
      <c r="CA153" s="100" t="str">
        <f ca="1">IFERROR(__xludf.DUMMYFUNCTION("IF(REGEXMATCH(Catalog_RewardType,""reward""), VLOOKUP($E153, {'TitleData rewards.items'!$J$9:$J416,'TitleData rewards.items'!$B$9:$B416}, 2, FALSE), """")"),"")</f>
        <v/>
      </c>
    </row>
    <row r="154" spans="1:79" ht="45" x14ac:dyDescent="0.15">
      <c r="A154" s="82" t="s">
        <v>269</v>
      </c>
      <c r="B154" s="83"/>
      <c r="C154" s="82" t="s">
        <v>808</v>
      </c>
      <c r="D154" s="85" t="b">
        <f>VLOOKUP($C154, '_REF Catalog Classes'!$C$6:$D416, COLUMNS('_REF Catalog Classes'!$C$6:$D416), FALSE)</f>
        <v>1</v>
      </c>
      <c r="E154" s="82" t="s">
        <v>1209</v>
      </c>
      <c r="F154" s="82" t="str">
        <f t="shared" si="0"/>
        <v>achievementPlayBombsExplode:</v>
      </c>
      <c r="G154" s="86" t="s">
        <v>1210</v>
      </c>
      <c r="H154" s="86" t="s">
        <v>1211</v>
      </c>
      <c r="I154" s="187" t="s">
        <v>274</v>
      </c>
      <c r="J154" s="86"/>
      <c r="K154" s="82"/>
      <c r="L154" s="86"/>
      <c r="M154" s="86" t="s">
        <v>830</v>
      </c>
      <c r="N154" s="107"/>
      <c r="O154" s="108"/>
      <c r="P154" s="187">
        <v>13</v>
      </c>
      <c r="Q154" s="82"/>
      <c r="R154" s="82"/>
      <c r="S154" s="82"/>
      <c r="T154" s="82"/>
      <c r="U154" s="82"/>
      <c r="V154" s="187"/>
      <c r="W154" s="89">
        <v>0</v>
      </c>
      <c r="X154" s="90" t="s">
        <v>37</v>
      </c>
      <c r="Y154" s="90" t="s">
        <v>873</v>
      </c>
      <c r="Z154" s="162"/>
      <c r="AA154" s="91" t="s">
        <v>283</v>
      </c>
      <c r="AB154" s="162" t="s">
        <v>1212</v>
      </c>
      <c r="AC154" s="90"/>
      <c r="AD154" s="162" t="s">
        <v>1213</v>
      </c>
      <c r="AE154" s="162"/>
      <c r="AF154" s="188"/>
      <c r="AG154" s="108"/>
      <c r="AH154" s="108"/>
      <c r="AI154" s="108"/>
      <c r="AJ154" s="108"/>
      <c r="AK154" s="108"/>
      <c r="AL154" s="108"/>
      <c r="AM154" s="204"/>
      <c r="AN154" s="95"/>
      <c r="AO154" s="95"/>
      <c r="AP154" s="95"/>
      <c r="AQ154" s="95"/>
      <c r="AR154" s="95"/>
      <c r="AS154" s="95"/>
      <c r="AT154" s="95"/>
      <c r="AU154" s="95"/>
      <c r="AV154" s="95"/>
      <c r="AW154" s="108"/>
      <c r="AX154" s="108"/>
      <c r="AY154" s="108"/>
      <c r="AZ154" s="108"/>
      <c r="BA154" s="108"/>
      <c r="BB154" s="108"/>
      <c r="BC154" s="204"/>
      <c r="BD154" s="96">
        <v>2</v>
      </c>
      <c r="BE154" s="97" t="s">
        <v>38</v>
      </c>
      <c r="BF154" s="98" t="s">
        <v>873</v>
      </c>
      <c r="BG154" s="97"/>
      <c r="BH154" s="97" t="s">
        <v>283</v>
      </c>
      <c r="BI154" s="97" t="s">
        <v>1212</v>
      </c>
      <c r="BJ154" s="167"/>
      <c r="BK154" s="97"/>
      <c r="BL154" s="209" t="s">
        <v>1214</v>
      </c>
      <c r="BM154" s="167"/>
      <c r="BN154" s="167"/>
      <c r="BO154" s="108"/>
      <c r="BP154" s="108"/>
      <c r="BQ154" s="108"/>
      <c r="BR154" s="108"/>
      <c r="BS154" s="108"/>
      <c r="BT154" s="108"/>
      <c r="BU154" s="108"/>
      <c r="BV154" s="207" t="s">
        <v>1215</v>
      </c>
      <c r="BW154" s="86" t="str">
        <f>VLOOKUP($C154, '_REF Catalog Classes'!$C$6:$E416, COLUMNS('_REF Catalog Classes'!$C$6:$E416), FALSE)</f>
        <v>never</v>
      </c>
      <c r="BX154" s="86"/>
      <c r="BY154" s="86"/>
      <c r="BZ154" s="86" t="s">
        <v>322</v>
      </c>
      <c r="CA154" s="100" t="b">
        <f ca="1">IFERROR(__xludf.DUMMYFUNCTION("IF(REGEXMATCH(Catalog_RewardType,""reward""), VLOOKUP($E154, {'TitleData rewards.items'!$J$9:$J416,'TitleData rewards.items'!$B$9:$B416}, 2, FALSE), """")"),FALSE)</f>
        <v>0</v>
      </c>
    </row>
    <row r="155" spans="1:79" ht="42" hidden="1" x14ac:dyDescent="0.15">
      <c r="A155" s="82" t="s">
        <v>314</v>
      </c>
      <c r="B155" s="83" t="b">
        <v>1</v>
      </c>
      <c r="C155" s="82" t="s">
        <v>811</v>
      </c>
      <c r="D155" s="85" t="b">
        <f>VLOOKUP($C155, '_REF Catalog Classes'!$C$6:$D416, COLUMNS('_REF Catalog Classes'!$C$6:$D416), FALSE)</f>
        <v>1</v>
      </c>
      <c r="E155" s="82" t="s">
        <v>1216</v>
      </c>
      <c r="F155" s="82" t="str">
        <f t="shared" si="0"/>
        <v>actionMissionDMeUnlock:TRUE</v>
      </c>
      <c r="G155" s="106" t="s">
        <v>904</v>
      </c>
      <c r="H155" s="86" t="s">
        <v>1115</v>
      </c>
      <c r="I155" s="82" t="s">
        <v>274</v>
      </c>
      <c r="J155" s="82"/>
      <c r="K155" s="82" t="s">
        <v>275</v>
      </c>
      <c r="L155" s="82"/>
      <c r="M155" s="82"/>
      <c r="N155" s="107"/>
      <c r="O155" s="108"/>
      <c r="P155" s="82"/>
      <c r="Q155" s="88"/>
      <c r="R155" s="82"/>
      <c r="S155" s="82"/>
      <c r="T155" s="82"/>
      <c r="U155" s="82"/>
      <c r="V155" s="82"/>
      <c r="W155" s="89"/>
      <c r="X155" s="90"/>
      <c r="Y155" s="90" t="str">
        <f t="shared" ref="Y155:Y162" si="13">"file://"&amp;$E155&amp;"-state0-image0"</f>
        <v>file://actionMissionDMeUnlock-state0-image0</v>
      </c>
      <c r="Z155" s="90"/>
      <c r="AA155" s="89"/>
      <c r="AB155" s="90"/>
      <c r="AC155" s="90"/>
      <c r="AD155" s="90"/>
      <c r="AE155" s="90"/>
      <c r="AF155" s="90"/>
      <c r="AG155" s="92"/>
      <c r="AH155" s="93"/>
      <c r="AI155" s="93"/>
      <c r="AJ155" s="93"/>
      <c r="AK155" s="93"/>
      <c r="AL155" s="93"/>
      <c r="AM155" s="93"/>
      <c r="AN155" s="94"/>
      <c r="AO155" s="95"/>
      <c r="AP155" s="95" t="str">
        <f t="shared" ref="AP155:AP162" si="14">"file://"&amp;$E155&amp;"-state1-image0"</f>
        <v>file://actionMissionDMeUnlock-state1-image0</v>
      </c>
      <c r="AQ155" s="95"/>
      <c r="AR155" s="94"/>
      <c r="AS155" s="95"/>
      <c r="AT155" s="95"/>
      <c r="AU155" s="95"/>
      <c r="AV155" s="95"/>
      <c r="AW155" s="92"/>
      <c r="AX155" s="93"/>
      <c r="AY155" s="93"/>
      <c r="AZ155" s="93"/>
      <c r="BA155" s="93"/>
      <c r="BB155" s="93"/>
      <c r="BC155" s="93"/>
      <c r="BD155" s="168"/>
      <c r="BE155" s="97"/>
      <c r="BF155" s="98"/>
      <c r="BG155" s="97"/>
      <c r="BH155" s="168"/>
      <c r="BI155" s="97"/>
      <c r="BJ155" s="97"/>
      <c r="BK155" s="97"/>
      <c r="BL155" s="97"/>
      <c r="BM155" s="97"/>
      <c r="BN155" s="97"/>
      <c r="BO155" s="93"/>
      <c r="BP155" s="93"/>
      <c r="BQ155" s="93"/>
      <c r="BR155" s="93"/>
      <c r="BS155" s="93"/>
      <c r="BT155" s="93"/>
      <c r="BU155" s="93"/>
      <c r="BV155" s="99" t="s">
        <v>1217</v>
      </c>
      <c r="BW155" s="86" t="str">
        <f>VLOOKUP($C155, '_REF Catalog Classes'!$C$6:$E416, COLUMNS('_REF Catalog Classes'!$C$6:$E416), FALSE)</f>
        <v>always</v>
      </c>
      <c r="BX155" s="86"/>
      <c r="BY155" s="86"/>
      <c r="BZ155" s="86" t="s">
        <v>322</v>
      </c>
      <c r="CA155" s="100" t="str">
        <f ca="1">IFERROR(__xludf.DUMMYFUNCTION("IF(REGEXMATCH(Catalog_RewardType,""reward""), VLOOKUP($E155, {'TitleData rewards.items'!$J$9:$J416,'TitleData rewards.items'!$B$9:$B416}, 2, FALSE), """")"),"#N/A")</f>
        <v>#N/A</v>
      </c>
    </row>
    <row r="156" spans="1:79" ht="42" hidden="1" x14ac:dyDescent="0.15">
      <c r="A156" s="82" t="s">
        <v>314</v>
      </c>
      <c r="B156" s="83" t="b">
        <v>1</v>
      </c>
      <c r="C156" s="82" t="s">
        <v>811</v>
      </c>
      <c r="D156" s="85" t="b">
        <f>VLOOKUP($C156, '_REF Catalog Classes'!$C$6:$D416, COLUMNS('_REF Catalog Classes'!$C$6:$D416), FALSE)</f>
        <v>1</v>
      </c>
      <c r="E156" s="82" t="s">
        <v>1218</v>
      </c>
      <c r="F156" s="82" t="str">
        <f t="shared" si="0"/>
        <v>actionMissionDMeAttempt:TRUE</v>
      </c>
      <c r="G156" s="106" t="s">
        <v>904</v>
      </c>
      <c r="H156" s="86" t="s">
        <v>1115</v>
      </c>
      <c r="I156" s="82" t="s">
        <v>847</v>
      </c>
      <c r="J156" s="82" t="s">
        <v>848</v>
      </c>
      <c r="K156" s="82" t="s">
        <v>849</v>
      </c>
      <c r="L156" s="108"/>
      <c r="M156" s="82"/>
      <c r="N156" s="107"/>
      <c r="O156" s="108"/>
      <c r="P156" s="82"/>
      <c r="Q156" s="88"/>
      <c r="R156" s="82"/>
      <c r="S156" s="82"/>
      <c r="T156" s="82"/>
      <c r="U156" s="82"/>
      <c r="V156" s="82"/>
      <c r="W156" s="89"/>
      <c r="X156" s="90"/>
      <c r="Y156" s="90" t="str">
        <f t="shared" si="13"/>
        <v>file://actionMissionDMeAttempt-state0-image0</v>
      </c>
      <c r="Z156" s="90"/>
      <c r="AA156" s="89"/>
      <c r="AB156" s="90"/>
      <c r="AC156" s="90"/>
      <c r="AD156" s="90"/>
      <c r="AE156" s="90"/>
      <c r="AF156" s="90"/>
      <c r="AG156" s="92"/>
      <c r="AH156" s="93"/>
      <c r="AI156" s="93"/>
      <c r="AJ156" s="93"/>
      <c r="AK156" s="93"/>
      <c r="AL156" s="93"/>
      <c r="AM156" s="93"/>
      <c r="AN156" s="94"/>
      <c r="AO156" s="95"/>
      <c r="AP156" s="95" t="str">
        <f t="shared" si="14"/>
        <v>file://actionMissionDMeAttempt-state1-image0</v>
      </c>
      <c r="AQ156" s="95"/>
      <c r="AR156" s="94"/>
      <c r="AS156" s="95"/>
      <c r="AT156" s="95"/>
      <c r="AU156" s="95"/>
      <c r="AV156" s="95"/>
      <c r="AW156" s="92"/>
      <c r="AX156" s="93"/>
      <c r="AY156" s="93"/>
      <c r="AZ156" s="93"/>
      <c r="BA156" s="93"/>
      <c r="BB156" s="93"/>
      <c r="BC156" s="93"/>
      <c r="BD156" s="168"/>
      <c r="BE156" s="97"/>
      <c r="BF156" s="98"/>
      <c r="BG156" s="97"/>
      <c r="BH156" s="168"/>
      <c r="BI156" s="97"/>
      <c r="BJ156" s="97"/>
      <c r="BK156" s="97"/>
      <c r="BL156" s="97"/>
      <c r="BM156" s="97"/>
      <c r="BN156" s="97"/>
      <c r="BO156" s="93"/>
      <c r="BP156" s="93"/>
      <c r="BQ156" s="93"/>
      <c r="BR156" s="93"/>
      <c r="BS156" s="93"/>
      <c r="BT156" s="93"/>
      <c r="BU156" s="93"/>
      <c r="BV156" s="99"/>
      <c r="BW156" s="86"/>
      <c r="BX156" s="86"/>
      <c r="BY156" s="86"/>
      <c r="BZ156" s="86"/>
      <c r="CA156" s="100" t="str">
        <f ca="1">IFERROR(__xludf.DUMMYFUNCTION("IF(REGEXMATCH(Catalog_RewardType,""reward""), VLOOKUP($E156, {'TitleData rewards.items'!$J$9:$J416,'TitleData rewards.items'!$B$9:$B416}, 2, FALSE), """")"),"")</f>
        <v/>
      </c>
    </row>
    <row r="157" spans="1:79" ht="70" hidden="1" x14ac:dyDescent="0.15">
      <c r="A157" s="82" t="s">
        <v>314</v>
      </c>
      <c r="B157" s="83" t="b">
        <v>1</v>
      </c>
      <c r="C157" s="82" t="s">
        <v>851</v>
      </c>
      <c r="D157" s="85" t="b">
        <f>VLOOKUP($C157, '_REF Catalog Classes'!$C$6:$D416, COLUMNS('_REF Catalog Classes'!$C$6:$D416), FALSE)</f>
        <v>1</v>
      </c>
      <c r="E157" s="82" t="s">
        <v>1219</v>
      </c>
      <c r="F157" s="82" t="str">
        <f t="shared" si="0"/>
        <v>missionDMe:TRUE</v>
      </c>
      <c r="G157" s="86" t="s">
        <v>1220</v>
      </c>
      <c r="H157" s="86" t="s">
        <v>1221</v>
      </c>
      <c r="I157" s="82" t="s">
        <v>847</v>
      </c>
      <c r="J157" s="82" t="s">
        <v>856</v>
      </c>
      <c r="K157" s="82"/>
      <c r="L157" s="82" t="s">
        <v>857</v>
      </c>
      <c r="M157" s="82"/>
      <c r="N157" s="107"/>
      <c r="O157" s="108"/>
      <c r="P157" s="82">
        <v>12</v>
      </c>
      <c r="Q157" s="88"/>
      <c r="R157" s="82"/>
      <c r="S157" s="82"/>
      <c r="T157" s="82"/>
      <c r="U157" s="82"/>
      <c r="V157" s="82"/>
      <c r="W157" s="89">
        <v>0</v>
      </c>
      <c r="X157" s="90" t="s">
        <v>319</v>
      </c>
      <c r="Y157" s="90" t="str">
        <f t="shared" si="13"/>
        <v>file://missionDMe-state0-image0</v>
      </c>
      <c r="Z157" s="90"/>
      <c r="AA157" s="91" t="s">
        <v>283</v>
      </c>
      <c r="AB157" s="90" t="s">
        <v>914</v>
      </c>
      <c r="AC157" s="90"/>
      <c r="AD157" s="90" t="s">
        <v>1222</v>
      </c>
      <c r="AE157" s="90"/>
      <c r="AF157" s="90"/>
      <c r="AG157" s="92"/>
      <c r="AH157" s="93"/>
      <c r="AI157" s="93"/>
      <c r="AJ157" s="93"/>
      <c r="AK157" s="93"/>
      <c r="AL157" s="93"/>
      <c r="AM157" s="93"/>
      <c r="AN157" s="94">
        <v>1</v>
      </c>
      <c r="AO157" s="95" t="s">
        <v>858</v>
      </c>
      <c r="AP157" s="95" t="str">
        <f t="shared" si="14"/>
        <v>file://missionDMe-state1-image0</v>
      </c>
      <c r="AQ157" s="95"/>
      <c r="AR157" s="94" t="s">
        <v>283</v>
      </c>
      <c r="AS157" s="95" t="s">
        <v>1220</v>
      </c>
      <c r="AT157" s="95" t="s">
        <v>1223</v>
      </c>
      <c r="AU157" s="95" t="s">
        <v>1224</v>
      </c>
      <c r="AV157" s="95" t="s">
        <v>1225</v>
      </c>
      <c r="AW157" s="92"/>
      <c r="AX157" s="93"/>
      <c r="AY157" s="93"/>
      <c r="AZ157" s="93"/>
      <c r="BA157" s="93"/>
      <c r="BB157" s="93"/>
      <c r="BC157" s="93"/>
      <c r="BD157" s="96">
        <v>2</v>
      </c>
      <c r="BE157" s="97" t="s">
        <v>865</v>
      </c>
      <c r="BF157" s="98"/>
      <c r="BG157" s="97"/>
      <c r="BH157" s="97" t="s">
        <v>283</v>
      </c>
      <c r="BI157" s="97" t="s">
        <v>1220</v>
      </c>
      <c r="BJ157" s="97"/>
      <c r="BK157" s="97" t="s">
        <v>1223</v>
      </c>
      <c r="BL157" s="97" t="s">
        <v>1226</v>
      </c>
      <c r="BM157" s="97" t="s">
        <v>1227</v>
      </c>
      <c r="BN157" s="97"/>
      <c r="BO157" s="93"/>
      <c r="BP157" s="93"/>
      <c r="BQ157" s="93"/>
      <c r="BR157" s="93"/>
      <c r="BS157" s="93"/>
      <c r="BT157" s="93"/>
      <c r="BU157" s="93"/>
      <c r="BV157" s="99"/>
      <c r="BW157" s="86"/>
      <c r="BX157" s="86"/>
      <c r="BY157" s="86"/>
      <c r="BZ157" s="86"/>
      <c r="CA157" s="100" t="str">
        <f ca="1">IFERROR(__xludf.DUMMYFUNCTION("IF(REGEXMATCH(Catalog_RewardType,""reward""), VLOOKUP($E157, {'TitleData rewards.items'!$J$9:$J416,'TitleData rewards.items'!$B$9:$B416}, 2, FALSE), """")"),"")</f>
        <v/>
      </c>
    </row>
    <row r="158" spans="1:79" ht="42" hidden="1" x14ac:dyDescent="0.15">
      <c r="A158" s="82" t="s">
        <v>314</v>
      </c>
      <c r="B158" s="83" t="b">
        <v>1</v>
      </c>
      <c r="C158" s="82" t="s">
        <v>811</v>
      </c>
      <c r="D158" s="85" t="b">
        <f>VLOOKUP($C158, '_REF Catalog Classes'!$C$6:$D416, COLUMNS('_REF Catalog Classes'!$C$6:$D416), FALSE)</f>
        <v>1</v>
      </c>
      <c r="E158" s="82" t="s">
        <v>1228</v>
      </c>
      <c r="F158" s="82" t="str">
        <f t="shared" si="0"/>
        <v>actionMissionAVLUnlock:TRUE</v>
      </c>
      <c r="G158" s="106" t="s">
        <v>904</v>
      </c>
      <c r="H158" s="86" t="s">
        <v>1229</v>
      </c>
      <c r="I158" s="82" t="s">
        <v>274</v>
      </c>
      <c r="J158" s="82"/>
      <c r="K158" s="82" t="s">
        <v>275</v>
      </c>
      <c r="L158" s="82"/>
      <c r="M158" s="82"/>
      <c r="N158" s="107"/>
      <c r="O158" s="108"/>
      <c r="P158" s="82"/>
      <c r="Q158" s="88"/>
      <c r="R158" s="82"/>
      <c r="S158" s="82"/>
      <c r="T158" s="82"/>
      <c r="U158" s="82"/>
      <c r="V158" s="82"/>
      <c r="W158" s="89"/>
      <c r="X158" s="90"/>
      <c r="Y158" s="90" t="str">
        <f t="shared" si="13"/>
        <v>file://actionMissionAVLUnlock-state0-image0</v>
      </c>
      <c r="Z158" s="90"/>
      <c r="AA158" s="89"/>
      <c r="AB158" s="90"/>
      <c r="AC158" s="90"/>
      <c r="AD158" s="90"/>
      <c r="AE158" s="90"/>
      <c r="AF158" s="90"/>
      <c r="AG158" s="92"/>
      <c r="AH158" s="93"/>
      <c r="AI158" s="93"/>
      <c r="AJ158" s="93"/>
      <c r="AK158" s="93"/>
      <c r="AL158" s="93"/>
      <c r="AM158" s="93"/>
      <c r="AN158" s="94"/>
      <c r="AO158" s="95"/>
      <c r="AP158" s="95" t="str">
        <f t="shared" si="14"/>
        <v>file://actionMissionAVLUnlock-state1-image0</v>
      </c>
      <c r="AQ158" s="95"/>
      <c r="AR158" s="94"/>
      <c r="AS158" s="95"/>
      <c r="AT158" s="95"/>
      <c r="AU158" s="95"/>
      <c r="AV158" s="95"/>
      <c r="AW158" s="92"/>
      <c r="AX158" s="93"/>
      <c r="AY158" s="93"/>
      <c r="AZ158" s="93"/>
      <c r="BA158" s="93"/>
      <c r="BB158" s="93"/>
      <c r="BC158" s="93"/>
      <c r="BD158" s="168"/>
      <c r="BE158" s="97"/>
      <c r="BF158" s="98"/>
      <c r="BG158" s="97"/>
      <c r="BH158" s="168"/>
      <c r="BI158" s="97"/>
      <c r="BJ158" s="97"/>
      <c r="BK158" s="97"/>
      <c r="BL158" s="97"/>
      <c r="BM158" s="97"/>
      <c r="BN158" s="97"/>
      <c r="BO158" s="93"/>
      <c r="BP158" s="93"/>
      <c r="BQ158" s="93"/>
      <c r="BR158" s="93"/>
      <c r="BS158" s="93"/>
      <c r="BT158" s="93"/>
      <c r="BU158" s="93"/>
      <c r="BV158" s="99" t="s">
        <v>1230</v>
      </c>
      <c r="BW158" s="86" t="str">
        <f>VLOOKUP($C158, '_REF Catalog Classes'!$C$6:$E416, COLUMNS('_REF Catalog Classes'!$C$6:$E416), FALSE)</f>
        <v>always</v>
      </c>
      <c r="BX158" s="86"/>
      <c r="BY158" s="86"/>
      <c r="BZ158" s="86" t="s">
        <v>322</v>
      </c>
      <c r="CA158" s="100" t="str">
        <f ca="1">IFERROR(__xludf.DUMMYFUNCTION("IF(REGEXMATCH(Catalog_RewardType,""reward""), VLOOKUP($E158, {'TitleData rewards.items'!$J$9:$J416,'TitleData rewards.items'!$B$9:$B416}, 2, FALSE), """")"),"#N/A")</f>
        <v>#N/A</v>
      </c>
    </row>
    <row r="159" spans="1:79" ht="42" hidden="1" x14ac:dyDescent="0.15">
      <c r="A159" s="82" t="s">
        <v>314</v>
      </c>
      <c r="B159" s="83" t="b">
        <v>1</v>
      </c>
      <c r="C159" s="82" t="s">
        <v>811</v>
      </c>
      <c r="D159" s="85" t="b">
        <f>VLOOKUP($C159, '_REF Catalog Classes'!$C$6:$D416, COLUMNS('_REF Catalog Classes'!$C$6:$D416), FALSE)</f>
        <v>1</v>
      </c>
      <c r="E159" s="82" t="s">
        <v>1231</v>
      </c>
      <c r="F159" s="82" t="str">
        <f t="shared" si="0"/>
        <v>actionMissionAVLAttempt:TRUE</v>
      </c>
      <c r="G159" s="106" t="s">
        <v>904</v>
      </c>
      <c r="H159" s="86" t="s">
        <v>1115</v>
      </c>
      <c r="I159" s="82" t="s">
        <v>847</v>
      </c>
      <c r="J159" s="82" t="s">
        <v>848</v>
      </c>
      <c r="K159" s="82" t="s">
        <v>849</v>
      </c>
      <c r="L159" s="108"/>
      <c r="M159" s="82"/>
      <c r="N159" s="107"/>
      <c r="O159" s="108"/>
      <c r="P159" s="82"/>
      <c r="Q159" s="88"/>
      <c r="R159" s="82"/>
      <c r="S159" s="82"/>
      <c r="T159" s="82"/>
      <c r="U159" s="82"/>
      <c r="V159" s="82"/>
      <c r="W159" s="89"/>
      <c r="X159" s="90"/>
      <c r="Y159" s="90" t="str">
        <f t="shared" si="13"/>
        <v>file://actionMissionAVLAttempt-state0-image0</v>
      </c>
      <c r="Z159" s="90"/>
      <c r="AA159" s="89"/>
      <c r="AB159" s="90"/>
      <c r="AC159" s="90"/>
      <c r="AD159" s="90"/>
      <c r="AE159" s="90"/>
      <c r="AF159" s="90"/>
      <c r="AG159" s="92"/>
      <c r="AH159" s="93"/>
      <c r="AI159" s="93"/>
      <c r="AJ159" s="93"/>
      <c r="AK159" s="93"/>
      <c r="AL159" s="93"/>
      <c r="AM159" s="93"/>
      <c r="AN159" s="94"/>
      <c r="AO159" s="95"/>
      <c r="AP159" s="95" t="str">
        <f t="shared" si="14"/>
        <v>file://actionMissionAVLAttempt-state1-image0</v>
      </c>
      <c r="AQ159" s="95"/>
      <c r="AR159" s="94"/>
      <c r="AS159" s="95"/>
      <c r="AT159" s="95"/>
      <c r="AU159" s="95"/>
      <c r="AV159" s="95"/>
      <c r="AW159" s="92"/>
      <c r="AX159" s="93"/>
      <c r="AY159" s="93"/>
      <c r="AZ159" s="93"/>
      <c r="BA159" s="93"/>
      <c r="BB159" s="93"/>
      <c r="BC159" s="93"/>
      <c r="BD159" s="168"/>
      <c r="BE159" s="97"/>
      <c r="BF159" s="98"/>
      <c r="BG159" s="97"/>
      <c r="BH159" s="168"/>
      <c r="BI159" s="97"/>
      <c r="BJ159" s="97"/>
      <c r="BK159" s="97"/>
      <c r="BL159" s="97"/>
      <c r="BM159" s="97"/>
      <c r="BN159" s="97"/>
      <c r="BO159" s="93"/>
      <c r="BP159" s="93"/>
      <c r="BQ159" s="93"/>
      <c r="BR159" s="93"/>
      <c r="BS159" s="93"/>
      <c r="BT159" s="93"/>
      <c r="BU159" s="93"/>
      <c r="BV159" s="99"/>
      <c r="BW159" s="86"/>
      <c r="BX159" s="86"/>
      <c r="BY159" s="86"/>
      <c r="BZ159" s="86"/>
      <c r="CA159" s="100" t="str">
        <f ca="1">IFERROR(__xludf.DUMMYFUNCTION("IF(REGEXMATCH(Catalog_RewardType,""reward""), VLOOKUP($E159, {'TitleData rewards.items'!$J$9:$J416,'TitleData rewards.items'!$B$9:$B416}, 2, FALSE), """")"),"")</f>
        <v/>
      </c>
    </row>
    <row r="160" spans="1:79" ht="70" hidden="1" x14ac:dyDescent="0.15">
      <c r="A160" s="82" t="s">
        <v>314</v>
      </c>
      <c r="B160" s="83" t="b">
        <v>1</v>
      </c>
      <c r="C160" s="82" t="s">
        <v>851</v>
      </c>
      <c r="D160" s="85" t="b">
        <f>VLOOKUP($C160, '_REF Catalog Classes'!$C$6:$D416, COLUMNS('_REF Catalog Classes'!$C$6:$D416), FALSE)</f>
        <v>1</v>
      </c>
      <c r="E160" s="82" t="s">
        <v>1232</v>
      </c>
      <c r="F160" s="82" t="str">
        <f t="shared" si="0"/>
        <v>missionAVL:TRUE</v>
      </c>
      <c r="G160" s="86" t="s">
        <v>1233</v>
      </c>
      <c r="H160" s="86" t="s">
        <v>1234</v>
      </c>
      <c r="I160" s="82" t="s">
        <v>847</v>
      </c>
      <c r="J160" s="82" t="s">
        <v>856</v>
      </c>
      <c r="K160" s="82"/>
      <c r="L160" s="82" t="s">
        <v>857</v>
      </c>
      <c r="M160" s="82"/>
      <c r="N160" s="107"/>
      <c r="O160" s="108"/>
      <c r="P160" s="82">
        <v>14</v>
      </c>
      <c r="Q160" s="88"/>
      <c r="R160" s="82"/>
      <c r="S160" s="82"/>
      <c r="T160" s="82"/>
      <c r="U160" s="82"/>
      <c r="V160" s="82"/>
      <c r="W160" s="89">
        <v>0</v>
      </c>
      <c r="X160" s="90" t="s">
        <v>319</v>
      </c>
      <c r="Y160" s="90" t="str">
        <f t="shared" si="13"/>
        <v>file://missionAVL-state0-image0</v>
      </c>
      <c r="Z160" s="90"/>
      <c r="AA160" s="91" t="s">
        <v>283</v>
      </c>
      <c r="AB160" s="90" t="s">
        <v>914</v>
      </c>
      <c r="AC160" s="90"/>
      <c r="AD160" s="90" t="s">
        <v>1235</v>
      </c>
      <c r="AE160" s="90"/>
      <c r="AF160" s="90"/>
      <c r="AG160" s="92"/>
      <c r="AH160" s="93"/>
      <c r="AI160" s="93"/>
      <c r="AJ160" s="93"/>
      <c r="AK160" s="93"/>
      <c r="AL160" s="93"/>
      <c r="AM160" s="93"/>
      <c r="AN160" s="94">
        <v>1</v>
      </c>
      <c r="AO160" s="95" t="s">
        <v>858</v>
      </c>
      <c r="AP160" s="95" t="str">
        <f t="shared" si="14"/>
        <v>file://missionAVL-state1-image0</v>
      </c>
      <c r="AQ160" s="95"/>
      <c r="AR160" s="94" t="s">
        <v>283</v>
      </c>
      <c r="AS160" s="95" t="s">
        <v>1236</v>
      </c>
      <c r="AT160" s="95" t="s">
        <v>1223</v>
      </c>
      <c r="AU160" s="95" t="s">
        <v>1224</v>
      </c>
      <c r="AV160" s="95" t="s">
        <v>1225</v>
      </c>
      <c r="AW160" s="92"/>
      <c r="AX160" s="93"/>
      <c r="AY160" s="93"/>
      <c r="AZ160" s="93"/>
      <c r="BA160" s="93"/>
      <c r="BB160" s="93"/>
      <c r="BC160" s="93"/>
      <c r="BD160" s="96">
        <v>2</v>
      </c>
      <c r="BE160" s="97" t="s">
        <v>865</v>
      </c>
      <c r="BF160" s="98"/>
      <c r="BG160" s="97"/>
      <c r="BH160" s="97" t="s">
        <v>283</v>
      </c>
      <c r="BI160" s="97" t="s">
        <v>1236</v>
      </c>
      <c r="BJ160" s="97"/>
      <c r="BK160" s="97" t="s">
        <v>1223</v>
      </c>
      <c r="BL160" s="97" t="s">
        <v>1226</v>
      </c>
      <c r="BM160" s="97" t="s">
        <v>1237</v>
      </c>
      <c r="BN160" s="97"/>
      <c r="BO160" s="93"/>
      <c r="BP160" s="93"/>
      <c r="BQ160" s="93"/>
      <c r="BR160" s="93"/>
      <c r="BS160" s="93"/>
      <c r="BT160" s="93"/>
      <c r="BU160" s="93"/>
      <c r="BV160" s="99"/>
      <c r="BW160" s="86"/>
      <c r="BX160" s="86"/>
      <c r="BY160" s="86"/>
      <c r="BZ160" s="86"/>
      <c r="CA160" s="100" t="str">
        <f ca="1">IFERROR(__xludf.DUMMYFUNCTION("IF(REGEXMATCH(Catalog_RewardType,""reward""), VLOOKUP($E160, {'TitleData rewards.items'!$J$9:$J416,'TitleData rewards.items'!$B$9:$B416}, 2, FALSE), """")"),"")</f>
        <v/>
      </c>
    </row>
    <row r="161" spans="1:79" ht="28" hidden="1" x14ac:dyDescent="0.15">
      <c r="A161" s="82" t="s">
        <v>491</v>
      </c>
      <c r="B161" s="83" t="b">
        <v>1</v>
      </c>
      <c r="C161" s="82" t="s">
        <v>811</v>
      </c>
      <c r="D161" s="85" t="b">
        <f>VLOOKUP($C161, '_REF Catalog Classes'!$C$6:$D416, COLUMNS('_REF Catalog Classes'!$C$6:$D416), FALSE)</f>
        <v>1</v>
      </c>
      <c r="E161" s="82" t="s">
        <v>1238</v>
      </c>
      <c r="F161" s="82" t="str">
        <f t="shared" si="0"/>
        <v>action5in10:TRUE</v>
      </c>
      <c r="G161" s="106" t="s">
        <v>904</v>
      </c>
      <c r="H161" s="86" t="s">
        <v>1115</v>
      </c>
      <c r="I161" s="82" t="s">
        <v>847</v>
      </c>
      <c r="J161" s="82" t="s">
        <v>275</v>
      </c>
      <c r="K161" s="82" t="s">
        <v>275</v>
      </c>
      <c r="L161" s="86" t="s">
        <v>857</v>
      </c>
      <c r="M161" s="86"/>
      <c r="N161" s="107"/>
      <c r="O161" s="108"/>
      <c r="P161" s="82"/>
      <c r="Q161" s="88"/>
      <c r="R161" s="82"/>
      <c r="S161" s="82"/>
      <c r="T161" s="82"/>
      <c r="U161" s="82"/>
      <c r="V161" s="82"/>
      <c r="W161" s="162"/>
      <c r="X161" s="162"/>
      <c r="Y161" s="90" t="str">
        <f t="shared" si="13"/>
        <v>file://action5in10-state0-image0</v>
      </c>
      <c r="Z161" s="162"/>
      <c r="AA161" s="162"/>
      <c r="AB161" s="162"/>
      <c r="AC161" s="90"/>
      <c r="AD161" s="90"/>
      <c r="AE161" s="162"/>
      <c r="AF161" s="162"/>
      <c r="AG161" s="164"/>
      <c r="AH161" s="108"/>
      <c r="AI161" s="108"/>
      <c r="AJ161" s="108"/>
      <c r="AK161" s="108"/>
      <c r="AL161" s="108"/>
      <c r="AM161" s="108"/>
      <c r="AN161" s="94"/>
      <c r="AO161" s="95"/>
      <c r="AP161" s="95" t="str">
        <f t="shared" si="14"/>
        <v>file://action5in10-state1-image0</v>
      </c>
      <c r="AQ161" s="95"/>
      <c r="AR161" s="94"/>
      <c r="AS161" s="95"/>
      <c r="AT161" s="95"/>
      <c r="AU161" s="95"/>
      <c r="AV161" s="95"/>
      <c r="AW161" s="164"/>
      <c r="AX161" s="108"/>
      <c r="AY161" s="108"/>
      <c r="AZ161" s="108"/>
      <c r="BA161" s="108"/>
      <c r="BB161" s="108"/>
      <c r="BC161" s="108"/>
      <c r="BD161" s="167"/>
      <c r="BE161" s="167"/>
      <c r="BF161" s="98"/>
      <c r="BG161" s="167"/>
      <c r="BH161" s="167"/>
      <c r="BI161" s="167"/>
      <c r="BJ161" s="167"/>
      <c r="BK161" s="167"/>
      <c r="BL161" s="167"/>
      <c r="BM161" s="167"/>
      <c r="BN161" s="167"/>
      <c r="BO161" s="108"/>
      <c r="BP161" s="108"/>
      <c r="BQ161" s="108"/>
      <c r="BR161" s="108"/>
      <c r="BS161" s="108"/>
      <c r="BT161" s="108"/>
      <c r="BU161" s="108"/>
      <c r="BV161" s="113"/>
      <c r="BW161" s="82"/>
      <c r="BX161" s="82"/>
      <c r="BY161" s="82"/>
      <c r="BZ161" s="84" t="s">
        <v>850</v>
      </c>
      <c r="CA161" s="100" t="str">
        <f ca="1">IFERROR(__xludf.DUMMYFUNCTION("IF(REGEXMATCH(Catalog_RewardType,""reward""), VLOOKUP($E161, {'TitleData rewards.items'!$J$9:$J416,'TitleData rewards.items'!$B$9:$B416}, 2, FALSE), """")"),"")</f>
        <v/>
      </c>
    </row>
    <row r="162" spans="1:79" ht="28" hidden="1" x14ac:dyDescent="0.15">
      <c r="A162" s="82" t="s">
        <v>269</v>
      </c>
      <c r="B162" s="83" t="b">
        <v>1</v>
      </c>
      <c r="C162" s="82" t="s">
        <v>808</v>
      </c>
      <c r="D162" s="85" t="b">
        <f>VLOOKUP($C162, '_REF Catalog Classes'!$C$6:$D416, COLUMNS('_REF Catalog Classes'!$C$6:$D416), FALSE)</f>
        <v>1</v>
      </c>
      <c r="E162" s="82" t="s">
        <v>1239</v>
      </c>
      <c r="F162" s="82" t="str">
        <f t="shared" si="0"/>
        <v>achievementPlay5in10:TRUE</v>
      </c>
      <c r="G162" s="86" t="s">
        <v>1240</v>
      </c>
      <c r="H162" s="86" t="s">
        <v>1241</v>
      </c>
      <c r="I162" s="187" t="s">
        <v>274</v>
      </c>
      <c r="J162" s="86"/>
      <c r="K162" s="82"/>
      <c r="L162" s="86"/>
      <c r="M162" s="86" t="s">
        <v>830</v>
      </c>
      <c r="N162" s="107"/>
      <c r="O162" s="108"/>
      <c r="P162" s="187">
        <v>13</v>
      </c>
      <c r="Q162" s="82"/>
      <c r="R162" s="82"/>
      <c r="S162" s="82"/>
      <c r="T162" s="82"/>
      <c r="U162" s="82"/>
      <c r="V162" s="187"/>
      <c r="W162" s="89">
        <v>0</v>
      </c>
      <c r="X162" s="90" t="s">
        <v>37</v>
      </c>
      <c r="Y162" s="90" t="str">
        <f t="shared" si="13"/>
        <v>file://achievementPlay5in10-state0-image0</v>
      </c>
      <c r="Z162" s="162"/>
      <c r="AA162" s="91" t="s">
        <v>283</v>
      </c>
      <c r="AB162" s="162" t="s">
        <v>1242</v>
      </c>
      <c r="AC162" s="90"/>
      <c r="AD162" s="162" t="s">
        <v>1243</v>
      </c>
      <c r="AE162" s="162"/>
      <c r="AF162" s="188"/>
      <c r="AG162" s="108"/>
      <c r="AH162" s="108"/>
      <c r="AI162" s="108"/>
      <c r="AJ162" s="108"/>
      <c r="AK162" s="108"/>
      <c r="AL162" s="108"/>
      <c r="AM162" s="204"/>
      <c r="AN162" s="95"/>
      <c r="AO162" s="95"/>
      <c r="AP162" s="95" t="str">
        <f t="shared" si="14"/>
        <v>file://achievementPlay5in10-state1-image0</v>
      </c>
      <c r="AQ162" s="95"/>
      <c r="AR162" s="95"/>
      <c r="AS162" s="95"/>
      <c r="AT162" s="95"/>
      <c r="AU162" s="95"/>
      <c r="AV162" s="95"/>
      <c r="AW162" s="108"/>
      <c r="AX162" s="108"/>
      <c r="AY162" s="108"/>
      <c r="AZ162" s="108"/>
      <c r="BA162" s="108"/>
      <c r="BB162" s="108"/>
      <c r="BC162" s="204"/>
      <c r="BD162" s="96">
        <v>2</v>
      </c>
      <c r="BE162" s="97" t="s">
        <v>38</v>
      </c>
      <c r="BF162" s="98"/>
      <c r="BG162" s="97"/>
      <c r="BH162" s="97" t="s">
        <v>283</v>
      </c>
      <c r="BI162" s="97" t="s">
        <v>1242</v>
      </c>
      <c r="BJ162" s="167"/>
      <c r="BK162" s="97"/>
      <c r="BL162" s="209" t="s">
        <v>1244</v>
      </c>
      <c r="BM162" s="167"/>
      <c r="BN162" s="97"/>
      <c r="BO162" s="108"/>
      <c r="BP162" s="108"/>
      <c r="BQ162" s="108"/>
      <c r="BR162" s="108"/>
      <c r="BS162" s="108"/>
      <c r="BT162" s="108"/>
      <c r="BU162" s="108"/>
      <c r="BV162" s="207" t="s">
        <v>1245</v>
      </c>
      <c r="BW162" s="86" t="str">
        <f>VLOOKUP($C162, '_REF Catalog Classes'!$C$6:$E416, COLUMNS('_REF Catalog Classes'!$C$6:$E416), FALSE)</f>
        <v>never</v>
      </c>
      <c r="BX162" s="86"/>
      <c r="BY162" s="86"/>
      <c r="BZ162" s="86" t="s">
        <v>322</v>
      </c>
      <c r="CA162" s="100" t="str">
        <f ca="1">IFERROR(__xludf.DUMMYFUNCTION("IF(REGEXMATCH(Catalog_RewardType,""reward""), VLOOKUP($E162, {'TitleData rewards.items'!$J$9:$J416,'TitleData rewards.items'!$B$9:$B416}, 2, FALSE), """")"),"#N/A")</f>
        <v>#N/A</v>
      </c>
    </row>
    <row r="163" spans="1:79" ht="42" hidden="1" x14ac:dyDescent="0.15">
      <c r="A163" s="82" t="s">
        <v>491</v>
      </c>
      <c r="B163" s="83"/>
      <c r="C163" s="82" t="s">
        <v>811</v>
      </c>
      <c r="D163" s="85" t="b">
        <f>VLOOKUP($C163, '_REF Catalog Classes'!$C$6:$D416, COLUMNS('_REF Catalog Classes'!$C$6:$D416), FALSE)</f>
        <v>1</v>
      </c>
      <c r="E163" s="82" t="s">
        <v>1246</v>
      </c>
      <c r="F163" s="82" t="str">
        <f t="shared" si="0"/>
        <v>actionPlayerNerfed:</v>
      </c>
      <c r="G163" s="86" t="s">
        <v>1247</v>
      </c>
      <c r="H163" s="86" t="s">
        <v>1248</v>
      </c>
      <c r="I163" s="82" t="s">
        <v>847</v>
      </c>
      <c r="J163" s="82" t="s">
        <v>275</v>
      </c>
      <c r="K163" s="82" t="s">
        <v>275</v>
      </c>
      <c r="L163" s="108"/>
      <c r="M163" s="82"/>
      <c r="N163" s="107"/>
      <c r="O163" s="108"/>
      <c r="P163" s="82"/>
      <c r="Q163" s="88"/>
      <c r="R163" s="82"/>
      <c r="S163" s="82"/>
      <c r="T163" s="82"/>
      <c r="U163" s="82"/>
      <c r="V163" s="82"/>
      <c r="W163" s="89"/>
      <c r="X163" s="90"/>
      <c r="Y163" s="90"/>
      <c r="Z163" s="90"/>
      <c r="AA163" s="89"/>
      <c r="AB163" s="90"/>
      <c r="AC163" s="90"/>
      <c r="AD163" s="90"/>
      <c r="AE163" s="90"/>
      <c r="AF163" s="90"/>
      <c r="AG163" s="92"/>
      <c r="AH163" s="93"/>
      <c r="AI163" s="93"/>
      <c r="AJ163" s="93"/>
      <c r="AK163" s="93"/>
      <c r="AL163" s="93"/>
      <c r="AM163" s="93"/>
      <c r="AN163" s="94"/>
      <c r="AO163" s="95"/>
      <c r="AP163" s="95"/>
      <c r="AQ163" s="95"/>
      <c r="AR163" s="94"/>
      <c r="AS163" s="95"/>
      <c r="AT163" s="95"/>
      <c r="AU163" s="95"/>
      <c r="AV163" s="95"/>
      <c r="AW163" s="92"/>
      <c r="AX163" s="93"/>
      <c r="AY163" s="93"/>
      <c r="AZ163" s="93"/>
      <c r="BA163" s="93"/>
      <c r="BB163" s="93"/>
      <c r="BC163" s="93"/>
      <c r="BD163" s="168"/>
      <c r="BE163" s="97"/>
      <c r="BF163" s="98"/>
      <c r="BG163" s="97"/>
      <c r="BH163" s="168"/>
      <c r="BI163" s="97"/>
      <c r="BJ163" s="97"/>
      <c r="BK163" s="97"/>
      <c r="BL163" s="97"/>
      <c r="BM163" s="97"/>
      <c r="BN163" s="97"/>
      <c r="BO163" s="93"/>
      <c r="BP163" s="93"/>
      <c r="BQ163" s="93"/>
      <c r="BR163" s="93"/>
      <c r="BS163" s="93"/>
      <c r="BT163" s="93"/>
      <c r="BU163" s="93"/>
      <c r="BV163" s="99"/>
      <c r="BW163" s="86"/>
      <c r="BX163" s="86"/>
      <c r="BY163" s="86"/>
      <c r="BZ163" s="100" t="s">
        <v>850</v>
      </c>
      <c r="CA163" s="100" t="str">
        <f ca="1">IFERROR(__xludf.DUMMYFUNCTION("IF(REGEXMATCH(Catalog_RewardType,""reward""), VLOOKUP($E163, {'TitleData rewards.items'!$J$9:$J416,'TitleData rewards.items'!$B$9:$B416}, 2, FALSE), """")"),"")</f>
        <v/>
      </c>
    </row>
    <row r="164" spans="1:79" ht="28" x14ac:dyDescent="0.15">
      <c r="A164" s="82" t="s">
        <v>269</v>
      </c>
      <c r="B164" s="83"/>
      <c r="C164" s="82" t="s">
        <v>808</v>
      </c>
      <c r="D164" s="85" t="b">
        <f>VLOOKUP($C164, '_REF Catalog Classes'!$C$6:$D416, COLUMNS('_REF Catalog Classes'!$C$6:$D416), FALSE)</f>
        <v>1</v>
      </c>
      <c r="E164" s="82" t="s">
        <v>1249</v>
      </c>
      <c r="F164" s="82" t="str">
        <f t="shared" si="0"/>
        <v>achievementPlayerNerfed:</v>
      </c>
      <c r="G164" s="106" t="s">
        <v>1250</v>
      </c>
      <c r="H164" s="86" t="s">
        <v>1251</v>
      </c>
      <c r="I164" s="82" t="s">
        <v>274</v>
      </c>
      <c r="J164" s="82"/>
      <c r="K164" s="82"/>
      <c r="L164" s="82"/>
      <c r="M164" s="82" t="s">
        <v>830</v>
      </c>
      <c r="N164" s="107"/>
      <c r="O164" s="108"/>
      <c r="P164" s="82">
        <v>5</v>
      </c>
      <c r="Q164" s="88"/>
      <c r="R164" s="82"/>
      <c r="S164" s="82"/>
      <c r="T164" s="82"/>
      <c r="U164" s="82"/>
      <c r="V164" s="82"/>
      <c r="W164" s="89">
        <v>0</v>
      </c>
      <c r="X164" s="90" t="s">
        <v>37</v>
      </c>
      <c r="Y164" s="90" t="s">
        <v>831</v>
      </c>
      <c r="Z164" s="90"/>
      <c r="AA164" s="91" t="s">
        <v>283</v>
      </c>
      <c r="AB164" s="90" t="s">
        <v>1252</v>
      </c>
      <c r="AC164" s="90"/>
      <c r="AD164" s="90" t="s">
        <v>1253</v>
      </c>
      <c r="AE164" s="90"/>
      <c r="AF164" s="162"/>
      <c r="AG164" s="92"/>
      <c r="AH164" s="93"/>
      <c r="AI164" s="93"/>
      <c r="AJ164" s="93"/>
      <c r="AK164" s="93"/>
      <c r="AL164" s="93"/>
      <c r="AM164" s="93"/>
      <c r="AN164" s="94"/>
      <c r="AO164" s="95"/>
      <c r="AP164" s="95"/>
      <c r="AQ164" s="95"/>
      <c r="AR164" s="94"/>
      <c r="AS164" s="95"/>
      <c r="AT164" s="95"/>
      <c r="AU164" s="95"/>
      <c r="AV164" s="95"/>
      <c r="AW164" s="92"/>
      <c r="AX164" s="93"/>
      <c r="AY164" s="93"/>
      <c r="AZ164" s="93"/>
      <c r="BA164" s="93"/>
      <c r="BB164" s="93"/>
      <c r="BC164" s="93"/>
      <c r="BD164" s="96">
        <v>2</v>
      </c>
      <c r="BE164" s="97" t="s">
        <v>38</v>
      </c>
      <c r="BF164" s="98" t="s">
        <v>831</v>
      </c>
      <c r="BG164" s="97"/>
      <c r="BH164" s="97" t="s">
        <v>283</v>
      </c>
      <c r="BI164" s="97" t="s">
        <v>1252</v>
      </c>
      <c r="BJ164" s="97"/>
      <c r="BK164" s="97"/>
      <c r="BL164" s="97" t="s">
        <v>1254</v>
      </c>
      <c r="BM164" s="97"/>
      <c r="BN164" s="97"/>
      <c r="BO164" s="93"/>
      <c r="BP164" s="93"/>
      <c r="BQ164" s="93"/>
      <c r="BR164" s="93"/>
      <c r="BS164" s="93"/>
      <c r="BT164" s="93"/>
      <c r="BU164" s="93"/>
      <c r="BV164" s="208" t="s">
        <v>1255</v>
      </c>
      <c r="BW164" s="86" t="str">
        <f>VLOOKUP($C164, '_REF Catalog Classes'!$C$6:$E416, COLUMNS('_REF Catalog Classes'!$C$6:$E416), FALSE)</f>
        <v>never</v>
      </c>
      <c r="BX164" s="86"/>
      <c r="BY164" s="86"/>
      <c r="BZ164" s="86" t="s">
        <v>322</v>
      </c>
      <c r="CA164" s="100" t="b">
        <f ca="1">IFERROR(__xludf.DUMMYFUNCTION("IF(REGEXMATCH(Catalog_RewardType,""reward""), VLOOKUP($E164, {'TitleData rewards.items'!$J$9:$J416,'TitleData rewards.items'!$B$9:$B416}, 2, FALSE), """")"),FALSE)</f>
        <v>0</v>
      </c>
    </row>
    <row r="165" spans="1:79" ht="28" hidden="1" x14ac:dyDescent="0.15">
      <c r="A165" s="82" t="s">
        <v>491</v>
      </c>
      <c r="B165" s="83"/>
      <c r="C165" s="82" t="s">
        <v>811</v>
      </c>
      <c r="D165" s="85" t="b">
        <f>VLOOKUP($C165, '_REF Catalog Classes'!$C$6:$D416, COLUMNS('_REF Catalog Classes'!$C$6:$D416), FALSE)</f>
        <v>1</v>
      </c>
      <c r="E165" s="82" t="s">
        <v>1256</v>
      </c>
      <c r="F165" s="82" t="str">
        <f t="shared" si="0"/>
        <v>actionCharacterPickup:</v>
      </c>
      <c r="G165" s="106" t="s">
        <v>904</v>
      </c>
      <c r="H165" s="86" t="s">
        <v>1257</v>
      </c>
      <c r="I165" s="82" t="s">
        <v>847</v>
      </c>
      <c r="J165" s="82" t="s">
        <v>275</v>
      </c>
      <c r="K165" s="82" t="s">
        <v>275</v>
      </c>
      <c r="L165" s="86" t="s">
        <v>857</v>
      </c>
      <c r="M165" s="86"/>
      <c r="N165" s="210"/>
      <c r="O165" s="93"/>
      <c r="P165" s="86"/>
      <c r="Q165" s="88"/>
      <c r="R165" s="82"/>
      <c r="S165" s="82"/>
      <c r="T165" s="82"/>
      <c r="U165" s="82"/>
      <c r="V165" s="82"/>
      <c r="W165" s="162"/>
      <c r="X165" s="162"/>
      <c r="Y165" s="90"/>
      <c r="Z165" s="162"/>
      <c r="AA165" s="162"/>
      <c r="AB165" s="162"/>
      <c r="AC165" s="90"/>
      <c r="AD165" s="90"/>
      <c r="AE165" s="90"/>
      <c r="AF165" s="90"/>
      <c r="AG165" s="164"/>
      <c r="AH165" s="108"/>
      <c r="AI165" s="108"/>
      <c r="AJ165" s="108"/>
      <c r="AK165" s="108"/>
      <c r="AL165" s="108"/>
      <c r="AM165" s="108"/>
      <c r="AN165" s="94"/>
      <c r="AO165" s="95"/>
      <c r="AP165" s="95"/>
      <c r="AQ165" s="95"/>
      <c r="AR165" s="94"/>
      <c r="AS165" s="95"/>
      <c r="AT165" s="95"/>
      <c r="AU165" s="95"/>
      <c r="AV165" s="95"/>
      <c r="AW165" s="164"/>
      <c r="AX165" s="108"/>
      <c r="AY165" s="108"/>
      <c r="AZ165" s="108"/>
      <c r="BA165" s="108"/>
      <c r="BB165" s="108"/>
      <c r="BC165" s="108"/>
      <c r="BD165" s="167"/>
      <c r="BE165" s="167"/>
      <c r="BF165" s="98"/>
      <c r="BG165" s="167"/>
      <c r="BH165" s="167"/>
      <c r="BI165" s="167"/>
      <c r="BJ165" s="167"/>
      <c r="BK165" s="167"/>
      <c r="BL165" s="167"/>
      <c r="BM165" s="167"/>
      <c r="BN165" s="167"/>
      <c r="BO165" s="108"/>
      <c r="BP165" s="108"/>
      <c r="BQ165" s="108"/>
      <c r="BR165" s="108"/>
      <c r="BS165" s="108"/>
      <c r="BT165" s="108"/>
      <c r="BU165" s="108"/>
      <c r="BV165" s="99"/>
      <c r="BW165" s="86"/>
      <c r="BX165" s="86"/>
      <c r="BY165" s="86"/>
      <c r="BZ165" s="100" t="s">
        <v>850</v>
      </c>
      <c r="CA165" s="100" t="str">
        <f ca="1">IFERROR(__xludf.DUMMYFUNCTION("IF(REGEXMATCH(Catalog_RewardType,""reward""), VLOOKUP($E165, {'TitleData rewards.items'!$J$9:$J416,'TitleData rewards.items'!$B$9:$B416}, 2, FALSE), """")"),"")</f>
        <v/>
      </c>
    </row>
    <row r="166" spans="1:79" ht="45" x14ac:dyDescent="0.15">
      <c r="A166" s="82" t="s">
        <v>269</v>
      </c>
      <c r="B166" s="83"/>
      <c r="C166" s="82" t="s">
        <v>808</v>
      </c>
      <c r="D166" s="85" t="b">
        <f>VLOOKUP($C166, '_REF Catalog Classes'!$C$6:$D416, COLUMNS('_REF Catalog Classes'!$C$6:$D416), FALSE)</f>
        <v>1</v>
      </c>
      <c r="E166" s="82" t="s">
        <v>1258</v>
      </c>
      <c r="F166" s="82" t="str">
        <f t="shared" si="0"/>
        <v>achievementPlayCharacterPickup:</v>
      </c>
      <c r="G166" s="86" t="s">
        <v>1259</v>
      </c>
      <c r="H166" s="86" t="s">
        <v>1260</v>
      </c>
      <c r="I166" s="82" t="s">
        <v>274</v>
      </c>
      <c r="J166" s="86"/>
      <c r="K166" s="82"/>
      <c r="L166" s="86"/>
      <c r="M166" s="86" t="s">
        <v>830</v>
      </c>
      <c r="N166" s="107"/>
      <c r="O166" s="108"/>
      <c r="P166" s="82">
        <v>14</v>
      </c>
      <c r="Q166" s="88"/>
      <c r="R166" s="82"/>
      <c r="S166" s="82"/>
      <c r="T166" s="82"/>
      <c r="U166" s="82"/>
      <c r="V166" s="82"/>
      <c r="W166" s="89">
        <v>0</v>
      </c>
      <c r="X166" s="90" t="s">
        <v>37</v>
      </c>
      <c r="Y166" s="90" t="s">
        <v>873</v>
      </c>
      <c r="Z166" s="162"/>
      <c r="AA166" s="91" t="s">
        <v>283</v>
      </c>
      <c r="AB166" s="162" t="s">
        <v>1261</v>
      </c>
      <c r="AC166" s="90"/>
      <c r="AD166" s="162" t="s">
        <v>1262</v>
      </c>
      <c r="AE166" s="162"/>
      <c r="AF166" s="162"/>
      <c r="AG166" s="164"/>
      <c r="AH166" s="108"/>
      <c r="AI166" s="108"/>
      <c r="AJ166" s="108"/>
      <c r="AK166" s="108"/>
      <c r="AL166" s="108"/>
      <c r="AM166" s="108"/>
      <c r="AN166" s="94"/>
      <c r="AO166" s="95"/>
      <c r="AP166" s="95"/>
      <c r="AQ166" s="95"/>
      <c r="AR166" s="94"/>
      <c r="AS166" s="95"/>
      <c r="AT166" s="95"/>
      <c r="AU166" s="95"/>
      <c r="AV166" s="95"/>
      <c r="AW166" s="164"/>
      <c r="AX166" s="108"/>
      <c r="AY166" s="108"/>
      <c r="AZ166" s="108"/>
      <c r="BA166" s="108"/>
      <c r="BB166" s="108"/>
      <c r="BC166" s="108"/>
      <c r="BD166" s="96">
        <v>2</v>
      </c>
      <c r="BE166" s="97" t="s">
        <v>38</v>
      </c>
      <c r="BF166" s="98" t="s">
        <v>873</v>
      </c>
      <c r="BG166" s="97"/>
      <c r="BH166" s="97" t="s">
        <v>283</v>
      </c>
      <c r="BI166" s="97" t="s">
        <v>1261</v>
      </c>
      <c r="BJ166" s="167"/>
      <c r="BK166" s="97"/>
      <c r="BL166" s="209" t="s">
        <v>1263</v>
      </c>
      <c r="BM166" s="167" t="s">
        <v>1264</v>
      </c>
      <c r="BN166" s="97"/>
      <c r="BO166" s="108"/>
      <c r="BP166" s="108"/>
      <c r="BQ166" s="108"/>
      <c r="BR166" s="108"/>
      <c r="BS166" s="108"/>
      <c r="BT166" s="108"/>
      <c r="BU166" s="108"/>
      <c r="BV166" s="211" t="s">
        <v>1265</v>
      </c>
      <c r="BW166" s="86" t="str">
        <f>VLOOKUP($C166, '_REF Catalog Classes'!$C$6:$E416, COLUMNS('_REF Catalog Classes'!$C$6:$E416), FALSE)</f>
        <v>never</v>
      </c>
      <c r="BX166" s="86"/>
      <c r="BY166" s="86"/>
      <c r="BZ166" s="86" t="s">
        <v>322</v>
      </c>
      <c r="CA166" s="100" t="b">
        <f ca="1">IFERROR(__xludf.DUMMYFUNCTION("IF(REGEXMATCH(Catalog_RewardType,""reward""), VLOOKUP($E166, {'TitleData rewards.items'!$J$9:$J416,'TitleData rewards.items'!$B$9:$B416}, 2, FALSE), """")"),FALSE)</f>
        <v>0</v>
      </c>
    </row>
    <row r="167" spans="1:79" ht="56" x14ac:dyDescent="0.15">
      <c r="A167" s="106" t="s">
        <v>269</v>
      </c>
      <c r="B167" s="83"/>
      <c r="C167" s="106" t="s">
        <v>808</v>
      </c>
      <c r="D167" s="85" t="b">
        <f>VLOOKUP($C167, '_REF Catalog Classes'!$C$6:$D416, COLUMNS('_REF Catalog Classes'!$C$6:$D416), FALSE)</f>
        <v>1</v>
      </c>
      <c r="E167" s="106" t="s">
        <v>1266</v>
      </c>
      <c r="F167" s="82" t="str">
        <f t="shared" si="0"/>
        <v>achievementPlayEarlyBird:</v>
      </c>
      <c r="G167" s="125" t="s">
        <v>1267</v>
      </c>
      <c r="H167" s="125" t="s">
        <v>1268</v>
      </c>
      <c r="I167" s="82" t="s">
        <v>274</v>
      </c>
      <c r="J167" s="82"/>
      <c r="K167" s="82"/>
      <c r="L167" s="82"/>
      <c r="M167" s="86" t="s">
        <v>830</v>
      </c>
      <c r="N167" s="107"/>
      <c r="O167" s="108"/>
      <c r="P167" s="82">
        <v>15</v>
      </c>
      <c r="Q167" s="88"/>
      <c r="R167" s="82"/>
      <c r="S167" s="82"/>
      <c r="T167" s="82"/>
      <c r="U167" s="82"/>
      <c r="V167" s="82"/>
      <c r="W167" s="89">
        <v>0</v>
      </c>
      <c r="X167" s="90" t="s">
        <v>37</v>
      </c>
      <c r="Y167" s="90" t="s">
        <v>831</v>
      </c>
      <c r="Z167" s="162"/>
      <c r="AA167" s="91" t="s">
        <v>283</v>
      </c>
      <c r="AB167" s="162" t="s">
        <v>1269</v>
      </c>
      <c r="AC167" s="90"/>
      <c r="AD167" s="162" t="s">
        <v>1270</v>
      </c>
      <c r="AE167" s="162"/>
      <c r="AF167" s="162"/>
      <c r="AG167" s="164"/>
      <c r="AH167" s="108"/>
      <c r="AI167" s="108"/>
      <c r="AJ167" s="108"/>
      <c r="AK167" s="108"/>
      <c r="AL167" s="108"/>
      <c r="AM167" s="108"/>
      <c r="AN167" s="94"/>
      <c r="AO167" s="95"/>
      <c r="AP167" s="95"/>
      <c r="AQ167" s="95"/>
      <c r="AR167" s="94"/>
      <c r="AS167" s="95"/>
      <c r="AT167" s="95"/>
      <c r="AU167" s="95"/>
      <c r="AV167" s="95"/>
      <c r="AW167" s="164"/>
      <c r="AX167" s="108"/>
      <c r="AY167" s="108"/>
      <c r="AZ167" s="108"/>
      <c r="BA167" s="108"/>
      <c r="BB167" s="108"/>
      <c r="BC167" s="108"/>
      <c r="BD167" s="96">
        <v>2</v>
      </c>
      <c r="BE167" s="97" t="s">
        <v>38</v>
      </c>
      <c r="BF167" s="98" t="s">
        <v>831</v>
      </c>
      <c r="BG167" s="167"/>
      <c r="BH167" s="97" t="s">
        <v>283</v>
      </c>
      <c r="BI167" s="167" t="s">
        <v>1269</v>
      </c>
      <c r="BJ167" s="167"/>
      <c r="BK167" s="167"/>
      <c r="BL167" s="167" t="s">
        <v>1271</v>
      </c>
      <c r="BM167" s="167"/>
      <c r="BN167" s="167"/>
      <c r="BO167" s="108"/>
      <c r="BP167" s="108"/>
      <c r="BQ167" s="108"/>
      <c r="BR167" s="108"/>
      <c r="BS167" s="108"/>
      <c r="BT167" s="108"/>
      <c r="BU167" s="108"/>
      <c r="BV167" s="99" t="s">
        <v>1272</v>
      </c>
      <c r="BW167" s="86" t="str">
        <f>VLOOKUP($C167, '_REF Catalog Classes'!$C$6:$E416, COLUMNS('_REF Catalog Classes'!$C$6:$E416), FALSE)</f>
        <v>never</v>
      </c>
      <c r="BX167" s="86"/>
      <c r="BY167" s="86"/>
      <c r="BZ167" s="86" t="s">
        <v>322</v>
      </c>
      <c r="CA167" s="100" t="b">
        <f ca="1">IFERROR(__xludf.DUMMYFUNCTION("IF(REGEXMATCH(Catalog_RewardType,""reward""), VLOOKUP($E167, {'TitleData rewards.items'!$J$9:$J416,'TitleData rewards.items'!$B$9:$B416}, 2, FALSE), """")"),FALSE)</f>
        <v>0</v>
      </c>
    </row>
    <row r="168" spans="1:79" ht="42" x14ac:dyDescent="0.15">
      <c r="A168" s="106" t="s">
        <v>269</v>
      </c>
      <c r="B168" s="83"/>
      <c r="C168" s="106" t="s">
        <v>808</v>
      </c>
      <c r="D168" s="85" t="b">
        <f>VLOOKUP($C168, '_REF Catalog Classes'!$C$6:$D416, COLUMNS('_REF Catalog Classes'!$C$6:$D416), FALSE)</f>
        <v>1</v>
      </c>
      <c r="E168" s="106" t="s">
        <v>1273</v>
      </c>
      <c r="F168" s="82" t="str">
        <f t="shared" si="0"/>
        <v>achievementPlayLateNight:</v>
      </c>
      <c r="G168" s="125" t="s">
        <v>1274</v>
      </c>
      <c r="H168" s="125" t="s">
        <v>1275</v>
      </c>
      <c r="I168" s="82" t="s">
        <v>274</v>
      </c>
      <c r="J168" s="82"/>
      <c r="K168" s="82"/>
      <c r="L168" s="82"/>
      <c r="M168" s="86" t="s">
        <v>830</v>
      </c>
      <c r="N168" s="107"/>
      <c r="O168" s="108"/>
      <c r="P168" s="82">
        <v>16</v>
      </c>
      <c r="Q168" s="88"/>
      <c r="R168" s="82"/>
      <c r="S168" s="82"/>
      <c r="T168" s="82"/>
      <c r="U168" s="82"/>
      <c r="V168" s="82"/>
      <c r="W168" s="89">
        <v>0</v>
      </c>
      <c r="X168" s="90" t="s">
        <v>37</v>
      </c>
      <c r="Y168" s="90" t="s">
        <v>831</v>
      </c>
      <c r="Z168" s="162"/>
      <c r="AA168" s="91" t="s">
        <v>283</v>
      </c>
      <c r="AB168" s="162" t="s">
        <v>1276</v>
      </c>
      <c r="AC168" s="90"/>
      <c r="AD168" s="162" t="s">
        <v>1277</v>
      </c>
      <c r="AE168" s="162"/>
      <c r="AF168" s="162"/>
      <c r="AG168" s="164"/>
      <c r="AH168" s="108"/>
      <c r="AI168" s="108"/>
      <c r="AJ168" s="108"/>
      <c r="AK168" s="108"/>
      <c r="AL168" s="108"/>
      <c r="AM168" s="108"/>
      <c r="AN168" s="94"/>
      <c r="AO168" s="95"/>
      <c r="AP168" s="95"/>
      <c r="AQ168" s="95"/>
      <c r="AR168" s="94"/>
      <c r="AS168" s="95"/>
      <c r="AT168" s="95"/>
      <c r="AU168" s="95"/>
      <c r="AV168" s="95"/>
      <c r="AW168" s="164"/>
      <c r="AX168" s="108"/>
      <c r="AY168" s="108"/>
      <c r="AZ168" s="108"/>
      <c r="BA168" s="108"/>
      <c r="BB168" s="108"/>
      <c r="BC168" s="108"/>
      <c r="BD168" s="96">
        <v>2</v>
      </c>
      <c r="BE168" s="97" t="s">
        <v>38</v>
      </c>
      <c r="BF168" s="98" t="s">
        <v>831</v>
      </c>
      <c r="BG168" s="167"/>
      <c r="BH168" s="97" t="s">
        <v>283</v>
      </c>
      <c r="BI168" s="167" t="s">
        <v>1276</v>
      </c>
      <c r="BJ168" s="167"/>
      <c r="BK168" s="167"/>
      <c r="BL168" s="167" t="s">
        <v>1278</v>
      </c>
      <c r="BM168" s="167"/>
      <c r="BN168" s="167"/>
      <c r="BO168" s="108"/>
      <c r="BP168" s="108"/>
      <c r="BQ168" s="108"/>
      <c r="BR168" s="108"/>
      <c r="BS168" s="108"/>
      <c r="BT168" s="108"/>
      <c r="BU168" s="108"/>
      <c r="BV168" s="99" t="s">
        <v>1279</v>
      </c>
      <c r="BW168" s="86" t="str">
        <f>VLOOKUP($C168, '_REF Catalog Classes'!$C$6:$E416, COLUMNS('_REF Catalog Classes'!$C$6:$E416), FALSE)</f>
        <v>never</v>
      </c>
      <c r="BX168" s="86"/>
      <c r="BY168" s="86"/>
      <c r="BZ168" s="86" t="s">
        <v>322</v>
      </c>
      <c r="CA168" s="100" t="b">
        <f ca="1">IFERROR(__xludf.DUMMYFUNCTION("IF(REGEXMATCH(Catalog_RewardType,""reward""), VLOOKUP($E168, {'TitleData rewards.items'!$J$9:$J416,'TitleData rewards.items'!$B$9:$B416}, 2, FALSE), """")"),FALSE)</f>
        <v>0</v>
      </c>
    </row>
    <row r="169" spans="1:79" ht="42" x14ac:dyDescent="0.15">
      <c r="A169" s="82" t="s">
        <v>269</v>
      </c>
      <c r="B169" s="83"/>
      <c r="C169" s="82" t="s">
        <v>808</v>
      </c>
      <c r="D169" s="85" t="b">
        <f>VLOOKUP($C169, '_REF Catalog Classes'!$C$6:$D416, COLUMNS('_REF Catalog Classes'!$C$6:$D416), FALSE)</f>
        <v>1</v>
      </c>
      <c r="E169" s="82" t="s">
        <v>1280</v>
      </c>
      <c r="F169" s="82" t="str">
        <f t="shared" si="0"/>
        <v>achievementPlaySameDay:</v>
      </c>
      <c r="G169" s="82" t="s">
        <v>1281</v>
      </c>
      <c r="H169" s="82" t="s">
        <v>1282</v>
      </c>
      <c r="I169" s="82" t="s">
        <v>274</v>
      </c>
      <c r="J169" s="82"/>
      <c r="K169" s="82"/>
      <c r="L169" s="82"/>
      <c r="M169" s="86" t="s">
        <v>830</v>
      </c>
      <c r="N169" s="107"/>
      <c r="O169" s="108"/>
      <c r="P169" s="82">
        <v>17</v>
      </c>
      <c r="Q169" s="88"/>
      <c r="R169" s="82"/>
      <c r="S169" s="82"/>
      <c r="T169" s="82"/>
      <c r="U169" s="82"/>
      <c r="V169" s="82"/>
      <c r="W169" s="89">
        <v>0</v>
      </c>
      <c r="X169" s="90" t="s">
        <v>37</v>
      </c>
      <c r="Y169" s="90" t="s">
        <v>831</v>
      </c>
      <c r="Z169" s="162"/>
      <c r="AA169" s="91" t="s">
        <v>283</v>
      </c>
      <c r="AB169" s="162" t="s">
        <v>1283</v>
      </c>
      <c r="AC169" s="90"/>
      <c r="AD169" s="162" t="s">
        <v>1284</v>
      </c>
      <c r="AE169" s="162"/>
      <c r="AF169" s="162"/>
      <c r="AG169" s="164"/>
      <c r="AH169" s="108"/>
      <c r="AI169" s="108"/>
      <c r="AJ169" s="108"/>
      <c r="AK169" s="108"/>
      <c r="AL169" s="108"/>
      <c r="AM169" s="108"/>
      <c r="AN169" s="212"/>
      <c r="AO169" s="206"/>
      <c r="AP169" s="95"/>
      <c r="AQ169" s="206"/>
      <c r="AR169" s="212"/>
      <c r="AS169" s="206"/>
      <c r="AT169" s="206"/>
      <c r="AU169" s="206"/>
      <c r="AV169" s="206"/>
      <c r="AW169" s="164"/>
      <c r="AX169" s="108"/>
      <c r="AY169" s="108"/>
      <c r="AZ169" s="108"/>
      <c r="BA169" s="108"/>
      <c r="BB169" s="108"/>
      <c r="BC169" s="108"/>
      <c r="BD169" s="96">
        <v>2</v>
      </c>
      <c r="BE169" s="97" t="s">
        <v>38</v>
      </c>
      <c r="BF169" s="98" t="s">
        <v>831</v>
      </c>
      <c r="BG169" s="167"/>
      <c r="BH169" s="97" t="s">
        <v>283</v>
      </c>
      <c r="BI169" s="167" t="s">
        <v>1283</v>
      </c>
      <c r="BJ169" s="167"/>
      <c r="BK169" s="167"/>
      <c r="BL169" s="167" t="s">
        <v>1285</v>
      </c>
      <c r="BM169" s="167"/>
      <c r="BN169" s="167"/>
      <c r="BO169" s="108"/>
      <c r="BP169" s="108"/>
      <c r="BQ169" s="108"/>
      <c r="BR169" s="108"/>
      <c r="BS169" s="108"/>
      <c r="BT169" s="108"/>
      <c r="BU169" s="108"/>
      <c r="BV169" s="113" t="s">
        <v>1286</v>
      </c>
      <c r="BW169" s="86" t="str">
        <f>VLOOKUP($C169, '_REF Catalog Classes'!$C$6:$E416, COLUMNS('_REF Catalog Classes'!$C$6:$E416), FALSE)</f>
        <v>never</v>
      </c>
      <c r="BX169" s="86"/>
      <c r="BY169" s="86"/>
      <c r="BZ169" s="86" t="s">
        <v>322</v>
      </c>
      <c r="CA169" s="100" t="b">
        <f ca="1">IFERROR(__xludf.DUMMYFUNCTION("IF(REGEXMATCH(Catalog_RewardType,""reward""), VLOOKUP($E169, {'TitleData rewards.items'!$J$9:$J416,'TitleData rewards.items'!$B$9:$B416}, 2, FALSE), """")"),FALSE)</f>
        <v>0</v>
      </c>
    </row>
    <row r="170" spans="1:79" ht="30" x14ac:dyDescent="0.15">
      <c r="A170" s="82" t="s">
        <v>269</v>
      </c>
      <c r="B170" s="83"/>
      <c r="C170" s="82" t="s">
        <v>808</v>
      </c>
      <c r="D170" s="85" t="b">
        <f>VLOOKUP($C170, '_REF Catalog Classes'!$C$6:$D416, COLUMNS('_REF Catalog Classes'!$C$6:$D416), FALSE)</f>
        <v>1</v>
      </c>
      <c r="E170" s="82" t="s">
        <v>1287</v>
      </c>
      <c r="F170" s="82" t="str">
        <f t="shared" si="0"/>
        <v>achievementPlayTimes:</v>
      </c>
      <c r="G170" s="86" t="s">
        <v>1288</v>
      </c>
      <c r="H170" s="86" t="s">
        <v>1289</v>
      </c>
      <c r="I170" s="82" t="s">
        <v>274</v>
      </c>
      <c r="J170" s="82"/>
      <c r="K170" s="82"/>
      <c r="L170" s="82"/>
      <c r="M170" s="86" t="s">
        <v>830</v>
      </c>
      <c r="N170" s="107"/>
      <c r="O170" s="108"/>
      <c r="P170" s="82">
        <v>18</v>
      </c>
      <c r="Q170" s="88"/>
      <c r="R170" s="82"/>
      <c r="S170" s="82"/>
      <c r="T170" s="82"/>
      <c r="U170" s="82"/>
      <c r="V170" s="82"/>
      <c r="W170" s="89">
        <v>0</v>
      </c>
      <c r="X170" s="90" t="s">
        <v>37</v>
      </c>
      <c r="Y170" s="90" t="s">
        <v>831</v>
      </c>
      <c r="Z170" s="162"/>
      <c r="AA170" s="91" t="s">
        <v>283</v>
      </c>
      <c r="AB170" s="162" t="s">
        <v>1290</v>
      </c>
      <c r="AC170" s="90"/>
      <c r="AD170" s="162" t="s">
        <v>1291</v>
      </c>
      <c r="AE170" s="162"/>
      <c r="AF170" s="162"/>
      <c r="AG170" s="164"/>
      <c r="AH170" s="108"/>
      <c r="AI170" s="108"/>
      <c r="AJ170" s="108"/>
      <c r="AK170" s="108"/>
      <c r="AL170" s="108"/>
      <c r="AM170" s="108"/>
      <c r="AN170" s="94"/>
      <c r="AO170" s="95"/>
      <c r="AP170" s="95"/>
      <c r="AQ170" s="95"/>
      <c r="AR170" s="94"/>
      <c r="AS170" s="95"/>
      <c r="AT170" s="95"/>
      <c r="AU170" s="95"/>
      <c r="AV170" s="95"/>
      <c r="AW170" s="164"/>
      <c r="AX170" s="108"/>
      <c r="AY170" s="108"/>
      <c r="AZ170" s="108"/>
      <c r="BA170" s="108"/>
      <c r="BB170" s="108"/>
      <c r="BC170" s="108"/>
      <c r="BD170" s="96">
        <v>2</v>
      </c>
      <c r="BE170" s="97" t="s">
        <v>38</v>
      </c>
      <c r="BF170" s="98" t="s">
        <v>831</v>
      </c>
      <c r="BG170" s="167"/>
      <c r="BH170" s="97" t="s">
        <v>283</v>
      </c>
      <c r="BI170" s="97" t="s">
        <v>1290</v>
      </c>
      <c r="BJ170" s="167"/>
      <c r="BK170" s="167"/>
      <c r="BL170" s="167" t="s">
        <v>1292</v>
      </c>
      <c r="BM170" s="167"/>
      <c r="BN170" s="167"/>
      <c r="BO170" s="108"/>
      <c r="BP170" s="108"/>
      <c r="BQ170" s="108"/>
      <c r="BR170" s="108"/>
      <c r="BS170" s="108"/>
      <c r="BT170" s="108"/>
      <c r="BU170" s="108"/>
      <c r="BV170" s="207" t="s">
        <v>1293</v>
      </c>
      <c r="BW170" s="86" t="str">
        <f>VLOOKUP($C170, '_REF Catalog Classes'!$C$6:$E416, COLUMNS('_REF Catalog Classes'!$C$6:$E416), FALSE)</f>
        <v>never</v>
      </c>
      <c r="BX170" s="86"/>
      <c r="BY170" s="86"/>
      <c r="BZ170" s="86" t="s">
        <v>322</v>
      </c>
      <c r="CA170" s="100" t="b">
        <f ca="1">IFERROR(__xludf.DUMMYFUNCTION("IF(REGEXMATCH(Catalog_RewardType,""reward""), VLOOKUP($E170, {'TitleData rewards.items'!$J$9:$J416,'TitleData rewards.items'!$B$9:$B416}, 2, FALSE), """")"),FALSE)</f>
        <v>0</v>
      </c>
    </row>
    <row r="171" spans="1:79" ht="28" hidden="1" x14ac:dyDescent="0.15">
      <c r="A171" s="82" t="s">
        <v>491</v>
      </c>
      <c r="B171" s="83"/>
      <c r="C171" s="82" t="s">
        <v>811</v>
      </c>
      <c r="D171" s="85" t="b">
        <f>VLOOKUP($C171, '_REF Catalog Classes'!$C$6:$D416, COLUMNS('_REF Catalog Classes'!$C$6:$D416), FALSE)</f>
        <v>1</v>
      </c>
      <c r="E171" s="82" t="s">
        <v>1294</v>
      </c>
      <c r="F171" s="82" t="str">
        <f t="shared" si="0"/>
        <v>actionAmmoSwap:</v>
      </c>
      <c r="G171" s="86" t="s">
        <v>1295</v>
      </c>
      <c r="H171" s="86" t="s">
        <v>1296</v>
      </c>
      <c r="I171" s="82" t="s">
        <v>847</v>
      </c>
      <c r="J171" s="82" t="s">
        <v>275</v>
      </c>
      <c r="K171" s="82" t="s">
        <v>275</v>
      </c>
      <c r="L171" s="82" t="s">
        <v>857</v>
      </c>
      <c r="M171" s="82"/>
      <c r="N171" s="107"/>
      <c r="O171" s="108"/>
      <c r="P171" s="82"/>
      <c r="Q171" s="88"/>
      <c r="R171" s="82"/>
      <c r="S171" s="82"/>
      <c r="T171" s="82"/>
      <c r="U171" s="82"/>
      <c r="V171" s="82"/>
      <c r="W171" s="89"/>
      <c r="X171" s="90"/>
      <c r="Y171" s="90"/>
      <c r="Z171" s="90"/>
      <c r="AA171" s="89"/>
      <c r="AB171" s="90"/>
      <c r="AC171" s="90"/>
      <c r="AD171" s="90"/>
      <c r="AE171" s="90"/>
      <c r="AF171" s="90"/>
      <c r="AG171" s="92"/>
      <c r="AH171" s="93"/>
      <c r="AI171" s="93"/>
      <c r="AJ171" s="93"/>
      <c r="AK171" s="93"/>
      <c r="AL171" s="93"/>
      <c r="AM171" s="93"/>
      <c r="AN171" s="94"/>
      <c r="AO171" s="95"/>
      <c r="AP171" s="95"/>
      <c r="AQ171" s="95"/>
      <c r="AR171" s="94"/>
      <c r="AS171" s="95"/>
      <c r="AT171" s="95"/>
      <c r="AU171" s="95"/>
      <c r="AV171" s="95"/>
      <c r="AW171" s="92"/>
      <c r="AX171" s="93"/>
      <c r="AY171" s="93"/>
      <c r="AZ171" s="93"/>
      <c r="BA171" s="93"/>
      <c r="BB171" s="93"/>
      <c r="BC171" s="93"/>
      <c r="BD171" s="168"/>
      <c r="BE171" s="97"/>
      <c r="BF171" s="98"/>
      <c r="BG171" s="97"/>
      <c r="BH171" s="168"/>
      <c r="BI171" s="97"/>
      <c r="BJ171" s="97"/>
      <c r="BK171" s="97"/>
      <c r="BL171" s="97"/>
      <c r="BM171" s="97"/>
      <c r="BN171" s="97"/>
      <c r="BO171" s="93"/>
      <c r="BP171" s="93"/>
      <c r="BQ171" s="93"/>
      <c r="BR171" s="93"/>
      <c r="BS171" s="93"/>
      <c r="BT171" s="93"/>
      <c r="BU171" s="93"/>
      <c r="BV171" s="113"/>
      <c r="BW171" s="82"/>
      <c r="BX171" s="82"/>
      <c r="BY171" s="82"/>
      <c r="BZ171" s="84" t="s">
        <v>850</v>
      </c>
      <c r="CA171" s="100" t="str">
        <f ca="1">IFERROR(__xludf.DUMMYFUNCTION("IF(REGEXMATCH(Catalog_RewardType,""reward""), VLOOKUP($E171, {'TitleData rewards.items'!$J$9:$J416,'TitleData rewards.items'!$B$9:$B416}, 2, FALSE), """")"),"")</f>
        <v/>
      </c>
    </row>
    <row r="172" spans="1:79" ht="70" x14ac:dyDescent="0.15">
      <c r="A172" s="82" t="s">
        <v>269</v>
      </c>
      <c r="B172" s="83"/>
      <c r="C172" s="82" t="s">
        <v>808</v>
      </c>
      <c r="D172" s="85" t="b">
        <f>VLOOKUP($C172, '_REF Catalog Classes'!$C$6:$D416, COLUMNS('_REF Catalog Classes'!$C$6:$D416), FALSE)</f>
        <v>1</v>
      </c>
      <c r="E172" s="82" t="s">
        <v>1297</v>
      </c>
      <c r="F172" s="82" t="str">
        <f t="shared" si="0"/>
        <v>achievementPlayAmmoSwap:</v>
      </c>
      <c r="G172" s="82" t="s">
        <v>1298</v>
      </c>
      <c r="H172" s="82" t="s">
        <v>1299</v>
      </c>
      <c r="I172" s="187" t="s">
        <v>274</v>
      </c>
      <c r="J172" s="82"/>
      <c r="K172" s="82"/>
      <c r="L172" s="82"/>
      <c r="M172" s="86" t="s">
        <v>830</v>
      </c>
      <c r="N172" s="107"/>
      <c r="O172" s="108"/>
      <c r="P172" s="187">
        <v>6</v>
      </c>
      <c r="Q172" s="82"/>
      <c r="R172" s="82"/>
      <c r="S172" s="82"/>
      <c r="T172" s="82"/>
      <c r="U172" s="82"/>
      <c r="V172" s="187"/>
      <c r="W172" s="89">
        <v>0</v>
      </c>
      <c r="X172" s="90" t="s">
        <v>37</v>
      </c>
      <c r="Y172" s="90" t="s">
        <v>873</v>
      </c>
      <c r="Z172" s="162"/>
      <c r="AA172" s="91" t="s">
        <v>283</v>
      </c>
      <c r="AB172" s="162" t="s">
        <v>1300</v>
      </c>
      <c r="AC172" s="90"/>
      <c r="AD172" s="162" t="s">
        <v>1301</v>
      </c>
      <c r="AE172" s="162"/>
      <c r="AF172" s="188"/>
      <c r="AG172" s="108"/>
      <c r="AH172" s="108"/>
      <c r="AI172" s="108"/>
      <c r="AJ172" s="108"/>
      <c r="AK172" s="108"/>
      <c r="AL172" s="108"/>
      <c r="AM172" s="204"/>
      <c r="AN172" s="95"/>
      <c r="AO172" s="95"/>
      <c r="AP172" s="95"/>
      <c r="AQ172" s="95"/>
      <c r="AR172" s="95"/>
      <c r="AS172" s="95"/>
      <c r="AT172" s="95"/>
      <c r="AU172" s="95"/>
      <c r="AV172" s="95"/>
      <c r="AW172" s="108"/>
      <c r="AX172" s="108"/>
      <c r="AY172" s="108"/>
      <c r="AZ172" s="108"/>
      <c r="BA172" s="108"/>
      <c r="BB172" s="108"/>
      <c r="BC172" s="204"/>
      <c r="BD172" s="96">
        <v>2</v>
      </c>
      <c r="BE172" s="97" t="s">
        <v>38</v>
      </c>
      <c r="BF172" s="98" t="s">
        <v>873</v>
      </c>
      <c r="BG172" s="97"/>
      <c r="BH172" s="97" t="s">
        <v>283</v>
      </c>
      <c r="BI172" s="97" t="s">
        <v>1300</v>
      </c>
      <c r="BJ172" s="167"/>
      <c r="BK172" s="97"/>
      <c r="BL172" s="167" t="s">
        <v>1302</v>
      </c>
      <c r="BM172" s="167"/>
      <c r="BN172" s="167"/>
      <c r="BO172" s="108"/>
      <c r="BP172" s="108"/>
      <c r="BQ172" s="108"/>
      <c r="BR172" s="108"/>
      <c r="BS172" s="108"/>
      <c r="BT172" s="108"/>
      <c r="BU172" s="108"/>
      <c r="BV172" s="113" t="s">
        <v>1303</v>
      </c>
      <c r="BW172" s="86" t="str">
        <f>VLOOKUP($C172, '_REF Catalog Classes'!$C$6:$E416, COLUMNS('_REF Catalog Classes'!$C$6:$E416), FALSE)</f>
        <v>never</v>
      </c>
      <c r="BX172" s="86"/>
      <c r="BY172" s="86"/>
      <c r="BZ172" s="86" t="s">
        <v>322</v>
      </c>
      <c r="CA172" s="100" t="b">
        <f ca="1">IFERROR(__xludf.DUMMYFUNCTION("IF(REGEXMATCH(Catalog_RewardType,""reward""), VLOOKUP($E172, {'TitleData rewards.items'!$J$9:$J416,'TitleData rewards.items'!$B$9:$B416}, 2, FALSE), """")"),FALSE)</f>
        <v>0</v>
      </c>
    </row>
    <row r="173" spans="1:79" ht="56" hidden="1" x14ac:dyDescent="0.15">
      <c r="A173" s="82" t="s">
        <v>491</v>
      </c>
      <c r="B173" s="83"/>
      <c r="C173" s="82" t="s">
        <v>811</v>
      </c>
      <c r="D173" s="85" t="b">
        <f>VLOOKUP($C173, '_REF Catalog Classes'!$C$6:$D416, COLUMNS('_REF Catalog Classes'!$C$6:$D416), FALSE)</f>
        <v>1</v>
      </c>
      <c r="E173" s="82" t="s">
        <v>1304</v>
      </c>
      <c r="F173" s="82" t="str">
        <f t="shared" si="0"/>
        <v>actionParkVisit:</v>
      </c>
      <c r="G173" s="86" t="s">
        <v>1305</v>
      </c>
      <c r="H173" s="86" t="s">
        <v>1306</v>
      </c>
      <c r="I173" s="82" t="s">
        <v>829</v>
      </c>
      <c r="J173" s="82" t="s">
        <v>1307</v>
      </c>
      <c r="K173" s="82" t="s">
        <v>275</v>
      </c>
      <c r="L173" s="82"/>
      <c r="M173" s="82"/>
      <c r="N173" s="107"/>
      <c r="O173" s="108"/>
      <c r="P173" s="82"/>
      <c r="Q173" s="88"/>
      <c r="R173" s="82"/>
      <c r="S173" s="82"/>
      <c r="T173" s="82"/>
      <c r="U173" s="82"/>
      <c r="V173" s="82"/>
      <c r="W173" s="89"/>
      <c r="X173" s="90"/>
      <c r="Y173" s="90"/>
      <c r="Z173" s="90"/>
      <c r="AA173" s="89"/>
      <c r="AB173" s="90"/>
      <c r="AC173" s="90"/>
      <c r="AD173" s="90"/>
      <c r="AE173" s="90"/>
      <c r="AF173" s="90"/>
      <c r="AG173" s="92"/>
      <c r="AH173" s="93"/>
      <c r="AI173" s="93"/>
      <c r="AJ173" s="93"/>
      <c r="AK173" s="93"/>
      <c r="AL173" s="93"/>
      <c r="AM173" s="93"/>
      <c r="AN173" s="94"/>
      <c r="AO173" s="95"/>
      <c r="AP173" s="95"/>
      <c r="AQ173" s="95"/>
      <c r="AR173" s="94"/>
      <c r="AS173" s="95"/>
      <c r="AT173" s="95"/>
      <c r="AU173" s="95"/>
      <c r="AV173" s="95"/>
      <c r="AW173" s="92"/>
      <c r="AX173" s="93"/>
      <c r="AY173" s="93"/>
      <c r="AZ173" s="93"/>
      <c r="BA173" s="93"/>
      <c r="BB173" s="93"/>
      <c r="BC173" s="93"/>
      <c r="BD173" s="168"/>
      <c r="BE173" s="97"/>
      <c r="BF173" s="98"/>
      <c r="BG173" s="97"/>
      <c r="BH173" s="168"/>
      <c r="BI173" s="97"/>
      <c r="BJ173" s="97"/>
      <c r="BK173" s="97"/>
      <c r="BL173" s="97"/>
      <c r="BM173" s="97"/>
      <c r="BN173" s="97"/>
      <c r="BO173" s="93"/>
      <c r="BP173" s="93"/>
      <c r="BQ173" s="93"/>
      <c r="BR173" s="93"/>
      <c r="BS173" s="93"/>
      <c r="BT173" s="93"/>
      <c r="BU173" s="93"/>
      <c r="BV173" s="207" t="s">
        <v>1308</v>
      </c>
      <c r="BW173" s="84"/>
      <c r="BX173" s="86"/>
      <c r="BY173" s="86"/>
      <c r="BZ173" s="213" t="s">
        <v>1309</v>
      </c>
      <c r="CA173" s="100" t="str">
        <f ca="1">IFERROR(__xludf.DUMMYFUNCTION("IF(REGEXMATCH(Catalog_RewardType,""reward""), VLOOKUP($E173, {'TitleData rewards.items'!$J$9:$J416,'TitleData rewards.items'!$B$9:$B416}, 2, FALSE), """")"),"")</f>
        <v/>
      </c>
    </row>
    <row r="174" spans="1:79" ht="16" hidden="1" x14ac:dyDescent="0.15">
      <c r="A174" s="82" t="s">
        <v>491</v>
      </c>
      <c r="B174" s="83"/>
      <c r="C174" s="82" t="s">
        <v>811</v>
      </c>
      <c r="D174" s="85" t="b">
        <f>VLOOKUP($C174, '_REF Catalog Classes'!$C$6:$D416, COLUMNS('_REF Catalog Classes'!$C$6:$D416), FALSE)</f>
        <v>1</v>
      </c>
      <c r="E174" s="82" t="s">
        <v>1310</v>
      </c>
      <c r="F174" s="82" t="str">
        <f t="shared" si="0"/>
        <v>actionStrongholdTankHaywire:</v>
      </c>
      <c r="G174" s="106" t="s">
        <v>904</v>
      </c>
      <c r="H174" s="86" t="s">
        <v>1115</v>
      </c>
      <c r="I174" s="82" t="s">
        <v>847</v>
      </c>
      <c r="J174" s="82" t="s">
        <v>275</v>
      </c>
      <c r="K174" s="82" t="s">
        <v>275</v>
      </c>
      <c r="L174" s="82" t="s">
        <v>857</v>
      </c>
      <c r="M174" s="82"/>
      <c r="N174" s="107"/>
      <c r="O174" s="108"/>
      <c r="P174" s="82"/>
      <c r="Q174" s="88"/>
      <c r="R174" s="82"/>
      <c r="S174" s="82"/>
      <c r="T174" s="82"/>
      <c r="U174" s="82"/>
      <c r="V174" s="82"/>
      <c r="W174" s="89"/>
      <c r="X174" s="90"/>
      <c r="Y174" s="90"/>
      <c r="Z174" s="90"/>
      <c r="AA174" s="89"/>
      <c r="AB174" s="90"/>
      <c r="AC174" s="90"/>
      <c r="AD174" s="90"/>
      <c r="AE174" s="90"/>
      <c r="AF174" s="90"/>
      <c r="AG174" s="92"/>
      <c r="AH174" s="93"/>
      <c r="AI174" s="93"/>
      <c r="AJ174" s="93"/>
      <c r="AK174" s="93"/>
      <c r="AL174" s="93"/>
      <c r="AM174" s="93"/>
      <c r="AN174" s="94"/>
      <c r="AO174" s="95"/>
      <c r="AP174" s="95"/>
      <c r="AQ174" s="95"/>
      <c r="AR174" s="94"/>
      <c r="AS174" s="95"/>
      <c r="AT174" s="95"/>
      <c r="AU174" s="95"/>
      <c r="AV174" s="95"/>
      <c r="AW174" s="92"/>
      <c r="AX174" s="93"/>
      <c r="AY174" s="93"/>
      <c r="AZ174" s="93"/>
      <c r="BA174" s="93"/>
      <c r="BB174" s="93"/>
      <c r="BC174" s="93"/>
      <c r="BD174" s="168"/>
      <c r="BE174" s="97"/>
      <c r="BF174" s="98"/>
      <c r="BG174" s="97"/>
      <c r="BH174" s="168"/>
      <c r="BI174" s="97"/>
      <c r="BJ174" s="97"/>
      <c r="BK174" s="97"/>
      <c r="BL174" s="97"/>
      <c r="BM174" s="97"/>
      <c r="BN174" s="97"/>
      <c r="BO174" s="93"/>
      <c r="BP174" s="93"/>
      <c r="BQ174" s="93"/>
      <c r="BR174" s="93"/>
      <c r="BS174" s="93"/>
      <c r="BT174" s="93"/>
      <c r="BU174" s="93"/>
      <c r="BV174" s="99"/>
      <c r="BW174" s="86"/>
      <c r="BX174" s="86"/>
      <c r="BY174" s="86"/>
      <c r="BZ174" s="100" t="s">
        <v>850</v>
      </c>
      <c r="CA174" s="100" t="str">
        <f ca="1">IFERROR(__xludf.DUMMYFUNCTION("IF(REGEXMATCH(Catalog_RewardType,""reward""), VLOOKUP($E174, {'TitleData rewards.items'!$J$9:$J416,'TitleData rewards.items'!$B$9:$B416}, 2, FALSE), """")"),"")</f>
        <v/>
      </c>
    </row>
    <row r="175" spans="1:79" ht="42" x14ac:dyDescent="0.15">
      <c r="A175" s="82" t="s">
        <v>269</v>
      </c>
      <c r="B175" s="83"/>
      <c r="C175" s="82" t="s">
        <v>808</v>
      </c>
      <c r="D175" s="85" t="b">
        <f>VLOOKUP($C175, '_REF Catalog Classes'!$C$6:$D416, COLUMNS('_REF Catalog Classes'!$C$6:$D416), FALSE)</f>
        <v>1</v>
      </c>
      <c r="E175" s="82" t="s">
        <v>1311</v>
      </c>
      <c r="F175" s="82" t="str">
        <f t="shared" si="0"/>
        <v>achievementPlayStrongholdTankHaywire:</v>
      </c>
      <c r="G175" s="203" t="s">
        <v>1312</v>
      </c>
      <c r="H175" s="86" t="s">
        <v>1313</v>
      </c>
      <c r="I175" s="82" t="s">
        <v>274</v>
      </c>
      <c r="J175" s="82"/>
      <c r="K175" s="82"/>
      <c r="L175" s="82"/>
      <c r="M175" s="86" t="s">
        <v>830</v>
      </c>
      <c r="N175" s="107"/>
      <c r="O175" s="108"/>
      <c r="P175" s="82">
        <v>19</v>
      </c>
      <c r="Q175" s="88"/>
      <c r="R175" s="82"/>
      <c r="S175" s="82"/>
      <c r="T175" s="82"/>
      <c r="U175" s="82"/>
      <c r="V175" s="82"/>
      <c r="W175" s="89">
        <v>0</v>
      </c>
      <c r="X175" s="90" t="s">
        <v>37</v>
      </c>
      <c r="Y175" s="90" t="s">
        <v>1009</v>
      </c>
      <c r="Z175" s="162"/>
      <c r="AA175" s="91" t="s">
        <v>283</v>
      </c>
      <c r="AB175" s="162" t="s">
        <v>1314</v>
      </c>
      <c r="AC175" s="90"/>
      <c r="AD175" s="162" t="s">
        <v>1315</v>
      </c>
      <c r="AE175" s="162"/>
      <c r="AF175" s="162"/>
      <c r="AG175" s="164"/>
      <c r="AH175" s="108"/>
      <c r="AI175" s="108"/>
      <c r="AJ175" s="108"/>
      <c r="AK175" s="108"/>
      <c r="AL175" s="108"/>
      <c r="AM175" s="108"/>
      <c r="AN175" s="94"/>
      <c r="AO175" s="95"/>
      <c r="AP175" s="95"/>
      <c r="AQ175" s="95"/>
      <c r="AR175" s="94"/>
      <c r="AS175" s="206"/>
      <c r="AT175" s="206"/>
      <c r="AU175" s="206"/>
      <c r="AV175" s="206"/>
      <c r="AW175" s="164"/>
      <c r="AX175" s="108"/>
      <c r="AY175" s="108"/>
      <c r="AZ175" s="108"/>
      <c r="BA175" s="108"/>
      <c r="BB175" s="108"/>
      <c r="BC175" s="108"/>
      <c r="BD175" s="96">
        <v>2</v>
      </c>
      <c r="BE175" s="97" t="s">
        <v>38</v>
      </c>
      <c r="BF175" s="98" t="s">
        <v>1009</v>
      </c>
      <c r="BG175" s="167"/>
      <c r="BH175" s="97" t="s">
        <v>283</v>
      </c>
      <c r="BI175" s="167" t="s">
        <v>1314</v>
      </c>
      <c r="BJ175" s="167"/>
      <c r="BK175" s="97"/>
      <c r="BL175" s="167" t="s">
        <v>1316</v>
      </c>
      <c r="BM175" s="167"/>
      <c r="BN175" s="97"/>
      <c r="BO175" s="108"/>
      <c r="BP175" s="108"/>
      <c r="BQ175" s="108"/>
      <c r="BR175" s="108"/>
      <c r="BS175" s="108"/>
      <c r="BT175" s="108"/>
      <c r="BU175" s="108"/>
      <c r="BV175" s="208" t="s">
        <v>1317</v>
      </c>
      <c r="BW175" s="86" t="str">
        <f>VLOOKUP($C175, '_REF Catalog Classes'!$C$6:$E416, COLUMNS('_REF Catalog Classes'!$C$6:$E416), FALSE)</f>
        <v>never</v>
      </c>
      <c r="BX175" s="86"/>
      <c r="BY175" s="86"/>
      <c r="BZ175" s="86" t="s">
        <v>322</v>
      </c>
      <c r="CA175" s="100" t="b">
        <f ca="1">IFERROR(__xludf.DUMMYFUNCTION("IF(REGEXMATCH(Catalog_RewardType,""reward""), VLOOKUP($E175, {'TitleData rewards.items'!$J$9:$J416,'TitleData rewards.items'!$B$9:$B416}, 2, FALSE), """")"),FALSE)</f>
        <v>0</v>
      </c>
    </row>
    <row r="176" spans="1:79" ht="28" hidden="1" x14ac:dyDescent="0.15">
      <c r="A176" s="82" t="s">
        <v>491</v>
      </c>
      <c r="B176" s="83"/>
      <c r="C176" s="82" t="s">
        <v>811</v>
      </c>
      <c r="D176" s="85" t="b">
        <f>VLOOKUP($C176, '_REF Catalog Classes'!$C$6:$D416, COLUMNS('_REF Catalog Classes'!$C$6:$D416), FALSE)</f>
        <v>1</v>
      </c>
      <c r="E176" s="82" t="s">
        <v>1318</v>
      </c>
      <c r="F176" s="82" t="str">
        <f t="shared" si="0"/>
        <v>actionNunchuckMusicNotes:</v>
      </c>
      <c r="G176" s="106" t="s">
        <v>904</v>
      </c>
      <c r="H176" s="86" t="s">
        <v>1319</v>
      </c>
      <c r="I176" s="82" t="s">
        <v>847</v>
      </c>
      <c r="J176" s="82" t="s">
        <v>275</v>
      </c>
      <c r="K176" s="82" t="s">
        <v>275</v>
      </c>
      <c r="L176" s="82" t="s">
        <v>857</v>
      </c>
      <c r="M176" s="82"/>
      <c r="N176" s="107"/>
      <c r="O176" s="108"/>
      <c r="P176" s="82"/>
      <c r="Q176" s="88"/>
      <c r="R176" s="82"/>
      <c r="S176" s="82"/>
      <c r="T176" s="82"/>
      <c r="U176" s="82"/>
      <c r="V176" s="82"/>
      <c r="W176" s="89"/>
      <c r="X176" s="90"/>
      <c r="Y176" s="90"/>
      <c r="Z176" s="90"/>
      <c r="AA176" s="89"/>
      <c r="AB176" s="90"/>
      <c r="AC176" s="90"/>
      <c r="AD176" s="90"/>
      <c r="AE176" s="90"/>
      <c r="AF176" s="90"/>
      <c r="AG176" s="92"/>
      <c r="AH176" s="93"/>
      <c r="AI176" s="93"/>
      <c r="AJ176" s="93"/>
      <c r="AK176" s="93"/>
      <c r="AL176" s="93"/>
      <c r="AM176" s="93"/>
      <c r="AN176" s="94"/>
      <c r="AO176" s="95"/>
      <c r="AP176" s="95"/>
      <c r="AQ176" s="95"/>
      <c r="AR176" s="94"/>
      <c r="AS176" s="95"/>
      <c r="AT176" s="95"/>
      <c r="AU176" s="95"/>
      <c r="AV176" s="95"/>
      <c r="AW176" s="92"/>
      <c r="AX176" s="93"/>
      <c r="AY176" s="93"/>
      <c r="AZ176" s="93"/>
      <c r="BA176" s="93"/>
      <c r="BB176" s="93"/>
      <c r="BC176" s="93"/>
      <c r="BD176" s="168"/>
      <c r="BE176" s="97"/>
      <c r="BF176" s="98"/>
      <c r="BG176" s="97"/>
      <c r="BH176" s="168"/>
      <c r="BI176" s="97"/>
      <c r="BJ176" s="97"/>
      <c r="BK176" s="97"/>
      <c r="BL176" s="97"/>
      <c r="BM176" s="97"/>
      <c r="BN176" s="97"/>
      <c r="BO176" s="93"/>
      <c r="BP176" s="93"/>
      <c r="BQ176" s="93"/>
      <c r="BR176" s="93"/>
      <c r="BS176" s="93"/>
      <c r="BT176" s="93"/>
      <c r="BU176" s="93"/>
      <c r="BV176" s="99"/>
      <c r="BW176" s="86"/>
      <c r="BX176" s="86"/>
      <c r="BY176" s="86"/>
      <c r="BZ176" s="100" t="s">
        <v>850</v>
      </c>
      <c r="CA176" s="100" t="str">
        <f ca="1">IFERROR(__xludf.DUMMYFUNCTION("IF(REGEXMATCH(Catalog_RewardType,""reward""), VLOOKUP($E176, {'TitleData rewards.items'!$J$9:$J416,'TitleData rewards.items'!$B$9:$B416}, 2, FALSE), """")"),"")</f>
        <v/>
      </c>
    </row>
    <row r="177" spans="1:79" ht="45" x14ac:dyDescent="0.15">
      <c r="A177" s="82" t="s">
        <v>269</v>
      </c>
      <c r="B177" s="83"/>
      <c r="C177" s="82" t="s">
        <v>808</v>
      </c>
      <c r="D177" s="85" t="b">
        <f>VLOOKUP($C177, '_REF Catalog Classes'!$C$6:$D416, COLUMNS('_REF Catalog Classes'!$C$6:$D416), FALSE)</f>
        <v>1</v>
      </c>
      <c r="E177" s="82" t="s">
        <v>1320</v>
      </c>
      <c r="F177" s="82" t="str">
        <f t="shared" si="0"/>
        <v>achievementPlayNunchuckMusicNotes:</v>
      </c>
      <c r="G177" s="86" t="s">
        <v>1321</v>
      </c>
      <c r="H177" s="201" t="s">
        <v>1322</v>
      </c>
      <c r="I177" s="82" t="s">
        <v>274</v>
      </c>
      <c r="J177" s="82"/>
      <c r="K177" s="82"/>
      <c r="L177" s="82"/>
      <c r="M177" s="86" t="s">
        <v>830</v>
      </c>
      <c r="N177" s="107"/>
      <c r="O177" s="108"/>
      <c r="P177" s="82">
        <v>20</v>
      </c>
      <c r="Q177" s="88"/>
      <c r="R177" s="82"/>
      <c r="S177" s="82"/>
      <c r="T177" s="82"/>
      <c r="U177" s="82"/>
      <c r="V177" s="82"/>
      <c r="W177" s="89">
        <v>0</v>
      </c>
      <c r="X177" s="90" t="s">
        <v>37</v>
      </c>
      <c r="Y177" s="90" t="s">
        <v>873</v>
      </c>
      <c r="Z177" s="162"/>
      <c r="AA177" s="91" t="s">
        <v>283</v>
      </c>
      <c r="AB177" s="162" t="s">
        <v>1323</v>
      </c>
      <c r="AC177" s="90"/>
      <c r="AD177" s="162" t="s">
        <v>1324</v>
      </c>
      <c r="AE177" s="162"/>
      <c r="AF177" s="162"/>
      <c r="AG177" s="164"/>
      <c r="AH177" s="108"/>
      <c r="AI177" s="108"/>
      <c r="AJ177" s="108"/>
      <c r="AK177" s="108"/>
      <c r="AL177" s="108"/>
      <c r="AM177" s="108"/>
      <c r="AN177" s="94"/>
      <c r="AO177" s="95"/>
      <c r="AP177" s="95"/>
      <c r="AQ177" s="95"/>
      <c r="AR177" s="94"/>
      <c r="AS177" s="95"/>
      <c r="AT177" s="95"/>
      <c r="AU177" s="95"/>
      <c r="AV177" s="95"/>
      <c r="AW177" s="164"/>
      <c r="AX177" s="108"/>
      <c r="AY177" s="108"/>
      <c r="AZ177" s="108"/>
      <c r="BA177" s="108"/>
      <c r="BB177" s="108"/>
      <c r="BC177" s="108"/>
      <c r="BD177" s="96">
        <v>2</v>
      </c>
      <c r="BE177" s="97" t="s">
        <v>38</v>
      </c>
      <c r="BF177" s="98" t="s">
        <v>873</v>
      </c>
      <c r="BG177" s="97"/>
      <c r="BH177" s="97" t="s">
        <v>283</v>
      </c>
      <c r="BI177" s="97" t="s">
        <v>1323</v>
      </c>
      <c r="BJ177" s="167"/>
      <c r="BK177" s="97"/>
      <c r="BL177" s="167" t="s">
        <v>1325</v>
      </c>
      <c r="BM177" s="167"/>
      <c r="BN177" s="97"/>
      <c r="BO177" s="108"/>
      <c r="BP177" s="108"/>
      <c r="BQ177" s="108"/>
      <c r="BR177" s="108"/>
      <c r="BS177" s="108"/>
      <c r="BT177" s="108"/>
      <c r="BU177" s="108"/>
      <c r="BV177" s="99" t="s">
        <v>1326</v>
      </c>
      <c r="BW177" s="86" t="str">
        <f>VLOOKUP($C177, '_REF Catalog Classes'!$C$6:$E416, COLUMNS('_REF Catalog Classes'!$C$6:$E416), FALSE)</f>
        <v>never</v>
      </c>
      <c r="BX177" s="86"/>
      <c r="BY177" s="86"/>
      <c r="BZ177" s="86" t="s">
        <v>322</v>
      </c>
      <c r="CA177" s="100" t="b">
        <f ca="1">IFERROR(__xludf.DUMMYFUNCTION("IF(REGEXMATCH(Catalog_RewardType,""reward""), VLOOKUP($E177, {'TitleData rewards.items'!$J$9:$J416,'TitleData rewards.items'!$B$9:$B416}, 2, FALSE), """")"),FALSE)</f>
        <v>0</v>
      </c>
    </row>
    <row r="178" spans="1:79" ht="16" hidden="1" x14ac:dyDescent="0.15">
      <c r="A178" s="82" t="s">
        <v>269</v>
      </c>
      <c r="B178" s="83"/>
      <c r="C178" s="82" t="s">
        <v>811</v>
      </c>
      <c r="D178" s="85" t="b">
        <f>VLOOKUP($C178, '_REF Catalog Classes'!$C$6:$D416, COLUMNS('_REF Catalog Classes'!$C$6:$D416), FALSE)</f>
        <v>1</v>
      </c>
      <c r="E178" s="82" t="s">
        <v>1327</v>
      </c>
      <c r="F178" s="82" t="str">
        <f t="shared" si="0"/>
        <v>actionJeanClawedBathtub:</v>
      </c>
      <c r="G178" s="106" t="s">
        <v>904</v>
      </c>
      <c r="H178" s="86" t="s">
        <v>1115</v>
      </c>
      <c r="I178" s="82" t="s">
        <v>847</v>
      </c>
      <c r="J178" s="82" t="s">
        <v>275</v>
      </c>
      <c r="K178" s="82" t="s">
        <v>275</v>
      </c>
      <c r="L178" s="82" t="s">
        <v>857</v>
      </c>
      <c r="M178" s="82"/>
      <c r="N178" s="107"/>
      <c r="O178" s="108"/>
      <c r="P178" s="82"/>
      <c r="Q178" s="88"/>
      <c r="R178" s="82"/>
      <c r="S178" s="82"/>
      <c r="T178" s="82"/>
      <c r="U178" s="82"/>
      <c r="V178" s="82"/>
      <c r="W178" s="89"/>
      <c r="X178" s="90"/>
      <c r="Y178" s="90"/>
      <c r="Z178" s="90"/>
      <c r="AA178" s="89"/>
      <c r="AB178" s="90"/>
      <c r="AC178" s="90"/>
      <c r="AD178" s="90"/>
      <c r="AE178" s="90"/>
      <c r="AF178" s="90"/>
      <c r="AG178" s="92"/>
      <c r="AH178" s="93"/>
      <c r="AI178" s="93"/>
      <c r="AJ178" s="93"/>
      <c r="AK178" s="93"/>
      <c r="AL178" s="93"/>
      <c r="AM178" s="93"/>
      <c r="AN178" s="94"/>
      <c r="AO178" s="95"/>
      <c r="AP178" s="95"/>
      <c r="AQ178" s="95"/>
      <c r="AR178" s="94"/>
      <c r="AS178" s="95"/>
      <c r="AT178" s="95"/>
      <c r="AU178" s="95"/>
      <c r="AV178" s="95"/>
      <c r="AW178" s="92"/>
      <c r="AX178" s="93"/>
      <c r="AY178" s="93"/>
      <c r="AZ178" s="93"/>
      <c r="BA178" s="93"/>
      <c r="BB178" s="93"/>
      <c r="BC178" s="93"/>
      <c r="BD178" s="168"/>
      <c r="BE178" s="97"/>
      <c r="BF178" s="98"/>
      <c r="BG178" s="97"/>
      <c r="BH178" s="168"/>
      <c r="BI178" s="97"/>
      <c r="BJ178" s="97"/>
      <c r="BK178" s="97"/>
      <c r="BL178" s="97"/>
      <c r="BM178" s="97"/>
      <c r="BN178" s="97"/>
      <c r="BO178" s="93"/>
      <c r="BP178" s="93"/>
      <c r="BQ178" s="93"/>
      <c r="BR178" s="93"/>
      <c r="BS178" s="93"/>
      <c r="BT178" s="93"/>
      <c r="BU178" s="93"/>
      <c r="BV178" s="99"/>
      <c r="BW178" s="86"/>
      <c r="BX178" s="86"/>
      <c r="BY178" s="86"/>
      <c r="BZ178" s="100" t="s">
        <v>850</v>
      </c>
      <c r="CA178" s="100" t="str">
        <f ca="1">IFERROR(__xludf.DUMMYFUNCTION("IF(REGEXMATCH(Catalog_RewardType,""reward""), VLOOKUP($E178, {'TitleData rewards.items'!$J$9:$J416,'TitleData rewards.items'!$B$9:$B416}, 2, FALSE), """")"),"")</f>
        <v/>
      </c>
    </row>
    <row r="179" spans="1:79" ht="42" x14ac:dyDescent="0.15">
      <c r="A179" s="82" t="s">
        <v>269</v>
      </c>
      <c r="B179" s="83"/>
      <c r="C179" s="82" t="s">
        <v>808</v>
      </c>
      <c r="D179" s="85" t="b">
        <f>VLOOKUP($C179, '_REF Catalog Classes'!$C$6:$D416, COLUMNS('_REF Catalog Classes'!$C$6:$D416), FALSE)</f>
        <v>1</v>
      </c>
      <c r="E179" s="82" t="s">
        <v>1328</v>
      </c>
      <c r="F179" s="82" t="str">
        <f t="shared" si="0"/>
        <v>achievementPlayJeanClawedBathtub:</v>
      </c>
      <c r="G179" s="86" t="s">
        <v>1329</v>
      </c>
      <c r="H179" s="86" t="s">
        <v>1330</v>
      </c>
      <c r="I179" s="82" t="s">
        <v>274</v>
      </c>
      <c r="J179" s="82"/>
      <c r="K179" s="82"/>
      <c r="L179" s="82"/>
      <c r="M179" s="86" t="s">
        <v>830</v>
      </c>
      <c r="N179" s="107"/>
      <c r="O179" s="108"/>
      <c r="P179" s="82">
        <v>21</v>
      </c>
      <c r="Q179" s="88"/>
      <c r="R179" s="82"/>
      <c r="S179" s="82"/>
      <c r="T179" s="82"/>
      <c r="U179" s="82"/>
      <c r="V179" s="82"/>
      <c r="W179" s="89">
        <v>0</v>
      </c>
      <c r="X179" s="90" t="s">
        <v>37</v>
      </c>
      <c r="Y179" s="90" t="s">
        <v>1009</v>
      </c>
      <c r="Z179" s="162"/>
      <c r="AA179" s="91" t="s">
        <v>283</v>
      </c>
      <c r="AB179" s="162" t="s">
        <v>1331</v>
      </c>
      <c r="AC179" s="90"/>
      <c r="AD179" s="162" t="s">
        <v>1332</v>
      </c>
      <c r="AE179" s="162"/>
      <c r="AF179" s="162"/>
      <c r="AG179" s="164"/>
      <c r="AH179" s="108"/>
      <c r="AI179" s="108"/>
      <c r="AJ179" s="108"/>
      <c r="AK179" s="108"/>
      <c r="AL179" s="108"/>
      <c r="AM179" s="108"/>
      <c r="AN179" s="94"/>
      <c r="AO179" s="95"/>
      <c r="AP179" s="95"/>
      <c r="AQ179" s="95"/>
      <c r="AR179" s="94"/>
      <c r="AS179" s="95"/>
      <c r="AT179" s="95"/>
      <c r="AU179" s="95"/>
      <c r="AV179" s="95"/>
      <c r="AW179" s="164"/>
      <c r="AX179" s="108"/>
      <c r="AY179" s="108"/>
      <c r="AZ179" s="108"/>
      <c r="BA179" s="108"/>
      <c r="BB179" s="108"/>
      <c r="BC179" s="108"/>
      <c r="BD179" s="96">
        <v>2</v>
      </c>
      <c r="BE179" s="97" t="s">
        <v>38</v>
      </c>
      <c r="BF179" s="98" t="s">
        <v>1009</v>
      </c>
      <c r="BG179" s="167"/>
      <c r="BH179" s="167" t="s">
        <v>283</v>
      </c>
      <c r="BI179" s="167" t="s">
        <v>1331</v>
      </c>
      <c r="BJ179" s="167"/>
      <c r="BK179" s="97"/>
      <c r="BL179" s="167" t="s">
        <v>1333</v>
      </c>
      <c r="BM179" s="167"/>
      <c r="BN179" s="167"/>
      <c r="BO179" s="108"/>
      <c r="BP179" s="108"/>
      <c r="BQ179" s="108"/>
      <c r="BR179" s="108"/>
      <c r="BS179" s="108"/>
      <c r="BT179" s="108"/>
      <c r="BU179" s="108"/>
      <c r="BV179" s="207" t="s">
        <v>1334</v>
      </c>
      <c r="BW179" s="86" t="str">
        <f>VLOOKUP($C179, '_REF Catalog Classes'!$C$6:$E416, COLUMNS('_REF Catalog Classes'!$C$6:$E416), FALSE)</f>
        <v>never</v>
      </c>
      <c r="BX179" s="86"/>
      <c r="BY179" s="86"/>
      <c r="BZ179" s="86" t="s">
        <v>322</v>
      </c>
      <c r="CA179" s="100" t="b">
        <f ca="1">IFERROR(__xludf.DUMMYFUNCTION("IF(REGEXMATCH(Catalog_RewardType,""reward""), VLOOKUP($E179, {'TitleData rewards.items'!$J$9:$J416,'TitleData rewards.items'!$B$9:$B416}, 2, FALSE), """")"),FALSE)</f>
        <v>0</v>
      </c>
    </row>
    <row r="180" spans="1:79" ht="28" hidden="1" x14ac:dyDescent="0.15">
      <c r="A180" s="82" t="s">
        <v>491</v>
      </c>
      <c r="B180" s="83"/>
      <c r="C180" s="82" t="s">
        <v>811</v>
      </c>
      <c r="D180" s="85" t="b">
        <f>VLOOKUP($C180, '_REF Catalog Classes'!$C$6:$D416, COLUMNS('_REF Catalog Classes'!$C$6:$D416), FALSE)</f>
        <v>1</v>
      </c>
      <c r="E180" s="82" t="s">
        <v>1335</v>
      </c>
      <c r="F180" s="82" t="str">
        <f t="shared" si="0"/>
        <v>actionSvengeanceSkaterbots:</v>
      </c>
      <c r="G180" s="106" t="s">
        <v>904</v>
      </c>
      <c r="H180" s="86" t="s">
        <v>1336</v>
      </c>
      <c r="I180" s="82" t="s">
        <v>847</v>
      </c>
      <c r="J180" s="82" t="s">
        <v>275</v>
      </c>
      <c r="K180" s="82" t="s">
        <v>275</v>
      </c>
      <c r="L180" s="82" t="s">
        <v>857</v>
      </c>
      <c r="M180" s="82"/>
      <c r="N180" s="107"/>
      <c r="O180" s="108"/>
      <c r="P180" s="82"/>
      <c r="Q180" s="88"/>
      <c r="R180" s="82"/>
      <c r="S180" s="82"/>
      <c r="T180" s="82"/>
      <c r="U180" s="82"/>
      <c r="V180" s="82"/>
      <c r="W180" s="89"/>
      <c r="X180" s="90"/>
      <c r="Y180" s="90"/>
      <c r="Z180" s="90"/>
      <c r="AA180" s="89"/>
      <c r="AB180" s="90"/>
      <c r="AC180" s="90"/>
      <c r="AD180" s="90"/>
      <c r="AE180" s="90"/>
      <c r="AF180" s="90"/>
      <c r="AG180" s="92"/>
      <c r="AH180" s="93"/>
      <c r="AI180" s="93"/>
      <c r="AJ180" s="93"/>
      <c r="AK180" s="93"/>
      <c r="AL180" s="93"/>
      <c r="AM180" s="93"/>
      <c r="AN180" s="94"/>
      <c r="AO180" s="95"/>
      <c r="AP180" s="95"/>
      <c r="AQ180" s="95"/>
      <c r="AR180" s="94"/>
      <c r="AS180" s="95"/>
      <c r="AT180" s="95"/>
      <c r="AU180" s="95"/>
      <c r="AV180" s="95"/>
      <c r="AW180" s="92"/>
      <c r="AX180" s="93"/>
      <c r="AY180" s="93"/>
      <c r="AZ180" s="93"/>
      <c r="BA180" s="93"/>
      <c r="BB180" s="93"/>
      <c r="BC180" s="93"/>
      <c r="BD180" s="168"/>
      <c r="BE180" s="97"/>
      <c r="BF180" s="98"/>
      <c r="BG180" s="97"/>
      <c r="BH180" s="168"/>
      <c r="BI180" s="97"/>
      <c r="BJ180" s="97"/>
      <c r="BK180" s="97"/>
      <c r="BL180" s="97"/>
      <c r="BM180" s="97"/>
      <c r="BN180" s="97"/>
      <c r="BO180" s="93"/>
      <c r="BP180" s="93"/>
      <c r="BQ180" s="93"/>
      <c r="BR180" s="93"/>
      <c r="BS180" s="93"/>
      <c r="BT180" s="93"/>
      <c r="BU180" s="93"/>
      <c r="BV180" s="99"/>
      <c r="BW180" s="86"/>
      <c r="BX180" s="86"/>
      <c r="BY180" s="86"/>
      <c r="BZ180" s="100" t="s">
        <v>850</v>
      </c>
      <c r="CA180" s="100" t="str">
        <f ca="1">IFERROR(__xludf.DUMMYFUNCTION("IF(REGEXMATCH(Catalog_RewardType,""reward""), VLOOKUP($E180, {'TitleData rewards.items'!$J$9:$J416,'TitleData rewards.items'!$B$9:$B416}, 2, FALSE), """")"),"")</f>
        <v/>
      </c>
    </row>
    <row r="181" spans="1:79" ht="45" x14ac:dyDescent="0.15">
      <c r="A181" s="82" t="s">
        <v>269</v>
      </c>
      <c r="B181" s="83"/>
      <c r="C181" s="82" t="s">
        <v>808</v>
      </c>
      <c r="D181" s="85" t="b">
        <f>VLOOKUP($C181, '_REF Catalog Classes'!$C$6:$D416, COLUMNS('_REF Catalog Classes'!$C$6:$D416), FALSE)</f>
        <v>1</v>
      </c>
      <c r="E181" s="82" t="s">
        <v>1337</v>
      </c>
      <c r="F181" s="82" t="str">
        <f t="shared" si="0"/>
        <v>achievementPlaySvengeanceSkaterbots:</v>
      </c>
      <c r="G181" s="214" t="s">
        <v>1338</v>
      </c>
      <c r="H181" s="86" t="s">
        <v>1339</v>
      </c>
      <c r="I181" s="82" t="s">
        <v>274</v>
      </c>
      <c r="J181" s="82"/>
      <c r="K181" s="82"/>
      <c r="L181" s="82"/>
      <c r="M181" s="86" t="s">
        <v>830</v>
      </c>
      <c r="N181" s="107"/>
      <c r="O181" s="108"/>
      <c r="P181" s="82">
        <v>22</v>
      </c>
      <c r="Q181" s="88"/>
      <c r="R181" s="82"/>
      <c r="S181" s="82"/>
      <c r="T181" s="82"/>
      <c r="U181" s="82"/>
      <c r="V181" s="82"/>
      <c r="W181" s="89">
        <v>0</v>
      </c>
      <c r="X181" s="90" t="s">
        <v>37</v>
      </c>
      <c r="Y181" s="90" t="s">
        <v>873</v>
      </c>
      <c r="Z181" s="162"/>
      <c r="AA181" s="91" t="s">
        <v>283</v>
      </c>
      <c r="AB181" s="162" t="s">
        <v>1340</v>
      </c>
      <c r="AC181" s="90"/>
      <c r="AD181" s="162" t="s">
        <v>1341</v>
      </c>
      <c r="AE181" s="162"/>
      <c r="AF181" s="162"/>
      <c r="AG181" s="164"/>
      <c r="AH181" s="108"/>
      <c r="AI181" s="108"/>
      <c r="AJ181" s="108"/>
      <c r="AK181" s="108"/>
      <c r="AL181" s="108"/>
      <c r="AM181" s="108"/>
      <c r="AN181" s="94"/>
      <c r="AO181" s="95"/>
      <c r="AP181" s="95"/>
      <c r="AQ181" s="95"/>
      <c r="AR181" s="94"/>
      <c r="AS181" s="95"/>
      <c r="AT181" s="95"/>
      <c r="AU181" s="95"/>
      <c r="AV181" s="95"/>
      <c r="AW181" s="164"/>
      <c r="AX181" s="108"/>
      <c r="AY181" s="108"/>
      <c r="AZ181" s="108"/>
      <c r="BA181" s="108"/>
      <c r="BB181" s="108"/>
      <c r="BC181" s="108"/>
      <c r="BD181" s="96">
        <v>2</v>
      </c>
      <c r="BE181" s="97" t="s">
        <v>38</v>
      </c>
      <c r="BF181" s="98" t="s">
        <v>873</v>
      </c>
      <c r="BG181" s="97"/>
      <c r="BH181" s="97" t="s">
        <v>283</v>
      </c>
      <c r="BI181" s="97" t="s">
        <v>1340</v>
      </c>
      <c r="BJ181" s="167"/>
      <c r="BK181" s="97"/>
      <c r="BL181" s="167" t="s">
        <v>1342</v>
      </c>
      <c r="BM181" s="167"/>
      <c r="BN181" s="97"/>
      <c r="BO181" s="108"/>
      <c r="BP181" s="108"/>
      <c r="BQ181" s="108"/>
      <c r="BR181" s="108"/>
      <c r="BS181" s="108"/>
      <c r="BT181" s="108"/>
      <c r="BU181" s="108"/>
      <c r="BV181" s="208" t="s">
        <v>1343</v>
      </c>
      <c r="BW181" s="86" t="str">
        <f>VLOOKUP($C181, '_REF Catalog Classes'!$C$6:$E416, COLUMNS('_REF Catalog Classes'!$C$6:$E416), FALSE)</f>
        <v>never</v>
      </c>
      <c r="BX181" s="86"/>
      <c r="BY181" s="86"/>
      <c r="BZ181" s="86" t="s">
        <v>322</v>
      </c>
      <c r="CA181" s="100" t="b">
        <f ca="1">IFERROR(__xludf.DUMMYFUNCTION("IF(REGEXMATCH(Catalog_RewardType,""reward""), VLOOKUP($E181, {'TitleData rewards.items'!$J$9:$J416,'TitleData rewards.items'!$B$9:$B416}, 2, FALSE), """")"),FALSE)</f>
        <v>0</v>
      </c>
    </row>
    <row r="182" spans="1:79" ht="28" hidden="1" x14ac:dyDescent="0.15">
      <c r="A182" s="82" t="s">
        <v>491</v>
      </c>
      <c r="B182" s="83"/>
      <c r="C182" s="82" t="s">
        <v>811</v>
      </c>
      <c r="D182" s="85" t="b">
        <f>VLOOKUP($C182, '_REF Catalog Classes'!$C$6:$D416, COLUMNS('_REF Catalog Classes'!$C$6:$D416), FALSE)</f>
        <v>1</v>
      </c>
      <c r="E182" s="82" t="s">
        <v>1344</v>
      </c>
      <c r="F182" s="82" t="str">
        <f t="shared" si="0"/>
        <v>actionBelleRecordBreak:</v>
      </c>
      <c r="G182" s="106" t="s">
        <v>904</v>
      </c>
      <c r="H182" s="86" t="s">
        <v>1345</v>
      </c>
      <c r="I182" s="82" t="s">
        <v>847</v>
      </c>
      <c r="J182" s="82" t="s">
        <v>275</v>
      </c>
      <c r="K182" s="82" t="s">
        <v>275</v>
      </c>
      <c r="L182" s="82" t="s">
        <v>857</v>
      </c>
      <c r="M182" s="82"/>
      <c r="N182" s="107"/>
      <c r="O182" s="108"/>
      <c r="P182" s="82"/>
      <c r="Q182" s="88"/>
      <c r="R182" s="82"/>
      <c r="S182" s="82"/>
      <c r="T182" s="82"/>
      <c r="U182" s="82"/>
      <c r="V182" s="82"/>
      <c r="W182" s="89"/>
      <c r="X182" s="90"/>
      <c r="Y182" s="90"/>
      <c r="Z182" s="90"/>
      <c r="AA182" s="89"/>
      <c r="AB182" s="90"/>
      <c r="AC182" s="90"/>
      <c r="AD182" s="90"/>
      <c r="AE182" s="90"/>
      <c r="AF182" s="90"/>
      <c r="AG182" s="92"/>
      <c r="AH182" s="93"/>
      <c r="AI182" s="93"/>
      <c r="AJ182" s="93"/>
      <c r="AK182" s="93"/>
      <c r="AL182" s="93"/>
      <c r="AM182" s="93"/>
      <c r="AN182" s="94"/>
      <c r="AO182" s="95"/>
      <c r="AP182" s="95"/>
      <c r="AQ182" s="95"/>
      <c r="AR182" s="94"/>
      <c r="AS182" s="95"/>
      <c r="AT182" s="95"/>
      <c r="AU182" s="95"/>
      <c r="AV182" s="95"/>
      <c r="AW182" s="92"/>
      <c r="AX182" s="93"/>
      <c r="AY182" s="93"/>
      <c r="AZ182" s="93"/>
      <c r="BA182" s="93"/>
      <c r="BB182" s="93"/>
      <c r="BC182" s="93"/>
      <c r="BD182" s="168"/>
      <c r="BE182" s="97"/>
      <c r="BF182" s="98"/>
      <c r="BG182" s="97"/>
      <c r="BH182" s="168"/>
      <c r="BI182" s="97"/>
      <c r="BJ182" s="97"/>
      <c r="BK182" s="97"/>
      <c r="BL182" s="97"/>
      <c r="BM182" s="97"/>
      <c r="BN182" s="97"/>
      <c r="BO182" s="93"/>
      <c r="BP182" s="93"/>
      <c r="BQ182" s="93"/>
      <c r="BR182" s="93"/>
      <c r="BS182" s="93"/>
      <c r="BT182" s="93"/>
      <c r="BU182" s="93"/>
      <c r="BV182" s="99"/>
      <c r="BW182" s="86"/>
      <c r="BX182" s="86"/>
      <c r="BY182" s="86"/>
      <c r="BZ182" s="100" t="s">
        <v>850</v>
      </c>
      <c r="CA182" s="100" t="str">
        <f ca="1">IFERROR(__xludf.DUMMYFUNCTION("IF(REGEXMATCH(Catalog_RewardType,""reward""), VLOOKUP($E182, {'TitleData rewards.items'!$J$9:$J416,'TitleData rewards.items'!$B$9:$B416}, 2, FALSE), """")"),"")</f>
        <v/>
      </c>
    </row>
    <row r="183" spans="1:79" ht="45" x14ac:dyDescent="0.15">
      <c r="A183" s="82" t="s">
        <v>269</v>
      </c>
      <c r="B183" s="83"/>
      <c r="C183" s="82" t="s">
        <v>808</v>
      </c>
      <c r="D183" s="85" t="b">
        <f>VLOOKUP($C183, '_REF Catalog Classes'!$C$6:$D416, COLUMNS('_REF Catalog Classes'!$C$6:$D416), FALSE)</f>
        <v>1</v>
      </c>
      <c r="E183" s="82" t="s">
        <v>1346</v>
      </c>
      <c r="F183" s="82" t="str">
        <f t="shared" si="0"/>
        <v>achievementPlayBelleRecordBreak:</v>
      </c>
      <c r="G183" s="86" t="s">
        <v>1347</v>
      </c>
      <c r="H183" s="86" t="s">
        <v>1348</v>
      </c>
      <c r="I183" s="82" t="s">
        <v>274</v>
      </c>
      <c r="J183" s="82"/>
      <c r="K183" s="82"/>
      <c r="L183" s="82"/>
      <c r="M183" s="86" t="s">
        <v>830</v>
      </c>
      <c r="N183" s="107"/>
      <c r="O183" s="108"/>
      <c r="P183" s="82">
        <v>23</v>
      </c>
      <c r="Q183" s="88"/>
      <c r="R183" s="82"/>
      <c r="S183" s="82"/>
      <c r="T183" s="82"/>
      <c r="U183" s="82"/>
      <c r="V183" s="82"/>
      <c r="W183" s="89">
        <v>0</v>
      </c>
      <c r="X183" s="90" t="s">
        <v>37</v>
      </c>
      <c r="Y183" s="90" t="s">
        <v>873</v>
      </c>
      <c r="Z183" s="162"/>
      <c r="AA183" s="91" t="s">
        <v>283</v>
      </c>
      <c r="AB183" s="162" t="s">
        <v>1349</v>
      </c>
      <c r="AC183" s="90"/>
      <c r="AD183" s="162" t="s">
        <v>1350</v>
      </c>
      <c r="AE183" s="162"/>
      <c r="AF183" s="162"/>
      <c r="AG183" s="164"/>
      <c r="AH183" s="108"/>
      <c r="AI183" s="108"/>
      <c r="AJ183" s="108"/>
      <c r="AK183" s="108"/>
      <c r="AL183" s="108"/>
      <c r="AM183" s="108"/>
      <c r="AN183" s="94"/>
      <c r="AO183" s="95"/>
      <c r="AP183" s="95"/>
      <c r="AQ183" s="95"/>
      <c r="AR183" s="94"/>
      <c r="AS183" s="95"/>
      <c r="AT183" s="95"/>
      <c r="AU183" s="95"/>
      <c r="AV183" s="95"/>
      <c r="AW183" s="164"/>
      <c r="AX183" s="108"/>
      <c r="AY183" s="108"/>
      <c r="AZ183" s="108"/>
      <c r="BA183" s="108"/>
      <c r="BB183" s="108"/>
      <c r="BC183" s="108"/>
      <c r="BD183" s="96">
        <v>2</v>
      </c>
      <c r="BE183" s="97" t="s">
        <v>38</v>
      </c>
      <c r="BF183" s="98" t="s">
        <v>873</v>
      </c>
      <c r="BG183" s="97"/>
      <c r="BH183" s="97" t="s">
        <v>283</v>
      </c>
      <c r="BI183" s="97" t="s">
        <v>1349</v>
      </c>
      <c r="BJ183" s="167"/>
      <c r="BK183" s="97"/>
      <c r="BL183" s="167" t="s">
        <v>1351</v>
      </c>
      <c r="BM183" s="167"/>
      <c r="BN183" s="97"/>
      <c r="BO183" s="108"/>
      <c r="BP183" s="108"/>
      <c r="BQ183" s="108"/>
      <c r="BR183" s="108"/>
      <c r="BS183" s="108"/>
      <c r="BT183" s="108"/>
      <c r="BU183" s="108"/>
      <c r="BV183" s="99" t="s">
        <v>1352</v>
      </c>
      <c r="BW183" s="86" t="str">
        <f>VLOOKUP($C183, '_REF Catalog Classes'!$C$6:$E416, COLUMNS('_REF Catalog Classes'!$C$6:$E416), FALSE)</f>
        <v>never</v>
      </c>
      <c r="BX183" s="86"/>
      <c r="BY183" s="86"/>
      <c r="BZ183" s="86" t="s">
        <v>322</v>
      </c>
      <c r="CA183" s="100" t="b">
        <f ca="1">IFERROR(__xludf.DUMMYFUNCTION("IF(REGEXMATCH(Catalog_RewardType,""reward""), VLOOKUP($E183, {'TitleData rewards.items'!$J$9:$J416,'TitleData rewards.items'!$B$9:$B416}, 2, FALSE), """")"),FALSE)</f>
        <v>0</v>
      </c>
    </row>
    <row r="184" spans="1:79" ht="28" hidden="1" x14ac:dyDescent="0.15">
      <c r="A184" s="82" t="s">
        <v>269</v>
      </c>
      <c r="B184" s="83" t="b">
        <v>1</v>
      </c>
      <c r="C184" s="82" t="s">
        <v>808</v>
      </c>
      <c r="D184" s="85" t="b">
        <f>VLOOKUP($C184, '_REF Catalog Classes'!$C$6:$D416, COLUMNS('_REF Catalog Classes'!$C$6:$D416), FALSE)</f>
        <v>1</v>
      </c>
      <c r="E184" s="82" t="s">
        <v>1353</v>
      </c>
      <c r="F184" s="82" t="str">
        <f t="shared" si="0"/>
        <v>achievementPlayBrattPack:TRUE</v>
      </c>
      <c r="G184" s="86" t="s">
        <v>1354</v>
      </c>
      <c r="H184" s="86" t="s">
        <v>1355</v>
      </c>
      <c r="I184" s="82" t="s">
        <v>274</v>
      </c>
      <c r="J184" s="82"/>
      <c r="K184" s="82"/>
      <c r="L184" s="82"/>
      <c r="M184" s="86" t="s">
        <v>820</v>
      </c>
      <c r="N184" s="107"/>
      <c r="O184" s="108"/>
      <c r="P184" s="82">
        <v>23</v>
      </c>
      <c r="Q184" s="88"/>
      <c r="R184" s="82"/>
      <c r="S184" s="82"/>
      <c r="T184" s="82"/>
      <c r="U184" s="82"/>
      <c r="V184" s="82"/>
      <c r="W184" s="89">
        <v>0</v>
      </c>
      <c r="X184" s="90" t="s">
        <v>37</v>
      </c>
      <c r="Y184" s="90" t="str">
        <f t="shared" ref="Y184:Y187" si="15">"file://"&amp;$E184&amp;"-state0-image0"</f>
        <v>file://achievementPlayBrattPack-state0-image0</v>
      </c>
      <c r="Z184" s="162"/>
      <c r="AA184" s="91" t="s">
        <v>283</v>
      </c>
      <c r="AB184" s="162" t="s">
        <v>1356</v>
      </c>
      <c r="AC184" s="90"/>
      <c r="AD184" s="162" t="s">
        <v>1357</v>
      </c>
      <c r="AE184" s="162"/>
      <c r="AF184" s="162"/>
      <c r="AG184" s="164"/>
      <c r="AH184" s="108"/>
      <c r="AI184" s="108"/>
      <c r="AJ184" s="108"/>
      <c r="AK184" s="108"/>
      <c r="AL184" s="108"/>
      <c r="AM184" s="108"/>
      <c r="AN184" s="94"/>
      <c r="AO184" s="95"/>
      <c r="AP184" s="95" t="str">
        <f t="shared" ref="AP184:AP187" si="16">"file://"&amp;$E184&amp;"-state1-image0"</f>
        <v>file://achievementPlayBrattPack-state1-image0</v>
      </c>
      <c r="AQ184" s="95"/>
      <c r="AR184" s="94"/>
      <c r="AS184" s="95"/>
      <c r="AT184" s="95"/>
      <c r="AU184" s="95"/>
      <c r="AV184" s="95"/>
      <c r="AW184" s="164"/>
      <c r="AX184" s="108"/>
      <c r="AY184" s="108"/>
      <c r="AZ184" s="108"/>
      <c r="BA184" s="108"/>
      <c r="BB184" s="108"/>
      <c r="BC184" s="108"/>
      <c r="BD184" s="96">
        <v>2</v>
      </c>
      <c r="BE184" s="167" t="s">
        <v>823</v>
      </c>
      <c r="BF184" s="98"/>
      <c r="BG184" s="97"/>
      <c r="BH184" s="97" t="s">
        <v>283</v>
      </c>
      <c r="BI184" s="97" t="s">
        <v>1356</v>
      </c>
      <c r="BJ184" s="167"/>
      <c r="BK184" s="97"/>
      <c r="BL184" s="209" t="s">
        <v>1358</v>
      </c>
      <c r="BM184" s="167"/>
      <c r="BN184" s="97"/>
      <c r="BO184" s="108"/>
      <c r="BP184" s="108"/>
      <c r="BQ184" s="108"/>
      <c r="BR184" s="108"/>
      <c r="BS184" s="108"/>
      <c r="BT184" s="108"/>
      <c r="BU184" s="108"/>
      <c r="BV184" s="99" t="s">
        <v>1359</v>
      </c>
      <c r="BW184" s="86" t="str">
        <f>VLOOKUP($C184, '_REF Catalog Classes'!$C$6:$E416, COLUMNS('_REF Catalog Classes'!$C$6:$E416), FALSE)</f>
        <v>never</v>
      </c>
      <c r="BX184" s="86"/>
      <c r="BY184" s="86"/>
      <c r="BZ184" s="86" t="s">
        <v>322</v>
      </c>
      <c r="CA184" s="100" t="str">
        <f ca="1">IFERROR(__xludf.DUMMYFUNCTION("IF(REGEXMATCH(Catalog_RewardType,""reward""), VLOOKUP($E184, {'TitleData rewards.items'!$J$9:$J416,'TitleData rewards.items'!$B$9:$B416}, 2, FALSE), """")"),"#N/A")</f>
        <v>#N/A</v>
      </c>
    </row>
    <row r="185" spans="1:79" ht="42" hidden="1" x14ac:dyDescent="0.15">
      <c r="A185" s="82" t="s">
        <v>314</v>
      </c>
      <c r="B185" s="83" t="b">
        <v>1</v>
      </c>
      <c r="C185" s="82" t="s">
        <v>808</v>
      </c>
      <c r="D185" s="85" t="b">
        <f>VLOOKUP($C185, '_REF Catalog Classes'!$C$6:$D416, COLUMNS('_REF Catalog Classes'!$C$6:$D416), FALSE)</f>
        <v>1</v>
      </c>
      <c r="E185" s="82" t="s">
        <v>1360</v>
      </c>
      <c r="F185" s="82" t="str">
        <f t="shared" si="0"/>
        <v>achievementPlayScarletTeddyDrones:TRUE</v>
      </c>
      <c r="G185" s="86" t="s">
        <v>1361</v>
      </c>
      <c r="H185" s="86" t="s">
        <v>1362</v>
      </c>
      <c r="I185" s="82" t="s">
        <v>274</v>
      </c>
      <c r="J185" s="82"/>
      <c r="K185" s="82"/>
      <c r="L185" s="82"/>
      <c r="M185" s="86" t="s">
        <v>820</v>
      </c>
      <c r="N185" s="107"/>
      <c r="O185" s="108"/>
      <c r="P185" s="82">
        <v>24</v>
      </c>
      <c r="Q185" s="88"/>
      <c r="R185" s="82"/>
      <c r="S185" s="82"/>
      <c r="T185" s="82"/>
      <c r="U185" s="82"/>
      <c r="V185" s="82"/>
      <c r="W185" s="89">
        <v>0</v>
      </c>
      <c r="X185" s="90" t="s">
        <v>37</v>
      </c>
      <c r="Y185" s="90" t="str">
        <f t="shared" si="15"/>
        <v>file://achievementPlayScarletTeddyDrones-state0-image0</v>
      </c>
      <c r="Z185" s="162"/>
      <c r="AA185" s="91" t="s">
        <v>283</v>
      </c>
      <c r="AB185" s="162" t="s">
        <v>1363</v>
      </c>
      <c r="AC185" s="90"/>
      <c r="AD185" s="162" t="s">
        <v>1364</v>
      </c>
      <c r="AE185" s="162"/>
      <c r="AF185" s="162"/>
      <c r="AG185" s="164"/>
      <c r="AH185" s="108"/>
      <c r="AI185" s="108"/>
      <c r="AJ185" s="108"/>
      <c r="AK185" s="108"/>
      <c r="AL185" s="108"/>
      <c r="AM185" s="108"/>
      <c r="AN185" s="94"/>
      <c r="AO185" s="95"/>
      <c r="AP185" s="95" t="str">
        <f t="shared" si="16"/>
        <v>file://achievementPlayScarletTeddyDrones-state1-image0</v>
      </c>
      <c r="AQ185" s="95"/>
      <c r="AR185" s="94"/>
      <c r="AS185" s="95"/>
      <c r="AT185" s="95"/>
      <c r="AU185" s="95"/>
      <c r="AV185" s="95"/>
      <c r="AW185" s="164"/>
      <c r="AX185" s="108"/>
      <c r="AY185" s="108"/>
      <c r="AZ185" s="108"/>
      <c r="BA185" s="108"/>
      <c r="BB185" s="108"/>
      <c r="BC185" s="108"/>
      <c r="BD185" s="96">
        <v>2</v>
      </c>
      <c r="BE185" s="167" t="s">
        <v>823</v>
      </c>
      <c r="BF185" s="98"/>
      <c r="BG185" s="97"/>
      <c r="BH185" s="97" t="s">
        <v>283</v>
      </c>
      <c r="BI185" s="97" t="s">
        <v>1363</v>
      </c>
      <c r="BJ185" s="167"/>
      <c r="BK185" s="97"/>
      <c r="BL185" s="167" t="s">
        <v>1365</v>
      </c>
      <c r="BM185" s="167"/>
      <c r="BN185" s="97"/>
      <c r="BO185" s="108"/>
      <c r="BP185" s="108"/>
      <c r="BQ185" s="108"/>
      <c r="BR185" s="108"/>
      <c r="BS185" s="108"/>
      <c r="BT185" s="108"/>
      <c r="BU185" s="108"/>
      <c r="BV185" s="113" t="s">
        <v>1366</v>
      </c>
      <c r="BW185" s="86" t="str">
        <f>VLOOKUP($C185, '_REF Catalog Classes'!$C$6:$E416, COLUMNS('_REF Catalog Classes'!$C$6:$E416), FALSE)</f>
        <v>never</v>
      </c>
      <c r="BX185" s="82"/>
      <c r="BY185" s="82"/>
      <c r="BZ185" s="86" t="s">
        <v>322</v>
      </c>
      <c r="CA185" s="100" t="str">
        <f ca="1">IFERROR(__xludf.DUMMYFUNCTION("IF(REGEXMATCH(Catalog_RewardType,""reward""), VLOOKUP($E185, {'TitleData rewards.items'!$J$9:$J416,'TitleData rewards.items'!$B$9:$B416}, 2, FALSE), """")"),"#N/A")</f>
        <v>#N/A</v>
      </c>
    </row>
    <row r="186" spans="1:79" ht="28" hidden="1" x14ac:dyDescent="0.15">
      <c r="A186" s="82" t="s">
        <v>491</v>
      </c>
      <c r="B186" s="83" t="b">
        <v>1</v>
      </c>
      <c r="C186" s="82" t="s">
        <v>811</v>
      </c>
      <c r="D186" s="85" t="b">
        <f>VLOOKUP($C186, '_REF Catalog Classes'!$C$6:$D416, COLUMNS('_REF Catalog Classes'!$C$6:$D416), FALSE)</f>
        <v>1</v>
      </c>
      <c r="E186" s="82" t="s">
        <v>1367</v>
      </c>
      <c r="F186" s="82" t="str">
        <f t="shared" si="0"/>
        <v>actionElMachoPurpleMonsters:TRUE</v>
      </c>
      <c r="G186" s="106" t="s">
        <v>904</v>
      </c>
      <c r="H186" s="86" t="s">
        <v>1368</v>
      </c>
      <c r="I186" s="82" t="s">
        <v>847</v>
      </c>
      <c r="J186" s="82" t="s">
        <v>275</v>
      </c>
      <c r="K186" s="82" t="s">
        <v>275</v>
      </c>
      <c r="L186" s="82" t="s">
        <v>857</v>
      </c>
      <c r="M186" s="82"/>
      <c r="N186" s="107"/>
      <c r="O186" s="108"/>
      <c r="P186" s="82"/>
      <c r="Q186" s="88"/>
      <c r="R186" s="82"/>
      <c r="S186" s="82"/>
      <c r="T186" s="82"/>
      <c r="U186" s="82"/>
      <c r="V186" s="82"/>
      <c r="W186" s="89"/>
      <c r="X186" s="90"/>
      <c r="Y186" s="90" t="str">
        <f t="shared" si="15"/>
        <v>file://actionElMachoPurpleMonsters-state0-image0</v>
      </c>
      <c r="Z186" s="90"/>
      <c r="AA186" s="89"/>
      <c r="AB186" s="90"/>
      <c r="AC186" s="90"/>
      <c r="AD186" s="90"/>
      <c r="AE186" s="90"/>
      <c r="AF186" s="90"/>
      <c r="AG186" s="93"/>
      <c r="AH186" s="93"/>
      <c r="AI186" s="93"/>
      <c r="AJ186" s="93"/>
      <c r="AK186" s="93"/>
      <c r="AL186" s="93"/>
      <c r="AM186" s="93"/>
      <c r="AN186" s="95"/>
      <c r="AO186" s="95"/>
      <c r="AP186" s="95" t="str">
        <f t="shared" si="16"/>
        <v>file://actionElMachoPurpleMonsters-state1-image0</v>
      </c>
      <c r="AQ186" s="95"/>
      <c r="AR186" s="95"/>
      <c r="AS186" s="95"/>
      <c r="AT186" s="95"/>
      <c r="AU186" s="95"/>
      <c r="AV186" s="95"/>
      <c r="AW186" s="93"/>
      <c r="AX186" s="93"/>
      <c r="AY186" s="93"/>
      <c r="AZ186" s="93"/>
      <c r="BA186" s="93"/>
      <c r="BB186" s="93"/>
      <c r="BC186" s="93"/>
      <c r="BD186" s="97"/>
      <c r="BE186" s="97"/>
      <c r="BF186" s="98"/>
      <c r="BG186" s="97"/>
      <c r="BH186" s="97"/>
      <c r="BI186" s="97"/>
      <c r="BJ186" s="97"/>
      <c r="BK186" s="97"/>
      <c r="BL186" s="97"/>
      <c r="BM186" s="97"/>
      <c r="BN186" s="97"/>
      <c r="BO186" s="93"/>
      <c r="BP186" s="93"/>
      <c r="BQ186" s="93"/>
      <c r="BR186" s="93"/>
      <c r="BS186" s="93"/>
      <c r="BT186" s="93"/>
      <c r="BU186" s="93"/>
      <c r="BV186" s="99"/>
      <c r="BW186" s="86"/>
      <c r="BX186" s="86"/>
      <c r="BY186" s="86"/>
      <c r="BZ186" s="100" t="s">
        <v>850</v>
      </c>
      <c r="CA186" s="100" t="str">
        <f ca="1">IFERROR(__xludf.DUMMYFUNCTION("IF(REGEXMATCH(Catalog_RewardType,""reward""), VLOOKUP($E186, {'TitleData rewards.items'!$J$9:$J416,'TitleData rewards.items'!$B$9:$B416}, 2, FALSE), """")"),"")</f>
        <v/>
      </c>
    </row>
    <row r="187" spans="1:79" ht="60" hidden="1" x14ac:dyDescent="0.15">
      <c r="A187" s="82" t="s">
        <v>269</v>
      </c>
      <c r="B187" s="83" t="b">
        <v>1</v>
      </c>
      <c r="C187" s="82" t="s">
        <v>808</v>
      </c>
      <c r="D187" s="85" t="b">
        <f>VLOOKUP($C187, '_REF Catalog Classes'!$C$6:$D416, COLUMNS('_REF Catalog Classes'!$C$6:$D416), FALSE)</f>
        <v>1</v>
      </c>
      <c r="E187" s="82" t="s">
        <v>1369</v>
      </c>
      <c r="F187" s="82" t="str">
        <f t="shared" si="0"/>
        <v>achievementPlayElMachoPurpleMonsters:TRUE</v>
      </c>
      <c r="G187" s="86" t="s">
        <v>1370</v>
      </c>
      <c r="H187" s="86" t="s">
        <v>1371</v>
      </c>
      <c r="I187" s="82" t="s">
        <v>274</v>
      </c>
      <c r="J187" s="82"/>
      <c r="K187" s="82"/>
      <c r="L187" s="82"/>
      <c r="M187" s="86" t="s">
        <v>830</v>
      </c>
      <c r="N187" s="107"/>
      <c r="O187" s="108"/>
      <c r="P187" s="82">
        <v>25</v>
      </c>
      <c r="Q187" s="88"/>
      <c r="R187" s="82"/>
      <c r="S187" s="82"/>
      <c r="T187" s="82"/>
      <c r="U187" s="82"/>
      <c r="V187" s="82"/>
      <c r="W187" s="89">
        <v>0</v>
      </c>
      <c r="X187" s="90" t="s">
        <v>37</v>
      </c>
      <c r="Y187" s="90" t="str">
        <f t="shared" si="15"/>
        <v>file://achievementPlayElMachoPurpleMonsters-state0-image0</v>
      </c>
      <c r="Z187" s="162"/>
      <c r="AA187" s="91" t="s">
        <v>283</v>
      </c>
      <c r="AB187" s="162" t="s">
        <v>1372</v>
      </c>
      <c r="AC187" s="90"/>
      <c r="AD187" s="162" t="s">
        <v>1373</v>
      </c>
      <c r="AE187" s="90"/>
      <c r="AF187" s="90"/>
      <c r="AG187" s="92"/>
      <c r="AH187" s="93"/>
      <c r="AI187" s="93"/>
      <c r="AJ187" s="93"/>
      <c r="AK187" s="93"/>
      <c r="AL187" s="93"/>
      <c r="AM187" s="93"/>
      <c r="AN187" s="94"/>
      <c r="AO187" s="95"/>
      <c r="AP187" s="95" t="str">
        <f t="shared" si="16"/>
        <v>file://achievementPlayElMachoPurpleMonsters-state1-image0</v>
      </c>
      <c r="AQ187" s="95"/>
      <c r="AR187" s="94"/>
      <c r="AS187" s="95"/>
      <c r="AT187" s="95"/>
      <c r="AU187" s="95"/>
      <c r="AV187" s="95"/>
      <c r="AW187" s="92"/>
      <c r="AX187" s="93"/>
      <c r="AY187" s="93"/>
      <c r="AZ187" s="93"/>
      <c r="BA187" s="93"/>
      <c r="BB187" s="93"/>
      <c r="BC187" s="93"/>
      <c r="BD187" s="96">
        <v>2</v>
      </c>
      <c r="BE187" s="97" t="s">
        <v>38</v>
      </c>
      <c r="BF187" s="98"/>
      <c r="BG187" s="167"/>
      <c r="BH187" s="97" t="s">
        <v>283</v>
      </c>
      <c r="BI187" s="97" t="s">
        <v>1372</v>
      </c>
      <c r="BJ187" s="97"/>
      <c r="BK187" s="97"/>
      <c r="BL187" s="167" t="s">
        <v>1374</v>
      </c>
      <c r="BM187" s="97"/>
      <c r="BN187" s="97"/>
      <c r="BO187" s="93"/>
      <c r="BP187" s="93"/>
      <c r="BQ187" s="93"/>
      <c r="BR187" s="93"/>
      <c r="BS187" s="93"/>
      <c r="BT187" s="93"/>
      <c r="BU187" s="93"/>
      <c r="BV187" s="99" t="s">
        <v>1375</v>
      </c>
      <c r="BW187" s="86" t="str">
        <f>VLOOKUP($C187, '_REF Catalog Classes'!$C$6:$E416, COLUMNS('_REF Catalog Classes'!$C$6:$E416), FALSE)</f>
        <v>never</v>
      </c>
      <c r="BX187" s="86"/>
      <c r="BY187" s="86"/>
      <c r="BZ187" s="86" t="s">
        <v>322</v>
      </c>
      <c r="CA187" s="100" t="str">
        <f ca="1">IFERROR(__xludf.DUMMYFUNCTION("IF(REGEXMATCH(Catalog_RewardType,""reward""), VLOOKUP($E187, {'TitleData rewards.items'!$J$9:$J416,'TitleData rewards.items'!$B$9:$B416}, 2, FALSE), """")"),"#N/A")</f>
        <v>#N/A</v>
      </c>
    </row>
    <row r="188" spans="1:79" ht="28" hidden="1" x14ac:dyDescent="0.15">
      <c r="A188" s="82" t="s">
        <v>491</v>
      </c>
      <c r="B188" s="83"/>
      <c r="C188" s="82" t="s">
        <v>811</v>
      </c>
      <c r="D188" s="85" t="b">
        <f>VLOOKUP($C188, '_REF Catalog Classes'!$C$6:$D416, COLUMNS('_REF Catalog Classes'!$C$6:$D416), FALSE)</f>
        <v>1</v>
      </c>
      <c r="E188" s="82" t="s">
        <v>1376</v>
      </c>
      <c r="F188" s="82" t="str">
        <f t="shared" si="0"/>
        <v>actionVectorPiranha:</v>
      </c>
      <c r="G188" s="106" t="s">
        <v>904</v>
      </c>
      <c r="H188" s="86" t="s">
        <v>1377</v>
      </c>
      <c r="I188" s="82" t="s">
        <v>847</v>
      </c>
      <c r="J188" s="82" t="s">
        <v>275</v>
      </c>
      <c r="K188" s="82" t="s">
        <v>275</v>
      </c>
      <c r="L188" s="82" t="s">
        <v>857</v>
      </c>
      <c r="M188" s="82"/>
      <c r="N188" s="107"/>
      <c r="O188" s="108"/>
      <c r="P188" s="82"/>
      <c r="Q188" s="88"/>
      <c r="R188" s="82"/>
      <c r="S188" s="82"/>
      <c r="T188" s="82"/>
      <c r="U188" s="82"/>
      <c r="V188" s="82"/>
      <c r="W188" s="89"/>
      <c r="X188" s="90"/>
      <c r="Y188" s="90"/>
      <c r="Z188" s="90"/>
      <c r="AA188" s="89"/>
      <c r="AB188" s="90"/>
      <c r="AC188" s="90"/>
      <c r="AD188" s="90"/>
      <c r="AE188" s="90"/>
      <c r="AF188" s="90"/>
      <c r="AG188" s="92"/>
      <c r="AH188" s="93"/>
      <c r="AI188" s="93"/>
      <c r="AJ188" s="93"/>
      <c r="AK188" s="93"/>
      <c r="AL188" s="93"/>
      <c r="AM188" s="93"/>
      <c r="AN188" s="94"/>
      <c r="AO188" s="95"/>
      <c r="AP188" s="95"/>
      <c r="AQ188" s="95"/>
      <c r="AR188" s="94"/>
      <c r="AS188" s="95"/>
      <c r="AT188" s="95"/>
      <c r="AU188" s="95"/>
      <c r="AV188" s="95"/>
      <c r="AW188" s="92"/>
      <c r="AX188" s="93"/>
      <c r="AY188" s="93"/>
      <c r="AZ188" s="93"/>
      <c r="BA188" s="93"/>
      <c r="BB188" s="93"/>
      <c r="BC188" s="93"/>
      <c r="BD188" s="168"/>
      <c r="BE188" s="97"/>
      <c r="BF188" s="98"/>
      <c r="BG188" s="97"/>
      <c r="BH188" s="168"/>
      <c r="BI188" s="97"/>
      <c r="BJ188" s="97"/>
      <c r="BK188" s="97"/>
      <c r="BL188" s="97"/>
      <c r="BM188" s="97"/>
      <c r="BN188" s="97"/>
      <c r="BO188" s="93"/>
      <c r="BP188" s="93"/>
      <c r="BQ188" s="93"/>
      <c r="BR188" s="93"/>
      <c r="BS188" s="93"/>
      <c r="BT188" s="93"/>
      <c r="BU188" s="93"/>
      <c r="BV188" s="99"/>
      <c r="BW188" s="86"/>
      <c r="BX188" s="86"/>
      <c r="BY188" s="86"/>
      <c r="BZ188" s="100" t="s">
        <v>850</v>
      </c>
      <c r="CA188" s="100" t="str">
        <f ca="1">IFERROR(__xludf.DUMMYFUNCTION("IF(REGEXMATCH(Catalog_RewardType,""reward""), VLOOKUP($E188, {'TitleData rewards.items'!$J$9:$J416,'TitleData rewards.items'!$B$9:$B416}, 2, FALSE), """")"),"")</f>
        <v/>
      </c>
    </row>
    <row r="189" spans="1:79" ht="42" x14ac:dyDescent="0.15">
      <c r="A189" s="82" t="s">
        <v>269</v>
      </c>
      <c r="B189" s="83"/>
      <c r="C189" s="82" t="s">
        <v>808</v>
      </c>
      <c r="D189" s="85" t="b">
        <f>VLOOKUP($C189, '_REF Catalog Classes'!$C$6:$D416, COLUMNS('_REF Catalog Classes'!$C$6:$D416), FALSE)</f>
        <v>1</v>
      </c>
      <c r="E189" s="82" t="s">
        <v>1378</v>
      </c>
      <c r="F189" s="82" t="str">
        <f t="shared" si="0"/>
        <v>achievementPlayVectorPiranha:</v>
      </c>
      <c r="G189" s="86" t="s">
        <v>1379</v>
      </c>
      <c r="H189" s="86" t="s">
        <v>1380</v>
      </c>
      <c r="I189" s="82" t="s">
        <v>274</v>
      </c>
      <c r="J189" s="82"/>
      <c r="K189" s="82"/>
      <c r="L189" s="82"/>
      <c r="M189" s="86" t="s">
        <v>830</v>
      </c>
      <c r="N189" s="107"/>
      <c r="O189" s="108"/>
      <c r="P189" s="82">
        <v>24</v>
      </c>
      <c r="Q189" s="88"/>
      <c r="R189" s="82"/>
      <c r="S189" s="82"/>
      <c r="T189" s="82"/>
      <c r="U189" s="82"/>
      <c r="V189" s="82"/>
      <c r="W189" s="89">
        <v>0</v>
      </c>
      <c r="X189" s="90" t="s">
        <v>37</v>
      </c>
      <c r="Y189" s="90" t="s">
        <v>873</v>
      </c>
      <c r="Z189" s="162"/>
      <c r="AA189" s="91" t="s">
        <v>283</v>
      </c>
      <c r="AB189" s="162" t="s">
        <v>1381</v>
      </c>
      <c r="AC189" s="90"/>
      <c r="AD189" s="162" t="s">
        <v>1382</v>
      </c>
      <c r="AE189" s="162"/>
      <c r="AF189" s="162"/>
      <c r="AG189" s="164"/>
      <c r="AH189" s="108"/>
      <c r="AI189" s="108"/>
      <c r="AJ189" s="108"/>
      <c r="AK189" s="108"/>
      <c r="AL189" s="108"/>
      <c r="AM189" s="108"/>
      <c r="AN189" s="94"/>
      <c r="AO189" s="95"/>
      <c r="AP189" s="95"/>
      <c r="AQ189" s="95"/>
      <c r="AR189" s="94"/>
      <c r="AS189" s="95"/>
      <c r="AT189" s="95"/>
      <c r="AU189" s="95"/>
      <c r="AV189" s="95"/>
      <c r="AW189" s="164"/>
      <c r="AX189" s="108"/>
      <c r="AY189" s="108"/>
      <c r="AZ189" s="108"/>
      <c r="BA189" s="108"/>
      <c r="BB189" s="108"/>
      <c r="BC189" s="108"/>
      <c r="BD189" s="96">
        <v>2</v>
      </c>
      <c r="BE189" s="97" t="s">
        <v>38</v>
      </c>
      <c r="BF189" s="98" t="s">
        <v>873</v>
      </c>
      <c r="BG189" s="97"/>
      <c r="BH189" s="97" t="s">
        <v>283</v>
      </c>
      <c r="BI189" s="97" t="s">
        <v>1381</v>
      </c>
      <c r="BJ189" s="167"/>
      <c r="BK189" s="97"/>
      <c r="BL189" s="167" t="s">
        <v>1383</v>
      </c>
      <c r="BM189" s="167"/>
      <c r="BN189" s="97"/>
      <c r="BO189" s="108"/>
      <c r="BP189" s="108"/>
      <c r="BQ189" s="108"/>
      <c r="BR189" s="108"/>
      <c r="BS189" s="108"/>
      <c r="BT189" s="108"/>
      <c r="BU189" s="108"/>
      <c r="BV189" s="208" t="s">
        <v>1384</v>
      </c>
      <c r="BW189" s="86" t="str">
        <f>VLOOKUP($C189, '_REF Catalog Classes'!$C$6:$E416, COLUMNS('_REF Catalog Classes'!$C$6:$E416), FALSE)</f>
        <v>never</v>
      </c>
      <c r="BX189" s="86"/>
      <c r="BY189" s="86"/>
      <c r="BZ189" s="86" t="s">
        <v>322</v>
      </c>
      <c r="CA189" s="100" t="b">
        <f ca="1">IFERROR(__xludf.DUMMYFUNCTION("IF(REGEXMATCH(Catalog_RewardType,""reward""), VLOOKUP($E189, {'TitleData rewards.items'!$J$9:$J416,'TitleData rewards.items'!$B$9:$B416}, 2, FALSE), """")"),FALSE)</f>
        <v>0</v>
      </c>
    </row>
    <row r="190" spans="1:79" ht="42" hidden="1" x14ac:dyDescent="0.15">
      <c r="A190" s="82" t="s">
        <v>314</v>
      </c>
      <c r="B190" s="83" t="b">
        <v>1</v>
      </c>
      <c r="C190" s="82" t="s">
        <v>808</v>
      </c>
      <c r="D190" s="85" t="b">
        <f>VLOOKUP($C190, '_REF Catalog Classes'!$C$6:$D416, COLUMNS('_REF Catalog Classes'!$C$6:$D416), FALSE)</f>
        <v>1</v>
      </c>
      <c r="E190" s="82" t="s">
        <v>1385</v>
      </c>
      <c r="F190" s="82" t="str">
        <f t="shared" si="0"/>
        <v>achievementCollectBanana:TRUE</v>
      </c>
      <c r="G190" s="177" t="s">
        <v>1386</v>
      </c>
      <c r="H190" s="177" t="s">
        <v>1387</v>
      </c>
      <c r="I190" s="82" t="s">
        <v>274</v>
      </c>
      <c r="J190" s="82"/>
      <c r="K190" s="82"/>
      <c r="L190" s="82"/>
      <c r="M190" s="82" t="s">
        <v>820</v>
      </c>
      <c r="N190" s="107"/>
      <c r="O190" s="108"/>
      <c r="P190" s="82">
        <v>32</v>
      </c>
      <c r="Q190" s="88"/>
      <c r="R190" s="82"/>
      <c r="S190" s="82"/>
      <c r="T190" s="82"/>
      <c r="U190" s="82"/>
      <c r="V190" s="82"/>
      <c r="W190" s="89">
        <v>0</v>
      </c>
      <c r="X190" s="90" t="s">
        <v>37</v>
      </c>
      <c r="Y190" s="90" t="str">
        <f t="shared" ref="Y190:Y243" si="17">"file://"&amp;$E190&amp;"-state0-image0"</f>
        <v>file://achievementCollectBanana-state0-image0</v>
      </c>
      <c r="Z190" s="162"/>
      <c r="AA190" s="91" t="s">
        <v>283</v>
      </c>
      <c r="AB190" s="162" t="s">
        <v>1388</v>
      </c>
      <c r="AC190" s="162"/>
      <c r="AD190" s="162" t="s">
        <v>1389</v>
      </c>
      <c r="AE190" s="162"/>
      <c r="AF190" s="162"/>
      <c r="AG190" s="164"/>
      <c r="AH190" s="108"/>
      <c r="AI190" s="108"/>
      <c r="AJ190" s="108"/>
      <c r="AK190" s="108"/>
      <c r="AL190" s="108"/>
      <c r="AM190" s="108"/>
      <c r="AN190" s="94"/>
      <c r="AO190" s="95"/>
      <c r="AP190" s="95" t="str">
        <f t="shared" ref="AP190:AP243" si="18">"file://"&amp;$E190&amp;"-state1-image0"</f>
        <v>file://achievementCollectBanana-state1-image0</v>
      </c>
      <c r="AQ190" s="95"/>
      <c r="AR190" s="94"/>
      <c r="AS190" s="95"/>
      <c r="AT190" s="206"/>
      <c r="AU190" s="206"/>
      <c r="AV190" s="206"/>
      <c r="AW190" s="164"/>
      <c r="AX190" s="108"/>
      <c r="AY190" s="108"/>
      <c r="AZ190" s="108"/>
      <c r="BA190" s="108"/>
      <c r="BB190" s="108"/>
      <c r="BC190" s="108"/>
      <c r="BD190" s="96">
        <v>2</v>
      </c>
      <c r="BE190" s="167" t="s">
        <v>810</v>
      </c>
      <c r="BF190" s="98"/>
      <c r="BG190" s="97"/>
      <c r="BH190" s="97" t="s">
        <v>283</v>
      </c>
      <c r="BI190" s="97" t="s">
        <v>1388</v>
      </c>
      <c r="BJ190" s="167"/>
      <c r="BK190" s="167"/>
      <c r="BL190" s="167" t="s">
        <v>1390</v>
      </c>
      <c r="BM190" s="167"/>
      <c r="BN190" s="167"/>
      <c r="BO190" s="108"/>
      <c r="BP190" s="108"/>
      <c r="BQ190" s="108"/>
      <c r="BR190" s="108"/>
      <c r="BS190" s="108"/>
      <c r="BT190" s="108"/>
      <c r="BU190" s="108"/>
      <c r="BV190" s="113" t="s">
        <v>1391</v>
      </c>
      <c r="BW190" s="86" t="str">
        <f>VLOOKUP($C190, '_REF Catalog Classes'!$C$6:$E416, COLUMNS('_REF Catalog Classes'!$C$6:$E416), FALSE)</f>
        <v>never</v>
      </c>
      <c r="BX190" s="82"/>
      <c r="BY190" s="82"/>
      <c r="BZ190" s="82" t="s">
        <v>322</v>
      </c>
      <c r="CA190" s="100" t="str">
        <f ca="1">IFERROR(__xludf.DUMMYFUNCTION("IF(REGEXMATCH(Catalog_RewardType,""reward""), VLOOKUP($E190, {'TitleData rewards.items'!$J$9:$J416,'TitleData rewards.items'!$B$9:$B416}, 2, FALSE), """")"),"#N/A")</f>
        <v>#N/A</v>
      </c>
    </row>
    <row r="191" spans="1:79" ht="28" hidden="1" x14ac:dyDescent="0.15">
      <c r="A191" s="82" t="s">
        <v>491</v>
      </c>
      <c r="B191" s="83" t="b">
        <v>1</v>
      </c>
      <c r="C191" s="82" t="s">
        <v>811</v>
      </c>
      <c r="D191" s="85" t="b">
        <f>VLOOKUP($C191, '_REF Catalog Classes'!$C$6:$D416, COLUMNS('_REF Catalog Classes'!$C$6:$D416), FALSE)</f>
        <v>1</v>
      </c>
      <c r="E191" s="82" t="s">
        <v>1392</v>
      </c>
      <c r="F191" s="82" t="str">
        <f t="shared" si="0"/>
        <v>actionObject1Destroy:TRUE</v>
      </c>
      <c r="G191" s="86" t="s">
        <v>1393</v>
      </c>
      <c r="H191" s="86" t="s">
        <v>1394</v>
      </c>
      <c r="I191" s="82" t="s">
        <v>847</v>
      </c>
      <c r="J191" s="86" t="s">
        <v>1395</v>
      </c>
      <c r="K191" s="86" t="s">
        <v>275</v>
      </c>
      <c r="L191" s="86" t="s">
        <v>857</v>
      </c>
      <c r="M191" s="82"/>
      <c r="N191" s="107"/>
      <c r="O191" s="108"/>
      <c r="P191" s="82"/>
      <c r="Q191" s="88"/>
      <c r="R191" s="82"/>
      <c r="S191" s="82"/>
      <c r="T191" s="82"/>
      <c r="U191" s="82"/>
      <c r="V191" s="82"/>
      <c r="W191" s="89"/>
      <c r="X191" s="90"/>
      <c r="Y191" s="90" t="str">
        <f t="shared" si="17"/>
        <v>file://actionObject1Destroy-state0-image0</v>
      </c>
      <c r="Z191" s="90"/>
      <c r="AA191" s="89"/>
      <c r="AB191" s="90"/>
      <c r="AC191" s="90"/>
      <c r="AD191" s="90"/>
      <c r="AE191" s="90"/>
      <c r="AF191" s="90"/>
      <c r="AG191" s="92"/>
      <c r="AH191" s="93"/>
      <c r="AI191" s="93"/>
      <c r="AJ191" s="93"/>
      <c r="AK191" s="93"/>
      <c r="AL191" s="93"/>
      <c r="AM191" s="93"/>
      <c r="AN191" s="94"/>
      <c r="AO191" s="95"/>
      <c r="AP191" s="95" t="str">
        <f t="shared" si="18"/>
        <v>file://actionObject1Destroy-state1-image0</v>
      </c>
      <c r="AQ191" s="95"/>
      <c r="AR191" s="94"/>
      <c r="AS191" s="95"/>
      <c r="AT191" s="95"/>
      <c r="AU191" s="95"/>
      <c r="AV191" s="95"/>
      <c r="AW191" s="92"/>
      <c r="AX191" s="93"/>
      <c r="AY191" s="93"/>
      <c r="AZ191" s="93"/>
      <c r="BA191" s="93"/>
      <c r="BB191" s="93"/>
      <c r="BC191" s="93"/>
      <c r="BD191" s="168"/>
      <c r="BE191" s="97"/>
      <c r="BF191" s="98"/>
      <c r="BG191" s="97"/>
      <c r="BH191" s="168"/>
      <c r="BI191" s="97"/>
      <c r="BJ191" s="97"/>
      <c r="BK191" s="97"/>
      <c r="BL191" s="97"/>
      <c r="BM191" s="97"/>
      <c r="BN191" s="97"/>
      <c r="BO191" s="93"/>
      <c r="BP191" s="93"/>
      <c r="BQ191" s="93"/>
      <c r="BR191" s="93"/>
      <c r="BS191" s="93"/>
      <c r="BT191" s="93"/>
      <c r="BU191" s="93"/>
      <c r="BV191" s="99"/>
      <c r="BW191" s="86"/>
      <c r="BX191" s="86"/>
      <c r="BY191" s="86"/>
      <c r="BZ191" s="86"/>
      <c r="CA191" s="100" t="str">
        <f ca="1">IFERROR(__xludf.DUMMYFUNCTION("IF(REGEXMATCH(Catalog_RewardType,""reward""), VLOOKUP($E191, {'TitleData rewards.items'!$J$9:$J416,'TitleData rewards.items'!$B$9:$B416}, 2, FALSE), """")"),"")</f>
        <v/>
      </c>
    </row>
    <row r="192" spans="1:79" ht="28" hidden="1" x14ac:dyDescent="0.15">
      <c r="A192" s="82" t="s">
        <v>491</v>
      </c>
      <c r="B192" s="83" t="b">
        <v>1</v>
      </c>
      <c r="C192" s="82" t="s">
        <v>811</v>
      </c>
      <c r="D192" s="85" t="b">
        <f>VLOOKUP($C192, '_REF Catalog Classes'!$C$6:$D416, COLUMNS('_REF Catalog Classes'!$C$6:$D416), FALSE)</f>
        <v>1</v>
      </c>
      <c r="E192" s="82" t="s">
        <v>1396</v>
      </c>
      <c r="F192" s="82" t="str">
        <f t="shared" si="0"/>
        <v>actionBrattPack:TRUE</v>
      </c>
      <c r="G192" s="106" t="s">
        <v>904</v>
      </c>
      <c r="H192" s="86" t="s">
        <v>1115</v>
      </c>
      <c r="I192" s="82" t="s">
        <v>847</v>
      </c>
      <c r="J192" s="82" t="s">
        <v>275</v>
      </c>
      <c r="K192" s="82" t="s">
        <v>275</v>
      </c>
      <c r="L192" s="82" t="s">
        <v>857</v>
      </c>
      <c r="M192" s="82"/>
      <c r="N192" s="107"/>
      <c r="O192" s="108"/>
      <c r="P192" s="82"/>
      <c r="Q192" s="88"/>
      <c r="R192" s="82"/>
      <c r="S192" s="82"/>
      <c r="T192" s="82"/>
      <c r="U192" s="82"/>
      <c r="V192" s="82"/>
      <c r="W192" s="89"/>
      <c r="X192" s="90"/>
      <c r="Y192" s="90" t="str">
        <f t="shared" si="17"/>
        <v>file://actionBrattPack-state0-image0</v>
      </c>
      <c r="Z192" s="90"/>
      <c r="AA192" s="89"/>
      <c r="AB192" s="90"/>
      <c r="AC192" s="90"/>
      <c r="AD192" s="90"/>
      <c r="AE192" s="90"/>
      <c r="AF192" s="90"/>
      <c r="AG192" s="92"/>
      <c r="AH192" s="93"/>
      <c r="AI192" s="93"/>
      <c r="AJ192" s="93"/>
      <c r="AK192" s="93"/>
      <c r="AL192" s="93"/>
      <c r="AM192" s="93"/>
      <c r="AN192" s="94"/>
      <c r="AO192" s="95"/>
      <c r="AP192" s="95" t="str">
        <f t="shared" si="18"/>
        <v>file://actionBrattPack-state1-image0</v>
      </c>
      <c r="AQ192" s="95"/>
      <c r="AR192" s="94"/>
      <c r="AS192" s="95"/>
      <c r="AT192" s="95"/>
      <c r="AU192" s="95"/>
      <c r="AV192" s="95"/>
      <c r="AW192" s="92"/>
      <c r="AX192" s="93"/>
      <c r="AY192" s="93"/>
      <c r="AZ192" s="93"/>
      <c r="BA192" s="93"/>
      <c r="BB192" s="93"/>
      <c r="BC192" s="93"/>
      <c r="BD192" s="168"/>
      <c r="BE192" s="97"/>
      <c r="BF192" s="98"/>
      <c r="BG192" s="97"/>
      <c r="BH192" s="168"/>
      <c r="BI192" s="97"/>
      <c r="BJ192" s="97"/>
      <c r="BK192" s="97"/>
      <c r="BL192" s="97"/>
      <c r="BM192" s="97"/>
      <c r="BN192" s="97"/>
      <c r="BO192" s="93"/>
      <c r="BP192" s="93"/>
      <c r="BQ192" s="93"/>
      <c r="BR192" s="93"/>
      <c r="BS192" s="93"/>
      <c r="BT192" s="93"/>
      <c r="BU192" s="93"/>
      <c r="BV192" s="99"/>
      <c r="BW192" s="86"/>
      <c r="BX192" s="86"/>
      <c r="BY192" s="86"/>
      <c r="BZ192" s="86"/>
      <c r="CA192" s="100" t="str">
        <f ca="1">IFERROR(__xludf.DUMMYFUNCTION("IF(REGEXMATCH(Catalog_RewardType,""reward""), VLOOKUP($E192, {'TitleData rewards.items'!$J$9:$J416,'TitleData rewards.items'!$B$9:$B416}, 2, FALSE), """")"),"")</f>
        <v/>
      </c>
    </row>
    <row r="193" spans="1:79" ht="42" hidden="1" x14ac:dyDescent="0.15">
      <c r="A193" s="191" t="s">
        <v>314</v>
      </c>
      <c r="B193" s="83" t="b">
        <v>1</v>
      </c>
      <c r="C193" s="82" t="s">
        <v>808</v>
      </c>
      <c r="D193" s="85" t="b">
        <f>VLOOKUP($C193, '_REF Catalog Classes'!$C$6:$D416, COLUMNS('_REF Catalog Classes'!$C$6:$D416), FALSE)</f>
        <v>1</v>
      </c>
      <c r="E193" s="82" t="s">
        <v>1397</v>
      </c>
      <c r="F193" s="82" t="str">
        <f t="shared" si="0"/>
        <v>achievementMissionVicious6:TRUE</v>
      </c>
      <c r="G193" s="185" t="s">
        <v>1398</v>
      </c>
      <c r="H193" s="86" t="s">
        <v>1115</v>
      </c>
      <c r="I193" s="191" t="s">
        <v>274</v>
      </c>
      <c r="J193" s="191"/>
      <c r="K193" s="191"/>
      <c r="L193" s="191"/>
      <c r="M193" s="191" t="s">
        <v>830</v>
      </c>
      <c r="N193" s="192"/>
      <c r="O193" s="193"/>
      <c r="P193" s="191">
        <v>107</v>
      </c>
      <c r="Q193" s="194"/>
      <c r="R193" s="191"/>
      <c r="S193" s="191"/>
      <c r="T193" s="191"/>
      <c r="U193" s="191"/>
      <c r="V193" s="191"/>
      <c r="W193" s="89">
        <v>0</v>
      </c>
      <c r="X193" s="90" t="s">
        <v>37</v>
      </c>
      <c r="Y193" s="90" t="str">
        <f t="shared" si="17"/>
        <v>file://achievementMissionVicious6-state0-image0</v>
      </c>
      <c r="Z193" s="195"/>
      <c r="AA193" s="91" t="s">
        <v>283</v>
      </c>
      <c r="AB193" s="195" t="s">
        <v>1398</v>
      </c>
      <c r="AC193" s="90"/>
      <c r="AD193" s="90" t="s">
        <v>931</v>
      </c>
      <c r="AE193" s="195"/>
      <c r="AF193" s="195"/>
      <c r="AG193" s="196"/>
      <c r="AH193" s="197"/>
      <c r="AI193" s="197"/>
      <c r="AJ193" s="197"/>
      <c r="AK193" s="197"/>
      <c r="AL193" s="197"/>
      <c r="AM193" s="197"/>
      <c r="AN193" s="198"/>
      <c r="AO193" s="199"/>
      <c r="AP193" s="95" t="str">
        <f t="shared" si="18"/>
        <v>file://achievementMissionVicious6-state1-image0</v>
      </c>
      <c r="AQ193" s="199"/>
      <c r="AR193" s="198"/>
      <c r="AS193" s="95"/>
      <c r="AT193" s="95"/>
      <c r="AU193" s="95"/>
      <c r="AV193" s="95"/>
      <c r="AW193" s="92"/>
      <c r="AX193" s="93"/>
      <c r="AY193" s="93"/>
      <c r="AZ193" s="93"/>
      <c r="BA193" s="93"/>
      <c r="BB193" s="93"/>
      <c r="BC193" s="93"/>
      <c r="BD193" s="168"/>
      <c r="BE193" s="97"/>
      <c r="BF193" s="98"/>
      <c r="BG193" s="97"/>
      <c r="BH193" s="97"/>
      <c r="BI193" s="97"/>
      <c r="BJ193" s="97"/>
      <c r="BK193" s="97"/>
      <c r="BL193" s="97"/>
      <c r="BM193" s="97"/>
      <c r="BN193" s="215"/>
      <c r="BO193" s="93"/>
      <c r="BP193" s="93"/>
      <c r="BQ193" s="93"/>
      <c r="BR193" s="93"/>
      <c r="BS193" s="93"/>
      <c r="BT193" s="93"/>
      <c r="BU193" s="93"/>
      <c r="BV193" s="216"/>
      <c r="BW193" s="86" t="str">
        <f>VLOOKUP($C193, '_REF Catalog Classes'!$C$6:$E416, COLUMNS('_REF Catalog Classes'!$C$6:$E416), FALSE)</f>
        <v>never</v>
      </c>
      <c r="BX193" s="185"/>
      <c r="BY193" s="185"/>
      <c r="BZ193" s="185" t="s">
        <v>322</v>
      </c>
      <c r="CA193" s="100" t="str">
        <f ca="1">IFERROR(__xludf.DUMMYFUNCTION("IF(REGEXMATCH(Catalog_RewardType,""reward""), VLOOKUP($E193, {'TitleData rewards.items'!$J$9:$J416,'TitleData rewards.items'!$B$9:$B416}, 2, FALSE), """")"),"#N/A")</f>
        <v>#N/A</v>
      </c>
    </row>
    <row r="194" spans="1:79" ht="28" hidden="1" x14ac:dyDescent="0.15">
      <c r="A194" s="82" t="s">
        <v>314</v>
      </c>
      <c r="B194" s="83" t="b">
        <v>1</v>
      </c>
      <c r="C194" s="82" t="s">
        <v>811</v>
      </c>
      <c r="D194" s="85" t="b">
        <f>VLOOKUP($C194, '_REF Catalog Classes'!$C$6:$D416, COLUMNS('_REF Catalog Classes'!$C$6:$D416), FALSE)</f>
        <v>1</v>
      </c>
      <c r="E194" s="82" t="s">
        <v>1399</v>
      </c>
      <c r="F194" s="82" t="str">
        <f t="shared" si="0"/>
        <v>actionScarletTeddyDrones:TRUE</v>
      </c>
      <c r="G194" s="106" t="s">
        <v>904</v>
      </c>
      <c r="H194" s="86" t="s">
        <v>1115</v>
      </c>
      <c r="I194" s="82" t="s">
        <v>847</v>
      </c>
      <c r="J194" s="82" t="s">
        <v>275</v>
      </c>
      <c r="K194" s="82" t="s">
        <v>275</v>
      </c>
      <c r="L194" s="82" t="s">
        <v>857</v>
      </c>
      <c r="M194" s="82"/>
      <c r="N194" s="107"/>
      <c r="O194" s="108"/>
      <c r="P194" s="82"/>
      <c r="Q194" s="88"/>
      <c r="R194" s="82"/>
      <c r="S194" s="82"/>
      <c r="T194" s="82"/>
      <c r="U194" s="82"/>
      <c r="V194" s="82"/>
      <c r="W194" s="89"/>
      <c r="X194" s="90"/>
      <c r="Y194" s="90" t="str">
        <f t="shared" si="17"/>
        <v>file://actionScarletTeddyDrones-state0-image0</v>
      </c>
      <c r="Z194" s="90"/>
      <c r="AA194" s="89"/>
      <c r="AB194" s="90"/>
      <c r="AC194" s="90"/>
      <c r="AD194" s="90"/>
      <c r="AE194" s="90"/>
      <c r="AF194" s="90"/>
      <c r="AG194" s="92"/>
      <c r="AH194" s="93"/>
      <c r="AI194" s="93"/>
      <c r="AJ194" s="93"/>
      <c r="AK194" s="93"/>
      <c r="AL194" s="93"/>
      <c r="AM194" s="93"/>
      <c r="AN194" s="94"/>
      <c r="AO194" s="95"/>
      <c r="AP194" s="95" t="str">
        <f t="shared" si="18"/>
        <v>file://actionScarletTeddyDrones-state1-image0</v>
      </c>
      <c r="AQ194" s="95"/>
      <c r="AR194" s="94"/>
      <c r="AS194" s="95"/>
      <c r="AT194" s="95"/>
      <c r="AU194" s="95"/>
      <c r="AV194" s="95"/>
      <c r="AW194" s="92"/>
      <c r="AX194" s="93"/>
      <c r="AY194" s="93"/>
      <c r="AZ194" s="93"/>
      <c r="BA194" s="93"/>
      <c r="BB194" s="93"/>
      <c r="BC194" s="93"/>
      <c r="BD194" s="168"/>
      <c r="BE194" s="97"/>
      <c r="BF194" s="98"/>
      <c r="BG194" s="97"/>
      <c r="BH194" s="168"/>
      <c r="BI194" s="97"/>
      <c r="BJ194" s="97"/>
      <c r="BK194" s="97"/>
      <c r="BL194" s="97"/>
      <c r="BM194" s="97"/>
      <c r="BN194" s="97"/>
      <c r="BO194" s="93"/>
      <c r="BP194" s="93"/>
      <c r="BQ194" s="93"/>
      <c r="BR194" s="93"/>
      <c r="BS194" s="93"/>
      <c r="BT194" s="93"/>
      <c r="BU194" s="93"/>
      <c r="BV194" s="99"/>
      <c r="BW194" s="86"/>
      <c r="BX194" s="86"/>
      <c r="BY194" s="86"/>
      <c r="BZ194" s="86"/>
      <c r="CA194" s="100" t="str">
        <f ca="1">IFERROR(__xludf.DUMMYFUNCTION("IF(REGEXMATCH(Catalog_RewardType,""reward""), VLOOKUP($E194, {'TitleData rewards.items'!$J$9:$J416,'TitleData rewards.items'!$B$9:$B416}, 2, FALSE), """")"),"")</f>
        <v/>
      </c>
    </row>
    <row r="195" spans="1:79" ht="42" hidden="1" x14ac:dyDescent="0.15">
      <c r="A195" s="82" t="s">
        <v>269</v>
      </c>
      <c r="B195" s="83" t="b">
        <v>1</v>
      </c>
      <c r="C195" s="82" t="s">
        <v>808</v>
      </c>
      <c r="D195" s="85" t="b">
        <f>VLOOKUP($C195, '_REF Catalog Classes'!$C$6:$D416, COLUMNS('_REF Catalog Classes'!$C$6:$D416), FALSE)</f>
        <v>1</v>
      </c>
      <c r="E195" s="82" t="s">
        <v>1400</v>
      </c>
      <c r="F195" s="82" t="str">
        <f t="shared" si="0"/>
        <v>achievementCollectBoogieRobot:TRUE</v>
      </c>
      <c r="G195" s="217" t="s">
        <v>1401</v>
      </c>
      <c r="H195" s="217" t="s">
        <v>1402</v>
      </c>
      <c r="I195" s="82" t="s">
        <v>274</v>
      </c>
      <c r="J195" s="82"/>
      <c r="K195" s="82"/>
      <c r="L195" s="82"/>
      <c r="M195" s="86" t="s">
        <v>830</v>
      </c>
      <c r="N195" s="107"/>
      <c r="O195" s="108"/>
      <c r="P195" s="82">
        <v>38</v>
      </c>
      <c r="Q195" s="88"/>
      <c r="R195" s="82"/>
      <c r="S195" s="82"/>
      <c r="T195" s="82"/>
      <c r="U195" s="82"/>
      <c r="V195" s="82"/>
      <c r="W195" s="89">
        <v>0</v>
      </c>
      <c r="X195" s="90" t="s">
        <v>37</v>
      </c>
      <c r="Y195" s="90" t="str">
        <f t="shared" si="17"/>
        <v>file://achievementCollectBoogieRobot-state0-image0</v>
      </c>
      <c r="Z195" s="162"/>
      <c r="AA195" s="91" t="s">
        <v>283</v>
      </c>
      <c r="AB195" s="162" t="s">
        <v>1403</v>
      </c>
      <c r="AC195" s="162"/>
      <c r="AD195" s="162" t="s">
        <v>1404</v>
      </c>
      <c r="AE195" s="162"/>
      <c r="AF195" s="162"/>
      <c r="AG195" s="164"/>
      <c r="AH195" s="108"/>
      <c r="AI195" s="108"/>
      <c r="AJ195" s="108"/>
      <c r="AK195" s="108"/>
      <c r="AL195" s="108"/>
      <c r="AM195" s="108"/>
      <c r="AN195" s="94"/>
      <c r="AO195" s="95"/>
      <c r="AP195" s="95" t="str">
        <f t="shared" si="18"/>
        <v>file://achievementCollectBoogieRobot-state1-image0</v>
      </c>
      <c r="AQ195" s="95"/>
      <c r="AR195" s="94"/>
      <c r="AS195" s="95"/>
      <c r="AT195" s="206"/>
      <c r="AU195" s="206"/>
      <c r="AV195" s="206"/>
      <c r="AW195" s="164"/>
      <c r="AX195" s="108"/>
      <c r="AY195" s="108"/>
      <c r="AZ195" s="108"/>
      <c r="BA195" s="108"/>
      <c r="BB195" s="108"/>
      <c r="BC195" s="108"/>
      <c r="BD195" s="96">
        <v>2</v>
      </c>
      <c r="BE195" s="97" t="s">
        <v>38</v>
      </c>
      <c r="BF195" s="98"/>
      <c r="BG195" s="97"/>
      <c r="BH195" s="97" t="s">
        <v>283</v>
      </c>
      <c r="BI195" s="97" t="s">
        <v>1403</v>
      </c>
      <c r="BJ195" s="167"/>
      <c r="BK195" s="167"/>
      <c r="BL195" s="167" t="s">
        <v>1405</v>
      </c>
      <c r="BM195" s="167"/>
      <c r="BN195" s="167"/>
      <c r="BO195" s="108"/>
      <c r="BP195" s="108"/>
      <c r="BQ195" s="108"/>
      <c r="BR195" s="108"/>
      <c r="BS195" s="108"/>
      <c r="BT195" s="108"/>
      <c r="BU195" s="108"/>
      <c r="BV195" s="113" t="s">
        <v>1406</v>
      </c>
      <c r="BW195" s="86" t="str">
        <f>VLOOKUP($C195, '_REF Catalog Classes'!$C$6:$E416, COLUMNS('_REF Catalog Classes'!$C$6:$E416), FALSE)</f>
        <v>never</v>
      </c>
      <c r="BX195" s="86"/>
      <c r="BY195" s="86"/>
      <c r="BZ195" s="82" t="s">
        <v>322</v>
      </c>
      <c r="CA195" s="100" t="str">
        <f ca="1">IFERROR(__xludf.DUMMYFUNCTION("IF(REGEXMATCH(Catalog_RewardType,""reward""), VLOOKUP($E195, {'TitleData rewards.items'!$J$9:$J416,'TitleData rewards.items'!$B$9:$B416}, 2, FALSE), """")"),"#N/A")</f>
        <v>#N/A</v>
      </c>
    </row>
    <row r="196" spans="1:79" ht="56" hidden="1" x14ac:dyDescent="0.15">
      <c r="A196" s="82" t="s">
        <v>491</v>
      </c>
      <c r="B196" s="83" t="b">
        <v>1</v>
      </c>
      <c r="C196" s="82" t="s">
        <v>811</v>
      </c>
      <c r="D196" s="85" t="b">
        <f>VLOOKUP($C196, '_REF Catalog Classes'!$C$6:$D416, COLUMNS('_REF Catalog Classes'!$C$6:$D416), FALSE)</f>
        <v>1</v>
      </c>
      <c r="E196" s="82" t="s">
        <v>1407</v>
      </c>
      <c r="F196" s="82" t="str">
        <f t="shared" si="0"/>
        <v>actionObject2Destroy:TRUE</v>
      </c>
      <c r="G196" s="86" t="s">
        <v>1393</v>
      </c>
      <c r="H196" s="86" t="s">
        <v>1394</v>
      </c>
      <c r="I196" s="82" t="s">
        <v>847</v>
      </c>
      <c r="J196" s="86" t="s">
        <v>1408</v>
      </c>
      <c r="K196" s="86" t="s">
        <v>275</v>
      </c>
      <c r="L196" s="86" t="s">
        <v>857</v>
      </c>
      <c r="M196" s="82"/>
      <c r="N196" s="107"/>
      <c r="O196" s="108"/>
      <c r="P196" s="82"/>
      <c r="Q196" s="88"/>
      <c r="R196" s="82"/>
      <c r="S196" s="82"/>
      <c r="T196" s="82"/>
      <c r="U196" s="82"/>
      <c r="V196" s="82"/>
      <c r="W196" s="89"/>
      <c r="X196" s="90"/>
      <c r="Y196" s="90" t="str">
        <f t="shared" si="17"/>
        <v>file://actionObject2Destroy-state0-image0</v>
      </c>
      <c r="Z196" s="90"/>
      <c r="AA196" s="89"/>
      <c r="AB196" s="90"/>
      <c r="AC196" s="90"/>
      <c r="AD196" s="90"/>
      <c r="AE196" s="90"/>
      <c r="AF196" s="90"/>
      <c r="AG196" s="92"/>
      <c r="AH196" s="93"/>
      <c r="AI196" s="93"/>
      <c r="AJ196" s="93"/>
      <c r="AK196" s="93"/>
      <c r="AL196" s="93"/>
      <c r="AM196" s="93"/>
      <c r="AN196" s="94"/>
      <c r="AO196" s="95"/>
      <c r="AP196" s="95" t="str">
        <f t="shared" si="18"/>
        <v>file://actionObject2Destroy-state1-image0</v>
      </c>
      <c r="AQ196" s="95"/>
      <c r="AR196" s="94"/>
      <c r="AS196" s="95"/>
      <c r="AT196" s="95"/>
      <c r="AU196" s="95"/>
      <c r="AV196" s="95"/>
      <c r="AW196" s="92"/>
      <c r="AX196" s="93"/>
      <c r="AY196" s="93"/>
      <c r="AZ196" s="93"/>
      <c r="BA196" s="93"/>
      <c r="BB196" s="93"/>
      <c r="BC196" s="93"/>
      <c r="BD196" s="168"/>
      <c r="BE196" s="97"/>
      <c r="BF196" s="98"/>
      <c r="BG196" s="97"/>
      <c r="BH196" s="168"/>
      <c r="BI196" s="97"/>
      <c r="BJ196" s="97"/>
      <c r="BK196" s="97"/>
      <c r="BL196" s="97"/>
      <c r="BM196" s="97"/>
      <c r="BN196" s="97"/>
      <c r="BO196" s="93"/>
      <c r="BP196" s="93"/>
      <c r="BQ196" s="93"/>
      <c r="BR196" s="93"/>
      <c r="BS196" s="93"/>
      <c r="BT196" s="93"/>
      <c r="BU196" s="93"/>
      <c r="BV196" s="99"/>
      <c r="BW196" s="86"/>
      <c r="BX196" s="86"/>
      <c r="BY196" s="86"/>
      <c r="BZ196" s="86"/>
      <c r="CA196" s="100" t="str">
        <f ca="1">IFERROR(__xludf.DUMMYFUNCTION("IF(REGEXMATCH(Catalog_RewardType,""reward""), VLOOKUP($E196, {'TitleData rewards.items'!$J$9:$J416,'TitleData rewards.items'!$B$9:$B416}, 2, FALSE), """")"),"")</f>
        <v/>
      </c>
    </row>
    <row r="197" spans="1:79" ht="42" hidden="1" x14ac:dyDescent="0.15">
      <c r="A197" s="82" t="s">
        <v>269</v>
      </c>
      <c r="B197" s="83" t="b">
        <v>1</v>
      </c>
      <c r="C197" s="82" t="s">
        <v>808</v>
      </c>
      <c r="D197" s="85" t="b">
        <f>VLOOKUP($C197, '_REF Catalog Classes'!$C$6:$D416, COLUMNS('_REF Catalog Classes'!$C$6:$D416), FALSE)</f>
        <v>1</v>
      </c>
      <c r="E197" s="82" t="s">
        <v>1409</v>
      </c>
      <c r="F197" s="82" t="str">
        <f t="shared" si="0"/>
        <v>achievementCollectCookieRobot:TRUE</v>
      </c>
      <c r="G197" s="217" t="s">
        <v>1410</v>
      </c>
      <c r="H197" s="217" t="s">
        <v>1411</v>
      </c>
      <c r="I197" s="82" t="s">
        <v>274</v>
      </c>
      <c r="J197" s="82"/>
      <c r="K197" s="82"/>
      <c r="L197" s="82"/>
      <c r="M197" s="86" t="s">
        <v>830</v>
      </c>
      <c r="N197" s="107"/>
      <c r="O197" s="108"/>
      <c r="P197" s="82">
        <v>39</v>
      </c>
      <c r="Q197" s="88"/>
      <c r="R197" s="82"/>
      <c r="S197" s="82"/>
      <c r="T197" s="82"/>
      <c r="U197" s="82"/>
      <c r="V197" s="82"/>
      <c r="W197" s="89">
        <v>0</v>
      </c>
      <c r="X197" s="90" t="s">
        <v>37</v>
      </c>
      <c r="Y197" s="90" t="str">
        <f t="shared" si="17"/>
        <v>file://achievementCollectCookieRobot-state0-image0</v>
      </c>
      <c r="Z197" s="162"/>
      <c r="AA197" s="91" t="s">
        <v>283</v>
      </c>
      <c r="AB197" s="162" t="s">
        <v>1412</v>
      </c>
      <c r="AC197" s="162"/>
      <c r="AD197" s="162" t="s">
        <v>1413</v>
      </c>
      <c r="AE197" s="162"/>
      <c r="AF197" s="162"/>
      <c r="AG197" s="164"/>
      <c r="AH197" s="108"/>
      <c r="AI197" s="108"/>
      <c r="AJ197" s="108"/>
      <c r="AK197" s="108"/>
      <c r="AL197" s="108"/>
      <c r="AM197" s="108"/>
      <c r="AN197" s="94"/>
      <c r="AO197" s="95"/>
      <c r="AP197" s="95" t="str">
        <f t="shared" si="18"/>
        <v>file://achievementCollectCookieRobot-state1-image0</v>
      </c>
      <c r="AQ197" s="95"/>
      <c r="AR197" s="94"/>
      <c r="AS197" s="95"/>
      <c r="AT197" s="206"/>
      <c r="AU197" s="206"/>
      <c r="AV197" s="206"/>
      <c r="AW197" s="164"/>
      <c r="AX197" s="108"/>
      <c r="AY197" s="108"/>
      <c r="AZ197" s="108"/>
      <c r="BA197" s="108"/>
      <c r="BB197" s="108"/>
      <c r="BC197" s="108"/>
      <c r="BD197" s="96">
        <v>2</v>
      </c>
      <c r="BE197" s="97" t="s">
        <v>38</v>
      </c>
      <c r="BF197" s="98"/>
      <c r="BG197" s="97"/>
      <c r="BH197" s="97" t="s">
        <v>283</v>
      </c>
      <c r="BI197" s="97" t="s">
        <v>1412</v>
      </c>
      <c r="BJ197" s="167"/>
      <c r="BK197" s="167"/>
      <c r="BL197" s="167" t="s">
        <v>1414</v>
      </c>
      <c r="BM197" s="167"/>
      <c r="BN197" s="167"/>
      <c r="BO197" s="108"/>
      <c r="BP197" s="108"/>
      <c r="BQ197" s="108"/>
      <c r="BR197" s="108"/>
      <c r="BS197" s="108"/>
      <c r="BT197" s="108"/>
      <c r="BU197" s="108"/>
      <c r="BV197" s="113" t="s">
        <v>1415</v>
      </c>
      <c r="BW197" s="86" t="str">
        <f>VLOOKUP($C197, '_REF Catalog Classes'!$C$6:$E416, COLUMNS('_REF Catalog Classes'!$C$6:$E416), FALSE)</f>
        <v>never</v>
      </c>
      <c r="BX197" s="86"/>
      <c r="BY197" s="86"/>
      <c r="BZ197" s="82" t="s">
        <v>322</v>
      </c>
      <c r="CA197" s="100" t="str">
        <f ca="1">IFERROR(__xludf.DUMMYFUNCTION("IF(REGEXMATCH(Catalog_RewardType,""reward""), VLOOKUP($E197, {'TitleData rewards.items'!$J$9:$J416,'TitleData rewards.items'!$B$9:$B416}, 2, FALSE), """")"),"#N/A")</f>
        <v>#N/A</v>
      </c>
    </row>
    <row r="198" spans="1:79" ht="56" hidden="1" x14ac:dyDescent="0.15">
      <c r="A198" s="82" t="s">
        <v>491</v>
      </c>
      <c r="B198" s="83" t="b">
        <v>1</v>
      </c>
      <c r="C198" s="82" t="s">
        <v>811</v>
      </c>
      <c r="D198" s="85" t="b">
        <f>VLOOKUP($C198, '_REF Catalog Classes'!$C$6:$D416, COLUMNS('_REF Catalog Classes'!$C$6:$D416), FALSE)</f>
        <v>1</v>
      </c>
      <c r="E198" s="82" t="s">
        <v>1416</v>
      </c>
      <c r="F198" s="82" t="str">
        <f t="shared" si="0"/>
        <v>actionObject3Destroy:TRUE</v>
      </c>
      <c r="G198" s="86" t="s">
        <v>1393</v>
      </c>
      <c r="H198" s="86" t="s">
        <v>1417</v>
      </c>
      <c r="I198" s="82" t="s">
        <v>847</v>
      </c>
      <c r="J198" s="86" t="s">
        <v>1408</v>
      </c>
      <c r="K198" s="86" t="s">
        <v>275</v>
      </c>
      <c r="L198" s="86" t="s">
        <v>857</v>
      </c>
      <c r="M198" s="82"/>
      <c r="N198" s="107"/>
      <c r="O198" s="108"/>
      <c r="P198" s="82"/>
      <c r="Q198" s="88"/>
      <c r="R198" s="82"/>
      <c r="S198" s="82"/>
      <c r="T198" s="82"/>
      <c r="U198" s="82"/>
      <c r="V198" s="82"/>
      <c r="W198" s="89"/>
      <c r="X198" s="90"/>
      <c r="Y198" s="90" t="str">
        <f t="shared" si="17"/>
        <v>file://actionObject3Destroy-state0-image0</v>
      </c>
      <c r="Z198" s="90"/>
      <c r="AA198" s="89"/>
      <c r="AB198" s="90"/>
      <c r="AC198" s="90"/>
      <c r="AD198" s="90"/>
      <c r="AE198" s="90"/>
      <c r="AF198" s="90"/>
      <c r="AG198" s="92"/>
      <c r="AH198" s="93"/>
      <c r="AI198" s="93"/>
      <c r="AJ198" s="93"/>
      <c r="AK198" s="93"/>
      <c r="AL198" s="93"/>
      <c r="AM198" s="93"/>
      <c r="AN198" s="94"/>
      <c r="AO198" s="95"/>
      <c r="AP198" s="95" t="str">
        <f t="shared" si="18"/>
        <v>file://actionObject3Destroy-state1-image0</v>
      </c>
      <c r="AQ198" s="95"/>
      <c r="AR198" s="94"/>
      <c r="AS198" s="95"/>
      <c r="AT198" s="95"/>
      <c r="AU198" s="95"/>
      <c r="AV198" s="95"/>
      <c r="AW198" s="92"/>
      <c r="AX198" s="93"/>
      <c r="AY198" s="93"/>
      <c r="AZ198" s="93"/>
      <c r="BA198" s="93"/>
      <c r="BB198" s="93"/>
      <c r="BC198" s="93"/>
      <c r="BD198" s="168"/>
      <c r="BE198" s="97"/>
      <c r="BF198" s="98"/>
      <c r="BG198" s="97"/>
      <c r="BH198" s="168"/>
      <c r="BI198" s="97"/>
      <c r="BJ198" s="97"/>
      <c r="BK198" s="97"/>
      <c r="BL198" s="97"/>
      <c r="BM198" s="97"/>
      <c r="BN198" s="97"/>
      <c r="BO198" s="93"/>
      <c r="BP198" s="93"/>
      <c r="BQ198" s="93"/>
      <c r="BR198" s="93"/>
      <c r="BS198" s="93"/>
      <c r="BT198" s="93"/>
      <c r="BU198" s="93"/>
      <c r="BV198" s="99"/>
      <c r="BW198" s="86"/>
      <c r="BX198" s="86"/>
      <c r="BY198" s="86"/>
      <c r="BZ198" s="86"/>
      <c r="CA198" s="100" t="str">
        <f ca="1">IFERROR(__xludf.DUMMYFUNCTION("IF(REGEXMATCH(Catalog_RewardType,""reward""), VLOOKUP($E198, {'TitleData rewards.items'!$J$9:$J416,'TitleData rewards.items'!$B$9:$B416}, 2, FALSE), """")"),"")</f>
        <v/>
      </c>
    </row>
    <row r="199" spans="1:79" ht="42" hidden="1" x14ac:dyDescent="0.15">
      <c r="A199" s="82" t="s">
        <v>314</v>
      </c>
      <c r="B199" s="83" t="b">
        <v>1</v>
      </c>
      <c r="C199" s="82" t="s">
        <v>808</v>
      </c>
      <c r="D199" s="85" t="b">
        <f>VLOOKUP($C199, '_REF Catalog Classes'!$C$6:$D416, COLUMNS('_REF Catalog Classes'!$C$6:$D416), FALSE)</f>
        <v>1</v>
      </c>
      <c r="E199" s="82" t="s">
        <v>1418</v>
      </c>
      <c r="F199" s="82" t="str">
        <f t="shared" si="0"/>
        <v>achievementCollectGuacSombrero:TRUE</v>
      </c>
      <c r="G199" s="217" t="s">
        <v>1419</v>
      </c>
      <c r="H199" s="217" t="s">
        <v>1420</v>
      </c>
      <c r="I199" s="82" t="s">
        <v>274</v>
      </c>
      <c r="J199" s="82"/>
      <c r="K199" s="82"/>
      <c r="L199" s="82"/>
      <c r="M199" s="82" t="s">
        <v>820</v>
      </c>
      <c r="N199" s="107"/>
      <c r="O199" s="108"/>
      <c r="P199" s="82">
        <v>35</v>
      </c>
      <c r="Q199" s="88"/>
      <c r="R199" s="82"/>
      <c r="S199" s="82"/>
      <c r="T199" s="82"/>
      <c r="U199" s="82"/>
      <c r="V199" s="82"/>
      <c r="W199" s="89">
        <v>0</v>
      </c>
      <c r="X199" s="90" t="s">
        <v>37</v>
      </c>
      <c r="Y199" s="90" t="str">
        <f t="shared" si="17"/>
        <v>file://achievementCollectGuacSombrero-state0-image0</v>
      </c>
      <c r="Z199" s="162"/>
      <c r="AA199" s="91" t="s">
        <v>283</v>
      </c>
      <c r="AB199" s="162" t="s">
        <v>1421</v>
      </c>
      <c r="AC199" s="162"/>
      <c r="AD199" s="162" t="s">
        <v>1422</v>
      </c>
      <c r="AE199" s="162"/>
      <c r="AF199" s="162"/>
      <c r="AG199" s="164"/>
      <c r="AH199" s="108"/>
      <c r="AI199" s="108"/>
      <c r="AJ199" s="108"/>
      <c r="AK199" s="108"/>
      <c r="AL199" s="108"/>
      <c r="AM199" s="108"/>
      <c r="AN199" s="94"/>
      <c r="AO199" s="95"/>
      <c r="AP199" s="95" t="str">
        <f t="shared" si="18"/>
        <v>file://achievementCollectGuacSombrero-state1-image0</v>
      </c>
      <c r="AQ199" s="95"/>
      <c r="AR199" s="94"/>
      <c r="AS199" s="95"/>
      <c r="AT199" s="206"/>
      <c r="AU199" s="206"/>
      <c r="AV199" s="206"/>
      <c r="AW199" s="164"/>
      <c r="AX199" s="108"/>
      <c r="AY199" s="108"/>
      <c r="AZ199" s="108"/>
      <c r="BA199" s="108"/>
      <c r="BB199" s="108"/>
      <c r="BC199" s="108"/>
      <c r="BD199" s="96">
        <v>2</v>
      </c>
      <c r="BE199" s="167" t="s">
        <v>810</v>
      </c>
      <c r="BF199" s="98"/>
      <c r="BG199" s="97"/>
      <c r="BH199" s="97" t="s">
        <v>283</v>
      </c>
      <c r="BI199" s="97" t="s">
        <v>1421</v>
      </c>
      <c r="BJ199" s="167"/>
      <c r="BK199" s="167"/>
      <c r="BL199" s="167" t="s">
        <v>1423</v>
      </c>
      <c r="BM199" s="167"/>
      <c r="BN199" s="167"/>
      <c r="BO199" s="108"/>
      <c r="BP199" s="108"/>
      <c r="BQ199" s="108"/>
      <c r="BR199" s="108"/>
      <c r="BS199" s="108"/>
      <c r="BT199" s="108"/>
      <c r="BU199" s="108"/>
      <c r="BV199" s="113" t="s">
        <v>1424</v>
      </c>
      <c r="BW199" s="86" t="str">
        <f>VLOOKUP($C199, '_REF Catalog Classes'!$C$6:$E416, COLUMNS('_REF Catalog Classes'!$C$6:$E416), FALSE)</f>
        <v>never</v>
      </c>
      <c r="BX199" s="82"/>
      <c r="BY199" s="82"/>
      <c r="BZ199" s="82" t="s">
        <v>322</v>
      </c>
      <c r="CA199" s="100" t="str">
        <f ca="1">IFERROR(__xludf.DUMMYFUNCTION("IF(REGEXMATCH(Catalog_RewardType,""reward""), VLOOKUP($E199, {'TitleData rewards.items'!$J$9:$J416,'TitleData rewards.items'!$B$9:$B416}, 2, FALSE), """")"),"#N/A")</f>
        <v>#N/A</v>
      </c>
    </row>
    <row r="200" spans="1:79" ht="42" hidden="1" x14ac:dyDescent="0.15">
      <c r="A200" s="82" t="s">
        <v>314</v>
      </c>
      <c r="B200" s="83" t="b">
        <v>1</v>
      </c>
      <c r="C200" s="82" t="s">
        <v>808</v>
      </c>
      <c r="D200" s="85" t="b">
        <f>VLOOKUP($C200, '_REF Catalog Classes'!$C$6:$D416, COLUMNS('_REF Catalog Classes'!$C$6:$D416), FALSE)</f>
        <v>1</v>
      </c>
      <c r="E200" s="82" t="s">
        <v>1425</v>
      </c>
      <c r="F200" s="82" t="str">
        <f t="shared" si="0"/>
        <v>achievementCollectHydrant:TRUE</v>
      </c>
      <c r="G200" s="217" t="s">
        <v>1426</v>
      </c>
      <c r="H200" s="217" t="s">
        <v>1427</v>
      </c>
      <c r="I200" s="82" t="s">
        <v>274</v>
      </c>
      <c r="J200" s="82"/>
      <c r="K200" s="82"/>
      <c r="L200" s="82"/>
      <c r="M200" s="82" t="s">
        <v>820</v>
      </c>
      <c r="N200" s="107"/>
      <c r="O200" s="108"/>
      <c r="P200" s="82">
        <v>38</v>
      </c>
      <c r="Q200" s="88"/>
      <c r="R200" s="82"/>
      <c r="S200" s="82"/>
      <c r="T200" s="82"/>
      <c r="U200" s="82"/>
      <c r="V200" s="82"/>
      <c r="W200" s="89">
        <v>0</v>
      </c>
      <c r="X200" s="90" t="s">
        <v>37</v>
      </c>
      <c r="Y200" s="90" t="str">
        <f t="shared" si="17"/>
        <v>file://achievementCollectHydrant-state0-image0</v>
      </c>
      <c r="Z200" s="162"/>
      <c r="AA200" s="91" t="s">
        <v>283</v>
      </c>
      <c r="AB200" s="162" t="s">
        <v>1428</v>
      </c>
      <c r="AC200" s="162"/>
      <c r="AD200" s="162" t="s">
        <v>1429</v>
      </c>
      <c r="AE200" s="162"/>
      <c r="AF200" s="162"/>
      <c r="AG200" s="164"/>
      <c r="AH200" s="108"/>
      <c r="AI200" s="108"/>
      <c r="AJ200" s="108"/>
      <c r="AK200" s="108"/>
      <c r="AL200" s="108"/>
      <c r="AM200" s="108"/>
      <c r="AN200" s="94"/>
      <c r="AO200" s="95"/>
      <c r="AP200" s="95" t="str">
        <f t="shared" si="18"/>
        <v>file://achievementCollectHydrant-state1-image0</v>
      </c>
      <c r="AQ200" s="95"/>
      <c r="AR200" s="94"/>
      <c r="AS200" s="95"/>
      <c r="AT200" s="206"/>
      <c r="AU200" s="206"/>
      <c r="AV200" s="206"/>
      <c r="AW200" s="164"/>
      <c r="AX200" s="108"/>
      <c r="AY200" s="108"/>
      <c r="AZ200" s="108"/>
      <c r="BA200" s="108"/>
      <c r="BB200" s="108"/>
      <c r="BC200" s="108"/>
      <c r="BD200" s="96">
        <v>2</v>
      </c>
      <c r="BE200" s="167" t="s">
        <v>810</v>
      </c>
      <c r="BF200" s="98"/>
      <c r="BG200" s="97"/>
      <c r="BH200" s="97" t="s">
        <v>283</v>
      </c>
      <c r="BI200" s="97" t="s">
        <v>1428</v>
      </c>
      <c r="BJ200" s="167"/>
      <c r="BK200" s="167"/>
      <c r="BL200" s="167" t="s">
        <v>1430</v>
      </c>
      <c r="BM200" s="167"/>
      <c r="BN200" s="167"/>
      <c r="BO200" s="108"/>
      <c r="BP200" s="108"/>
      <c r="BQ200" s="108"/>
      <c r="BR200" s="108"/>
      <c r="BS200" s="108"/>
      <c r="BT200" s="108"/>
      <c r="BU200" s="108"/>
      <c r="BV200" s="113" t="s">
        <v>1431</v>
      </c>
      <c r="BW200" s="86" t="str">
        <f>VLOOKUP($C200, '_REF Catalog Classes'!$C$6:$E416, COLUMNS('_REF Catalog Classes'!$C$6:$E416), FALSE)</f>
        <v>never</v>
      </c>
      <c r="BX200" s="82"/>
      <c r="BY200" s="82"/>
      <c r="BZ200" s="82" t="s">
        <v>322</v>
      </c>
      <c r="CA200" s="100" t="str">
        <f ca="1">IFERROR(__xludf.DUMMYFUNCTION("IF(REGEXMATCH(Catalog_RewardType,""reward""), VLOOKUP($E200, {'TitleData rewards.items'!$J$9:$J416,'TitleData rewards.items'!$B$9:$B416}, 2, FALSE), """")"),"#N/A")</f>
        <v>#N/A</v>
      </c>
    </row>
    <row r="201" spans="1:79" ht="28" hidden="1" x14ac:dyDescent="0.15">
      <c r="A201" s="82" t="s">
        <v>314</v>
      </c>
      <c r="B201" s="83" t="b">
        <v>1</v>
      </c>
      <c r="C201" s="82" t="s">
        <v>811</v>
      </c>
      <c r="D201" s="85" t="b">
        <f>VLOOKUP($C201, '_REF Catalog Classes'!$C$6:$D416, COLUMNS('_REF Catalog Classes'!$C$6:$D416), FALSE)</f>
        <v>1</v>
      </c>
      <c r="E201" s="82" t="s">
        <v>1432</v>
      </c>
      <c r="F201" s="82" t="str">
        <f t="shared" si="0"/>
        <v>actionBlasterOvercharge:TRUE</v>
      </c>
      <c r="G201" s="106" t="s">
        <v>904</v>
      </c>
      <c r="H201" s="86" t="s">
        <v>1115</v>
      </c>
      <c r="I201" s="82" t="s">
        <v>847</v>
      </c>
      <c r="J201" s="82" t="s">
        <v>275</v>
      </c>
      <c r="K201" s="82" t="s">
        <v>275</v>
      </c>
      <c r="L201" s="82" t="s">
        <v>857</v>
      </c>
      <c r="M201" s="82"/>
      <c r="N201" s="107"/>
      <c r="O201" s="108"/>
      <c r="P201" s="82"/>
      <c r="Q201" s="88"/>
      <c r="R201" s="82"/>
      <c r="S201" s="82"/>
      <c r="T201" s="82"/>
      <c r="U201" s="82"/>
      <c r="V201" s="82"/>
      <c r="W201" s="89"/>
      <c r="X201" s="90"/>
      <c r="Y201" s="90" t="str">
        <f t="shared" si="17"/>
        <v>file://actionBlasterOvercharge-state0-image0</v>
      </c>
      <c r="Z201" s="90"/>
      <c r="AA201" s="89"/>
      <c r="AB201" s="90"/>
      <c r="AC201" s="90"/>
      <c r="AD201" s="90"/>
      <c r="AE201" s="90"/>
      <c r="AF201" s="90"/>
      <c r="AG201" s="92"/>
      <c r="AH201" s="93"/>
      <c r="AI201" s="93"/>
      <c r="AJ201" s="93"/>
      <c r="AK201" s="93"/>
      <c r="AL201" s="93"/>
      <c r="AM201" s="93"/>
      <c r="AN201" s="94"/>
      <c r="AO201" s="95"/>
      <c r="AP201" s="95" t="str">
        <f t="shared" si="18"/>
        <v>file://actionBlasterOvercharge-state1-image0</v>
      </c>
      <c r="AQ201" s="95"/>
      <c r="AR201" s="94"/>
      <c r="AS201" s="95"/>
      <c r="AT201" s="95"/>
      <c r="AU201" s="95"/>
      <c r="AV201" s="95"/>
      <c r="AW201" s="92"/>
      <c r="AX201" s="93"/>
      <c r="AY201" s="93"/>
      <c r="AZ201" s="93"/>
      <c r="BA201" s="93"/>
      <c r="BB201" s="93"/>
      <c r="BC201" s="93"/>
      <c r="BD201" s="168"/>
      <c r="BE201" s="97"/>
      <c r="BF201" s="98"/>
      <c r="BG201" s="97"/>
      <c r="BH201" s="168"/>
      <c r="BI201" s="97"/>
      <c r="BJ201" s="97"/>
      <c r="BK201" s="97"/>
      <c r="BL201" s="97"/>
      <c r="BM201" s="97"/>
      <c r="BN201" s="97"/>
      <c r="BO201" s="93"/>
      <c r="BP201" s="93"/>
      <c r="BQ201" s="93"/>
      <c r="BR201" s="93"/>
      <c r="BS201" s="93"/>
      <c r="BT201" s="93"/>
      <c r="BU201" s="93"/>
      <c r="BV201" s="113"/>
      <c r="BW201" s="82"/>
      <c r="BX201" s="82"/>
      <c r="BY201" s="82"/>
      <c r="BZ201" s="82"/>
      <c r="CA201" s="100" t="str">
        <f ca="1">IFERROR(__xludf.DUMMYFUNCTION("IF(REGEXMATCH(Catalog_RewardType,""reward""), VLOOKUP($E201, {'TitleData rewards.items'!$J$9:$J416,'TitleData rewards.items'!$B$9:$B416}, 2, FALSE), """")"),"")</f>
        <v/>
      </c>
    </row>
    <row r="202" spans="1:79" ht="42" hidden="1" x14ac:dyDescent="0.15">
      <c r="A202" s="82" t="s">
        <v>269</v>
      </c>
      <c r="B202" s="83" t="b">
        <v>1</v>
      </c>
      <c r="C202" s="82" t="s">
        <v>808</v>
      </c>
      <c r="D202" s="85" t="b">
        <f>VLOOKUP($C202, '_REF Catalog Classes'!$C$6:$D416, COLUMNS('_REF Catalog Classes'!$C$6:$D416), FALSE)</f>
        <v>1</v>
      </c>
      <c r="E202" s="82" t="s">
        <v>1433</v>
      </c>
      <c r="F202" s="82" t="str">
        <f t="shared" si="0"/>
        <v>achievementPlayOutdoorExplorer:TRUE</v>
      </c>
      <c r="G202" s="125" t="s">
        <v>1434</v>
      </c>
      <c r="H202" s="125" t="s">
        <v>1435</v>
      </c>
      <c r="I202" s="82" t="s">
        <v>274</v>
      </c>
      <c r="J202" s="82"/>
      <c r="K202" s="82"/>
      <c r="L202" s="82"/>
      <c r="M202" s="86" t="s">
        <v>830</v>
      </c>
      <c r="N202" s="107"/>
      <c r="O202" s="108"/>
      <c r="P202" s="82">
        <v>30</v>
      </c>
      <c r="Q202" s="88"/>
      <c r="R202" s="82"/>
      <c r="S202" s="82"/>
      <c r="T202" s="82"/>
      <c r="U202" s="82"/>
      <c r="V202" s="82"/>
      <c r="W202" s="89">
        <v>0</v>
      </c>
      <c r="X202" s="90" t="s">
        <v>37</v>
      </c>
      <c r="Y202" s="90" t="str">
        <f t="shared" si="17"/>
        <v>file://achievementPlayOutdoorExplorer-state0-image0</v>
      </c>
      <c r="Z202" s="162"/>
      <c r="AA202" s="91" t="s">
        <v>283</v>
      </c>
      <c r="AB202" s="162" t="s">
        <v>1436</v>
      </c>
      <c r="AC202" s="162"/>
      <c r="AD202" s="162" t="s">
        <v>1437</v>
      </c>
      <c r="AE202" s="162"/>
      <c r="AF202" s="162"/>
      <c r="AG202" s="164"/>
      <c r="AH202" s="108"/>
      <c r="AI202" s="108"/>
      <c r="AJ202" s="108"/>
      <c r="AK202" s="108"/>
      <c r="AL202" s="108"/>
      <c r="AM202" s="108"/>
      <c r="AN202" s="94"/>
      <c r="AO202" s="95"/>
      <c r="AP202" s="95" t="str">
        <f t="shared" si="18"/>
        <v>file://achievementPlayOutdoorExplorer-state1-image0</v>
      </c>
      <c r="AQ202" s="95"/>
      <c r="AR202" s="94"/>
      <c r="AS202" s="95"/>
      <c r="AT202" s="95"/>
      <c r="AU202" s="95"/>
      <c r="AV202" s="95"/>
      <c r="AW202" s="164"/>
      <c r="AX202" s="108"/>
      <c r="AY202" s="108"/>
      <c r="AZ202" s="108"/>
      <c r="BA202" s="108"/>
      <c r="BB202" s="108"/>
      <c r="BC202" s="108"/>
      <c r="BD202" s="218"/>
      <c r="BE202" s="167"/>
      <c r="BF202" s="98"/>
      <c r="BG202" s="167"/>
      <c r="BH202" s="167"/>
      <c r="BI202" s="167"/>
      <c r="BJ202" s="167"/>
      <c r="BK202" s="167"/>
      <c r="BL202" s="167"/>
      <c r="BM202" s="167"/>
      <c r="BN202" s="167"/>
      <c r="BO202" s="108"/>
      <c r="BP202" s="108"/>
      <c r="BQ202" s="108"/>
      <c r="BR202" s="108"/>
      <c r="BS202" s="108"/>
      <c r="BT202" s="108"/>
      <c r="BU202" s="108"/>
      <c r="BV202" s="113" t="s">
        <v>1438</v>
      </c>
      <c r="BW202" s="86" t="str">
        <f>VLOOKUP($C202, '_REF Catalog Classes'!$C$6:$E416, COLUMNS('_REF Catalog Classes'!$C$6:$E416), FALSE)</f>
        <v>never</v>
      </c>
      <c r="BX202" s="82"/>
      <c r="BY202" s="82"/>
      <c r="BZ202" s="82" t="s">
        <v>322</v>
      </c>
      <c r="CA202" s="100" t="str">
        <f ca="1">IFERROR(__xludf.DUMMYFUNCTION("IF(REGEXMATCH(Catalog_RewardType,""reward""), VLOOKUP($E202, {'TitleData rewards.items'!$J$9:$J416,'TitleData rewards.items'!$B$9:$B416}, 2, FALSE), """")"),"#N/A")</f>
        <v>#N/A</v>
      </c>
    </row>
    <row r="203" spans="1:79" ht="28" hidden="1" x14ac:dyDescent="0.15">
      <c r="A203" s="84" t="s">
        <v>491</v>
      </c>
      <c r="B203" s="82" t="b">
        <v>1</v>
      </c>
      <c r="C203" s="82" t="s">
        <v>811</v>
      </c>
      <c r="D203" s="85" t="b">
        <f>VLOOKUP($C203, '_REF Catalog Classes'!$C$6:$D416, COLUMNS('_REF Catalog Classes'!$C$6:$D416), FALSE)</f>
        <v>1</v>
      </c>
      <c r="E203" s="82" t="s">
        <v>1439</v>
      </c>
      <c r="F203" s="82" t="str">
        <f t="shared" si="0"/>
        <v>actionBoostPickup:TRUE</v>
      </c>
      <c r="G203" s="14" t="s">
        <v>904</v>
      </c>
      <c r="H203" s="100" t="s">
        <v>1115</v>
      </c>
      <c r="I203" s="84" t="s">
        <v>847</v>
      </c>
      <c r="J203" s="84" t="s">
        <v>275</v>
      </c>
      <c r="K203" s="84" t="s">
        <v>275</v>
      </c>
      <c r="L203" s="84" t="s">
        <v>857</v>
      </c>
      <c r="M203" s="82"/>
      <c r="N203" s="101"/>
      <c r="O203" s="82"/>
      <c r="P203" s="82"/>
      <c r="Q203" s="88"/>
      <c r="R203" s="82"/>
      <c r="S203" s="82"/>
      <c r="T203" s="82"/>
      <c r="U203" s="82"/>
      <c r="V203" s="82"/>
      <c r="W203" s="117"/>
      <c r="X203" s="90"/>
      <c r="Y203" s="90" t="str">
        <f t="shared" si="17"/>
        <v>file://actionBoostPickup-state0-image0</v>
      </c>
      <c r="Z203" s="90"/>
      <c r="AA203" s="89"/>
      <c r="AB203" s="90"/>
      <c r="AC203" s="90"/>
      <c r="AD203" s="90"/>
      <c r="AE203" s="90"/>
      <c r="AF203" s="90"/>
      <c r="AG203" s="92"/>
      <c r="AH203" s="93"/>
      <c r="AI203" s="93"/>
      <c r="AJ203" s="93"/>
      <c r="AK203" s="93"/>
      <c r="AL203" s="93"/>
      <c r="AM203" s="93"/>
      <c r="AN203" s="219"/>
      <c r="AO203" s="105"/>
      <c r="AP203" s="95" t="str">
        <f t="shared" si="18"/>
        <v>file://actionBoostPickup-state1-image0</v>
      </c>
      <c r="AQ203" s="105"/>
      <c r="AR203" s="219"/>
      <c r="AS203" s="220"/>
      <c r="AT203" s="95"/>
      <c r="AU203" s="95"/>
      <c r="AV203" s="95"/>
      <c r="AW203" s="92"/>
      <c r="AX203" s="93"/>
      <c r="AY203" s="93"/>
      <c r="AZ203" s="93"/>
      <c r="BA203" s="93"/>
      <c r="BB203" s="93"/>
      <c r="BC203" s="93"/>
      <c r="BD203" s="221"/>
      <c r="BE203" s="97"/>
      <c r="BF203" s="98"/>
      <c r="BG203" s="97"/>
      <c r="BH203" s="168"/>
      <c r="BI203" s="97"/>
      <c r="BJ203" s="97"/>
      <c r="BK203" s="97"/>
      <c r="BL203" s="97"/>
      <c r="BM203" s="97"/>
      <c r="BN203" s="97"/>
      <c r="BO203" s="93"/>
      <c r="BP203" s="93"/>
      <c r="BQ203" s="93"/>
      <c r="BR203" s="93"/>
      <c r="BS203" s="93"/>
      <c r="BT203" s="93"/>
      <c r="BU203" s="93"/>
      <c r="BV203" s="113"/>
      <c r="BW203" s="82"/>
      <c r="BX203" s="82"/>
      <c r="BY203" s="82"/>
      <c r="BZ203" s="82"/>
      <c r="CA203" s="100" t="str">
        <f ca="1">IFERROR(__xludf.DUMMYFUNCTION("IF(REGEXMATCH(Catalog_RewardType,""reward""), VLOOKUP($E203, {'TitleData rewards.items'!$J$9:$J416,'TitleData rewards.items'!$B$9:$B416}, 2, FALSE), """")"),"")</f>
        <v/>
      </c>
    </row>
    <row r="204" spans="1:79" ht="28" hidden="1" x14ac:dyDescent="0.15">
      <c r="A204" s="82" t="s">
        <v>314</v>
      </c>
      <c r="B204" s="82" t="b">
        <v>1</v>
      </c>
      <c r="C204" s="82" t="s">
        <v>811</v>
      </c>
      <c r="D204" s="85" t="b">
        <f>VLOOKUP($C204, '_REF Catalog Classes'!$C$6:$D416, COLUMNS('_REF Catalog Classes'!$C$6:$D416), FALSE)</f>
        <v>1</v>
      </c>
      <c r="E204" s="82" t="s">
        <v>1440</v>
      </c>
      <c r="F204" s="82" t="str">
        <f t="shared" si="0"/>
        <v>actionBlasterBlast:TRUE</v>
      </c>
      <c r="G204" s="86"/>
      <c r="H204" s="86"/>
      <c r="I204" s="84" t="s">
        <v>847</v>
      </c>
      <c r="J204" s="82"/>
      <c r="K204" s="82"/>
      <c r="L204" s="82"/>
      <c r="M204" s="82"/>
      <c r="N204" s="107"/>
      <c r="O204" s="108"/>
      <c r="P204" s="108"/>
      <c r="Q204" s="88"/>
      <c r="R204" s="108"/>
      <c r="S204" s="108"/>
      <c r="T204" s="108"/>
      <c r="U204" s="108"/>
      <c r="V204" s="108"/>
      <c r="W204" s="117"/>
      <c r="X204" s="93"/>
      <c r="Y204" s="90" t="str">
        <f t="shared" si="17"/>
        <v>file://actionBlasterBlast-state0-image0</v>
      </c>
      <c r="Z204" s="93"/>
      <c r="AA204" s="92"/>
      <c r="AB204" s="93"/>
      <c r="AC204" s="93"/>
      <c r="AD204" s="93"/>
      <c r="AE204" s="93"/>
      <c r="AF204" s="93"/>
      <c r="AG204" s="92"/>
      <c r="AH204" s="93"/>
      <c r="AI204" s="93"/>
      <c r="AJ204" s="93"/>
      <c r="AK204" s="93"/>
      <c r="AL204" s="93"/>
      <c r="AM204" s="93"/>
      <c r="AN204" s="119"/>
      <c r="AO204" s="120"/>
      <c r="AP204" s="95" t="str">
        <f t="shared" si="18"/>
        <v>file://actionBlasterBlast-state1-image0</v>
      </c>
      <c r="AQ204" s="120"/>
      <c r="AR204" s="119"/>
      <c r="AS204" s="121"/>
      <c r="AT204" s="93"/>
      <c r="AU204" s="93"/>
      <c r="AV204" s="93"/>
      <c r="AW204" s="92"/>
      <c r="AX204" s="93"/>
      <c r="AY204" s="93"/>
      <c r="AZ204" s="93"/>
      <c r="BA204" s="93"/>
      <c r="BB204" s="93"/>
      <c r="BC204" s="93"/>
      <c r="BD204" s="119"/>
      <c r="BE204" s="93"/>
      <c r="BF204" s="98"/>
      <c r="BG204" s="93"/>
      <c r="BH204" s="92"/>
      <c r="BI204" s="93"/>
      <c r="BJ204" s="93"/>
      <c r="BK204" s="93"/>
      <c r="BL204" s="93"/>
      <c r="BM204" s="93"/>
      <c r="BN204" s="93"/>
      <c r="BO204" s="93"/>
      <c r="BP204" s="93"/>
      <c r="BQ204" s="93"/>
      <c r="BR204" s="93"/>
      <c r="BS204" s="93"/>
      <c r="BT204" s="93"/>
      <c r="BU204" s="93"/>
      <c r="BV204" s="99"/>
      <c r="BW204" s="86"/>
      <c r="BX204" s="86"/>
      <c r="BY204" s="86"/>
      <c r="BZ204" s="86"/>
      <c r="CA204" s="100" t="str">
        <f ca="1">IFERROR(__xludf.DUMMYFUNCTION("IF(REGEXMATCH(Catalog_RewardType,""reward""), VLOOKUP($E204, {'TitleData rewards.items'!$J$9:$J416,'TitleData rewards.items'!$B$9:$B416}, 2, FALSE), """")"),"")</f>
        <v/>
      </c>
    </row>
    <row r="205" spans="1:79" ht="42" hidden="1" x14ac:dyDescent="0.15">
      <c r="A205" s="191" t="s">
        <v>314</v>
      </c>
      <c r="B205" s="83" t="b">
        <v>1</v>
      </c>
      <c r="C205" s="82" t="s">
        <v>808</v>
      </c>
      <c r="D205" s="85" t="b">
        <f>VLOOKUP($C205, '_REF Catalog Classes'!$C$6:$D416, COLUMNS('_REF Catalog Classes'!$C$6:$D416), FALSE)</f>
        <v>1</v>
      </c>
      <c r="E205" s="82" t="s">
        <v>1441</v>
      </c>
      <c r="F205" s="82" t="str">
        <f t="shared" si="0"/>
        <v>achievementMissionDMe:TRUE</v>
      </c>
      <c r="G205" s="185" t="s">
        <v>1442</v>
      </c>
      <c r="H205" s="86" t="s">
        <v>1115</v>
      </c>
      <c r="I205" s="191" t="s">
        <v>274</v>
      </c>
      <c r="J205" s="191"/>
      <c r="K205" s="191"/>
      <c r="L205" s="191"/>
      <c r="M205" s="191" t="s">
        <v>820</v>
      </c>
      <c r="N205" s="192"/>
      <c r="O205" s="193"/>
      <c r="P205" s="191">
        <v>111</v>
      </c>
      <c r="Q205" s="194"/>
      <c r="R205" s="191"/>
      <c r="S205" s="191"/>
      <c r="T205" s="191"/>
      <c r="U205" s="191"/>
      <c r="V205" s="191"/>
      <c r="W205" s="89">
        <v>0</v>
      </c>
      <c r="X205" s="90" t="s">
        <v>37</v>
      </c>
      <c r="Y205" s="90" t="str">
        <f t="shared" si="17"/>
        <v>file://achievementMissionDMe-state0-image0</v>
      </c>
      <c r="Z205" s="195"/>
      <c r="AA205" s="91" t="s">
        <v>283</v>
      </c>
      <c r="AB205" s="195" t="s">
        <v>1442</v>
      </c>
      <c r="AC205" s="90"/>
      <c r="AD205" s="90" t="s">
        <v>931</v>
      </c>
      <c r="AE205" s="195"/>
      <c r="AF205" s="195"/>
      <c r="AG205" s="196"/>
      <c r="AH205" s="197"/>
      <c r="AI205" s="197"/>
      <c r="AJ205" s="197"/>
      <c r="AK205" s="197"/>
      <c r="AL205" s="197"/>
      <c r="AM205" s="197"/>
      <c r="AN205" s="198"/>
      <c r="AO205" s="199"/>
      <c r="AP205" s="95" t="str">
        <f t="shared" si="18"/>
        <v>file://achievementMissionDMe-state1-image0</v>
      </c>
      <c r="AQ205" s="199"/>
      <c r="AR205" s="198"/>
      <c r="AS205" s="199"/>
      <c r="AT205" s="199"/>
      <c r="AU205" s="199"/>
      <c r="AV205" s="199"/>
      <c r="AW205" s="196"/>
      <c r="AX205" s="197"/>
      <c r="AY205" s="197"/>
      <c r="AZ205" s="197"/>
      <c r="BA205" s="197"/>
      <c r="BB205" s="197"/>
      <c r="BC205" s="197"/>
      <c r="BD205" s="184">
        <v>2</v>
      </c>
      <c r="BE205" s="97" t="s">
        <v>823</v>
      </c>
      <c r="BF205" s="98"/>
      <c r="BG205" s="97"/>
      <c r="BH205" s="97" t="s">
        <v>283</v>
      </c>
      <c r="BI205" s="200" t="s">
        <v>1442</v>
      </c>
      <c r="BJ205" s="200"/>
      <c r="BK205" s="97"/>
      <c r="BL205" s="97" t="s">
        <v>1443</v>
      </c>
      <c r="BM205" s="97"/>
      <c r="BN205" s="167"/>
      <c r="BO205" s="197"/>
      <c r="BP205" s="197"/>
      <c r="BQ205" s="197"/>
      <c r="BR205" s="197"/>
      <c r="BS205" s="197"/>
      <c r="BT205" s="197"/>
      <c r="BU205" s="197"/>
      <c r="BV205" s="216" t="s">
        <v>1444</v>
      </c>
      <c r="BW205" s="86" t="str">
        <f>VLOOKUP($C205, '_REF Catalog Classes'!$C$6:$E416, COLUMNS('_REF Catalog Classes'!$C$6:$E416), FALSE)</f>
        <v>never</v>
      </c>
      <c r="BX205" s="185"/>
      <c r="BY205" s="185"/>
      <c r="BZ205" s="185" t="s">
        <v>322</v>
      </c>
      <c r="CA205" s="100" t="str">
        <f ca="1">IFERROR(__xludf.DUMMYFUNCTION("IF(REGEXMATCH(Catalog_RewardType,""reward""), VLOOKUP($E205, {'TitleData rewards.items'!$J$9:$J416,'TitleData rewards.items'!$B$9:$B416}, 2, FALSE), """")"),"#N/A")</f>
        <v>#N/A</v>
      </c>
    </row>
    <row r="206" spans="1:79" ht="42" hidden="1" x14ac:dyDescent="0.15">
      <c r="A206" s="191" t="s">
        <v>314</v>
      </c>
      <c r="B206" s="83" t="b">
        <v>1</v>
      </c>
      <c r="C206" s="82" t="s">
        <v>808</v>
      </c>
      <c r="D206" s="85" t="b">
        <f>VLOOKUP($C206, '_REF Catalog Classes'!$C$6:$D416, COLUMNS('_REF Catalog Classes'!$C$6:$D416), FALSE)</f>
        <v>1</v>
      </c>
      <c r="E206" s="82" t="s">
        <v>1445</v>
      </c>
      <c r="F206" s="82" t="str">
        <f t="shared" si="0"/>
        <v>achievementMissionAVL:TRUE</v>
      </c>
      <c r="G206" s="185" t="s">
        <v>1446</v>
      </c>
      <c r="H206" s="86" t="s">
        <v>1115</v>
      </c>
      <c r="I206" s="191" t="s">
        <v>274</v>
      </c>
      <c r="J206" s="191"/>
      <c r="K206" s="191"/>
      <c r="L206" s="191"/>
      <c r="M206" s="191" t="s">
        <v>820</v>
      </c>
      <c r="N206" s="192"/>
      <c r="O206" s="193"/>
      <c r="P206" s="191">
        <v>113</v>
      </c>
      <c r="Q206" s="194"/>
      <c r="R206" s="191"/>
      <c r="S206" s="191"/>
      <c r="T206" s="191"/>
      <c r="U206" s="191"/>
      <c r="V206" s="191"/>
      <c r="W206" s="89">
        <v>0</v>
      </c>
      <c r="X206" s="90" t="s">
        <v>37</v>
      </c>
      <c r="Y206" s="90" t="str">
        <f t="shared" si="17"/>
        <v>file://achievementMissionAVL-state0-image0</v>
      </c>
      <c r="Z206" s="195"/>
      <c r="AA206" s="91" t="s">
        <v>283</v>
      </c>
      <c r="AB206" s="195" t="s">
        <v>1447</v>
      </c>
      <c r="AC206" s="90"/>
      <c r="AD206" s="90" t="s">
        <v>1448</v>
      </c>
      <c r="AE206" s="195"/>
      <c r="AF206" s="195"/>
      <c r="AG206" s="196"/>
      <c r="AH206" s="197"/>
      <c r="AI206" s="197"/>
      <c r="AJ206" s="197"/>
      <c r="AK206" s="197"/>
      <c r="AL206" s="197"/>
      <c r="AM206" s="197"/>
      <c r="AN206" s="198"/>
      <c r="AO206" s="199"/>
      <c r="AP206" s="95" t="str">
        <f t="shared" si="18"/>
        <v>file://achievementMissionAVL-state1-image0</v>
      </c>
      <c r="AQ206" s="199"/>
      <c r="AR206" s="198"/>
      <c r="AS206" s="199"/>
      <c r="AT206" s="199"/>
      <c r="AU206" s="199"/>
      <c r="AV206" s="199"/>
      <c r="AW206" s="196"/>
      <c r="AX206" s="197"/>
      <c r="AY206" s="197"/>
      <c r="AZ206" s="197"/>
      <c r="BA206" s="197"/>
      <c r="BB206" s="197"/>
      <c r="BC206" s="197"/>
      <c r="BD206" s="184">
        <v>2</v>
      </c>
      <c r="BE206" s="97" t="s">
        <v>823</v>
      </c>
      <c r="BF206" s="98"/>
      <c r="BG206" s="97"/>
      <c r="BH206" s="97" t="s">
        <v>283</v>
      </c>
      <c r="BI206" s="200" t="s">
        <v>1449</v>
      </c>
      <c r="BJ206" s="200"/>
      <c r="BK206" s="97"/>
      <c r="BL206" s="97" t="s">
        <v>1450</v>
      </c>
      <c r="BM206" s="97"/>
      <c r="BN206" s="167"/>
      <c r="BO206" s="197"/>
      <c r="BP206" s="197"/>
      <c r="BQ206" s="197"/>
      <c r="BR206" s="197"/>
      <c r="BS206" s="197"/>
      <c r="BT206" s="197"/>
      <c r="BU206" s="197"/>
      <c r="BV206" s="99" t="s">
        <v>1451</v>
      </c>
      <c r="BW206" s="86" t="str">
        <f>VLOOKUP($C206, '_REF Catalog Classes'!$C$6:$E416, COLUMNS('_REF Catalog Classes'!$C$6:$E416), FALSE)</f>
        <v>never</v>
      </c>
      <c r="BX206" s="86"/>
      <c r="BY206" s="86"/>
      <c r="BZ206" s="86" t="s">
        <v>322</v>
      </c>
      <c r="CA206" s="100" t="str">
        <f ca="1">IFERROR(__xludf.DUMMYFUNCTION("IF(REGEXMATCH(Catalog_RewardType,""reward""), VLOOKUP($E206, {'TitleData rewards.items'!$J$9:$J416,'TitleData rewards.items'!$B$9:$B416}, 2, FALSE), """")"),"#N/A")</f>
        <v>#N/A</v>
      </c>
    </row>
    <row r="207" spans="1:79" ht="56" hidden="1" x14ac:dyDescent="0.15">
      <c r="A207" s="82" t="s">
        <v>491</v>
      </c>
      <c r="B207" s="83" t="b">
        <v>1</v>
      </c>
      <c r="C207" s="82" t="s">
        <v>808</v>
      </c>
      <c r="D207" s="85" t="b">
        <f>VLOOKUP($C207, '_REF Catalog Classes'!$C$6:$D416, COLUMNS('_REF Catalog Classes'!$C$6:$D416), FALSE)</f>
        <v>1</v>
      </c>
      <c r="E207" s="82" t="s">
        <v>1452</v>
      </c>
      <c r="F207" s="82" t="str">
        <f t="shared" si="0"/>
        <v>achievementPlayObject1Destroy:TRUE</v>
      </c>
      <c r="G207" s="86" t="s">
        <v>1453</v>
      </c>
      <c r="H207" s="86" t="s">
        <v>1454</v>
      </c>
      <c r="I207" s="82" t="s">
        <v>274</v>
      </c>
      <c r="J207" s="86"/>
      <c r="K207" s="86"/>
      <c r="L207" s="86"/>
      <c r="M207" s="86" t="s">
        <v>820</v>
      </c>
      <c r="N207" s="107"/>
      <c r="O207" s="108"/>
      <c r="P207" s="82">
        <v>115</v>
      </c>
      <c r="Q207" s="88"/>
      <c r="R207" s="82"/>
      <c r="S207" s="82"/>
      <c r="T207" s="82"/>
      <c r="U207" s="82"/>
      <c r="V207" s="82"/>
      <c r="W207" s="89">
        <v>0</v>
      </c>
      <c r="X207" s="90" t="s">
        <v>37</v>
      </c>
      <c r="Y207" s="90" t="str">
        <f t="shared" si="17"/>
        <v>file://achievementPlayObject1Destroy-state0-image0</v>
      </c>
      <c r="Z207" s="162"/>
      <c r="AA207" s="91" t="s">
        <v>283</v>
      </c>
      <c r="AB207" s="162" t="s">
        <v>1455</v>
      </c>
      <c r="AC207" s="90"/>
      <c r="AD207" s="162" t="s">
        <v>1456</v>
      </c>
      <c r="AE207" s="162"/>
      <c r="AF207" s="162"/>
      <c r="AG207" s="164"/>
      <c r="AH207" s="108"/>
      <c r="AI207" s="108"/>
      <c r="AJ207" s="108"/>
      <c r="AK207" s="108"/>
      <c r="AL207" s="108"/>
      <c r="AM207" s="108"/>
      <c r="AN207" s="94"/>
      <c r="AO207" s="95"/>
      <c r="AP207" s="95" t="str">
        <f t="shared" si="18"/>
        <v>file://achievementPlayObject1Destroy-state1-image0</v>
      </c>
      <c r="AQ207" s="95"/>
      <c r="AR207" s="94"/>
      <c r="AS207" s="95"/>
      <c r="AT207" s="95"/>
      <c r="AU207" s="95"/>
      <c r="AV207" s="95"/>
      <c r="AW207" s="164"/>
      <c r="AX207" s="164"/>
      <c r="AY207" s="164"/>
      <c r="AZ207" s="164"/>
      <c r="BA207" s="164"/>
      <c r="BB207" s="164"/>
      <c r="BC207" s="164"/>
      <c r="BD207" s="96">
        <v>2</v>
      </c>
      <c r="BE207" s="218" t="s">
        <v>823</v>
      </c>
      <c r="BF207" s="98"/>
      <c r="BG207" s="168"/>
      <c r="BH207" s="168" t="s">
        <v>283</v>
      </c>
      <c r="BI207" s="168" t="s">
        <v>1457</v>
      </c>
      <c r="BJ207" s="218"/>
      <c r="BK207" s="218"/>
      <c r="BL207" s="218" t="s">
        <v>1458</v>
      </c>
      <c r="BM207" s="167"/>
      <c r="BN207" s="167"/>
      <c r="BO207" s="108"/>
      <c r="BP207" s="108"/>
      <c r="BQ207" s="108"/>
      <c r="BR207" s="108"/>
      <c r="BS207" s="108"/>
      <c r="BT207" s="108"/>
      <c r="BU207" s="108"/>
      <c r="BV207" s="99" t="s">
        <v>1459</v>
      </c>
      <c r="BW207" s="86" t="str">
        <f>VLOOKUP($C207, '_REF Catalog Classes'!$C$6:$E416, COLUMNS('_REF Catalog Classes'!$C$6:$E416), FALSE)</f>
        <v>never</v>
      </c>
      <c r="BX207" s="86"/>
      <c r="BY207" s="86"/>
      <c r="BZ207" s="86" t="s">
        <v>322</v>
      </c>
      <c r="CA207" s="100" t="str">
        <f ca="1">IFERROR(__xludf.DUMMYFUNCTION("IF(REGEXMATCH(Catalog_RewardType,""reward""), VLOOKUP($E207, {'TitleData rewards.items'!$J$9:$J416,'TitleData rewards.items'!$B$9:$B416}, 2, FALSE), """")"),"#N/A")</f>
        <v>#N/A</v>
      </c>
    </row>
    <row r="208" spans="1:79" ht="56" hidden="1" x14ac:dyDescent="0.15">
      <c r="A208" s="82" t="s">
        <v>491</v>
      </c>
      <c r="B208" s="83" t="b">
        <v>1</v>
      </c>
      <c r="C208" s="82" t="s">
        <v>808</v>
      </c>
      <c r="D208" s="85" t="b">
        <f>VLOOKUP($C208, '_REF Catalog Classes'!$C$6:$D416, COLUMNS('_REF Catalog Classes'!$C$6:$D416), FALSE)</f>
        <v>1</v>
      </c>
      <c r="E208" s="82" t="s">
        <v>1460</v>
      </c>
      <c r="F208" s="82" t="str">
        <f t="shared" si="0"/>
        <v>achievementPlayObject2Destroy:TRUE</v>
      </c>
      <c r="G208" s="86" t="s">
        <v>1453</v>
      </c>
      <c r="H208" s="86" t="s">
        <v>1454</v>
      </c>
      <c r="I208" s="82" t="s">
        <v>274</v>
      </c>
      <c r="J208" s="86"/>
      <c r="K208" s="86"/>
      <c r="L208" s="86"/>
      <c r="M208" s="86" t="s">
        <v>820</v>
      </c>
      <c r="N208" s="107"/>
      <c r="O208" s="108"/>
      <c r="P208" s="82">
        <v>116</v>
      </c>
      <c r="Q208" s="88"/>
      <c r="R208" s="82"/>
      <c r="S208" s="82"/>
      <c r="T208" s="82"/>
      <c r="U208" s="82"/>
      <c r="V208" s="82"/>
      <c r="W208" s="89">
        <v>0</v>
      </c>
      <c r="X208" s="90" t="s">
        <v>37</v>
      </c>
      <c r="Y208" s="90" t="str">
        <f t="shared" si="17"/>
        <v>file://achievementPlayObject2Destroy-state0-image0</v>
      </c>
      <c r="Z208" s="162"/>
      <c r="AA208" s="91" t="s">
        <v>283</v>
      </c>
      <c r="AB208" s="162" t="s">
        <v>1455</v>
      </c>
      <c r="AC208" s="90"/>
      <c r="AD208" s="162" t="s">
        <v>1456</v>
      </c>
      <c r="AE208" s="162"/>
      <c r="AF208" s="162"/>
      <c r="AG208" s="164"/>
      <c r="AH208" s="108"/>
      <c r="AI208" s="108"/>
      <c r="AJ208" s="108"/>
      <c r="AK208" s="108"/>
      <c r="AL208" s="108"/>
      <c r="AM208" s="108"/>
      <c r="AN208" s="94"/>
      <c r="AO208" s="95"/>
      <c r="AP208" s="95" t="str">
        <f t="shared" si="18"/>
        <v>file://achievementPlayObject2Destroy-state1-image0</v>
      </c>
      <c r="AQ208" s="95"/>
      <c r="AR208" s="94"/>
      <c r="AS208" s="95"/>
      <c r="AT208" s="95"/>
      <c r="AU208" s="95"/>
      <c r="AV208" s="95"/>
      <c r="AW208" s="164"/>
      <c r="AX208" s="108"/>
      <c r="AY208" s="108"/>
      <c r="AZ208" s="108"/>
      <c r="BA208" s="108"/>
      <c r="BB208" s="108"/>
      <c r="BC208" s="108"/>
      <c r="BD208" s="96">
        <v>2</v>
      </c>
      <c r="BE208" s="167" t="s">
        <v>823</v>
      </c>
      <c r="BF208" s="98"/>
      <c r="BG208" s="97"/>
      <c r="BH208" s="97" t="s">
        <v>283</v>
      </c>
      <c r="BI208" s="97" t="s">
        <v>1457</v>
      </c>
      <c r="BJ208" s="167"/>
      <c r="BK208" s="167"/>
      <c r="BL208" s="167" t="s">
        <v>1458</v>
      </c>
      <c r="BM208" s="167"/>
      <c r="BN208" s="167"/>
      <c r="BO208" s="108"/>
      <c r="BP208" s="108"/>
      <c r="BQ208" s="108"/>
      <c r="BR208" s="108"/>
      <c r="BS208" s="108"/>
      <c r="BT208" s="108"/>
      <c r="BU208" s="108"/>
      <c r="BV208" s="99" t="s">
        <v>1461</v>
      </c>
      <c r="BW208" s="86" t="str">
        <f>VLOOKUP($C208, '_REF Catalog Classes'!$C$6:$E416, COLUMNS('_REF Catalog Classes'!$C$6:$E416), FALSE)</f>
        <v>never</v>
      </c>
      <c r="BX208" s="86"/>
      <c r="BY208" s="86"/>
      <c r="BZ208" s="86" t="s">
        <v>322</v>
      </c>
      <c r="CA208" s="100" t="str">
        <f ca="1">IFERROR(__xludf.DUMMYFUNCTION("IF(REGEXMATCH(Catalog_RewardType,""reward""), VLOOKUP($E208, {'TitleData rewards.items'!$J$9:$J416,'TitleData rewards.items'!$B$9:$B416}, 2, FALSE), """")"),"#N/A")</f>
        <v>#N/A</v>
      </c>
    </row>
    <row r="209" spans="1:79" ht="56" hidden="1" x14ac:dyDescent="0.15">
      <c r="A209" s="82" t="s">
        <v>491</v>
      </c>
      <c r="B209" s="83" t="b">
        <v>1</v>
      </c>
      <c r="C209" s="82" t="s">
        <v>808</v>
      </c>
      <c r="D209" s="85" t="b">
        <f>VLOOKUP($C209, '_REF Catalog Classes'!$C$6:$D416, COLUMNS('_REF Catalog Classes'!$C$6:$D416), FALSE)</f>
        <v>1</v>
      </c>
      <c r="E209" s="82" t="s">
        <v>1462</v>
      </c>
      <c r="F209" s="82" t="str">
        <f t="shared" si="0"/>
        <v>achievementPlayObject3Destroy:TRUE</v>
      </c>
      <c r="G209" s="86" t="s">
        <v>1453</v>
      </c>
      <c r="H209" s="86" t="s">
        <v>1454</v>
      </c>
      <c r="I209" s="82" t="s">
        <v>274</v>
      </c>
      <c r="J209" s="86"/>
      <c r="K209" s="86"/>
      <c r="L209" s="86"/>
      <c r="M209" s="86" t="s">
        <v>820</v>
      </c>
      <c r="N209" s="107"/>
      <c r="O209" s="108"/>
      <c r="P209" s="82">
        <v>117</v>
      </c>
      <c r="Q209" s="88"/>
      <c r="R209" s="82"/>
      <c r="S209" s="82"/>
      <c r="T209" s="82"/>
      <c r="U209" s="82"/>
      <c r="V209" s="82"/>
      <c r="W209" s="89">
        <v>0</v>
      </c>
      <c r="X209" s="90" t="s">
        <v>37</v>
      </c>
      <c r="Y209" s="90" t="str">
        <f t="shared" si="17"/>
        <v>file://achievementPlayObject3Destroy-state0-image0</v>
      </c>
      <c r="Z209" s="162"/>
      <c r="AA209" s="91" t="s">
        <v>283</v>
      </c>
      <c r="AB209" s="162" t="s">
        <v>1455</v>
      </c>
      <c r="AC209" s="90"/>
      <c r="AD209" s="162" t="s">
        <v>1456</v>
      </c>
      <c r="AE209" s="162"/>
      <c r="AF209" s="162"/>
      <c r="AG209" s="164"/>
      <c r="AH209" s="108"/>
      <c r="AI209" s="108"/>
      <c r="AJ209" s="108"/>
      <c r="AK209" s="108"/>
      <c r="AL209" s="108"/>
      <c r="AM209" s="108"/>
      <c r="AN209" s="94"/>
      <c r="AO209" s="95"/>
      <c r="AP209" s="95" t="str">
        <f t="shared" si="18"/>
        <v>file://achievementPlayObject3Destroy-state1-image0</v>
      </c>
      <c r="AQ209" s="95"/>
      <c r="AR209" s="94"/>
      <c r="AS209" s="95"/>
      <c r="AT209" s="95"/>
      <c r="AU209" s="95"/>
      <c r="AV209" s="95"/>
      <c r="AW209" s="164"/>
      <c r="AX209" s="108"/>
      <c r="AY209" s="108"/>
      <c r="AZ209" s="108"/>
      <c r="BA209" s="108"/>
      <c r="BB209" s="108"/>
      <c r="BC209" s="108"/>
      <c r="BD209" s="96">
        <v>2</v>
      </c>
      <c r="BE209" s="167" t="s">
        <v>823</v>
      </c>
      <c r="BF209" s="98"/>
      <c r="BG209" s="97"/>
      <c r="BH209" s="97" t="s">
        <v>283</v>
      </c>
      <c r="BI209" s="97" t="s">
        <v>1457</v>
      </c>
      <c r="BJ209" s="167"/>
      <c r="BK209" s="167"/>
      <c r="BL209" s="167" t="s">
        <v>1458</v>
      </c>
      <c r="BM209" s="167"/>
      <c r="BN209" s="167"/>
      <c r="BO209" s="108"/>
      <c r="BP209" s="108"/>
      <c r="BQ209" s="108"/>
      <c r="BR209" s="108"/>
      <c r="BS209" s="108"/>
      <c r="BT209" s="108"/>
      <c r="BU209" s="108"/>
      <c r="BV209" s="99" t="s">
        <v>1463</v>
      </c>
      <c r="BW209" s="86" t="str">
        <f>VLOOKUP($C209, '_REF Catalog Classes'!$C$6:$E416, COLUMNS('_REF Catalog Classes'!$C$6:$E416), FALSE)</f>
        <v>never</v>
      </c>
      <c r="BX209" s="86"/>
      <c r="BY209" s="86"/>
      <c r="BZ209" s="86" t="s">
        <v>322</v>
      </c>
      <c r="CA209" s="100" t="str">
        <f ca="1">IFERROR(__xludf.DUMMYFUNCTION("IF(REGEXMATCH(Catalog_RewardType,""reward""), VLOOKUP($E209, {'TitleData rewards.items'!$J$9:$J416,'TitleData rewards.items'!$B$9:$B416}, 2, FALSE), """")"),"#N/A")</f>
        <v>#N/A</v>
      </c>
    </row>
    <row r="210" spans="1:79" ht="28" hidden="1" x14ac:dyDescent="0.15">
      <c r="A210" s="82" t="s">
        <v>491</v>
      </c>
      <c r="B210" s="82" t="b">
        <v>1</v>
      </c>
      <c r="C210" s="82" t="s">
        <v>808</v>
      </c>
      <c r="D210" s="85" t="b">
        <f>VLOOKUP($C210, '_REF Catalog Classes'!$C$6:$D416, COLUMNS('_REF Catalog Classes'!$C$6:$D416), FALSE)</f>
        <v>1</v>
      </c>
      <c r="E210" s="82" t="s">
        <v>1464</v>
      </c>
      <c r="F210" s="82" t="str">
        <f t="shared" si="0"/>
        <v>achievementPlayBoostPickup:TRUE</v>
      </c>
      <c r="G210" s="82" t="s">
        <v>1465</v>
      </c>
      <c r="H210" s="82" t="s">
        <v>1466</v>
      </c>
      <c r="I210" s="82" t="s">
        <v>274</v>
      </c>
      <c r="J210" s="82"/>
      <c r="K210" s="82"/>
      <c r="L210" s="82"/>
      <c r="M210" s="100" t="s">
        <v>820</v>
      </c>
      <c r="N210" s="87"/>
      <c r="O210" s="84"/>
      <c r="P210" s="84"/>
      <c r="Q210" s="88"/>
      <c r="R210" s="82"/>
      <c r="S210" s="82"/>
      <c r="T210" s="82"/>
      <c r="U210" s="82"/>
      <c r="V210" s="82"/>
      <c r="W210" s="117">
        <v>0</v>
      </c>
      <c r="X210" s="144" t="s">
        <v>37</v>
      </c>
      <c r="Y210" s="90" t="str">
        <f t="shared" si="17"/>
        <v>file://achievementPlayBoostPickup-state0-image0</v>
      </c>
      <c r="Z210" s="162"/>
      <c r="AA210" s="91" t="s">
        <v>283</v>
      </c>
      <c r="AB210" s="162" t="s">
        <v>1465</v>
      </c>
      <c r="AC210" s="90"/>
      <c r="AD210" s="162" t="s">
        <v>1467</v>
      </c>
      <c r="AE210" s="162"/>
      <c r="AF210" s="162"/>
      <c r="AG210" s="164"/>
      <c r="AH210" s="108"/>
      <c r="AI210" s="108"/>
      <c r="AJ210" s="108"/>
      <c r="AK210" s="108"/>
      <c r="AL210" s="108"/>
      <c r="AM210" s="108"/>
      <c r="AN210" s="219"/>
      <c r="AO210" s="105"/>
      <c r="AP210" s="95" t="str">
        <f t="shared" si="18"/>
        <v>file://achievementPlayBoostPickup-state1-image0</v>
      </c>
      <c r="AQ210" s="105"/>
      <c r="AR210" s="219"/>
      <c r="AS210" s="220"/>
      <c r="AT210" s="95"/>
      <c r="AU210" s="95"/>
      <c r="AV210" s="95"/>
      <c r="AW210" s="164"/>
      <c r="AX210" s="108"/>
      <c r="AY210" s="108"/>
      <c r="AZ210" s="108"/>
      <c r="BA210" s="108"/>
      <c r="BB210" s="108"/>
      <c r="BC210" s="108"/>
      <c r="BD210" s="122">
        <v>2</v>
      </c>
      <c r="BE210" s="166" t="s">
        <v>823</v>
      </c>
      <c r="BF210" s="98"/>
      <c r="BG210" s="123"/>
      <c r="BH210" s="98" t="s">
        <v>283</v>
      </c>
      <c r="BI210" s="98" t="s">
        <v>1465</v>
      </c>
      <c r="BJ210" s="167"/>
      <c r="BK210" s="97"/>
      <c r="BL210" s="167" t="s">
        <v>1468</v>
      </c>
      <c r="BM210" s="167"/>
      <c r="BN210" s="167"/>
      <c r="BO210" s="108"/>
      <c r="BP210" s="108"/>
      <c r="BQ210" s="108"/>
      <c r="BR210" s="108"/>
      <c r="BS210" s="108"/>
      <c r="BT210" s="108"/>
      <c r="BU210" s="108"/>
      <c r="BV210" s="207" t="s">
        <v>1469</v>
      </c>
      <c r="BW210" s="86" t="str">
        <f>VLOOKUP($C210, '_REF Catalog Classes'!$C$6:$E416, COLUMNS('_REF Catalog Classes'!$C$6:$E416), FALSE)</f>
        <v>never</v>
      </c>
      <c r="BX210" s="84"/>
      <c r="BY210" s="84"/>
      <c r="BZ210" s="100" t="s">
        <v>322</v>
      </c>
      <c r="CA210" s="100" t="str">
        <f ca="1">IFERROR(__xludf.DUMMYFUNCTION("IF(REGEXMATCH(Catalog_RewardType,""reward""), VLOOKUP($E210, {'TitleData rewards.items'!$J$9:$J416,'TitleData rewards.items'!$B$9:$B416}, 2, FALSE), """")"),"#N/A")</f>
        <v>#N/A</v>
      </c>
    </row>
    <row r="211" spans="1:79" ht="28" hidden="1" x14ac:dyDescent="0.15">
      <c r="A211" s="82" t="s">
        <v>491</v>
      </c>
      <c r="B211" s="83" t="b">
        <v>1</v>
      </c>
      <c r="C211" s="82" t="s">
        <v>811</v>
      </c>
      <c r="D211" s="85" t="b">
        <f>VLOOKUP($C211, '_REF Catalog Classes'!$C$6:$D416, COLUMNS('_REF Catalog Classes'!$C$6:$D416), FALSE)</f>
        <v>1</v>
      </c>
      <c r="E211" s="82" t="s">
        <v>1470</v>
      </c>
      <c r="F211" s="82" t="str">
        <f t="shared" si="0"/>
        <v>actionMinionsSaveDrone:TRUE</v>
      </c>
      <c r="G211" s="86" t="s">
        <v>904</v>
      </c>
      <c r="H211" s="86" t="s">
        <v>1115</v>
      </c>
      <c r="I211" s="82" t="s">
        <v>847</v>
      </c>
      <c r="J211" s="82" t="s">
        <v>275</v>
      </c>
      <c r="K211" s="82" t="s">
        <v>275</v>
      </c>
      <c r="L211" s="82" t="s">
        <v>857</v>
      </c>
      <c r="M211" s="82"/>
      <c r="N211" s="107"/>
      <c r="O211" s="108"/>
      <c r="P211" s="82"/>
      <c r="Q211" s="88"/>
      <c r="R211" s="82"/>
      <c r="S211" s="82"/>
      <c r="T211" s="82"/>
      <c r="U211" s="82"/>
      <c r="V211" s="82"/>
      <c r="W211" s="89"/>
      <c r="X211" s="90"/>
      <c r="Y211" s="90" t="str">
        <f t="shared" si="17"/>
        <v>file://actionMinionsSaveDrone-state0-image0</v>
      </c>
      <c r="Z211" s="90"/>
      <c r="AA211" s="89"/>
      <c r="AB211" s="90"/>
      <c r="AC211" s="90"/>
      <c r="AD211" s="90"/>
      <c r="AE211" s="90"/>
      <c r="AF211" s="90"/>
      <c r="AG211" s="93"/>
      <c r="AH211" s="93"/>
      <c r="AI211" s="93"/>
      <c r="AJ211" s="93"/>
      <c r="AK211" s="93"/>
      <c r="AL211" s="93"/>
      <c r="AM211" s="93"/>
      <c r="AN211" s="95"/>
      <c r="AO211" s="95"/>
      <c r="AP211" s="95" t="str">
        <f t="shared" si="18"/>
        <v>file://actionMinionsSaveDrone-state1-image0</v>
      </c>
      <c r="AQ211" s="95"/>
      <c r="AR211" s="95"/>
      <c r="AS211" s="95"/>
      <c r="AT211" s="95"/>
      <c r="AU211" s="95"/>
      <c r="AV211" s="95"/>
      <c r="AW211" s="93"/>
      <c r="AX211" s="93"/>
      <c r="AY211" s="93"/>
      <c r="AZ211" s="93"/>
      <c r="BA211" s="93"/>
      <c r="BB211" s="93"/>
      <c r="BC211" s="93"/>
      <c r="BD211" s="97"/>
      <c r="BE211" s="97"/>
      <c r="BF211" s="98"/>
      <c r="BG211" s="97"/>
      <c r="BH211" s="97"/>
      <c r="BI211" s="97"/>
      <c r="BJ211" s="97"/>
      <c r="BK211" s="97"/>
      <c r="BL211" s="97"/>
      <c r="BM211" s="97"/>
      <c r="BN211" s="97"/>
      <c r="BO211" s="93"/>
      <c r="BP211" s="93"/>
      <c r="BQ211" s="93"/>
      <c r="BR211" s="93"/>
      <c r="BS211" s="93"/>
      <c r="BT211" s="93"/>
      <c r="BU211" s="93"/>
      <c r="BV211" s="99"/>
      <c r="BW211" s="86"/>
      <c r="BX211" s="86"/>
      <c r="BY211" s="86"/>
      <c r="BZ211" s="86"/>
      <c r="CA211" s="100" t="str">
        <f ca="1">IFERROR(__xludf.DUMMYFUNCTION("IF(REGEXMATCH(Catalog_RewardType,""reward""), VLOOKUP($E211, {'TitleData rewards.items'!$J$9:$J416,'TitleData rewards.items'!$B$9:$B416}, 2, FALSE), """")"),"")</f>
        <v/>
      </c>
    </row>
    <row r="212" spans="1:79" ht="28" hidden="1" x14ac:dyDescent="0.15">
      <c r="A212" s="82" t="s">
        <v>491</v>
      </c>
      <c r="B212" s="83" t="b">
        <v>1</v>
      </c>
      <c r="C212" s="82" t="s">
        <v>811</v>
      </c>
      <c r="D212" s="85" t="b">
        <f>VLOOKUP($C212, '_REF Catalog Classes'!$C$6:$D416, COLUMNS('_REF Catalog Classes'!$C$6:$D416), FALSE)</f>
        <v>1</v>
      </c>
      <c r="E212" s="82" t="s">
        <v>1471</v>
      </c>
      <c r="F212" s="82" t="str">
        <f t="shared" si="0"/>
        <v>actionMinionsSave2:TRUE</v>
      </c>
      <c r="G212" s="86" t="s">
        <v>904</v>
      </c>
      <c r="H212" s="86" t="s">
        <v>1115</v>
      </c>
      <c r="I212" s="82" t="s">
        <v>847</v>
      </c>
      <c r="J212" s="82" t="s">
        <v>275</v>
      </c>
      <c r="K212" s="82" t="s">
        <v>275</v>
      </c>
      <c r="L212" s="82" t="s">
        <v>857</v>
      </c>
      <c r="M212" s="82"/>
      <c r="N212" s="107"/>
      <c r="O212" s="108"/>
      <c r="P212" s="82"/>
      <c r="Q212" s="88"/>
      <c r="R212" s="82"/>
      <c r="S212" s="82"/>
      <c r="T212" s="82"/>
      <c r="U212" s="82"/>
      <c r="V212" s="82"/>
      <c r="W212" s="89"/>
      <c r="X212" s="90"/>
      <c r="Y212" s="90" t="str">
        <f t="shared" si="17"/>
        <v>file://actionMinionsSave2-state0-image0</v>
      </c>
      <c r="Z212" s="90"/>
      <c r="AA212" s="89"/>
      <c r="AB212" s="90"/>
      <c r="AC212" s="90"/>
      <c r="AD212" s="90"/>
      <c r="AE212" s="90"/>
      <c r="AF212" s="90"/>
      <c r="AG212" s="93"/>
      <c r="AH212" s="93"/>
      <c r="AI212" s="93"/>
      <c r="AJ212" s="93"/>
      <c r="AK212" s="93"/>
      <c r="AL212" s="93"/>
      <c r="AM212" s="93"/>
      <c r="AN212" s="95"/>
      <c r="AO212" s="95"/>
      <c r="AP212" s="95" t="str">
        <f t="shared" si="18"/>
        <v>file://actionMinionsSave2-state1-image0</v>
      </c>
      <c r="AQ212" s="95"/>
      <c r="AR212" s="95"/>
      <c r="AS212" s="95"/>
      <c r="AT212" s="95"/>
      <c r="AU212" s="95"/>
      <c r="AV212" s="95"/>
      <c r="AW212" s="93"/>
      <c r="AX212" s="93"/>
      <c r="AY212" s="93"/>
      <c r="AZ212" s="93"/>
      <c r="BA212" s="93"/>
      <c r="BB212" s="93"/>
      <c r="BC212" s="93"/>
      <c r="BD212" s="97"/>
      <c r="BE212" s="97"/>
      <c r="BF212" s="98"/>
      <c r="BG212" s="97"/>
      <c r="BH212" s="97"/>
      <c r="BI212" s="97"/>
      <c r="BJ212" s="97"/>
      <c r="BK212" s="97"/>
      <c r="BL212" s="97"/>
      <c r="BM212" s="97"/>
      <c r="BN212" s="97"/>
      <c r="BO212" s="93"/>
      <c r="BP212" s="93"/>
      <c r="BQ212" s="93"/>
      <c r="BR212" s="93"/>
      <c r="BS212" s="93"/>
      <c r="BT212" s="93"/>
      <c r="BU212" s="93"/>
      <c r="BV212" s="99"/>
      <c r="BW212" s="86"/>
      <c r="BX212" s="86"/>
      <c r="BY212" s="86"/>
      <c r="BZ212" s="86"/>
      <c r="CA212" s="100" t="str">
        <f ca="1">IFERROR(__xludf.DUMMYFUNCTION("IF(REGEXMATCH(Catalog_RewardType,""reward""), VLOOKUP($E212, {'TitleData rewards.items'!$J$9:$J416,'TitleData rewards.items'!$B$9:$B416}, 2, FALSE), """")"),"")</f>
        <v/>
      </c>
    </row>
    <row r="213" spans="1:79" ht="28" hidden="1" x14ac:dyDescent="0.15">
      <c r="A213" s="82" t="s">
        <v>491</v>
      </c>
      <c r="B213" s="83" t="b">
        <v>1</v>
      </c>
      <c r="C213" s="82" t="s">
        <v>811</v>
      </c>
      <c r="D213" s="85" t="b">
        <f>VLOOKUP($C213, '_REF Catalog Classes'!$C$6:$D416, COLUMNS('_REF Catalog Classes'!$C$6:$D416), FALSE)</f>
        <v>1</v>
      </c>
      <c r="E213" s="82" t="s">
        <v>1472</v>
      </c>
      <c r="F213" s="82" t="str">
        <f t="shared" si="0"/>
        <v>actionCollaborateScene01:TRUE</v>
      </c>
      <c r="G213" s="86" t="s">
        <v>904</v>
      </c>
      <c r="H213" s="86" t="s">
        <v>1115</v>
      </c>
      <c r="I213" s="82" t="s">
        <v>847</v>
      </c>
      <c r="J213" s="82" t="s">
        <v>275</v>
      </c>
      <c r="K213" s="82" t="s">
        <v>275</v>
      </c>
      <c r="L213" s="82" t="s">
        <v>857</v>
      </c>
      <c r="M213" s="82"/>
      <c r="N213" s="107"/>
      <c r="O213" s="108"/>
      <c r="P213" s="82"/>
      <c r="Q213" s="88"/>
      <c r="R213" s="82"/>
      <c r="S213" s="82"/>
      <c r="T213" s="82"/>
      <c r="U213" s="82"/>
      <c r="V213" s="82"/>
      <c r="W213" s="89"/>
      <c r="X213" s="90"/>
      <c r="Y213" s="90" t="str">
        <f t="shared" si="17"/>
        <v>file://actionCollaborateScene01-state0-image0</v>
      </c>
      <c r="Z213" s="90"/>
      <c r="AA213" s="89"/>
      <c r="AB213" s="90"/>
      <c r="AC213" s="90"/>
      <c r="AD213" s="90"/>
      <c r="AE213" s="90"/>
      <c r="AF213" s="90"/>
      <c r="AG213" s="93"/>
      <c r="AH213" s="93"/>
      <c r="AI213" s="93"/>
      <c r="AJ213" s="93"/>
      <c r="AK213" s="93"/>
      <c r="AL213" s="93"/>
      <c r="AM213" s="93"/>
      <c r="AN213" s="95"/>
      <c r="AO213" s="95"/>
      <c r="AP213" s="95" t="str">
        <f t="shared" si="18"/>
        <v>file://actionCollaborateScene01-state1-image0</v>
      </c>
      <c r="AQ213" s="95"/>
      <c r="AR213" s="95"/>
      <c r="AS213" s="95"/>
      <c r="AT213" s="95"/>
      <c r="AU213" s="95"/>
      <c r="AV213" s="95"/>
      <c r="AW213" s="93"/>
      <c r="AX213" s="93"/>
      <c r="AY213" s="93"/>
      <c r="AZ213" s="93"/>
      <c r="BA213" s="93"/>
      <c r="BB213" s="93"/>
      <c r="BC213" s="93"/>
      <c r="BD213" s="97"/>
      <c r="BE213" s="97"/>
      <c r="BF213" s="98"/>
      <c r="BG213" s="97"/>
      <c r="BH213" s="97"/>
      <c r="BI213" s="97"/>
      <c r="BJ213" s="97"/>
      <c r="BK213" s="97"/>
      <c r="BL213" s="97"/>
      <c r="BM213" s="97"/>
      <c r="BN213" s="97"/>
      <c r="BO213" s="93"/>
      <c r="BP213" s="93"/>
      <c r="BQ213" s="93"/>
      <c r="BR213" s="93"/>
      <c r="BS213" s="93"/>
      <c r="BT213" s="93"/>
      <c r="BU213" s="93"/>
      <c r="BV213" s="99"/>
      <c r="BW213" s="86"/>
      <c r="BX213" s="86"/>
      <c r="BY213" s="86"/>
      <c r="BZ213" s="86"/>
      <c r="CA213" s="100" t="str">
        <f ca="1">IFERROR(__xludf.DUMMYFUNCTION("IF(REGEXMATCH(Catalog_RewardType,""reward""), VLOOKUP($E213, {'TitleData rewards.items'!$J$9:$J416,'TitleData rewards.items'!$B$9:$B416}, 2, FALSE), """")"),"")</f>
        <v/>
      </c>
    </row>
    <row r="214" spans="1:79" ht="42" hidden="1" x14ac:dyDescent="0.15">
      <c r="A214" s="82" t="s">
        <v>491</v>
      </c>
      <c r="B214" s="83" t="b">
        <v>1</v>
      </c>
      <c r="C214" s="82" t="s">
        <v>808</v>
      </c>
      <c r="D214" s="85" t="b">
        <f>VLOOKUP($C214, '_REF Catalog Classes'!$C$6:$D416, COLUMNS('_REF Catalog Classes'!$C$6:$D416), FALSE)</f>
        <v>1</v>
      </c>
      <c r="E214" s="82" t="s">
        <v>1473</v>
      </c>
      <c r="F214" s="82" t="str">
        <f t="shared" si="0"/>
        <v>achievementPlayMinionsSaveDrone:TRUE</v>
      </c>
      <c r="G214" s="86" t="s">
        <v>1474</v>
      </c>
      <c r="H214" s="86" t="s">
        <v>1115</v>
      </c>
      <c r="I214" s="82" t="s">
        <v>274</v>
      </c>
      <c r="J214" s="82"/>
      <c r="K214" s="82"/>
      <c r="L214" s="82"/>
      <c r="M214" s="86" t="s">
        <v>820</v>
      </c>
      <c r="N214" s="107"/>
      <c r="O214" s="108"/>
      <c r="P214" s="82">
        <v>120</v>
      </c>
      <c r="Q214" s="88"/>
      <c r="R214" s="82"/>
      <c r="S214" s="82"/>
      <c r="T214" s="82"/>
      <c r="U214" s="82"/>
      <c r="V214" s="82"/>
      <c r="W214" s="89">
        <v>0</v>
      </c>
      <c r="X214" s="90" t="s">
        <v>37</v>
      </c>
      <c r="Y214" s="90" t="str">
        <f t="shared" si="17"/>
        <v>file://achievementPlayMinionsSaveDrone-state0-image0</v>
      </c>
      <c r="Z214" s="90"/>
      <c r="AA214" s="91" t="s">
        <v>283</v>
      </c>
      <c r="AB214" s="90" t="s">
        <v>821</v>
      </c>
      <c r="AC214" s="90"/>
      <c r="AD214" s="162" t="s">
        <v>822</v>
      </c>
      <c r="AE214" s="90"/>
      <c r="AF214" s="90"/>
      <c r="AG214" s="92"/>
      <c r="AH214" s="93"/>
      <c r="AI214" s="93"/>
      <c r="AJ214" s="93"/>
      <c r="AK214" s="93"/>
      <c r="AL214" s="93"/>
      <c r="AM214" s="93"/>
      <c r="AN214" s="94"/>
      <c r="AO214" s="95"/>
      <c r="AP214" s="95" t="str">
        <f t="shared" si="18"/>
        <v>file://achievementPlayMinionsSaveDrone-state1-image0</v>
      </c>
      <c r="AQ214" s="95"/>
      <c r="AR214" s="94"/>
      <c r="AS214" s="95"/>
      <c r="AT214" s="95"/>
      <c r="AU214" s="95"/>
      <c r="AV214" s="95"/>
      <c r="AW214" s="92"/>
      <c r="AX214" s="93"/>
      <c r="AY214" s="93"/>
      <c r="AZ214" s="93"/>
      <c r="BA214" s="93"/>
      <c r="BB214" s="93"/>
      <c r="BC214" s="93"/>
      <c r="BD214" s="96">
        <v>2</v>
      </c>
      <c r="BE214" s="167" t="s">
        <v>823</v>
      </c>
      <c r="BF214" s="98"/>
      <c r="BG214" s="97"/>
      <c r="BH214" s="97" t="s">
        <v>283</v>
      </c>
      <c r="BI214" s="97" t="s">
        <v>821</v>
      </c>
      <c r="BJ214" s="97"/>
      <c r="BK214" s="97"/>
      <c r="BL214" s="97" t="s">
        <v>1475</v>
      </c>
      <c r="BM214" s="97"/>
      <c r="BN214" s="97"/>
      <c r="BO214" s="93"/>
      <c r="BP214" s="93"/>
      <c r="BQ214" s="93"/>
      <c r="BR214" s="93"/>
      <c r="BS214" s="93"/>
      <c r="BT214" s="93"/>
      <c r="BU214" s="93"/>
      <c r="BV214" s="222" t="s">
        <v>1476</v>
      </c>
      <c r="BW214" s="86" t="str">
        <f>VLOOKUP($C214, '_REF Catalog Classes'!$C$6:$E416, COLUMNS('_REF Catalog Classes'!$C$6:$E416), FALSE)</f>
        <v>never</v>
      </c>
      <c r="BX214" s="95"/>
      <c r="BY214" s="95"/>
      <c r="BZ214" s="95" t="s">
        <v>322</v>
      </c>
      <c r="CA214" s="100" t="str">
        <f ca="1">IFERROR(__xludf.DUMMYFUNCTION("IF(REGEXMATCH(Catalog_RewardType,""reward""), VLOOKUP($E214, {'TitleData rewards.items'!$J$9:$J416,'TitleData rewards.items'!$B$9:$B416}, 2, FALSE), """")"),"#N/A")</f>
        <v>#N/A</v>
      </c>
    </row>
    <row r="215" spans="1:79" ht="28" hidden="1" x14ac:dyDescent="0.15">
      <c r="A215" s="82" t="s">
        <v>491</v>
      </c>
      <c r="B215" s="83" t="b">
        <v>1</v>
      </c>
      <c r="C215" s="82" t="s">
        <v>811</v>
      </c>
      <c r="D215" s="85" t="b">
        <f>VLOOKUP($C215, '_REF Catalog Classes'!$C$6:$D416, COLUMNS('_REF Catalog Classes'!$C$6:$D416), FALSE)</f>
        <v>1</v>
      </c>
      <c r="E215" s="82" t="s">
        <v>1477</v>
      </c>
      <c r="F215" s="82" t="str">
        <f t="shared" si="0"/>
        <v>actionCollaborateScene02:TRUE</v>
      </c>
      <c r="G215" s="86" t="s">
        <v>904</v>
      </c>
      <c r="H215" s="86" t="s">
        <v>1115</v>
      </c>
      <c r="I215" s="82" t="s">
        <v>847</v>
      </c>
      <c r="J215" s="82" t="s">
        <v>275</v>
      </c>
      <c r="K215" s="82" t="s">
        <v>275</v>
      </c>
      <c r="L215" s="82" t="s">
        <v>857</v>
      </c>
      <c r="M215" s="82"/>
      <c r="N215" s="107"/>
      <c r="O215" s="108"/>
      <c r="P215" s="82"/>
      <c r="Q215" s="88"/>
      <c r="R215" s="82"/>
      <c r="S215" s="82"/>
      <c r="T215" s="82"/>
      <c r="U215" s="82"/>
      <c r="V215" s="82"/>
      <c r="W215" s="89"/>
      <c r="X215" s="90"/>
      <c r="Y215" s="90" t="str">
        <f t="shared" si="17"/>
        <v>file://actionCollaborateScene02-state0-image0</v>
      </c>
      <c r="Z215" s="90"/>
      <c r="AA215" s="89"/>
      <c r="AB215" s="90"/>
      <c r="AC215" s="90"/>
      <c r="AD215" s="90"/>
      <c r="AE215" s="90"/>
      <c r="AF215" s="90"/>
      <c r="AG215" s="93"/>
      <c r="AH215" s="93"/>
      <c r="AI215" s="93"/>
      <c r="AJ215" s="93"/>
      <c r="AK215" s="93"/>
      <c r="AL215" s="93"/>
      <c r="AM215" s="93"/>
      <c r="AN215" s="95"/>
      <c r="AO215" s="95"/>
      <c r="AP215" s="95" t="str">
        <f t="shared" si="18"/>
        <v>file://actionCollaborateScene02-state1-image0</v>
      </c>
      <c r="AQ215" s="95"/>
      <c r="AR215" s="95"/>
      <c r="AS215" s="95"/>
      <c r="AT215" s="95"/>
      <c r="AU215" s="95"/>
      <c r="AV215" s="95"/>
      <c r="AW215" s="93"/>
      <c r="AX215" s="93"/>
      <c r="AY215" s="93"/>
      <c r="AZ215" s="93"/>
      <c r="BA215" s="93"/>
      <c r="BB215" s="93"/>
      <c r="BC215" s="93"/>
      <c r="BD215" s="97"/>
      <c r="BE215" s="97"/>
      <c r="BF215" s="98"/>
      <c r="BG215" s="97"/>
      <c r="BH215" s="97"/>
      <c r="BI215" s="97"/>
      <c r="BJ215" s="97"/>
      <c r="BK215" s="97"/>
      <c r="BL215" s="97"/>
      <c r="BM215" s="97"/>
      <c r="BN215" s="97"/>
      <c r="BO215" s="93"/>
      <c r="BP215" s="93"/>
      <c r="BQ215" s="93"/>
      <c r="BR215" s="93"/>
      <c r="BS215" s="93"/>
      <c r="BT215" s="93"/>
      <c r="BU215" s="93"/>
      <c r="BV215" s="99"/>
      <c r="BW215" s="86"/>
      <c r="BX215" s="86"/>
      <c r="BY215" s="86"/>
      <c r="BZ215" s="86"/>
      <c r="CA215" s="100" t="str">
        <f ca="1">IFERROR(__xludf.DUMMYFUNCTION("IF(REGEXMATCH(Catalog_RewardType,""reward""), VLOOKUP($E215, {'TitleData rewards.items'!$J$9:$J416,'TitleData rewards.items'!$B$9:$B416}, 2, FALSE), """")"),"")</f>
        <v/>
      </c>
    </row>
    <row r="216" spans="1:79" ht="28" hidden="1" x14ac:dyDescent="0.15">
      <c r="A216" s="82" t="s">
        <v>491</v>
      </c>
      <c r="B216" s="83" t="b">
        <v>1</v>
      </c>
      <c r="C216" s="82" t="s">
        <v>808</v>
      </c>
      <c r="D216" s="85" t="b">
        <f>VLOOKUP($C216, '_REF Catalog Classes'!$C$6:$D416, COLUMNS('_REF Catalog Classes'!$C$6:$D416), FALSE)</f>
        <v>1</v>
      </c>
      <c r="E216" s="82" t="s">
        <v>1478</v>
      </c>
      <c r="F216" s="82" t="str">
        <f t="shared" si="0"/>
        <v>achievementPlayMinionsSave2:TRUE</v>
      </c>
      <c r="G216" s="86" t="s">
        <v>1479</v>
      </c>
      <c r="H216" s="86" t="s">
        <v>1115</v>
      </c>
      <c r="I216" s="82" t="s">
        <v>274</v>
      </c>
      <c r="J216" s="86"/>
      <c r="K216" s="82"/>
      <c r="L216" s="86"/>
      <c r="M216" s="86" t="s">
        <v>820</v>
      </c>
      <c r="N216" s="107"/>
      <c r="O216" s="108"/>
      <c r="P216" s="82">
        <v>121</v>
      </c>
      <c r="Q216" s="88"/>
      <c r="R216" s="82"/>
      <c r="S216" s="82"/>
      <c r="T216" s="82"/>
      <c r="U216" s="82"/>
      <c r="V216" s="82"/>
      <c r="W216" s="89">
        <v>0</v>
      </c>
      <c r="X216" s="90" t="s">
        <v>37</v>
      </c>
      <c r="Y216" s="90" t="str">
        <f t="shared" si="17"/>
        <v>file://achievementPlayMinionsSave2-state0-image0</v>
      </c>
      <c r="Z216" s="90"/>
      <c r="AA216" s="91" t="s">
        <v>283</v>
      </c>
      <c r="AB216" s="90" t="s">
        <v>821</v>
      </c>
      <c r="AC216" s="90"/>
      <c r="AD216" s="162" t="s">
        <v>822</v>
      </c>
      <c r="AE216" s="90"/>
      <c r="AF216" s="90"/>
      <c r="AG216" s="92"/>
      <c r="AH216" s="93"/>
      <c r="AI216" s="93"/>
      <c r="AJ216" s="93"/>
      <c r="AK216" s="93"/>
      <c r="AL216" s="93"/>
      <c r="AM216" s="93"/>
      <c r="AN216" s="94"/>
      <c r="AO216" s="95"/>
      <c r="AP216" s="95" t="str">
        <f t="shared" si="18"/>
        <v>file://achievementPlayMinionsSave2-state1-image0</v>
      </c>
      <c r="AQ216" s="95"/>
      <c r="AR216" s="94"/>
      <c r="AS216" s="95"/>
      <c r="AT216" s="95"/>
      <c r="AU216" s="95"/>
      <c r="AV216" s="95"/>
      <c r="AW216" s="92"/>
      <c r="AX216" s="93"/>
      <c r="AY216" s="93"/>
      <c r="AZ216" s="93"/>
      <c r="BA216" s="93"/>
      <c r="BB216" s="93"/>
      <c r="BC216" s="93"/>
      <c r="BD216" s="96">
        <v>2</v>
      </c>
      <c r="BE216" s="167" t="s">
        <v>823</v>
      </c>
      <c r="BF216" s="98"/>
      <c r="BG216" s="97"/>
      <c r="BH216" s="97" t="s">
        <v>283</v>
      </c>
      <c r="BI216" s="97" t="s">
        <v>821</v>
      </c>
      <c r="BJ216" s="97"/>
      <c r="BK216" s="97"/>
      <c r="BL216" s="97" t="s">
        <v>1480</v>
      </c>
      <c r="BM216" s="97"/>
      <c r="BN216" s="97"/>
      <c r="BO216" s="93"/>
      <c r="BP216" s="93"/>
      <c r="BQ216" s="93"/>
      <c r="BR216" s="93"/>
      <c r="BS216" s="93"/>
      <c r="BT216" s="93"/>
      <c r="BU216" s="93"/>
      <c r="BV216" s="222" t="s">
        <v>1481</v>
      </c>
      <c r="BW216" s="86" t="str">
        <f>VLOOKUP($C216, '_REF Catalog Classes'!$C$6:$E416, COLUMNS('_REF Catalog Classes'!$C$6:$E416), FALSE)</f>
        <v>never</v>
      </c>
      <c r="BX216" s="95"/>
      <c r="BY216" s="95"/>
      <c r="BZ216" s="95" t="s">
        <v>322</v>
      </c>
      <c r="CA216" s="100" t="str">
        <f ca="1">IFERROR(__xludf.DUMMYFUNCTION("IF(REGEXMATCH(Catalog_RewardType,""reward""), VLOOKUP($E216, {'TitleData rewards.items'!$J$9:$J416,'TitleData rewards.items'!$B$9:$B416}, 2, FALSE), """")"),"#N/A")</f>
        <v>#N/A</v>
      </c>
    </row>
    <row r="217" spans="1:79" ht="28" hidden="1" x14ac:dyDescent="0.15">
      <c r="A217" s="82" t="s">
        <v>491</v>
      </c>
      <c r="B217" s="83" t="b">
        <v>1</v>
      </c>
      <c r="C217" s="82" t="s">
        <v>811</v>
      </c>
      <c r="D217" s="85" t="b">
        <f>VLOOKUP($C217, '_REF Catalog Classes'!$C$6:$D416, COLUMNS('_REF Catalog Classes'!$C$6:$D416), FALSE)</f>
        <v>1</v>
      </c>
      <c r="E217" s="82" t="s">
        <v>1482</v>
      </c>
      <c r="F217" s="82" t="str">
        <f t="shared" si="0"/>
        <v>actionCollaborateScene03:TRUE</v>
      </c>
      <c r="G217" s="86" t="s">
        <v>904</v>
      </c>
      <c r="H217" s="86" t="s">
        <v>1115</v>
      </c>
      <c r="I217" s="82" t="s">
        <v>847</v>
      </c>
      <c r="J217" s="82" t="s">
        <v>275</v>
      </c>
      <c r="K217" s="82" t="s">
        <v>275</v>
      </c>
      <c r="L217" s="82" t="s">
        <v>857</v>
      </c>
      <c r="M217" s="82"/>
      <c r="N217" s="107"/>
      <c r="O217" s="108"/>
      <c r="P217" s="82"/>
      <c r="Q217" s="88"/>
      <c r="R217" s="82"/>
      <c r="S217" s="82"/>
      <c r="T217" s="82"/>
      <c r="U217" s="82"/>
      <c r="V217" s="82"/>
      <c r="W217" s="89"/>
      <c r="X217" s="90"/>
      <c r="Y217" s="90" t="str">
        <f t="shared" si="17"/>
        <v>file://actionCollaborateScene03-state0-image0</v>
      </c>
      <c r="Z217" s="90"/>
      <c r="AA217" s="89"/>
      <c r="AB217" s="90"/>
      <c r="AC217" s="90"/>
      <c r="AD217" s="90"/>
      <c r="AE217" s="90"/>
      <c r="AF217" s="90"/>
      <c r="AG217" s="93"/>
      <c r="AH217" s="93"/>
      <c r="AI217" s="93"/>
      <c r="AJ217" s="93"/>
      <c r="AK217" s="93"/>
      <c r="AL217" s="93"/>
      <c r="AM217" s="93"/>
      <c r="AN217" s="95"/>
      <c r="AO217" s="95"/>
      <c r="AP217" s="95" t="str">
        <f t="shared" si="18"/>
        <v>file://actionCollaborateScene03-state1-image0</v>
      </c>
      <c r="AQ217" s="95"/>
      <c r="AR217" s="95"/>
      <c r="AS217" s="95"/>
      <c r="AT217" s="95"/>
      <c r="AU217" s="95"/>
      <c r="AV217" s="95"/>
      <c r="AW217" s="93"/>
      <c r="AX217" s="93"/>
      <c r="AY217" s="93"/>
      <c r="AZ217" s="93"/>
      <c r="BA217" s="93"/>
      <c r="BB217" s="93"/>
      <c r="BC217" s="93"/>
      <c r="BD217" s="97"/>
      <c r="BE217" s="97"/>
      <c r="BF217" s="98"/>
      <c r="BG217" s="97"/>
      <c r="BH217" s="97"/>
      <c r="BI217" s="97"/>
      <c r="BJ217" s="97"/>
      <c r="BK217" s="97"/>
      <c r="BL217" s="97"/>
      <c r="BM217" s="97"/>
      <c r="BN217" s="97"/>
      <c r="BO217" s="93"/>
      <c r="BP217" s="93"/>
      <c r="BQ217" s="93"/>
      <c r="BR217" s="93"/>
      <c r="BS217" s="93"/>
      <c r="BT217" s="93"/>
      <c r="BU217" s="93"/>
      <c r="BV217" s="99"/>
      <c r="BW217" s="86"/>
      <c r="BX217" s="86"/>
      <c r="BY217" s="86"/>
      <c r="BZ217" s="86"/>
      <c r="CA217" s="100" t="str">
        <f ca="1">IFERROR(__xludf.DUMMYFUNCTION("IF(REGEXMATCH(Catalog_RewardType,""reward""), VLOOKUP($E217, {'TitleData rewards.items'!$J$9:$J416,'TitleData rewards.items'!$B$9:$B416}, 2, FALSE), """")"),"")</f>
        <v/>
      </c>
    </row>
    <row r="218" spans="1:79" ht="42" hidden="1" x14ac:dyDescent="0.15">
      <c r="A218" s="82" t="s">
        <v>491</v>
      </c>
      <c r="B218" s="83" t="b">
        <v>1</v>
      </c>
      <c r="C218" s="82" t="s">
        <v>808</v>
      </c>
      <c r="D218" s="85" t="b">
        <f>VLOOKUP($C218, '_REF Catalog Classes'!$C$6:$D416, COLUMNS('_REF Catalog Classes'!$C$6:$D416), FALSE)</f>
        <v>1</v>
      </c>
      <c r="E218" s="82" t="s">
        <v>1483</v>
      </c>
      <c r="F218" s="82" t="str">
        <f t="shared" si="0"/>
        <v>achievementPlayCollaborateScene01:TRUE</v>
      </c>
      <c r="G218" s="86" t="s">
        <v>1484</v>
      </c>
      <c r="H218" s="86" t="s">
        <v>1115</v>
      </c>
      <c r="I218" s="82" t="s">
        <v>274</v>
      </c>
      <c r="J218" s="86"/>
      <c r="K218" s="82"/>
      <c r="L218" s="86"/>
      <c r="M218" s="86" t="s">
        <v>820</v>
      </c>
      <c r="N218" s="107"/>
      <c r="O218" s="108"/>
      <c r="P218" s="82">
        <v>122</v>
      </c>
      <c r="Q218" s="88"/>
      <c r="R218" s="82"/>
      <c r="S218" s="82"/>
      <c r="T218" s="82"/>
      <c r="U218" s="82"/>
      <c r="V218" s="82"/>
      <c r="W218" s="89">
        <v>0</v>
      </c>
      <c r="X218" s="90" t="s">
        <v>37</v>
      </c>
      <c r="Y218" s="90" t="str">
        <f t="shared" si="17"/>
        <v>file://achievementPlayCollaborateScene01-state0-image0</v>
      </c>
      <c r="Z218" s="90"/>
      <c r="AA218" s="91" t="s">
        <v>283</v>
      </c>
      <c r="AB218" s="90" t="s">
        <v>821</v>
      </c>
      <c r="AC218" s="90"/>
      <c r="AD218" s="162" t="s">
        <v>822</v>
      </c>
      <c r="AE218" s="90"/>
      <c r="AF218" s="90"/>
      <c r="AG218" s="92"/>
      <c r="AH218" s="93"/>
      <c r="AI218" s="93"/>
      <c r="AJ218" s="93"/>
      <c r="AK218" s="93"/>
      <c r="AL218" s="93"/>
      <c r="AM218" s="93"/>
      <c r="AN218" s="94"/>
      <c r="AO218" s="95"/>
      <c r="AP218" s="95" t="str">
        <f t="shared" si="18"/>
        <v>file://achievementPlayCollaborateScene01-state1-image0</v>
      </c>
      <c r="AQ218" s="95"/>
      <c r="AR218" s="94"/>
      <c r="AS218" s="95"/>
      <c r="AT218" s="95"/>
      <c r="AU218" s="95"/>
      <c r="AV218" s="95"/>
      <c r="AW218" s="92"/>
      <c r="AX218" s="93"/>
      <c r="AY218" s="93"/>
      <c r="AZ218" s="93"/>
      <c r="BA218" s="93"/>
      <c r="BB218" s="93"/>
      <c r="BC218" s="93"/>
      <c r="BD218" s="96">
        <v>2</v>
      </c>
      <c r="BE218" s="167" t="s">
        <v>823</v>
      </c>
      <c r="BF218" s="98"/>
      <c r="BG218" s="97"/>
      <c r="BH218" s="97" t="s">
        <v>283</v>
      </c>
      <c r="BI218" s="97" t="s">
        <v>821</v>
      </c>
      <c r="BJ218" s="97"/>
      <c r="BK218" s="97"/>
      <c r="BL218" s="97" t="s">
        <v>1485</v>
      </c>
      <c r="BM218" s="97"/>
      <c r="BN218" s="97"/>
      <c r="BO218" s="93"/>
      <c r="BP218" s="93"/>
      <c r="BQ218" s="93"/>
      <c r="BR218" s="93"/>
      <c r="BS218" s="93"/>
      <c r="BT218" s="93"/>
      <c r="BU218" s="93"/>
      <c r="BV218" s="222" t="s">
        <v>1486</v>
      </c>
      <c r="BW218" s="86" t="str">
        <f>VLOOKUP($C218, '_REF Catalog Classes'!$C$6:$E416, COLUMNS('_REF Catalog Classes'!$C$6:$E416), FALSE)</f>
        <v>never</v>
      </c>
      <c r="BX218" s="95"/>
      <c r="BY218" s="95"/>
      <c r="BZ218" s="95" t="s">
        <v>322</v>
      </c>
      <c r="CA218" s="100" t="str">
        <f ca="1">IFERROR(__xludf.DUMMYFUNCTION("IF(REGEXMATCH(Catalog_RewardType,""reward""), VLOOKUP($E218, {'TitleData rewards.items'!$J$9:$J416,'TitleData rewards.items'!$B$9:$B416}, 2, FALSE), """")"),"#N/A")</f>
        <v>#N/A</v>
      </c>
    </row>
    <row r="219" spans="1:79" ht="28" hidden="1" x14ac:dyDescent="0.15">
      <c r="A219" s="82" t="s">
        <v>491</v>
      </c>
      <c r="B219" s="83" t="b">
        <v>1</v>
      </c>
      <c r="C219" s="82" t="s">
        <v>811</v>
      </c>
      <c r="D219" s="85" t="b">
        <f>VLOOKUP($C219, '_REF Catalog Classes'!$C$6:$D416, COLUMNS('_REF Catalog Classes'!$C$6:$D416), FALSE)</f>
        <v>1</v>
      </c>
      <c r="E219" s="82" t="s">
        <v>1487</v>
      </c>
      <c r="F219" s="82" t="str">
        <f t="shared" si="0"/>
        <v>actionCollaborateScene04:TRUE</v>
      </c>
      <c r="G219" s="86" t="s">
        <v>904</v>
      </c>
      <c r="H219" s="86" t="s">
        <v>1115</v>
      </c>
      <c r="I219" s="82" t="s">
        <v>847</v>
      </c>
      <c r="J219" s="82" t="s">
        <v>275</v>
      </c>
      <c r="K219" s="82" t="s">
        <v>275</v>
      </c>
      <c r="L219" s="82" t="s">
        <v>857</v>
      </c>
      <c r="M219" s="82"/>
      <c r="N219" s="107"/>
      <c r="O219" s="108"/>
      <c r="P219" s="82"/>
      <c r="Q219" s="88"/>
      <c r="R219" s="82"/>
      <c r="S219" s="82"/>
      <c r="T219" s="82"/>
      <c r="U219" s="82"/>
      <c r="V219" s="82"/>
      <c r="W219" s="89"/>
      <c r="X219" s="90"/>
      <c r="Y219" s="90" t="str">
        <f t="shared" si="17"/>
        <v>file://actionCollaborateScene04-state0-image0</v>
      </c>
      <c r="Z219" s="90"/>
      <c r="AA219" s="89"/>
      <c r="AB219" s="90"/>
      <c r="AC219" s="90"/>
      <c r="AD219" s="90"/>
      <c r="AE219" s="90"/>
      <c r="AF219" s="90"/>
      <c r="AG219" s="93"/>
      <c r="AH219" s="93"/>
      <c r="AI219" s="93"/>
      <c r="AJ219" s="93"/>
      <c r="AK219" s="93"/>
      <c r="AL219" s="93"/>
      <c r="AM219" s="93"/>
      <c r="AN219" s="95"/>
      <c r="AO219" s="95"/>
      <c r="AP219" s="95" t="str">
        <f t="shared" si="18"/>
        <v>file://actionCollaborateScene04-state1-image0</v>
      </c>
      <c r="AQ219" s="95"/>
      <c r="AR219" s="95"/>
      <c r="AS219" s="95"/>
      <c r="AT219" s="95"/>
      <c r="AU219" s="95"/>
      <c r="AV219" s="95"/>
      <c r="AW219" s="93"/>
      <c r="AX219" s="93"/>
      <c r="AY219" s="93"/>
      <c r="AZ219" s="93"/>
      <c r="BA219" s="93"/>
      <c r="BB219" s="93"/>
      <c r="BC219" s="93"/>
      <c r="BD219" s="97"/>
      <c r="BE219" s="97"/>
      <c r="BF219" s="98"/>
      <c r="BG219" s="97"/>
      <c r="BH219" s="97"/>
      <c r="BI219" s="97"/>
      <c r="BJ219" s="97"/>
      <c r="BK219" s="97"/>
      <c r="BL219" s="97"/>
      <c r="BM219" s="97"/>
      <c r="BN219" s="97"/>
      <c r="BO219" s="93"/>
      <c r="BP219" s="93"/>
      <c r="BQ219" s="93"/>
      <c r="BR219" s="93"/>
      <c r="BS219" s="93"/>
      <c r="BT219" s="93"/>
      <c r="BU219" s="93"/>
      <c r="BV219" s="99"/>
      <c r="BW219" s="86"/>
      <c r="BX219" s="86"/>
      <c r="BY219" s="86"/>
      <c r="BZ219" s="86"/>
      <c r="CA219" s="100" t="str">
        <f ca="1">IFERROR(__xludf.DUMMYFUNCTION("IF(REGEXMATCH(Catalog_RewardType,""reward""), VLOOKUP($E219, {'TitleData rewards.items'!$J$9:$J416,'TitleData rewards.items'!$B$9:$B416}, 2, FALSE), """")"),"")</f>
        <v/>
      </c>
    </row>
    <row r="220" spans="1:79" ht="42" hidden="1" x14ac:dyDescent="0.15">
      <c r="A220" s="82" t="s">
        <v>491</v>
      </c>
      <c r="B220" s="83" t="b">
        <v>1</v>
      </c>
      <c r="C220" s="82" t="s">
        <v>808</v>
      </c>
      <c r="D220" s="85" t="b">
        <f>VLOOKUP($C220, '_REF Catalog Classes'!$C$6:$D416, COLUMNS('_REF Catalog Classes'!$C$6:$D416), FALSE)</f>
        <v>1</v>
      </c>
      <c r="E220" s="82" t="s">
        <v>1488</v>
      </c>
      <c r="F220" s="82" t="str">
        <f t="shared" si="0"/>
        <v>achievementPlayCollaborateScene02:TRUE</v>
      </c>
      <c r="G220" s="86" t="s">
        <v>1489</v>
      </c>
      <c r="H220" s="86" t="s">
        <v>1115</v>
      </c>
      <c r="I220" s="82" t="s">
        <v>274</v>
      </c>
      <c r="J220" s="82"/>
      <c r="K220" s="82"/>
      <c r="L220" s="82"/>
      <c r="M220" s="86" t="s">
        <v>820</v>
      </c>
      <c r="N220" s="107"/>
      <c r="O220" s="108"/>
      <c r="P220" s="82">
        <v>123</v>
      </c>
      <c r="Q220" s="88"/>
      <c r="R220" s="82"/>
      <c r="S220" s="82"/>
      <c r="T220" s="82"/>
      <c r="U220" s="82"/>
      <c r="V220" s="82"/>
      <c r="W220" s="89">
        <v>0</v>
      </c>
      <c r="X220" s="90" t="s">
        <v>37</v>
      </c>
      <c r="Y220" s="90" t="str">
        <f t="shared" si="17"/>
        <v>file://achievementPlayCollaborateScene02-state0-image0</v>
      </c>
      <c r="Z220" s="90"/>
      <c r="AA220" s="91" t="s">
        <v>283</v>
      </c>
      <c r="AB220" s="90" t="s">
        <v>821</v>
      </c>
      <c r="AC220" s="90"/>
      <c r="AD220" s="162" t="s">
        <v>822</v>
      </c>
      <c r="AE220" s="90"/>
      <c r="AF220" s="90"/>
      <c r="AG220" s="92"/>
      <c r="AH220" s="93"/>
      <c r="AI220" s="93"/>
      <c r="AJ220" s="93"/>
      <c r="AK220" s="93"/>
      <c r="AL220" s="93"/>
      <c r="AM220" s="93"/>
      <c r="AN220" s="94"/>
      <c r="AO220" s="95"/>
      <c r="AP220" s="95" t="str">
        <f t="shared" si="18"/>
        <v>file://achievementPlayCollaborateScene02-state1-image0</v>
      </c>
      <c r="AQ220" s="95"/>
      <c r="AR220" s="94"/>
      <c r="AS220" s="95"/>
      <c r="AT220" s="95"/>
      <c r="AU220" s="95"/>
      <c r="AV220" s="95"/>
      <c r="AW220" s="92"/>
      <c r="AX220" s="93"/>
      <c r="AY220" s="93"/>
      <c r="AZ220" s="93"/>
      <c r="BA220" s="93"/>
      <c r="BB220" s="93"/>
      <c r="BC220" s="93"/>
      <c r="BD220" s="96">
        <v>2</v>
      </c>
      <c r="BE220" s="167" t="s">
        <v>823</v>
      </c>
      <c r="BF220" s="98"/>
      <c r="BG220" s="97"/>
      <c r="BH220" s="97" t="s">
        <v>283</v>
      </c>
      <c r="BI220" s="97" t="s">
        <v>821</v>
      </c>
      <c r="BJ220" s="97"/>
      <c r="BK220" s="97"/>
      <c r="BL220" s="97" t="s">
        <v>1490</v>
      </c>
      <c r="BM220" s="97"/>
      <c r="BN220" s="97"/>
      <c r="BO220" s="93"/>
      <c r="BP220" s="93"/>
      <c r="BQ220" s="93"/>
      <c r="BR220" s="93"/>
      <c r="BS220" s="93"/>
      <c r="BT220" s="93"/>
      <c r="BU220" s="93"/>
      <c r="BV220" s="222" t="s">
        <v>1491</v>
      </c>
      <c r="BW220" s="86" t="str">
        <f>VLOOKUP($C220, '_REF Catalog Classes'!$C$6:$E416, COLUMNS('_REF Catalog Classes'!$C$6:$E416), FALSE)</f>
        <v>never</v>
      </c>
      <c r="BX220" s="95"/>
      <c r="BY220" s="95"/>
      <c r="BZ220" s="95" t="s">
        <v>322</v>
      </c>
      <c r="CA220" s="100" t="str">
        <f ca="1">IFERROR(__xludf.DUMMYFUNCTION("IF(REGEXMATCH(Catalog_RewardType,""reward""), VLOOKUP($E220, {'TitleData rewards.items'!$J$9:$J416,'TitleData rewards.items'!$B$9:$B416}, 2, FALSE), """")"),"#N/A")</f>
        <v>#N/A</v>
      </c>
    </row>
    <row r="221" spans="1:79" ht="28" hidden="1" x14ac:dyDescent="0.15">
      <c r="A221" s="82" t="s">
        <v>491</v>
      </c>
      <c r="B221" s="83" t="b">
        <v>1</v>
      </c>
      <c r="C221" s="82" t="s">
        <v>811</v>
      </c>
      <c r="D221" s="85" t="b">
        <f>VLOOKUP($C221, '_REF Catalog Classes'!$C$6:$D416, COLUMNS('_REF Catalog Classes'!$C$6:$D416), FALSE)</f>
        <v>1</v>
      </c>
      <c r="E221" s="82" t="s">
        <v>1492</v>
      </c>
      <c r="F221" s="82" t="str">
        <f t="shared" si="0"/>
        <v>actionCollaborateScene05:TRUE</v>
      </c>
      <c r="G221" s="86" t="s">
        <v>904</v>
      </c>
      <c r="H221" s="86" t="s">
        <v>1115</v>
      </c>
      <c r="I221" s="82" t="s">
        <v>847</v>
      </c>
      <c r="J221" s="82" t="s">
        <v>275</v>
      </c>
      <c r="K221" s="82" t="s">
        <v>275</v>
      </c>
      <c r="L221" s="82" t="s">
        <v>857</v>
      </c>
      <c r="M221" s="82"/>
      <c r="N221" s="107"/>
      <c r="O221" s="108"/>
      <c r="P221" s="82"/>
      <c r="Q221" s="88"/>
      <c r="R221" s="82"/>
      <c r="S221" s="82"/>
      <c r="T221" s="82"/>
      <c r="U221" s="82"/>
      <c r="V221" s="82"/>
      <c r="W221" s="89"/>
      <c r="X221" s="90"/>
      <c r="Y221" s="90" t="str">
        <f t="shared" si="17"/>
        <v>file://actionCollaborateScene05-state0-image0</v>
      </c>
      <c r="Z221" s="90"/>
      <c r="AA221" s="89"/>
      <c r="AB221" s="90"/>
      <c r="AC221" s="90"/>
      <c r="AD221" s="90"/>
      <c r="AE221" s="90"/>
      <c r="AF221" s="90"/>
      <c r="AG221" s="93"/>
      <c r="AH221" s="93"/>
      <c r="AI221" s="93"/>
      <c r="AJ221" s="93"/>
      <c r="AK221" s="93"/>
      <c r="AL221" s="93"/>
      <c r="AM221" s="93"/>
      <c r="AN221" s="95"/>
      <c r="AO221" s="95"/>
      <c r="AP221" s="95" t="str">
        <f t="shared" si="18"/>
        <v>file://actionCollaborateScene05-state1-image0</v>
      </c>
      <c r="AQ221" s="95"/>
      <c r="AR221" s="95"/>
      <c r="AS221" s="95"/>
      <c r="AT221" s="95"/>
      <c r="AU221" s="95"/>
      <c r="AV221" s="95"/>
      <c r="AW221" s="93"/>
      <c r="AX221" s="93"/>
      <c r="AY221" s="93"/>
      <c r="AZ221" s="93"/>
      <c r="BA221" s="93"/>
      <c r="BB221" s="93"/>
      <c r="BC221" s="93"/>
      <c r="BD221" s="97"/>
      <c r="BE221" s="97"/>
      <c r="BF221" s="98"/>
      <c r="BG221" s="97"/>
      <c r="BH221" s="97"/>
      <c r="BI221" s="97"/>
      <c r="BJ221" s="97"/>
      <c r="BK221" s="97"/>
      <c r="BL221" s="97"/>
      <c r="BM221" s="97"/>
      <c r="BN221" s="97"/>
      <c r="BO221" s="93"/>
      <c r="BP221" s="93"/>
      <c r="BQ221" s="93"/>
      <c r="BR221" s="93"/>
      <c r="BS221" s="93"/>
      <c r="BT221" s="93"/>
      <c r="BU221" s="93"/>
      <c r="BV221" s="99"/>
      <c r="BW221" s="86"/>
      <c r="BX221" s="86"/>
      <c r="BY221" s="86"/>
      <c r="BZ221" s="86"/>
      <c r="CA221" s="100" t="str">
        <f ca="1">IFERROR(__xludf.DUMMYFUNCTION("IF(REGEXMATCH(Catalog_RewardType,""reward""), VLOOKUP($E221, {'TitleData rewards.items'!$J$9:$J416,'TitleData rewards.items'!$B$9:$B416}, 2, FALSE), """")"),"")</f>
        <v/>
      </c>
    </row>
    <row r="222" spans="1:79" ht="42" hidden="1" x14ac:dyDescent="0.15">
      <c r="A222" s="82" t="s">
        <v>491</v>
      </c>
      <c r="B222" s="83" t="b">
        <v>1</v>
      </c>
      <c r="C222" s="82" t="s">
        <v>808</v>
      </c>
      <c r="D222" s="85" t="b">
        <f>VLOOKUP($C222, '_REF Catalog Classes'!$C$6:$D416, COLUMNS('_REF Catalog Classes'!$C$6:$D416), FALSE)</f>
        <v>1</v>
      </c>
      <c r="E222" s="82" t="s">
        <v>1493</v>
      </c>
      <c r="F222" s="82" t="str">
        <f t="shared" si="0"/>
        <v>achievementPlayCollaborateScene03:TRUE</v>
      </c>
      <c r="G222" s="86" t="s">
        <v>1494</v>
      </c>
      <c r="H222" s="86" t="s">
        <v>1115</v>
      </c>
      <c r="I222" s="82" t="s">
        <v>274</v>
      </c>
      <c r="J222" s="82"/>
      <c r="K222" s="82"/>
      <c r="L222" s="82"/>
      <c r="M222" s="86" t="s">
        <v>820</v>
      </c>
      <c r="N222" s="107"/>
      <c r="O222" s="108"/>
      <c r="P222" s="82">
        <v>124</v>
      </c>
      <c r="Q222" s="88"/>
      <c r="R222" s="82"/>
      <c r="S222" s="82"/>
      <c r="T222" s="82"/>
      <c r="U222" s="82"/>
      <c r="V222" s="82"/>
      <c r="W222" s="89">
        <v>0</v>
      </c>
      <c r="X222" s="90" t="s">
        <v>37</v>
      </c>
      <c r="Y222" s="90" t="str">
        <f t="shared" si="17"/>
        <v>file://achievementPlayCollaborateScene03-state0-image0</v>
      </c>
      <c r="Z222" s="90"/>
      <c r="AA222" s="91" t="s">
        <v>283</v>
      </c>
      <c r="AB222" s="90" t="s">
        <v>821</v>
      </c>
      <c r="AC222" s="90"/>
      <c r="AD222" s="162" t="s">
        <v>822</v>
      </c>
      <c r="AE222" s="90"/>
      <c r="AF222" s="90"/>
      <c r="AG222" s="92"/>
      <c r="AH222" s="93"/>
      <c r="AI222" s="93"/>
      <c r="AJ222" s="93"/>
      <c r="AK222" s="93"/>
      <c r="AL222" s="93"/>
      <c r="AM222" s="93"/>
      <c r="AN222" s="94"/>
      <c r="AO222" s="95"/>
      <c r="AP222" s="95" t="str">
        <f t="shared" si="18"/>
        <v>file://achievementPlayCollaborateScene03-state1-image0</v>
      </c>
      <c r="AQ222" s="95"/>
      <c r="AR222" s="94"/>
      <c r="AS222" s="95"/>
      <c r="AT222" s="95"/>
      <c r="AU222" s="95"/>
      <c r="AV222" s="95"/>
      <c r="AW222" s="92"/>
      <c r="AX222" s="93"/>
      <c r="AY222" s="93"/>
      <c r="AZ222" s="93"/>
      <c r="BA222" s="93"/>
      <c r="BB222" s="93"/>
      <c r="BC222" s="93"/>
      <c r="BD222" s="96">
        <v>2</v>
      </c>
      <c r="BE222" s="167" t="s">
        <v>823</v>
      </c>
      <c r="BF222" s="98"/>
      <c r="BG222" s="97"/>
      <c r="BH222" s="97" t="s">
        <v>283</v>
      </c>
      <c r="BI222" s="97" t="s">
        <v>821</v>
      </c>
      <c r="BJ222" s="97"/>
      <c r="BK222" s="97"/>
      <c r="BL222" s="97" t="s">
        <v>1495</v>
      </c>
      <c r="BM222" s="97"/>
      <c r="BN222" s="97"/>
      <c r="BO222" s="93"/>
      <c r="BP222" s="93"/>
      <c r="BQ222" s="93"/>
      <c r="BR222" s="93"/>
      <c r="BS222" s="93"/>
      <c r="BT222" s="93"/>
      <c r="BU222" s="93"/>
      <c r="BV222" s="222" t="s">
        <v>1496</v>
      </c>
      <c r="BW222" s="86" t="str">
        <f>VLOOKUP($C222, '_REF Catalog Classes'!$C$6:$E416, COLUMNS('_REF Catalog Classes'!$C$6:$E416), FALSE)</f>
        <v>never</v>
      </c>
      <c r="BX222" s="95"/>
      <c r="BY222" s="95"/>
      <c r="BZ222" s="95" t="s">
        <v>322</v>
      </c>
      <c r="CA222" s="100" t="str">
        <f ca="1">IFERROR(__xludf.DUMMYFUNCTION("IF(REGEXMATCH(Catalog_RewardType,""reward""), VLOOKUP($E222, {'TitleData rewards.items'!$J$9:$J416,'TitleData rewards.items'!$B$9:$B416}, 2, FALSE), """")"),"#N/A")</f>
        <v>#N/A</v>
      </c>
    </row>
    <row r="223" spans="1:79" ht="28" hidden="1" x14ac:dyDescent="0.15">
      <c r="A223" s="82" t="s">
        <v>491</v>
      </c>
      <c r="B223" s="83" t="b">
        <v>1</v>
      </c>
      <c r="C223" s="82" t="s">
        <v>811</v>
      </c>
      <c r="D223" s="85" t="b">
        <f>VLOOKUP($C223, '_REF Catalog Classes'!$C$6:$D416, COLUMNS('_REF Catalog Classes'!$C$6:$D416), FALSE)</f>
        <v>1</v>
      </c>
      <c r="E223" s="82" t="s">
        <v>1497</v>
      </c>
      <c r="F223" s="82" t="str">
        <f t="shared" si="0"/>
        <v>actionCollaborateScene06:TRUE</v>
      </c>
      <c r="G223" s="86" t="s">
        <v>904</v>
      </c>
      <c r="H223" s="86" t="s">
        <v>1115</v>
      </c>
      <c r="I223" s="82" t="s">
        <v>847</v>
      </c>
      <c r="J223" s="82" t="s">
        <v>275</v>
      </c>
      <c r="K223" s="82" t="s">
        <v>275</v>
      </c>
      <c r="L223" s="82" t="s">
        <v>857</v>
      </c>
      <c r="M223" s="82"/>
      <c r="N223" s="107"/>
      <c r="O223" s="108"/>
      <c r="P223" s="82"/>
      <c r="Q223" s="88"/>
      <c r="R223" s="82"/>
      <c r="S223" s="82"/>
      <c r="T223" s="82"/>
      <c r="U223" s="82"/>
      <c r="V223" s="82"/>
      <c r="W223" s="89"/>
      <c r="X223" s="90"/>
      <c r="Y223" s="90" t="str">
        <f t="shared" si="17"/>
        <v>file://actionCollaborateScene06-state0-image0</v>
      </c>
      <c r="Z223" s="90"/>
      <c r="AA223" s="89"/>
      <c r="AB223" s="90"/>
      <c r="AC223" s="90"/>
      <c r="AD223" s="90"/>
      <c r="AE223" s="90"/>
      <c r="AF223" s="90"/>
      <c r="AG223" s="93"/>
      <c r="AH223" s="93"/>
      <c r="AI223" s="93"/>
      <c r="AJ223" s="93"/>
      <c r="AK223" s="93"/>
      <c r="AL223" s="93"/>
      <c r="AM223" s="93"/>
      <c r="AN223" s="95"/>
      <c r="AO223" s="95"/>
      <c r="AP223" s="95" t="str">
        <f t="shared" si="18"/>
        <v>file://actionCollaborateScene06-state1-image0</v>
      </c>
      <c r="AQ223" s="95"/>
      <c r="AR223" s="95"/>
      <c r="AS223" s="95"/>
      <c r="AT223" s="95"/>
      <c r="AU223" s="95"/>
      <c r="AV223" s="95"/>
      <c r="AW223" s="93"/>
      <c r="AX223" s="93"/>
      <c r="AY223" s="93"/>
      <c r="AZ223" s="93"/>
      <c r="BA223" s="93"/>
      <c r="BB223" s="93"/>
      <c r="BC223" s="93"/>
      <c r="BD223" s="97"/>
      <c r="BE223" s="97"/>
      <c r="BF223" s="98"/>
      <c r="BG223" s="97"/>
      <c r="BH223" s="97"/>
      <c r="BI223" s="97"/>
      <c r="BJ223" s="97"/>
      <c r="BK223" s="97"/>
      <c r="BL223" s="97"/>
      <c r="BM223" s="97"/>
      <c r="BN223" s="97"/>
      <c r="BO223" s="93"/>
      <c r="BP223" s="93"/>
      <c r="BQ223" s="93"/>
      <c r="BR223" s="93"/>
      <c r="BS223" s="93"/>
      <c r="BT223" s="93"/>
      <c r="BU223" s="93"/>
      <c r="BV223" s="99"/>
      <c r="BW223" s="86"/>
      <c r="BX223" s="86"/>
      <c r="BY223" s="86"/>
      <c r="BZ223" s="86"/>
      <c r="CA223" s="100" t="str">
        <f ca="1">IFERROR(__xludf.DUMMYFUNCTION("IF(REGEXMATCH(Catalog_RewardType,""reward""), VLOOKUP($E223, {'TitleData rewards.items'!$J$9:$J416,'TitleData rewards.items'!$B$9:$B416}, 2, FALSE), """")"),"")</f>
        <v/>
      </c>
    </row>
    <row r="224" spans="1:79" ht="42" hidden="1" x14ac:dyDescent="0.15">
      <c r="A224" s="82" t="s">
        <v>491</v>
      </c>
      <c r="B224" s="83" t="b">
        <v>1</v>
      </c>
      <c r="C224" s="82" t="s">
        <v>808</v>
      </c>
      <c r="D224" s="85" t="b">
        <f>VLOOKUP($C224, '_REF Catalog Classes'!$C$6:$D416, COLUMNS('_REF Catalog Classes'!$C$6:$D416), FALSE)</f>
        <v>1</v>
      </c>
      <c r="E224" s="82" t="s">
        <v>1498</v>
      </c>
      <c r="F224" s="82" t="str">
        <f t="shared" si="0"/>
        <v>achievementPlayCollaborateScene04:TRUE</v>
      </c>
      <c r="G224" s="86" t="s">
        <v>1499</v>
      </c>
      <c r="H224" s="86" t="s">
        <v>1115</v>
      </c>
      <c r="I224" s="82" t="s">
        <v>274</v>
      </c>
      <c r="J224" s="82"/>
      <c r="K224" s="82"/>
      <c r="L224" s="82"/>
      <c r="M224" s="86" t="s">
        <v>820</v>
      </c>
      <c r="N224" s="107"/>
      <c r="O224" s="108"/>
      <c r="P224" s="82">
        <v>125</v>
      </c>
      <c r="Q224" s="88"/>
      <c r="R224" s="82"/>
      <c r="S224" s="82"/>
      <c r="T224" s="82"/>
      <c r="U224" s="82"/>
      <c r="V224" s="82"/>
      <c r="W224" s="89">
        <v>0</v>
      </c>
      <c r="X224" s="90" t="s">
        <v>37</v>
      </c>
      <c r="Y224" s="90" t="str">
        <f t="shared" si="17"/>
        <v>file://achievementPlayCollaborateScene04-state0-image0</v>
      </c>
      <c r="Z224" s="90"/>
      <c r="AA224" s="91" t="s">
        <v>283</v>
      </c>
      <c r="AB224" s="90" t="s">
        <v>821</v>
      </c>
      <c r="AC224" s="90"/>
      <c r="AD224" s="162" t="s">
        <v>822</v>
      </c>
      <c r="AE224" s="90"/>
      <c r="AF224" s="90"/>
      <c r="AG224" s="92"/>
      <c r="AH224" s="93"/>
      <c r="AI224" s="93"/>
      <c r="AJ224" s="93"/>
      <c r="AK224" s="93"/>
      <c r="AL224" s="93"/>
      <c r="AM224" s="93"/>
      <c r="AN224" s="94"/>
      <c r="AO224" s="95"/>
      <c r="AP224" s="95" t="str">
        <f t="shared" si="18"/>
        <v>file://achievementPlayCollaborateScene04-state1-image0</v>
      </c>
      <c r="AQ224" s="95"/>
      <c r="AR224" s="94"/>
      <c r="AS224" s="95"/>
      <c r="AT224" s="95"/>
      <c r="AU224" s="95"/>
      <c r="AV224" s="95"/>
      <c r="AW224" s="92"/>
      <c r="AX224" s="93"/>
      <c r="AY224" s="93"/>
      <c r="AZ224" s="93"/>
      <c r="BA224" s="93"/>
      <c r="BB224" s="93"/>
      <c r="BC224" s="93"/>
      <c r="BD224" s="96">
        <v>2</v>
      </c>
      <c r="BE224" s="167" t="s">
        <v>823</v>
      </c>
      <c r="BF224" s="98"/>
      <c r="BG224" s="97"/>
      <c r="BH224" s="97" t="s">
        <v>283</v>
      </c>
      <c r="BI224" s="97" t="s">
        <v>821</v>
      </c>
      <c r="BJ224" s="97"/>
      <c r="BK224" s="97"/>
      <c r="BL224" s="97" t="s">
        <v>1500</v>
      </c>
      <c r="BM224" s="97"/>
      <c r="BN224" s="97"/>
      <c r="BO224" s="93"/>
      <c r="BP224" s="93"/>
      <c r="BQ224" s="93"/>
      <c r="BR224" s="93"/>
      <c r="BS224" s="93"/>
      <c r="BT224" s="93"/>
      <c r="BU224" s="93"/>
      <c r="BV224" s="222" t="s">
        <v>1501</v>
      </c>
      <c r="BW224" s="86" t="str">
        <f>VLOOKUP($C224, '_REF Catalog Classes'!$C$6:$E416, COLUMNS('_REF Catalog Classes'!$C$6:$E416), FALSE)</f>
        <v>never</v>
      </c>
      <c r="BX224" s="95"/>
      <c r="BY224" s="95"/>
      <c r="BZ224" s="95" t="s">
        <v>322</v>
      </c>
      <c r="CA224" s="100" t="str">
        <f ca="1">IFERROR(__xludf.DUMMYFUNCTION("IF(REGEXMATCH(Catalog_RewardType,""reward""), VLOOKUP($E224, {'TitleData rewards.items'!$J$9:$J416,'TitleData rewards.items'!$B$9:$B416}, 2, FALSE), """")"),"#N/A")</f>
        <v>#N/A</v>
      </c>
    </row>
    <row r="225" spans="1:79" ht="28" hidden="1" x14ac:dyDescent="0.15">
      <c r="A225" s="82" t="s">
        <v>491</v>
      </c>
      <c r="B225" s="83" t="b">
        <v>1</v>
      </c>
      <c r="C225" s="82" t="s">
        <v>811</v>
      </c>
      <c r="D225" s="85" t="b">
        <f>VLOOKUP($C225, '_REF Catalog Classes'!$C$6:$D416, COLUMNS('_REF Catalog Classes'!$C$6:$D416), FALSE)</f>
        <v>1</v>
      </c>
      <c r="E225" s="82" t="s">
        <v>1502</v>
      </c>
      <c r="F225" s="82" t="str">
        <f t="shared" si="0"/>
        <v>actionCollaborateScene07:TRUE</v>
      </c>
      <c r="G225" s="86" t="s">
        <v>904</v>
      </c>
      <c r="H225" s="86" t="s">
        <v>1115</v>
      </c>
      <c r="I225" s="82" t="s">
        <v>847</v>
      </c>
      <c r="J225" s="82" t="s">
        <v>275</v>
      </c>
      <c r="K225" s="82" t="s">
        <v>275</v>
      </c>
      <c r="L225" s="82" t="s">
        <v>857</v>
      </c>
      <c r="M225" s="82"/>
      <c r="N225" s="107"/>
      <c r="O225" s="108"/>
      <c r="P225" s="82"/>
      <c r="Q225" s="88"/>
      <c r="R225" s="82"/>
      <c r="S225" s="82"/>
      <c r="T225" s="82"/>
      <c r="U225" s="82"/>
      <c r="V225" s="82"/>
      <c r="W225" s="89"/>
      <c r="X225" s="90"/>
      <c r="Y225" s="90" t="str">
        <f t="shared" si="17"/>
        <v>file://actionCollaborateScene07-state0-image0</v>
      </c>
      <c r="Z225" s="90"/>
      <c r="AA225" s="89"/>
      <c r="AB225" s="90"/>
      <c r="AC225" s="90"/>
      <c r="AD225" s="90"/>
      <c r="AE225" s="90"/>
      <c r="AF225" s="90"/>
      <c r="AG225" s="93"/>
      <c r="AH225" s="93"/>
      <c r="AI225" s="93"/>
      <c r="AJ225" s="93"/>
      <c r="AK225" s="93"/>
      <c r="AL225" s="93"/>
      <c r="AM225" s="93"/>
      <c r="AN225" s="95"/>
      <c r="AO225" s="95"/>
      <c r="AP225" s="95" t="str">
        <f t="shared" si="18"/>
        <v>file://actionCollaborateScene07-state1-image0</v>
      </c>
      <c r="AQ225" s="95"/>
      <c r="AR225" s="95"/>
      <c r="AS225" s="95"/>
      <c r="AT225" s="95"/>
      <c r="AU225" s="95"/>
      <c r="AV225" s="95"/>
      <c r="AW225" s="93"/>
      <c r="AX225" s="93"/>
      <c r="AY225" s="93"/>
      <c r="AZ225" s="93"/>
      <c r="BA225" s="93"/>
      <c r="BB225" s="93"/>
      <c r="BC225" s="93"/>
      <c r="BD225" s="97"/>
      <c r="BE225" s="97"/>
      <c r="BF225" s="98"/>
      <c r="BG225" s="97"/>
      <c r="BH225" s="97"/>
      <c r="BI225" s="97"/>
      <c r="BJ225" s="97"/>
      <c r="BK225" s="97"/>
      <c r="BL225" s="97"/>
      <c r="BM225" s="97"/>
      <c r="BN225" s="97"/>
      <c r="BO225" s="93"/>
      <c r="BP225" s="93"/>
      <c r="BQ225" s="93"/>
      <c r="BR225" s="93"/>
      <c r="BS225" s="93"/>
      <c r="BT225" s="93"/>
      <c r="BU225" s="93"/>
      <c r="BV225" s="99"/>
      <c r="BW225" s="86"/>
      <c r="BX225" s="86"/>
      <c r="BY225" s="86"/>
      <c r="BZ225" s="86"/>
      <c r="CA225" s="100" t="str">
        <f ca="1">IFERROR(__xludf.DUMMYFUNCTION("IF(REGEXMATCH(Catalog_RewardType,""reward""), VLOOKUP($E225, {'TitleData rewards.items'!$J$9:$J416,'TitleData rewards.items'!$B$9:$B416}, 2, FALSE), """")"),"")</f>
        <v/>
      </c>
    </row>
    <row r="226" spans="1:79" ht="42" hidden="1" x14ac:dyDescent="0.15">
      <c r="A226" s="82" t="s">
        <v>491</v>
      </c>
      <c r="B226" s="83" t="b">
        <v>1</v>
      </c>
      <c r="C226" s="82" t="s">
        <v>808</v>
      </c>
      <c r="D226" s="85" t="b">
        <f>VLOOKUP($C226, '_REF Catalog Classes'!$C$6:$D416, COLUMNS('_REF Catalog Classes'!$C$6:$D416), FALSE)</f>
        <v>1</v>
      </c>
      <c r="E226" s="82" t="s">
        <v>1503</v>
      </c>
      <c r="F226" s="82" t="str">
        <f t="shared" si="0"/>
        <v>achievementPlayCollaborateScene05:TRUE</v>
      </c>
      <c r="G226" s="86" t="s">
        <v>1504</v>
      </c>
      <c r="H226" s="86" t="s">
        <v>1115</v>
      </c>
      <c r="I226" s="82" t="s">
        <v>274</v>
      </c>
      <c r="J226" s="82"/>
      <c r="K226" s="82"/>
      <c r="L226" s="82"/>
      <c r="M226" s="86" t="s">
        <v>820</v>
      </c>
      <c r="N226" s="107"/>
      <c r="O226" s="108"/>
      <c r="P226" s="82">
        <v>126</v>
      </c>
      <c r="Q226" s="88"/>
      <c r="R226" s="82"/>
      <c r="S226" s="82"/>
      <c r="T226" s="82"/>
      <c r="U226" s="82"/>
      <c r="V226" s="82"/>
      <c r="W226" s="89">
        <v>0</v>
      </c>
      <c r="X226" s="90" t="s">
        <v>37</v>
      </c>
      <c r="Y226" s="90" t="str">
        <f t="shared" si="17"/>
        <v>file://achievementPlayCollaborateScene05-state0-image0</v>
      </c>
      <c r="Z226" s="90"/>
      <c r="AA226" s="91" t="s">
        <v>283</v>
      </c>
      <c r="AB226" s="90" t="s">
        <v>821</v>
      </c>
      <c r="AC226" s="90"/>
      <c r="AD226" s="162" t="s">
        <v>822</v>
      </c>
      <c r="AE226" s="90"/>
      <c r="AF226" s="90"/>
      <c r="AG226" s="92"/>
      <c r="AH226" s="93"/>
      <c r="AI226" s="93"/>
      <c r="AJ226" s="93"/>
      <c r="AK226" s="93"/>
      <c r="AL226" s="93"/>
      <c r="AM226" s="93"/>
      <c r="AN226" s="94"/>
      <c r="AO226" s="95"/>
      <c r="AP226" s="95" t="str">
        <f t="shared" si="18"/>
        <v>file://achievementPlayCollaborateScene05-state1-image0</v>
      </c>
      <c r="AQ226" s="95"/>
      <c r="AR226" s="94"/>
      <c r="AS226" s="95"/>
      <c r="AT226" s="95"/>
      <c r="AU226" s="95"/>
      <c r="AV226" s="95"/>
      <c r="AW226" s="92"/>
      <c r="AX226" s="93"/>
      <c r="AY226" s="93"/>
      <c r="AZ226" s="93"/>
      <c r="BA226" s="93"/>
      <c r="BB226" s="93"/>
      <c r="BC226" s="93"/>
      <c r="BD226" s="96">
        <v>2</v>
      </c>
      <c r="BE226" s="167" t="s">
        <v>823</v>
      </c>
      <c r="BF226" s="98"/>
      <c r="BG226" s="97"/>
      <c r="BH226" s="97" t="s">
        <v>283</v>
      </c>
      <c r="BI226" s="97" t="s">
        <v>821</v>
      </c>
      <c r="BJ226" s="97"/>
      <c r="BK226" s="97"/>
      <c r="BL226" s="97" t="s">
        <v>1505</v>
      </c>
      <c r="BM226" s="97"/>
      <c r="BN226" s="97"/>
      <c r="BO226" s="93"/>
      <c r="BP226" s="93"/>
      <c r="BQ226" s="93"/>
      <c r="BR226" s="93"/>
      <c r="BS226" s="93"/>
      <c r="BT226" s="93"/>
      <c r="BU226" s="93"/>
      <c r="BV226" s="222" t="s">
        <v>1506</v>
      </c>
      <c r="BW226" s="86" t="str">
        <f>VLOOKUP($C226, '_REF Catalog Classes'!$C$6:$E416, COLUMNS('_REF Catalog Classes'!$C$6:$E416), FALSE)</f>
        <v>never</v>
      </c>
      <c r="BX226" s="95"/>
      <c r="BY226" s="95"/>
      <c r="BZ226" s="95" t="s">
        <v>322</v>
      </c>
      <c r="CA226" s="100" t="str">
        <f ca="1">IFERROR(__xludf.DUMMYFUNCTION("IF(REGEXMATCH(Catalog_RewardType,""reward""), VLOOKUP($E226, {'TitleData rewards.items'!$J$9:$J416,'TitleData rewards.items'!$B$9:$B416}, 2, FALSE), """")"),"#N/A")</f>
        <v>#N/A</v>
      </c>
    </row>
    <row r="227" spans="1:79" ht="28" hidden="1" x14ac:dyDescent="0.15">
      <c r="A227" s="82" t="s">
        <v>491</v>
      </c>
      <c r="B227" s="83" t="b">
        <v>1</v>
      </c>
      <c r="C227" s="82" t="s">
        <v>811</v>
      </c>
      <c r="D227" s="85" t="b">
        <f>VLOOKUP($C227, '_REF Catalog Classes'!$C$6:$D416, COLUMNS('_REF Catalog Classes'!$C$6:$D416), FALSE)</f>
        <v>1</v>
      </c>
      <c r="E227" s="82" t="s">
        <v>1507</v>
      </c>
      <c r="F227" s="82" t="str">
        <f t="shared" si="0"/>
        <v>actionCollaborateScene08:TRUE</v>
      </c>
      <c r="G227" s="86" t="s">
        <v>904</v>
      </c>
      <c r="H227" s="86" t="s">
        <v>1115</v>
      </c>
      <c r="I227" s="82" t="s">
        <v>847</v>
      </c>
      <c r="J227" s="82" t="s">
        <v>275</v>
      </c>
      <c r="K227" s="82" t="s">
        <v>275</v>
      </c>
      <c r="L227" s="82" t="s">
        <v>857</v>
      </c>
      <c r="M227" s="82"/>
      <c r="N227" s="107"/>
      <c r="O227" s="108"/>
      <c r="P227" s="82"/>
      <c r="Q227" s="88"/>
      <c r="R227" s="82"/>
      <c r="S227" s="82"/>
      <c r="T227" s="82"/>
      <c r="U227" s="82"/>
      <c r="V227" s="82"/>
      <c r="W227" s="89"/>
      <c r="X227" s="90"/>
      <c r="Y227" s="90" t="str">
        <f t="shared" si="17"/>
        <v>file://actionCollaborateScene08-state0-image0</v>
      </c>
      <c r="Z227" s="90"/>
      <c r="AA227" s="89"/>
      <c r="AB227" s="90"/>
      <c r="AC227" s="90"/>
      <c r="AD227" s="90"/>
      <c r="AE227" s="90"/>
      <c r="AF227" s="90"/>
      <c r="AG227" s="93"/>
      <c r="AH227" s="93"/>
      <c r="AI227" s="93"/>
      <c r="AJ227" s="93"/>
      <c r="AK227" s="93"/>
      <c r="AL227" s="93"/>
      <c r="AM227" s="93"/>
      <c r="AN227" s="95"/>
      <c r="AO227" s="95"/>
      <c r="AP227" s="95" t="str">
        <f t="shared" si="18"/>
        <v>file://actionCollaborateScene08-state1-image0</v>
      </c>
      <c r="AQ227" s="95"/>
      <c r="AR227" s="95"/>
      <c r="AS227" s="95"/>
      <c r="AT227" s="95"/>
      <c r="AU227" s="95"/>
      <c r="AV227" s="95"/>
      <c r="AW227" s="93"/>
      <c r="AX227" s="93"/>
      <c r="AY227" s="93"/>
      <c r="AZ227" s="93"/>
      <c r="BA227" s="93"/>
      <c r="BB227" s="93"/>
      <c r="BC227" s="93"/>
      <c r="BD227" s="97"/>
      <c r="BE227" s="97"/>
      <c r="BF227" s="98"/>
      <c r="BG227" s="97"/>
      <c r="BH227" s="97"/>
      <c r="BI227" s="97"/>
      <c r="BJ227" s="97"/>
      <c r="BK227" s="97"/>
      <c r="BL227" s="97"/>
      <c r="BM227" s="97"/>
      <c r="BN227" s="97"/>
      <c r="BO227" s="93"/>
      <c r="BP227" s="93"/>
      <c r="BQ227" s="93"/>
      <c r="BR227" s="93"/>
      <c r="BS227" s="93"/>
      <c r="BT227" s="93"/>
      <c r="BU227" s="93"/>
      <c r="BV227" s="99"/>
      <c r="BW227" s="86"/>
      <c r="BX227" s="86"/>
      <c r="BY227" s="86"/>
      <c r="BZ227" s="86"/>
      <c r="CA227" s="100" t="str">
        <f ca="1">IFERROR(__xludf.DUMMYFUNCTION("IF(REGEXMATCH(Catalog_RewardType,""reward""), VLOOKUP($E227, {'TitleData rewards.items'!$J$9:$J416,'TitleData rewards.items'!$B$9:$B416}, 2, FALSE), """")"),"")</f>
        <v/>
      </c>
    </row>
    <row r="228" spans="1:79" ht="42" hidden="1" x14ac:dyDescent="0.15">
      <c r="A228" s="82" t="s">
        <v>491</v>
      </c>
      <c r="B228" s="83" t="b">
        <v>1</v>
      </c>
      <c r="C228" s="82" t="s">
        <v>808</v>
      </c>
      <c r="D228" s="85" t="b">
        <f>VLOOKUP($C228, '_REF Catalog Classes'!$C$6:$D416, COLUMNS('_REF Catalog Classes'!$C$6:$D416), FALSE)</f>
        <v>1</v>
      </c>
      <c r="E228" s="82" t="s">
        <v>1508</v>
      </c>
      <c r="F228" s="82" t="str">
        <f t="shared" si="0"/>
        <v>achievementPlayCollaborateScene06:TRUE</v>
      </c>
      <c r="G228" s="86" t="s">
        <v>1509</v>
      </c>
      <c r="H228" s="86" t="s">
        <v>1115</v>
      </c>
      <c r="I228" s="82" t="s">
        <v>274</v>
      </c>
      <c r="J228" s="82"/>
      <c r="K228" s="82"/>
      <c r="L228" s="82"/>
      <c r="M228" s="86" t="s">
        <v>820</v>
      </c>
      <c r="N228" s="107"/>
      <c r="O228" s="108"/>
      <c r="P228" s="82">
        <v>127</v>
      </c>
      <c r="Q228" s="88"/>
      <c r="R228" s="82"/>
      <c r="S228" s="82"/>
      <c r="T228" s="82"/>
      <c r="U228" s="82"/>
      <c r="V228" s="82"/>
      <c r="W228" s="89">
        <v>0</v>
      </c>
      <c r="X228" s="90" t="s">
        <v>37</v>
      </c>
      <c r="Y228" s="90" t="str">
        <f t="shared" si="17"/>
        <v>file://achievementPlayCollaborateScene06-state0-image0</v>
      </c>
      <c r="Z228" s="90"/>
      <c r="AA228" s="91" t="s">
        <v>283</v>
      </c>
      <c r="AB228" s="90" t="s">
        <v>821</v>
      </c>
      <c r="AC228" s="90"/>
      <c r="AD228" s="162" t="s">
        <v>822</v>
      </c>
      <c r="AE228" s="90"/>
      <c r="AF228" s="90"/>
      <c r="AG228" s="92"/>
      <c r="AH228" s="93"/>
      <c r="AI228" s="93"/>
      <c r="AJ228" s="93"/>
      <c r="AK228" s="93"/>
      <c r="AL228" s="93"/>
      <c r="AM228" s="93"/>
      <c r="AN228" s="94"/>
      <c r="AO228" s="95"/>
      <c r="AP228" s="95" t="str">
        <f t="shared" si="18"/>
        <v>file://achievementPlayCollaborateScene06-state1-image0</v>
      </c>
      <c r="AQ228" s="95"/>
      <c r="AR228" s="94"/>
      <c r="AS228" s="95"/>
      <c r="AT228" s="95"/>
      <c r="AU228" s="95"/>
      <c r="AV228" s="95"/>
      <c r="AW228" s="92"/>
      <c r="AX228" s="93"/>
      <c r="AY228" s="93"/>
      <c r="AZ228" s="93"/>
      <c r="BA228" s="93"/>
      <c r="BB228" s="93"/>
      <c r="BC228" s="93"/>
      <c r="BD228" s="96">
        <v>2</v>
      </c>
      <c r="BE228" s="167" t="s">
        <v>823</v>
      </c>
      <c r="BF228" s="98"/>
      <c r="BG228" s="97"/>
      <c r="BH228" s="97" t="s">
        <v>283</v>
      </c>
      <c r="BI228" s="97" t="s">
        <v>821</v>
      </c>
      <c r="BJ228" s="97"/>
      <c r="BK228" s="97"/>
      <c r="BL228" s="97" t="s">
        <v>1510</v>
      </c>
      <c r="BM228" s="97"/>
      <c r="BN228" s="97"/>
      <c r="BO228" s="93"/>
      <c r="BP228" s="93"/>
      <c r="BQ228" s="93"/>
      <c r="BR228" s="93"/>
      <c r="BS228" s="93"/>
      <c r="BT228" s="93"/>
      <c r="BU228" s="93"/>
      <c r="BV228" s="222" t="s">
        <v>1511</v>
      </c>
      <c r="BW228" s="86" t="str">
        <f>VLOOKUP($C228, '_REF Catalog Classes'!$C$6:$E416, COLUMNS('_REF Catalog Classes'!$C$6:$E416), FALSE)</f>
        <v>never</v>
      </c>
      <c r="BX228" s="95"/>
      <c r="BY228" s="95"/>
      <c r="BZ228" s="95" t="s">
        <v>322</v>
      </c>
      <c r="CA228" s="100" t="str">
        <f ca="1">IFERROR(__xludf.DUMMYFUNCTION("IF(REGEXMATCH(Catalog_RewardType,""reward""), VLOOKUP($E228, {'TitleData rewards.items'!$J$9:$J416,'TitleData rewards.items'!$B$9:$B416}, 2, FALSE), """")"),"#N/A")</f>
        <v>#N/A</v>
      </c>
    </row>
    <row r="229" spans="1:79" ht="28" hidden="1" x14ac:dyDescent="0.15">
      <c r="A229" s="82" t="s">
        <v>491</v>
      </c>
      <c r="B229" s="83" t="b">
        <v>1</v>
      </c>
      <c r="C229" s="82" t="s">
        <v>811</v>
      </c>
      <c r="D229" s="85" t="b">
        <f>VLOOKUP($C229, '_REF Catalog Classes'!$C$6:$D416, COLUMNS('_REF Catalog Classes'!$C$6:$D416), FALSE)</f>
        <v>1</v>
      </c>
      <c r="E229" s="82" t="s">
        <v>1512</v>
      </c>
      <c r="F229" s="82" t="str">
        <f t="shared" si="0"/>
        <v>actionPuzzle1:TRUE</v>
      </c>
      <c r="G229" s="86" t="s">
        <v>904</v>
      </c>
      <c r="H229" s="86" t="s">
        <v>1115</v>
      </c>
      <c r="I229" s="82" t="s">
        <v>847</v>
      </c>
      <c r="J229" s="82" t="s">
        <v>275</v>
      </c>
      <c r="K229" s="82" t="s">
        <v>275</v>
      </c>
      <c r="L229" s="82" t="s">
        <v>857</v>
      </c>
      <c r="M229" s="82"/>
      <c r="N229" s="107"/>
      <c r="O229" s="108"/>
      <c r="P229" s="82"/>
      <c r="Q229" s="88"/>
      <c r="R229" s="82"/>
      <c r="S229" s="82"/>
      <c r="T229" s="82"/>
      <c r="U229" s="82"/>
      <c r="V229" s="82"/>
      <c r="W229" s="89"/>
      <c r="X229" s="90"/>
      <c r="Y229" s="90" t="str">
        <f t="shared" si="17"/>
        <v>file://actionPuzzle1-state0-image0</v>
      </c>
      <c r="Z229" s="90"/>
      <c r="AA229" s="89"/>
      <c r="AB229" s="90"/>
      <c r="AC229" s="90"/>
      <c r="AD229" s="90"/>
      <c r="AE229" s="90"/>
      <c r="AF229" s="90"/>
      <c r="AG229" s="93"/>
      <c r="AH229" s="93"/>
      <c r="AI229" s="93"/>
      <c r="AJ229" s="93"/>
      <c r="AK229" s="93"/>
      <c r="AL229" s="93"/>
      <c r="AM229" s="93"/>
      <c r="AN229" s="95"/>
      <c r="AO229" s="95"/>
      <c r="AP229" s="95" t="str">
        <f t="shared" si="18"/>
        <v>file://actionPuzzle1-state1-image0</v>
      </c>
      <c r="AQ229" s="95"/>
      <c r="AR229" s="95"/>
      <c r="AS229" s="95"/>
      <c r="AT229" s="95"/>
      <c r="AU229" s="95"/>
      <c r="AV229" s="95"/>
      <c r="AW229" s="93"/>
      <c r="AX229" s="93"/>
      <c r="AY229" s="93"/>
      <c r="AZ229" s="93"/>
      <c r="BA229" s="93"/>
      <c r="BB229" s="93"/>
      <c r="BC229" s="93"/>
      <c r="BD229" s="97"/>
      <c r="BE229" s="97"/>
      <c r="BF229" s="98"/>
      <c r="BG229" s="97"/>
      <c r="BH229" s="97"/>
      <c r="BI229" s="97"/>
      <c r="BJ229" s="97"/>
      <c r="BK229" s="97"/>
      <c r="BL229" s="97"/>
      <c r="BM229" s="97"/>
      <c r="BN229" s="97"/>
      <c r="BO229" s="93"/>
      <c r="BP229" s="93"/>
      <c r="BQ229" s="93"/>
      <c r="BR229" s="93"/>
      <c r="BS229" s="93"/>
      <c r="BT229" s="93"/>
      <c r="BU229" s="93"/>
      <c r="BV229" s="99"/>
      <c r="BW229" s="86"/>
      <c r="BX229" s="86"/>
      <c r="BY229" s="86"/>
      <c r="BZ229" s="86"/>
      <c r="CA229" s="100" t="str">
        <f ca="1">IFERROR(__xludf.DUMMYFUNCTION("IF(REGEXMATCH(Catalog_RewardType,""reward""), VLOOKUP($E229, {'TitleData rewards.items'!$J$9:$J416,'TitleData rewards.items'!$B$9:$B416}, 2, FALSE), """")"),"")</f>
        <v/>
      </c>
    </row>
    <row r="230" spans="1:79" ht="42" hidden="1" x14ac:dyDescent="0.15">
      <c r="A230" s="82" t="s">
        <v>491</v>
      </c>
      <c r="B230" s="83" t="b">
        <v>1</v>
      </c>
      <c r="C230" s="82" t="s">
        <v>808</v>
      </c>
      <c r="D230" s="85" t="b">
        <f>VLOOKUP($C230, '_REF Catalog Classes'!$C$6:$D416, COLUMNS('_REF Catalog Classes'!$C$6:$D416), FALSE)</f>
        <v>1</v>
      </c>
      <c r="E230" s="82" t="s">
        <v>1513</v>
      </c>
      <c r="F230" s="82" t="str">
        <f t="shared" si="0"/>
        <v>achievementPlayCollaborateScene07:TRUE</v>
      </c>
      <c r="G230" s="86" t="s">
        <v>1514</v>
      </c>
      <c r="H230" s="86" t="s">
        <v>1115</v>
      </c>
      <c r="I230" s="82" t="s">
        <v>274</v>
      </c>
      <c r="J230" s="82"/>
      <c r="K230" s="82"/>
      <c r="L230" s="82"/>
      <c r="M230" s="86" t="s">
        <v>820</v>
      </c>
      <c r="N230" s="107"/>
      <c r="O230" s="108"/>
      <c r="P230" s="82">
        <v>128</v>
      </c>
      <c r="Q230" s="88"/>
      <c r="R230" s="82"/>
      <c r="S230" s="82"/>
      <c r="T230" s="82"/>
      <c r="U230" s="82"/>
      <c r="V230" s="82"/>
      <c r="W230" s="89">
        <v>0</v>
      </c>
      <c r="X230" s="90" t="s">
        <v>37</v>
      </c>
      <c r="Y230" s="90" t="str">
        <f t="shared" si="17"/>
        <v>file://achievementPlayCollaborateScene07-state0-image0</v>
      </c>
      <c r="Z230" s="90"/>
      <c r="AA230" s="91" t="s">
        <v>283</v>
      </c>
      <c r="AB230" s="90" t="s">
        <v>821</v>
      </c>
      <c r="AC230" s="90"/>
      <c r="AD230" s="162" t="s">
        <v>822</v>
      </c>
      <c r="AE230" s="90"/>
      <c r="AF230" s="90"/>
      <c r="AG230" s="92"/>
      <c r="AH230" s="93"/>
      <c r="AI230" s="93"/>
      <c r="AJ230" s="93"/>
      <c r="AK230" s="93"/>
      <c r="AL230" s="93"/>
      <c r="AM230" s="93"/>
      <c r="AN230" s="94"/>
      <c r="AO230" s="95"/>
      <c r="AP230" s="95" t="str">
        <f t="shared" si="18"/>
        <v>file://achievementPlayCollaborateScene07-state1-image0</v>
      </c>
      <c r="AQ230" s="95"/>
      <c r="AR230" s="94"/>
      <c r="AS230" s="95"/>
      <c r="AT230" s="95"/>
      <c r="AU230" s="95"/>
      <c r="AV230" s="95"/>
      <c r="AW230" s="92"/>
      <c r="AX230" s="93"/>
      <c r="AY230" s="93"/>
      <c r="AZ230" s="93"/>
      <c r="BA230" s="93"/>
      <c r="BB230" s="93"/>
      <c r="BC230" s="93"/>
      <c r="BD230" s="96">
        <v>2</v>
      </c>
      <c r="BE230" s="167" t="s">
        <v>823</v>
      </c>
      <c r="BF230" s="98"/>
      <c r="BG230" s="97"/>
      <c r="BH230" s="97" t="s">
        <v>283</v>
      </c>
      <c r="BI230" s="97" t="s">
        <v>821</v>
      </c>
      <c r="BJ230" s="97"/>
      <c r="BK230" s="97"/>
      <c r="BL230" s="97" t="s">
        <v>1515</v>
      </c>
      <c r="BM230" s="97"/>
      <c r="BN230" s="97"/>
      <c r="BO230" s="93"/>
      <c r="BP230" s="93"/>
      <c r="BQ230" s="93"/>
      <c r="BR230" s="93"/>
      <c r="BS230" s="93"/>
      <c r="BT230" s="93"/>
      <c r="BU230" s="93"/>
      <c r="BV230" s="222" t="s">
        <v>1516</v>
      </c>
      <c r="BW230" s="86" t="str">
        <f>VLOOKUP($C230, '_REF Catalog Classes'!$C$6:$E416, COLUMNS('_REF Catalog Classes'!$C$6:$E416), FALSE)</f>
        <v>never</v>
      </c>
      <c r="BX230" s="95"/>
      <c r="BY230" s="95"/>
      <c r="BZ230" s="95" t="s">
        <v>322</v>
      </c>
      <c r="CA230" s="100" t="str">
        <f ca="1">IFERROR(__xludf.DUMMYFUNCTION("IF(REGEXMATCH(Catalog_RewardType,""reward""), VLOOKUP($E230, {'TitleData rewards.items'!$J$9:$J416,'TitleData rewards.items'!$B$9:$B416}, 2, FALSE), """")"),"#N/A")</f>
        <v>#N/A</v>
      </c>
    </row>
    <row r="231" spans="1:79" ht="28" hidden="1" x14ac:dyDescent="0.15">
      <c r="A231" s="82" t="s">
        <v>491</v>
      </c>
      <c r="B231" s="83" t="b">
        <v>1</v>
      </c>
      <c r="C231" s="82" t="s">
        <v>811</v>
      </c>
      <c r="D231" s="85" t="b">
        <f>VLOOKUP($C231, '_REF Catalog Classes'!$C$6:$D416, COLUMNS('_REF Catalog Classes'!$C$6:$D416), FALSE)</f>
        <v>1</v>
      </c>
      <c r="E231" s="82" t="s">
        <v>1517</v>
      </c>
      <c r="F231" s="82" t="str">
        <f t="shared" si="0"/>
        <v>actionPuzzle2:TRUE</v>
      </c>
      <c r="G231" s="86" t="s">
        <v>904</v>
      </c>
      <c r="H231" s="86" t="s">
        <v>1115</v>
      </c>
      <c r="I231" s="82" t="s">
        <v>847</v>
      </c>
      <c r="J231" s="82" t="s">
        <v>275</v>
      </c>
      <c r="K231" s="82" t="s">
        <v>275</v>
      </c>
      <c r="L231" s="82" t="s">
        <v>857</v>
      </c>
      <c r="M231" s="82"/>
      <c r="N231" s="107"/>
      <c r="O231" s="108"/>
      <c r="P231" s="82"/>
      <c r="Q231" s="88"/>
      <c r="R231" s="82"/>
      <c r="S231" s="82"/>
      <c r="T231" s="82"/>
      <c r="U231" s="82"/>
      <c r="V231" s="82"/>
      <c r="W231" s="89"/>
      <c r="X231" s="90"/>
      <c r="Y231" s="90" t="str">
        <f t="shared" si="17"/>
        <v>file://actionPuzzle2-state0-image0</v>
      </c>
      <c r="Z231" s="90"/>
      <c r="AA231" s="89"/>
      <c r="AB231" s="90"/>
      <c r="AC231" s="90"/>
      <c r="AD231" s="90"/>
      <c r="AE231" s="90"/>
      <c r="AF231" s="90"/>
      <c r="AG231" s="93"/>
      <c r="AH231" s="93"/>
      <c r="AI231" s="93"/>
      <c r="AJ231" s="93"/>
      <c r="AK231" s="93"/>
      <c r="AL231" s="93"/>
      <c r="AM231" s="93"/>
      <c r="AN231" s="95"/>
      <c r="AO231" s="95"/>
      <c r="AP231" s="95" t="str">
        <f t="shared" si="18"/>
        <v>file://actionPuzzle2-state1-image0</v>
      </c>
      <c r="AQ231" s="95"/>
      <c r="AR231" s="95"/>
      <c r="AS231" s="95"/>
      <c r="AT231" s="95"/>
      <c r="AU231" s="95"/>
      <c r="AV231" s="95"/>
      <c r="AW231" s="93"/>
      <c r="AX231" s="93"/>
      <c r="AY231" s="93"/>
      <c r="AZ231" s="93"/>
      <c r="BA231" s="93"/>
      <c r="BB231" s="93"/>
      <c r="BC231" s="93"/>
      <c r="BD231" s="97"/>
      <c r="BE231" s="97"/>
      <c r="BF231" s="98"/>
      <c r="BG231" s="97"/>
      <c r="BH231" s="97"/>
      <c r="BI231" s="97"/>
      <c r="BJ231" s="97"/>
      <c r="BK231" s="97"/>
      <c r="BL231" s="97"/>
      <c r="BM231" s="97"/>
      <c r="BN231" s="97"/>
      <c r="BO231" s="93"/>
      <c r="BP231" s="93"/>
      <c r="BQ231" s="93"/>
      <c r="BR231" s="93"/>
      <c r="BS231" s="93"/>
      <c r="BT231" s="93"/>
      <c r="BU231" s="93"/>
      <c r="BV231" s="99"/>
      <c r="BW231" s="86"/>
      <c r="BX231" s="86"/>
      <c r="BY231" s="86"/>
      <c r="BZ231" s="86"/>
      <c r="CA231" s="100" t="str">
        <f ca="1">IFERROR(__xludf.DUMMYFUNCTION("IF(REGEXMATCH(Catalog_RewardType,""reward""), VLOOKUP($E231, {'TitleData rewards.items'!$J$9:$J416,'TitleData rewards.items'!$B$9:$B416}, 2, FALSE), """")"),"")</f>
        <v/>
      </c>
    </row>
    <row r="232" spans="1:79" ht="42" hidden="1" x14ac:dyDescent="0.15">
      <c r="A232" s="82" t="s">
        <v>491</v>
      </c>
      <c r="B232" s="83" t="b">
        <v>1</v>
      </c>
      <c r="C232" s="82" t="s">
        <v>808</v>
      </c>
      <c r="D232" s="85" t="b">
        <f>VLOOKUP($C232, '_REF Catalog Classes'!$C$6:$D416, COLUMNS('_REF Catalog Classes'!$C$6:$D416), FALSE)</f>
        <v>1</v>
      </c>
      <c r="E232" s="82" t="s">
        <v>1518</v>
      </c>
      <c r="F232" s="82" t="str">
        <f t="shared" si="0"/>
        <v>achievementPlayCollaborateScene08:TRUE</v>
      </c>
      <c r="G232" s="86" t="s">
        <v>1519</v>
      </c>
      <c r="H232" s="86" t="s">
        <v>1115</v>
      </c>
      <c r="I232" s="82" t="s">
        <v>274</v>
      </c>
      <c r="J232" s="82"/>
      <c r="K232" s="82"/>
      <c r="L232" s="82"/>
      <c r="M232" s="86" t="s">
        <v>820</v>
      </c>
      <c r="N232" s="107"/>
      <c r="O232" s="108"/>
      <c r="P232" s="82">
        <v>129</v>
      </c>
      <c r="Q232" s="88"/>
      <c r="R232" s="82"/>
      <c r="S232" s="82"/>
      <c r="T232" s="82"/>
      <c r="U232" s="82"/>
      <c r="V232" s="82"/>
      <c r="W232" s="89">
        <v>0</v>
      </c>
      <c r="X232" s="90" t="s">
        <v>37</v>
      </c>
      <c r="Y232" s="90" t="str">
        <f t="shared" si="17"/>
        <v>file://achievementPlayCollaborateScene08-state0-image0</v>
      </c>
      <c r="Z232" s="90"/>
      <c r="AA232" s="91" t="s">
        <v>283</v>
      </c>
      <c r="AB232" s="90" t="s">
        <v>821</v>
      </c>
      <c r="AC232" s="90"/>
      <c r="AD232" s="162" t="s">
        <v>822</v>
      </c>
      <c r="AE232" s="90"/>
      <c r="AF232" s="90"/>
      <c r="AG232" s="92"/>
      <c r="AH232" s="93"/>
      <c r="AI232" s="93"/>
      <c r="AJ232" s="93"/>
      <c r="AK232" s="93"/>
      <c r="AL232" s="93"/>
      <c r="AM232" s="93"/>
      <c r="AN232" s="94"/>
      <c r="AO232" s="95"/>
      <c r="AP232" s="95" t="str">
        <f t="shared" si="18"/>
        <v>file://achievementPlayCollaborateScene08-state1-image0</v>
      </c>
      <c r="AQ232" s="95"/>
      <c r="AR232" s="94"/>
      <c r="AS232" s="95"/>
      <c r="AT232" s="95"/>
      <c r="AU232" s="95"/>
      <c r="AV232" s="95"/>
      <c r="AW232" s="92"/>
      <c r="AX232" s="93"/>
      <c r="AY232" s="93"/>
      <c r="AZ232" s="93"/>
      <c r="BA232" s="93"/>
      <c r="BB232" s="93"/>
      <c r="BC232" s="93"/>
      <c r="BD232" s="96">
        <v>2</v>
      </c>
      <c r="BE232" s="167" t="s">
        <v>823</v>
      </c>
      <c r="BF232" s="98"/>
      <c r="BG232" s="97"/>
      <c r="BH232" s="97" t="s">
        <v>283</v>
      </c>
      <c r="BI232" s="97" t="s">
        <v>821</v>
      </c>
      <c r="BJ232" s="97"/>
      <c r="BK232" s="97"/>
      <c r="BL232" s="97" t="s">
        <v>1520</v>
      </c>
      <c r="BM232" s="97"/>
      <c r="BN232" s="97"/>
      <c r="BO232" s="93"/>
      <c r="BP232" s="93"/>
      <c r="BQ232" s="93"/>
      <c r="BR232" s="93"/>
      <c r="BS232" s="93"/>
      <c r="BT232" s="93"/>
      <c r="BU232" s="93"/>
      <c r="BV232" s="222" t="s">
        <v>1521</v>
      </c>
      <c r="BW232" s="86" t="str">
        <f>VLOOKUP($C232, '_REF Catalog Classes'!$C$6:$E416, COLUMNS('_REF Catalog Classes'!$C$6:$E416), FALSE)</f>
        <v>never</v>
      </c>
      <c r="BX232" s="95"/>
      <c r="BY232" s="95"/>
      <c r="BZ232" s="95" t="s">
        <v>322</v>
      </c>
      <c r="CA232" s="100" t="str">
        <f ca="1">IFERROR(__xludf.DUMMYFUNCTION("IF(REGEXMATCH(Catalog_RewardType,""reward""), VLOOKUP($E232, {'TitleData rewards.items'!$J$9:$J416,'TitleData rewards.items'!$B$9:$B416}, 2, FALSE), """")"),"#N/A")</f>
        <v>#N/A</v>
      </c>
    </row>
    <row r="233" spans="1:79" ht="28" hidden="1" x14ac:dyDescent="0.15">
      <c r="A233" s="82" t="s">
        <v>491</v>
      </c>
      <c r="B233" s="83" t="b">
        <v>1</v>
      </c>
      <c r="C233" s="82" t="s">
        <v>811</v>
      </c>
      <c r="D233" s="85" t="b">
        <f>VLOOKUP($C233, '_REF Catalog Classes'!$C$6:$D416, COLUMNS('_REF Catalog Classes'!$C$6:$D416), FALSE)</f>
        <v>1</v>
      </c>
      <c r="E233" s="82" t="s">
        <v>1522</v>
      </c>
      <c r="F233" s="82" t="str">
        <f t="shared" si="0"/>
        <v>actionPuzzle3:TRUE</v>
      </c>
      <c r="G233" s="86" t="s">
        <v>904</v>
      </c>
      <c r="H233" s="86" t="s">
        <v>1115</v>
      </c>
      <c r="I233" s="82" t="s">
        <v>847</v>
      </c>
      <c r="J233" s="82" t="s">
        <v>275</v>
      </c>
      <c r="K233" s="82" t="s">
        <v>275</v>
      </c>
      <c r="L233" s="82" t="s">
        <v>857</v>
      </c>
      <c r="M233" s="82"/>
      <c r="N233" s="107"/>
      <c r="O233" s="108"/>
      <c r="P233" s="82"/>
      <c r="Q233" s="88"/>
      <c r="R233" s="82"/>
      <c r="S233" s="82"/>
      <c r="T233" s="82"/>
      <c r="U233" s="82"/>
      <c r="V233" s="82"/>
      <c r="W233" s="89"/>
      <c r="X233" s="90"/>
      <c r="Y233" s="90" t="str">
        <f t="shared" si="17"/>
        <v>file://actionPuzzle3-state0-image0</v>
      </c>
      <c r="Z233" s="90"/>
      <c r="AA233" s="89"/>
      <c r="AB233" s="90"/>
      <c r="AC233" s="90"/>
      <c r="AD233" s="90"/>
      <c r="AE233" s="90"/>
      <c r="AF233" s="90"/>
      <c r="AG233" s="93"/>
      <c r="AH233" s="93"/>
      <c r="AI233" s="93"/>
      <c r="AJ233" s="93"/>
      <c r="AK233" s="93"/>
      <c r="AL233" s="93"/>
      <c r="AM233" s="93"/>
      <c r="AN233" s="95"/>
      <c r="AO233" s="95"/>
      <c r="AP233" s="95" t="str">
        <f t="shared" si="18"/>
        <v>file://actionPuzzle3-state1-image0</v>
      </c>
      <c r="AQ233" s="95"/>
      <c r="AR233" s="95"/>
      <c r="AS233" s="95"/>
      <c r="AT233" s="95"/>
      <c r="AU233" s="95"/>
      <c r="AV233" s="95"/>
      <c r="AW233" s="93"/>
      <c r="AX233" s="93"/>
      <c r="AY233" s="93"/>
      <c r="AZ233" s="93"/>
      <c r="BA233" s="93"/>
      <c r="BB233" s="93"/>
      <c r="BC233" s="93"/>
      <c r="BD233" s="97"/>
      <c r="BE233" s="97"/>
      <c r="BF233" s="98"/>
      <c r="BG233" s="97"/>
      <c r="BH233" s="97"/>
      <c r="BI233" s="97"/>
      <c r="BJ233" s="97"/>
      <c r="BK233" s="97"/>
      <c r="BL233" s="97"/>
      <c r="BM233" s="97"/>
      <c r="BN233" s="97"/>
      <c r="BO233" s="93"/>
      <c r="BP233" s="93"/>
      <c r="BQ233" s="93"/>
      <c r="BR233" s="93"/>
      <c r="BS233" s="93"/>
      <c r="BT233" s="93"/>
      <c r="BU233" s="93"/>
      <c r="BV233" s="99"/>
      <c r="BW233" s="86"/>
      <c r="BX233" s="86"/>
      <c r="BY233" s="86"/>
      <c r="BZ233" s="86"/>
      <c r="CA233" s="100" t="str">
        <f ca="1">IFERROR(__xludf.DUMMYFUNCTION("IF(REGEXMATCH(Catalog_RewardType,""reward""), VLOOKUP($E233, {'TitleData rewards.items'!$J$9:$J416,'TitleData rewards.items'!$B$9:$B416}, 2, FALSE), """")"),"")</f>
        <v/>
      </c>
    </row>
    <row r="234" spans="1:79" ht="28" hidden="1" x14ac:dyDescent="0.15">
      <c r="A234" s="82" t="s">
        <v>491</v>
      </c>
      <c r="B234" s="83" t="b">
        <v>1</v>
      </c>
      <c r="C234" s="82" t="s">
        <v>808</v>
      </c>
      <c r="D234" s="85" t="b">
        <f>VLOOKUP($C234, '_REF Catalog Classes'!$C$6:$D416, COLUMNS('_REF Catalog Classes'!$C$6:$D416), FALSE)</f>
        <v>1</v>
      </c>
      <c r="E234" s="82" t="s">
        <v>1523</v>
      </c>
      <c r="F234" s="82" t="str">
        <f t="shared" si="0"/>
        <v>achievementPlayPuzzle1:TRUE</v>
      </c>
      <c r="G234" s="86" t="s">
        <v>1524</v>
      </c>
      <c r="H234" s="86" t="s">
        <v>1115</v>
      </c>
      <c r="I234" s="82" t="s">
        <v>274</v>
      </c>
      <c r="J234" s="82"/>
      <c r="K234" s="82"/>
      <c r="L234" s="82"/>
      <c r="M234" s="86" t="s">
        <v>820</v>
      </c>
      <c r="N234" s="107"/>
      <c r="O234" s="108"/>
      <c r="P234" s="82">
        <v>130</v>
      </c>
      <c r="Q234" s="88"/>
      <c r="R234" s="82"/>
      <c r="S234" s="82"/>
      <c r="T234" s="82"/>
      <c r="U234" s="82"/>
      <c r="V234" s="82"/>
      <c r="W234" s="89">
        <v>0</v>
      </c>
      <c r="X234" s="90" t="s">
        <v>37</v>
      </c>
      <c r="Y234" s="90" t="str">
        <f t="shared" si="17"/>
        <v>file://achievementPlayPuzzle1-state0-image0</v>
      </c>
      <c r="Z234" s="90"/>
      <c r="AA234" s="91" t="s">
        <v>283</v>
      </c>
      <c r="AB234" s="90" t="s">
        <v>821</v>
      </c>
      <c r="AC234" s="90"/>
      <c r="AD234" s="162" t="s">
        <v>822</v>
      </c>
      <c r="AE234" s="90"/>
      <c r="AF234" s="90"/>
      <c r="AG234" s="92"/>
      <c r="AH234" s="93"/>
      <c r="AI234" s="93"/>
      <c r="AJ234" s="93"/>
      <c r="AK234" s="93"/>
      <c r="AL234" s="93"/>
      <c r="AM234" s="93"/>
      <c r="AN234" s="94"/>
      <c r="AO234" s="95"/>
      <c r="AP234" s="95" t="str">
        <f t="shared" si="18"/>
        <v>file://achievementPlayPuzzle1-state1-image0</v>
      </c>
      <c r="AQ234" s="95"/>
      <c r="AR234" s="94"/>
      <c r="AS234" s="95"/>
      <c r="AT234" s="95"/>
      <c r="AU234" s="95"/>
      <c r="AV234" s="95"/>
      <c r="AW234" s="92"/>
      <c r="AX234" s="93"/>
      <c r="AY234" s="93"/>
      <c r="AZ234" s="93"/>
      <c r="BA234" s="93"/>
      <c r="BB234" s="93"/>
      <c r="BC234" s="93"/>
      <c r="BD234" s="96">
        <v>2</v>
      </c>
      <c r="BE234" s="167" t="s">
        <v>823</v>
      </c>
      <c r="BF234" s="98"/>
      <c r="BG234" s="97"/>
      <c r="BH234" s="97" t="s">
        <v>283</v>
      </c>
      <c r="BI234" s="97" t="s">
        <v>821</v>
      </c>
      <c r="BJ234" s="97"/>
      <c r="BK234" s="97"/>
      <c r="BL234" s="97" t="s">
        <v>1525</v>
      </c>
      <c r="BM234" s="97"/>
      <c r="BN234" s="97"/>
      <c r="BO234" s="93"/>
      <c r="BP234" s="93"/>
      <c r="BQ234" s="93"/>
      <c r="BR234" s="93"/>
      <c r="BS234" s="93"/>
      <c r="BT234" s="93"/>
      <c r="BU234" s="93"/>
      <c r="BV234" s="222" t="s">
        <v>1526</v>
      </c>
      <c r="BW234" s="86" t="str">
        <f>VLOOKUP($C234, '_REF Catalog Classes'!$C$6:$E416, COLUMNS('_REF Catalog Classes'!$C$6:$E416), FALSE)</f>
        <v>never</v>
      </c>
      <c r="BX234" s="95"/>
      <c r="BY234" s="95"/>
      <c r="BZ234" s="95" t="s">
        <v>322</v>
      </c>
      <c r="CA234" s="100" t="str">
        <f ca="1">IFERROR(__xludf.DUMMYFUNCTION("IF(REGEXMATCH(Catalog_RewardType,""reward""), VLOOKUP($E234, {'TitleData rewards.items'!$J$9:$J416,'TitleData rewards.items'!$B$9:$B416}, 2, FALSE), """")"),"#N/A")</f>
        <v>#N/A</v>
      </c>
    </row>
    <row r="235" spans="1:79" ht="28" hidden="1" x14ac:dyDescent="0.15">
      <c r="A235" s="82" t="s">
        <v>491</v>
      </c>
      <c r="B235" s="83" t="b">
        <v>1</v>
      </c>
      <c r="C235" s="82" t="s">
        <v>811</v>
      </c>
      <c r="D235" s="85" t="b">
        <f>VLOOKUP($C235, '_REF Catalog Classes'!$C$6:$D416, COLUMNS('_REF Catalog Classes'!$C$6:$D416), FALSE)</f>
        <v>1</v>
      </c>
      <c r="E235" s="82" t="s">
        <v>1527</v>
      </c>
      <c r="F235" s="82" t="str">
        <f t="shared" si="0"/>
        <v>actionPuzzle4:TRUE</v>
      </c>
      <c r="G235" s="86" t="s">
        <v>904</v>
      </c>
      <c r="H235" s="86" t="s">
        <v>1115</v>
      </c>
      <c r="I235" s="82" t="s">
        <v>847</v>
      </c>
      <c r="J235" s="82" t="s">
        <v>275</v>
      </c>
      <c r="K235" s="82" t="s">
        <v>275</v>
      </c>
      <c r="L235" s="82" t="s">
        <v>857</v>
      </c>
      <c r="M235" s="82"/>
      <c r="N235" s="107"/>
      <c r="O235" s="108"/>
      <c r="P235" s="82"/>
      <c r="Q235" s="88"/>
      <c r="R235" s="82"/>
      <c r="S235" s="82"/>
      <c r="T235" s="82"/>
      <c r="U235" s="82"/>
      <c r="V235" s="82"/>
      <c r="W235" s="89"/>
      <c r="X235" s="90"/>
      <c r="Y235" s="90" t="str">
        <f t="shared" si="17"/>
        <v>file://actionPuzzle4-state0-image0</v>
      </c>
      <c r="Z235" s="90"/>
      <c r="AA235" s="89"/>
      <c r="AB235" s="90"/>
      <c r="AC235" s="90"/>
      <c r="AD235" s="90"/>
      <c r="AE235" s="90"/>
      <c r="AF235" s="90"/>
      <c r="AG235" s="93"/>
      <c r="AH235" s="93"/>
      <c r="AI235" s="93"/>
      <c r="AJ235" s="93"/>
      <c r="AK235" s="93"/>
      <c r="AL235" s="93"/>
      <c r="AM235" s="93"/>
      <c r="AN235" s="95"/>
      <c r="AO235" s="95"/>
      <c r="AP235" s="95" t="str">
        <f t="shared" si="18"/>
        <v>file://actionPuzzle4-state1-image0</v>
      </c>
      <c r="AQ235" s="95"/>
      <c r="AR235" s="95"/>
      <c r="AS235" s="95"/>
      <c r="AT235" s="95"/>
      <c r="AU235" s="95"/>
      <c r="AV235" s="95"/>
      <c r="AW235" s="93"/>
      <c r="AX235" s="93"/>
      <c r="AY235" s="93"/>
      <c r="AZ235" s="93"/>
      <c r="BA235" s="93"/>
      <c r="BB235" s="93"/>
      <c r="BC235" s="93"/>
      <c r="BD235" s="97"/>
      <c r="BE235" s="97"/>
      <c r="BF235" s="98"/>
      <c r="BG235" s="97"/>
      <c r="BH235" s="97"/>
      <c r="BI235" s="97"/>
      <c r="BJ235" s="97"/>
      <c r="BK235" s="97"/>
      <c r="BL235" s="97"/>
      <c r="BM235" s="97"/>
      <c r="BN235" s="97"/>
      <c r="BO235" s="93"/>
      <c r="BP235" s="93"/>
      <c r="BQ235" s="93"/>
      <c r="BR235" s="93"/>
      <c r="BS235" s="93"/>
      <c r="BT235" s="93"/>
      <c r="BU235" s="93"/>
      <c r="BV235" s="99"/>
      <c r="BW235" s="86"/>
      <c r="BX235" s="86"/>
      <c r="BY235" s="86"/>
      <c r="BZ235" s="86"/>
      <c r="CA235" s="100" t="str">
        <f ca="1">IFERROR(__xludf.DUMMYFUNCTION("IF(REGEXMATCH(Catalog_RewardType,""reward""), VLOOKUP($E235, {'TitleData rewards.items'!$J$9:$J416,'TitleData rewards.items'!$B$9:$B416}, 2, FALSE), """")"),"")</f>
        <v/>
      </c>
    </row>
    <row r="236" spans="1:79" ht="28" hidden="1" x14ac:dyDescent="0.15">
      <c r="A236" s="82" t="s">
        <v>491</v>
      </c>
      <c r="B236" s="83" t="b">
        <v>1</v>
      </c>
      <c r="C236" s="82" t="s">
        <v>808</v>
      </c>
      <c r="D236" s="85" t="b">
        <f>VLOOKUP($C236, '_REF Catalog Classes'!$C$6:$D416, COLUMNS('_REF Catalog Classes'!$C$6:$D416), FALSE)</f>
        <v>1</v>
      </c>
      <c r="E236" s="82" t="s">
        <v>1528</v>
      </c>
      <c r="F236" s="82" t="str">
        <f t="shared" si="0"/>
        <v>achievementPlayPuzzle2:TRUE</v>
      </c>
      <c r="G236" s="86" t="s">
        <v>1529</v>
      </c>
      <c r="H236" s="86" t="s">
        <v>1115</v>
      </c>
      <c r="I236" s="82" t="s">
        <v>274</v>
      </c>
      <c r="J236" s="82"/>
      <c r="K236" s="82"/>
      <c r="L236" s="82"/>
      <c r="M236" s="86" t="s">
        <v>820</v>
      </c>
      <c r="N236" s="107"/>
      <c r="O236" s="108"/>
      <c r="P236" s="82">
        <v>131</v>
      </c>
      <c r="Q236" s="88"/>
      <c r="R236" s="82"/>
      <c r="S236" s="82"/>
      <c r="T236" s="82"/>
      <c r="U236" s="82"/>
      <c r="V236" s="82"/>
      <c r="W236" s="89">
        <v>0</v>
      </c>
      <c r="X236" s="90" t="s">
        <v>37</v>
      </c>
      <c r="Y236" s="90" t="str">
        <f t="shared" si="17"/>
        <v>file://achievementPlayPuzzle2-state0-image0</v>
      </c>
      <c r="Z236" s="90"/>
      <c r="AA236" s="91" t="s">
        <v>283</v>
      </c>
      <c r="AB236" s="90" t="s">
        <v>821</v>
      </c>
      <c r="AC236" s="90"/>
      <c r="AD236" s="162" t="s">
        <v>822</v>
      </c>
      <c r="AE236" s="90"/>
      <c r="AF236" s="90"/>
      <c r="AG236" s="92"/>
      <c r="AH236" s="93"/>
      <c r="AI236" s="93"/>
      <c r="AJ236" s="93"/>
      <c r="AK236" s="93"/>
      <c r="AL236" s="93"/>
      <c r="AM236" s="93"/>
      <c r="AN236" s="94"/>
      <c r="AO236" s="95"/>
      <c r="AP236" s="95" t="str">
        <f t="shared" si="18"/>
        <v>file://achievementPlayPuzzle2-state1-image0</v>
      </c>
      <c r="AQ236" s="95"/>
      <c r="AR236" s="94"/>
      <c r="AS236" s="95"/>
      <c r="AT236" s="95"/>
      <c r="AU236" s="95"/>
      <c r="AV236" s="95"/>
      <c r="AW236" s="92"/>
      <c r="AX236" s="93"/>
      <c r="AY236" s="93"/>
      <c r="AZ236" s="93"/>
      <c r="BA236" s="93"/>
      <c r="BB236" s="93"/>
      <c r="BC236" s="93"/>
      <c r="BD236" s="96">
        <v>2</v>
      </c>
      <c r="BE236" s="167" t="s">
        <v>823</v>
      </c>
      <c r="BF236" s="98"/>
      <c r="BG236" s="97"/>
      <c r="BH236" s="97" t="s">
        <v>283</v>
      </c>
      <c r="BI236" s="97" t="s">
        <v>821</v>
      </c>
      <c r="BJ236" s="97"/>
      <c r="BK236" s="97"/>
      <c r="BL236" s="97" t="s">
        <v>1525</v>
      </c>
      <c r="BM236" s="97"/>
      <c r="BN236" s="97"/>
      <c r="BO236" s="93"/>
      <c r="BP236" s="93"/>
      <c r="BQ236" s="93"/>
      <c r="BR236" s="93"/>
      <c r="BS236" s="93"/>
      <c r="BT236" s="93"/>
      <c r="BU236" s="93"/>
      <c r="BV236" s="222" t="s">
        <v>1530</v>
      </c>
      <c r="BW236" s="86" t="str">
        <f>VLOOKUP($C236, '_REF Catalog Classes'!$C$6:$E416, COLUMNS('_REF Catalog Classes'!$C$6:$E416), FALSE)</f>
        <v>never</v>
      </c>
      <c r="BX236" s="95"/>
      <c r="BY236" s="95"/>
      <c r="BZ236" s="95" t="s">
        <v>322</v>
      </c>
      <c r="CA236" s="100" t="str">
        <f ca="1">IFERROR(__xludf.DUMMYFUNCTION("IF(REGEXMATCH(Catalog_RewardType,""reward""), VLOOKUP($E236, {'TitleData rewards.items'!$J$9:$J416,'TitleData rewards.items'!$B$9:$B416}, 2, FALSE), """")"),"#N/A")</f>
        <v>#N/A</v>
      </c>
    </row>
    <row r="237" spans="1:79" ht="28" hidden="1" x14ac:dyDescent="0.15">
      <c r="A237" s="82" t="s">
        <v>491</v>
      </c>
      <c r="B237" s="83" t="b">
        <v>1</v>
      </c>
      <c r="C237" s="82" t="s">
        <v>811</v>
      </c>
      <c r="D237" s="85" t="b">
        <f>VLOOKUP($C237, '_REF Catalog Classes'!$C$6:$D416, COLUMNS('_REF Catalog Classes'!$C$6:$D416), FALSE)</f>
        <v>1</v>
      </c>
      <c r="E237" s="82" t="s">
        <v>1531</v>
      </c>
      <c r="F237" s="82" t="str">
        <f t="shared" si="0"/>
        <v>actionPuzzle5:TRUE</v>
      </c>
      <c r="G237" s="86" t="s">
        <v>904</v>
      </c>
      <c r="H237" s="86" t="s">
        <v>1115</v>
      </c>
      <c r="I237" s="82" t="s">
        <v>847</v>
      </c>
      <c r="J237" s="82" t="s">
        <v>275</v>
      </c>
      <c r="K237" s="82" t="s">
        <v>275</v>
      </c>
      <c r="L237" s="82" t="s">
        <v>857</v>
      </c>
      <c r="M237" s="82"/>
      <c r="N237" s="107"/>
      <c r="O237" s="108"/>
      <c r="P237" s="82"/>
      <c r="Q237" s="88"/>
      <c r="R237" s="82"/>
      <c r="S237" s="82"/>
      <c r="T237" s="82"/>
      <c r="U237" s="82"/>
      <c r="V237" s="82"/>
      <c r="W237" s="89"/>
      <c r="X237" s="90"/>
      <c r="Y237" s="90" t="str">
        <f t="shared" si="17"/>
        <v>file://actionPuzzle5-state0-image0</v>
      </c>
      <c r="Z237" s="90"/>
      <c r="AA237" s="89"/>
      <c r="AB237" s="90"/>
      <c r="AC237" s="90"/>
      <c r="AD237" s="90"/>
      <c r="AE237" s="90"/>
      <c r="AF237" s="90"/>
      <c r="AG237" s="93"/>
      <c r="AH237" s="93"/>
      <c r="AI237" s="93"/>
      <c r="AJ237" s="93"/>
      <c r="AK237" s="93"/>
      <c r="AL237" s="93"/>
      <c r="AM237" s="93"/>
      <c r="AN237" s="95"/>
      <c r="AO237" s="95"/>
      <c r="AP237" s="95" t="str">
        <f t="shared" si="18"/>
        <v>file://actionPuzzle5-state1-image0</v>
      </c>
      <c r="AQ237" s="95"/>
      <c r="AR237" s="95"/>
      <c r="AS237" s="95"/>
      <c r="AT237" s="95"/>
      <c r="AU237" s="95"/>
      <c r="AV237" s="95"/>
      <c r="AW237" s="93"/>
      <c r="AX237" s="93"/>
      <c r="AY237" s="93"/>
      <c r="AZ237" s="93"/>
      <c r="BA237" s="93"/>
      <c r="BB237" s="93"/>
      <c r="BC237" s="93"/>
      <c r="BD237" s="97"/>
      <c r="BE237" s="97"/>
      <c r="BF237" s="98"/>
      <c r="BG237" s="97"/>
      <c r="BH237" s="97"/>
      <c r="BI237" s="97"/>
      <c r="BJ237" s="97"/>
      <c r="BK237" s="97"/>
      <c r="BL237" s="97"/>
      <c r="BM237" s="97"/>
      <c r="BN237" s="97"/>
      <c r="BO237" s="93"/>
      <c r="BP237" s="93"/>
      <c r="BQ237" s="93"/>
      <c r="BR237" s="93"/>
      <c r="BS237" s="93"/>
      <c r="BT237" s="93"/>
      <c r="BU237" s="93"/>
      <c r="BV237" s="99"/>
      <c r="BW237" s="86"/>
      <c r="BX237" s="86"/>
      <c r="BY237" s="86"/>
      <c r="BZ237" s="86"/>
      <c r="CA237" s="100" t="str">
        <f ca="1">IFERROR(__xludf.DUMMYFUNCTION("IF(REGEXMATCH(Catalog_RewardType,""reward""), VLOOKUP($E237, {'TitleData rewards.items'!$J$9:$J416,'TitleData rewards.items'!$B$9:$B416}, 2, FALSE), """")"),"")</f>
        <v/>
      </c>
    </row>
    <row r="238" spans="1:79" ht="28" hidden="1" x14ac:dyDescent="0.15">
      <c r="A238" s="82" t="s">
        <v>491</v>
      </c>
      <c r="B238" s="83" t="b">
        <v>1</v>
      </c>
      <c r="C238" s="82" t="s">
        <v>808</v>
      </c>
      <c r="D238" s="85" t="b">
        <f>VLOOKUP($C238, '_REF Catalog Classes'!$C$6:$D416, COLUMNS('_REF Catalog Classes'!$C$6:$D416), FALSE)</f>
        <v>1</v>
      </c>
      <c r="E238" s="82" t="s">
        <v>1532</v>
      </c>
      <c r="F238" s="82" t="str">
        <f t="shared" si="0"/>
        <v>achievementPlayPuzzle3:TRUE</v>
      </c>
      <c r="G238" s="86" t="s">
        <v>1533</v>
      </c>
      <c r="H238" s="86" t="s">
        <v>1115</v>
      </c>
      <c r="I238" s="82" t="s">
        <v>274</v>
      </c>
      <c r="J238" s="82"/>
      <c r="K238" s="82"/>
      <c r="L238" s="82"/>
      <c r="M238" s="86" t="s">
        <v>820</v>
      </c>
      <c r="N238" s="107"/>
      <c r="O238" s="108"/>
      <c r="P238" s="82">
        <v>132</v>
      </c>
      <c r="Q238" s="88"/>
      <c r="R238" s="82"/>
      <c r="S238" s="82"/>
      <c r="T238" s="82"/>
      <c r="U238" s="82"/>
      <c r="V238" s="82"/>
      <c r="W238" s="89">
        <v>0</v>
      </c>
      <c r="X238" s="90" t="s">
        <v>37</v>
      </c>
      <c r="Y238" s="90" t="str">
        <f t="shared" si="17"/>
        <v>file://achievementPlayPuzzle3-state0-image0</v>
      </c>
      <c r="Z238" s="90"/>
      <c r="AA238" s="91" t="s">
        <v>283</v>
      </c>
      <c r="AB238" s="90" t="s">
        <v>821</v>
      </c>
      <c r="AC238" s="90"/>
      <c r="AD238" s="162" t="s">
        <v>822</v>
      </c>
      <c r="AE238" s="90"/>
      <c r="AF238" s="90"/>
      <c r="AG238" s="92"/>
      <c r="AH238" s="93"/>
      <c r="AI238" s="93"/>
      <c r="AJ238" s="93"/>
      <c r="AK238" s="93"/>
      <c r="AL238" s="93"/>
      <c r="AM238" s="93"/>
      <c r="AN238" s="94"/>
      <c r="AO238" s="95"/>
      <c r="AP238" s="95" t="str">
        <f t="shared" si="18"/>
        <v>file://achievementPlayPuzzle3-state1-image0</v>
      </c>
      <c r="AQ238" s="95"/>
      <c r="AR238" s="94"/>
      <c r="AS238" s="95"/>
      <c r="AT238" s="95"/>
      <c r="AU238" s="95"/>
      <c r="AV238" s="95"/>
      <c r="AW238" s="92"/>
      <c r="AX238" s="93"/>
      <c r="AY238" s="93"/>
      <c r="AZ238" s="93"/>
      <c r="BA238" s="93"/>
      <c r="BB238" s="93"/>
      <c r="BC238" s="93"/>
      <c r="BD238" s="96">
        <v>2</v>
      </c>
      <c r="BE238" s="167" t="s">
        <v>823</v>
      </c>
      <c r="BF238" s="98"/>
      <c r="BG238" s="97"/>
      <c r="BH238" s="97" t="s">
        <v>283</v>
      </c>
      <c r="BI238" s="97" t="s">
        <v>821</v>
      </c>
      <c r="BJ238" s="97"/>
      <c r="BK238" s="97"/>
      <c r="BL238" s="97" t="s">
        <v>1525</v>
      </c>
      <c r="BM238" s="97"/>
      <c r="BN238" s="97"/>
      <c r="BO238" s="93"/>
      <c r="BP238" s="93"/>
      <c r="BQ238" s="93"/>
      <c r="BR238" s="93"/>
      <c r="BS238" s="93"/>
      <c r="BT238" s="93"/>
      <c r="BU238" s="93"/>
      <c r="BV238" s="222" t="s">
        <v>1534</v>
      </c>
      <c r="BW238" s="86" t="str">
        <f>VLOOKUP($C238, '_REF Catalog Classes'!$C$6:$E416, COLUMNS('_REF Catalog Classes'!$C$6:$E416), FALSE)</f>
        <v>never</v>
      </c>
      <c r="BX238" s="95"/>
      <c r="BY238" s="95"/>
      <c r="BZ238" s="95" t="s">
        <v>322</v>
      </c>
      <c r="CA238" s="100" t="str">
        <f ca="1">IFERROR(__xludf.DUMMYFUNCTION("IF(REGEXMATCH(Catalog_RewardType,""reward""), VLOOKUP($E238, {'TitleData rewards.items'!$J$9:$J416,'TitleData rewards.items'!$B$9:$B416}, 2, FALSE), """")"),"#N/A")</f>
        <v>#N/A</v>
      </c>
    </row>
    <row r="239" spans="1:79" ht="28" hidden="1" x14ac:dyDescent="0.15">
      <c r="A239" s="82" t="s">
        <v>491</v>
      </c>
      <c r="B239" s="83" t="b">
        <v>1</v>
      </c>
      <c r="C239" s="82" t="s">
        <v>808</v>
      </c>
      <c r="D239" s="85" t="b">
        <f>VLOOKUP($C239, '_REF Catalog Classes'!$C$6:$D416, COLUMNS('_REF Catalog Classes'!$C$6:$D416), FALSE)</f>
        <v>1</v>
      </c>
      <c r="E239" s="82" t="s">
        <v>1535</v>
      </c>
      <c r="F239" s="82" t="str">
        <f t="shared" si="0"/>
        <v>achievementPlayPuzzle4:TRUE</v>
      </c>
      <c r="G239" s="86" t="s">
        <v>1536</v>
      </c>
      <c r="H239" s="86" t="s">
        <v>1115</v>
      </c>
      <c r="I239" s="82" t="s">
        <v>274</v>
      </c>
      <c r="J239" s="82"/>
      <c r="K239" s="82"/>
      <c r="L239" s="82"/>
      <c r="M239" s="86" t="s">
        <v>820</v>
      </c>
      <c r="N239" s="107"/>
      <c r="O239" s="108"/>
      <c r="P239" s="82">
        <v>133</v>
      </c>
      <c r="Q239" s="88"/>
      <c r="R239" s="82"/>
      <c r="S239" s="82"/>
      <c r="T239" s="82"/>
      <c r="U239" s="82"/>
      <c r="V239" s="82"/>
      <c r="W239" s="89">
        <v>0</v>
      </c>
      <c r="X239" s="90" t="s">
        <v>37</v>
      </c>
      <c r="Y239" s="90" t="str">
        <f t="shared" si="17"/>
        <v>file://achievementPlayPuzzle4-state0-image0</v>
      </c>
      <c r="Z239" s="90"/>
      <c r="AA239" s="91" t="s">
        <v>283</v>
      </c>
      <c r="AB239" s="90" t="s">
        <v>821</v>
      </c>
      <c r="AC239" s="90"/>
      <c r="AD239" s="162" t="s">
        <v>822</v>
      </c>
      <c r="AE239" s="90"/>
      <c r="AF239" s="90"/>
      <c r="AG239" s="92"/>
      <c r="AH239" s="93"/>
      <c r="AI239" s="93"/>
      <c r="AJ239" s="93"/>
      <c r="AK239" s="93"/>
      <c r="AL239" s="93"/>
      <c r="AM239" s="93"/>
      <c r="AN239" s="94"/>
      <c r="AO239" s="95"/>
      <c r="AP239" s="95" t="str">
        <f t="shared" si="18"/>
        <v>file://achievementPlayPuzzle4-state1-image0</v>
      </c>
      <c r="AQ239" s="95"/>
      <c r="AR239" s="94"/>
      <c r="AS239" s="95"/>
      <c r="AT239" s="95"/>
      <c r="AU239" s="95"/>
      <c r="AV239" s="95"/>
      <c r="AW239" s="92"/>
      <c r="AX239" s="93"/>
      <c r="AY239" s="93"/>
      <c r="AZ239" s="93"/>
      <c r="BA239" s="93"/>
      <c r="BB239" s="93"/>
      <c r="BC239" s="93"/>
      <c r="BD239" s="96">
        <v>2</v>
      </c>
      <c r="BE239" s="167" t="s">
        <v>823</v>
      </c>
      <c r="BF239" s="98"/>
      <c r="BG239" s="97"/>
      <c r="BH239" s="97" t="s">
        <v>283</v>
      </c>
      <c r="BI239" s="97" t="s">
        <v>821</v>
      </c>
      <c r="BJ239" s="97"/>
      <c r="BK239" s="97"/>
      <c r="BL239" s="97" t="s">
        <v>1525</v>
      </c>
      <c r="BM239" s="97"/>
      <c r="BN239" s="97"/>
      <c r="BO239" s="93"/>
      <c r="BP239" s="93"/>
      <c r="BQ239" s="93"/>
      <c r="BR239" s="93"/>
      <c r="BS239" s="93"/>
      <c r="BT239" s="93"/>
      <c r="BU239" s="93"/>
      <c r="BV239" s="222" t="s">
        <v>1537</v>
      </c>
      <c r="BW239" s="86" t="str">
        <f>VLOOKUP($C239, '_REF Catalog Classes'!$C$6:$E416, COLUMNS('_REF Catalog Classes'!$C$6:$E416), FALSE)</f>
        <v>never</v>
      </c>
      <c r="BX239" s="95"/>
      <c r="BY239" s="95"/>
      <c r="BZ239" s="95" t="s">
        <v>322</v>
      </c>
      <c r="CA239" s="100" t="str">
        <f ca="1">IFERROR(__xludf.DUMMYFUNCTION("IF(REGEXMATCH(Catalog_RewardType,""reward""), VLOOKUP($E239, {'TitleData rewards.items'!$J$9:$J416,'TitleData rewards.items'!$B$9:$B416}, 2, FALSE), """")"),"#N/A")</f>
        <v>#N/A</v>
      </c>
    </row>
    <row r="240" spans="1:79" ht="28" hidden="1" x14ac:dyDescent="0.15">
      <c r="A240" s="82" t="s">
        <v>491</v>
      </c>
      <c r="B240" s="83" t="b">
        <v>1</v>
      </c>
      <c r="C240" s="82" t="s">
        <v>811</v>
      </c>
      <c r="D240" s="85" t="b">
        <f>VLOOKUP($C240, '_REF Catalog Classes'!$C$6:$D416, COLUMNS('_REF Catalog Classes'!$C$6:$D416), FALSE)</f>
        <v>1</v>
      </c>
      <c r="E240" s="82" t="s">
        <v>1538</v>
      </c>
      <c r="F240" s="82" t="str">
        <f t="shared" si="0"/>
        <v>actionBlasterAccuracy:TRUE</v>
      </c>
      <c r="G240" s="86" t="s">
        <v>904</v>
      </c>
      <c r="H240" s="86" t="s">
        <v>1115</v>
      </c>
      <c r="I240" s="82" t="s">
        <v>847</v>
      </c>
      <c r="J240" s="82" t="s">
        <v>275</v>
      </c>
      <c r="K240" s="82" t="s">
        <v>275</v>
      </c>
      <c r="L240" s="82" t="s">
        <v>857</v>
      </c>
      <c r="M240" s="82"/>
      <c r="N240" s="107"/>
      <c r="O240" s="108"/>
      <c r="P240" s="82"/>
      <c r="Q240" s="88"/>
      <c r="R240" s="82"/>
      <c r="S240" s="82"/>
      <c r="T240" s="82"/>
      <c r="U240" s="82"/>
      <c r="V240" s="82"/>
      <c r="W240" s="89"/>
      <c r="X240" s="90"/>
      <c r="Y240" s="90" t="str">
        <f t="shared" si="17"/>
        <v>file://actionBlasterAccuracy-state0-image0</v>
      </c>
      <c r="Z240" s="90"/>
      <c r="AA240" s="89"/>
      <c r="AB240" s="90"/>
      <c r="AC240" s="90"/>
      <c r="AD240" s="90"/>
      <c r="AE240" s="90"/>
      <c r="AF240" s="90"/>
      <c r="AG240" s="93"/>
      <c r="AH240" s="93"/>
      <c r="AI240" s="93"/>
      <c r="AJ240" s="93"/>
      <c r="AK240" s="93"/>
      <c r="AL240" s="93"/>
      <c r="AM240" s="93"/>
      <c r="AN240" s="95"/>
      <c r="AO240" s="95"/>
      <c r="AP240" s="95" t="str">
        <f t="shared" si="18"/>
        <v>file://actionBlasterAccuracy-state1-image0</v>
      </c>
      <c r="AQ240" s="95"/>
      <c r="AR240" s="95"/>
      <c r="AS240" s="95"/>
      <c r="AT240" s="95"/>
      <c r="AU240" s="95"/>
      <c r="AV240" s="95"/>
      <c r="AW240" s="93"/>
      <c r="AX240" s="93"/>
      <c r="AY240" s="93"/>
      <c r="AZ240" s="93"/>
      <c r="BA240" s="93"/>
      <c r="BB240" s="93"/>
      <c r="BC240" s="93"/>
      <c r="BD240" s="97"/>
      <c r="BE240" s="97"/>
      <c r="BF240" s="98"/>
      <c r="BG240" s="97"/>
      <c r="BH240" s="97"/>
      <c r="BI240" s="97"/>
      <c r="BJ240" s="97"/>
      <c r="BK240" s="97"/>
      <c r="BL240" s="97"/>
      <c r="BM240" s="97"/>
      <c r="BN240" s="97"/>
      <c r="BO240" s="93"/>
      <c r="BP240" s="93"/>
      <c r="BQ240" s="93"/>
      <c r="BR240" s="93"/>
      <c r="BS240" s="93"/>
      <c r="BT240" s="93"/>
      <c r="BU240" s="93"/>
      <c r="BV240" s="99"/>
      <c r="BW240" s="86"/>
      <c r="BX240" s="86"/>
      <c r="BY240" s="86"/>
      <c r="BZ240" s="86"/>
      <c r="CA240" s="100" t="str">
        <f ca="1">IFERROR(__xludf.DUMMYFUNCTION("IF(REGEXMATCH(Catalog_RewardType,""reward""), VLOOKUP($E240, {'TitleData rewards.items'!$J$9:$J416,'TitleData rewards.items'!$B$9:$B416}, 2, FALSE), """")"),"")</f>
        <v/>
      </c>
    </row>
    <row r="241" spans="1:79" ht="28" hidden="1" x14ac:dyDescent="0.15">
      <c r="A241" s="82" t="s">
        <v>491</v>
      </c>
      <c r="B241" s="83" t="b">
        <v>1</v>
      </c>
      <c r="C241" s="82" t="s">
        <v>808</v>
      </c>
      <c r="D241" s="85" t="b">
        <f>VLOOKUP($C241, '_REF Catalog Classes'!$C$6:$D416, COLUMNS('_REF Catalog Classes'!$C$6:$D416), FALSE)</f>
        <v>1</v>
      </c>
      <c r="E241" s="82" t="s">
        <v>1539</v>
      </c>
      <c r="F241" s="82" t="str">
        <f t="shared" si="0"/>
        <v>achievementPlayPuzzle5:TRUE</v>
      </c>
      <c r="G241" s="86" t="s">
        <v>1540</v>
      </c>
      <c r="H241" s="86" t="s">
        <v>1115</v>
      </c>
      <c r="I241" s="82" t="s">
        <v>274</v>
      </c>
      <c r="J241" s="82"/>
      <c r="K241" s="82"/>
      <c r="L241" s="82"/>
      <c r="M241" s="86" t="s">
        <v>820</v>
      </c>
      <c r="N241" s="107"/>
      <c r="O241" s="108"/>
      <c r="P241" s="82">
        <v>134</v>
      </c>
      <c r="Q241" s="88"/>
      <c r="R241" s="82"/>
      <c r="S241" s="82"/>
      <c r="T241" s="82"/>
      <c r="U241" s="82"/>
      <c r="V241" s="82"/>
      <c r="W241" s="89">
        <v>0</v>
      </c>
      <c r="X241" s="90" t="s">
        <v>37</v>
      </c>
      <c r="Y241" s="90" t="str">
        <f t="shared" si="17"/>
        <v>file://achievementPlayPuzzle5-state0-image0</v>
      </c>
      <c r="Z241" s="90"/>
      <c r="AA241" s="91" t="s">
        <v>283</v>
      </c>
      <c r="AB241" s="90" t="s">
        <v>821</v>
      </c>
      <c r="AC241" s="90"/>
      <c r="AD241" s="162" t="s">
        <v>822</v>
      </c>
      <c r="AE241" s="90"/>
      <c r="AF241" s="90"/>
      <c r="AG241" s="92"/>
      <c r="AH241" s="93"/>
      <c r="AI241" s="93"/>
      <c r="AJ241" s="93"/>
      <c r="AK241" s="93"/>
      <c r="AL241" s="93"/>
      <c r="AM241" s="93"/>
      <c r="AN241" s="94"/>
      <c r="AO241" s="95"/>
      <c r="AP241" s="95" t="str">
        <f t="shared" si="18"/>
        <v>file://achievementPlayPuzzle5-state1-image0</v>
      </c>
      <c r="AQ241" s="95"/>
      <c r="AR241" s="94"/>
      <c r="AS241" s="95"/>
      <c r="AT241" s="95"/>
      <c r="AU241" s="95"/>
      <c r="AV241" s="95"/>
      <c r="AW241" s="92"/>
      <c r="AX241" s="93"/>
      <c r="AY241" s="93"/>
      <c r="AZ241" s="93"/>
      <c r="BA241" s="93"/>
      <c r="BB241" s="93"/>
      <c r="BC241" s="93"/>
      <c r="BD241" s="96">
        <v>2</v>
      </c>
      <c r="BE241" s="167" t="s">
        <v>823</v>
      </c>
      <c r="BF241" s="98"/>
      <c r="BG241" s="97"/>
      <c r="BH241" s="97" t="s">
        <v>283</v>
      </c>
      <c r="BI241" s="97" t="s">
        <v>821</v>
      </c>
      <c r="BJ241" s="97"/>
      <c r="BK241" s="97"/>
      <c r="BL241" s="97" t="s">
        <v>1525</v>
      </c>
      <c r="BM241" s="97"/>
      <c r="BN241" s="97"/>
      <c r="BO241" s="93"/>
      <c r="BP241" s="93"/>
      <c r="BQ241" s="93"/>
      <c r="BR241" s="93"/>
      <c r="BS241" s="93"/>
      <c r="BT241" s="93"/>
      <c r="BU241" s="93"/>
      <c r="BV241" s="222" t="s">
        <v>1541</v>
      </c>
      <c r="BW241" s="86" t="str">
        <f>VLOOKUP($C241, '_REF Catalog Classes'!$C$6:$E416, COLUMNS('_REF Catalog Classes'!$C$6:$E416), FALSE)</f>
        <v>never</v>
      </c>
      <c r="BX241" s="95"/>
      <c r="BY241" s="95"/>
      <c r="BZ241" s="95" t="s">
        <v>322</v>
      </c>
      <c r="CA241" s="100" t="str">
        <f ca="1">IFERROR(__xludf.DUMMYFUNCTION("IF(REGEXMATCH(Catalog_RewardType,""reward""), VLOOKUP($E241, {'TitleData rewards.items'!$J$9:$J416,'TitleData rewards.items'!$B$9:$B416}, 2, FALSE), """")"),"#N/A")</f>
        <v>#N/A</v>
      </c>
    </row>
    <row r="242" spans="1:79" ht="28" hidden="1" x14ac:dyDescent="0.15">
      <c r="A242" s="169" t="s">
        <v>314</v>
      </c>
      <c r="B242" s="170" t="b">
        <v>1</v>
      </c>
      <c r="C242" s="169" t="s">
        <v>811</v>
      </c>
      <c r="D242" s="85" t="b">
        <f>VLOOKUP($C242, '_REF Catalog Classes'!$C$6:$D416, COLUMNS('_REF Catalog Classes'!$C$6:$D416), FALSE)</f>
        <v>1</v>
      </c>
      <c r="E242" s="169" t="s">
        <v>1542</v>
      </c>
      <c r="F242" s="82" t="str">
        <f t="shared" si="0"/>
        <v>actionBlasterEfficiency:TRUE</v>
      </c>
      <c r="G242" s="102" t="s">
        <v>904</v>
      </c>
      <c r="H242" s="102" t="s">
        <v>1115</v>
      </c>
      <c r="I242" s="169" t="s">
        <v>847</v>
      </c>
      <c r="J242" s="169" t="s">
        <v>275</v>
      </c>
      <c r="K242" s="169" t="s">
        <v>275</v>
      </c>
      <c r="L242" s="169" t="s">
        <v>857</v>
      </c>
      <c r="M242" s="169"/>
      <c r="N242" s="171"/>
      <c r="O242" s="169"/>
      <c r="P242" s="169"/>
      <c r="Q242" s="172"/>
      <c r="R242" s="169"/>
      <c r="S242" s="169"/>
      <c r="T242" s="169"/>
      <c r="U242" s="169"/>
      <c r="V242" s="169"/>
      <c r="W242" s="173"/>
      <c r="X242" s="102"/>
      <c r="Y242" s="90" t="str">
        <f t="shared" si="17"/>
        <v>file://actionBlasterEfficiency-state0-image0</v>
      </c>
      <c r="Z242" s="102"/>
      <c r="AA242" s="173"/>
      <c r="AB242" s="102"/>
      <c r="AC242" s="102"/>
      <c r="AD242" s="102"/>
      <c r="AE242" s="102"/>
      <c r="AF242" s="102"/>
      <c r="AG242" s="102"/>
      <c r="AH242" s="102"/>
      <c r="AI242" s="102"/>
      <c r="AJ242" s="102"/>
      <c r="AK242" s="102"/>
      <c r="AL242" s="102"/>
      <c r="AM242" s="102"/>
      <c r="AN242" s="102"/>
      <c r="AO242" s="102"/>
      <c r="AP242" s="95" t="str">
        <f t="shared" si="18"/>
        <v>file://actionBlasterEfficiency-state1-image0</v>
      </c>
      <c r="AQ242" s="102"/>
      <c r="AR242" s="102"/>
      <c r="AS242" s="102"/>
      <c r="AT242" s="102"/>
      <c r="AU242" s="102"/>
      <c r="AV242" s="102"/>
      <c r="AW242" s="102"/>
      <c r="AX242" s="102"/>
      <c r="AY242" s="102"/>
      <c r="AZ242" s="102"/>
      <c r="BA242" s="102"/>
      <c r="BB242" s="102"/>
      <c r="BC242" s="102"/>
      <c r="BD242" s="102"/>
      <c r="BE242" s="102"/>
      <c r="BF242" s="98"/>
      <c r="BG242" s="102"/>
      <c r="BH242" s="102"/>
      <c r="BI242" s="102"/>
      <c r="BJ242" s="102"/>
      <c r="BK242" s="102"/>
      <c r="BL242" s="102"/>
      <c r="BM242" s="102"/>
      <c r="BN242" s="102"/>
      <c r="BO242" s="102"/>
      <c r="BP242" s="102"/>
      <c r="BQ242" s="102"/>
      <c r="BR242" s="102"/>
      <c r="BS242" s="102"/>
      <c r="BT242" s="102"/>
      <c r="BU242" s="102"/>
      <c r="BV242" s="175"/>
      <c r="BW242" s="102"/>
      <c r="BX242" s="102"/>
      <c r="BY242" s="102"/>
      <c r="BZ242" s="102"/>
      <c r="CA242" s="100" t="str">
        <f ca="1">IFERROR(__xludf.DUMMYFUNCTION("IF(REGEXMATCH(Catalog_RewardType,""reward""), VLOOKUP($E242, {'TitleData rewards.items'!$J$9:$J416,'TitleData rewards.items'!$B$9:$B416}, 2, FALSE), """")"),"")</f>
        <v/>
      </c>
    </row>
    <row r="243" spans="1:79" ht="84" hidden="1" x14ac:dyDescent="0.15">
      <c r="A243" s="82" t="s">
        <v>491</v>
      </c>
      <c r="B243" s="83" t="b">
        <v>1</v>
      </c>
      <c r="C243" s="82" t="s">
        <v>808</v>
      </c>
      <c r="D243" s="85" t="b">
        <f>VLOOKUP($C243, '_REF Catalog Classes'!$C$6:$D416, COLUMNS('_REF Catalog Classes'!$C$6:$D416), FALSE)</f>
        <v>1</v>
      </c>
      <c r="E243" s="82" t="s">
        <v>1543</v>
      </c>
      <c r="F243" s="82" t="str">
        <f t="shared" si="0"/>
        <v>achievementPlayPuzzlesAll:TRUE</v>
      </c>
      <c r="G243" s="86" t="s">
        <v>1544</v>
      </c>
      <c r="H243" s="86" t="s">
        <v>1115</v>
      </c>
      <c r="I243" s="82" t="s">
        <v>274</v>
      </c>
      <c r="J243" s="82"/>
      <c r="K243" s="82"/>
      <c r="L243" s="82"/>
      <c r="M243" s="86" t="s">
        <v>820</v>
      </c>
      <c r="N243" s="107"/>
      <c r="O243" s="108"/>
      <c r="P243" s="82">
        <v>135</v>
      </c>
      <c r="Q243" s="88"/>
      <c r="R243" s="82"/>
      <c r="S243" s="82"/>
      <c r="T243" s="82"/>
      <c r="U243" s="82"/>
      <c r="V243" s="82"/>
      <c r="W243" s="89">
        <v>0</v>
      </c>
      <c r="X243" s="90" t="s">
        <v>37</v>
      </c>
      <c r="Y243" s="90" t="str">
        <f t="shared" si="17"/>
        <v>file://achievementPlayPuzzlesAll-state0-image0</v>
      </c>
      <c r="Z243" s="90"/>
      <c r="AA243" s="91" t="s">
        <v>283</v>
      </c>
      <c r="AB243" s="90" t="s">
        <v>821</v>
      </c>
      <c r="AC243" s="90"/>
      <c r="AD243" s="162" t="s">
        <v>822</v>
      </c>
      <c r="AE243" s="90"/>
      <c r="AF243" s="90"/>
      <c r="AG243" s="92"/>
      <c r="AH243" s="93"/>
      <c r="AI243" s="93"/>
      <c r="AJ243" s="93"/>
      <c r="AK243" s="93"/>
      <c r="AL243" s="93"/>
      <c r="AM243" s="93"/>
      <c r="AN243" s="94"/>
      <c r="AO243" s="95"/>
      <c r="AP243" s="95" t="str">
        <f t="shared" si="18"/>
        <v>file://achievementPlayPuzzlesAll-state1-image0</v>
      </c>
      <c r="AQ243" s="95"/>
      <c r="AR243" s="94"/>
      <c r="AS243" s="95"/>
      <c r="AT243" s="95"/>
      <c r="AU243" s="95"/>
      <c r="AV243" s="95"/>
      <c r="AW243" s="92"/>
      <c r="AX243" s="93"/>
      <c r="AY243" s="93"/>
      <c r="AZ243" s="93"/>
      <c r="BA243" s="93"/>
      <c r="BB243" s="93"/>
      <c r="BC243" s="93"/>
      <c r="BD243" s="96">
        <v>2</v>
      </c>
      <c r="BE243" s="167" t="s">
        <v>823</v>
      </c>
      <c r="BF243" s="98"/>
      <c r="BG243" s="97"/>
      <c r="BH243" s="97" t="s">
        <v>283</v>
      </c>
      <c r="BI243" s="97" t="s">
        <v>821</v>
      </c>
      <c r="BJ243" s="97"/>
      <c r="BK243" s="97"/>
      <c r="BL243" s="97" t="s">
        <v>1545</v>
      </c>
      <c r="BM243" s="97"/>
      <c r="BN243" s="97"/>
      <c r="BO243" s="93"/>
      <c r="BP243" s="93"/>
      <c r="BQ243" s="93"/>
      <c r="BR243" s="93"/>
      <c r="BS243" s="93"/>
      <c r="BT243" s="93"/>
      <c r="BU243" s="93"/>
      <c r="BV243" s="222" t="s">
        <v>1546</v>
      </c>
      <c r="BW243" s="86" t="str">
        <f>VLOOKUP($C243, '_REF Catalog Classes'!$C$6:$E416, COLUMNS('_REF Catalog Classes'!$C$6:$E416), FALSE)</f>
        <v>never</v>
      </c>
      <c r="BX243" s="95"/>
      <c r="BY243" s="95"/>
      <c r="BZ243" s="95" t="s">
        <v>322</v>
      </c>
      <c r="CA243" s="100" t="str">
        <f ca="1">IFERROR(__xludf.DUMMYFUNCTION("IF(REGEXMATCH(Catalog_RewardType,""reward""), VLOOKUP($E243, {'TitleData rewards.items'!$J$9:$J416,'TitleData rewards.items'!$B$9:$B416}, 2, FALSE), """")"),"#N/A")</f>
        <v>#N/A</v>
      </c>
    </row>
    <row r="244" spans="1:79" ht="16" hidden="1" x14ac:dyDescent="0.15">
      <c r="A244" s="82" t="s">
        <v>269</v>
      </c>
      <c r="B244" s="83"/>
      <c r="C244" s="82" t="s">
        <v>811</v>
      </c>
      <c r="D244" s="85" t="b">
        <f>VLOOKUP($C244, '_REF Catalog Classes'!$C$6:$D416, COLUMNS('_REF Catalog Classes'!$C$6:$D416), FALSE)</f>
        <v>1</v>
      </c>
      <c r="E244" s="82" t="s">
        <v>1547</v>
      </c>
      <c r="F244" s="82" t="str">
        <f t="shared" si="0"/>
        <v>actionLootLocation01:</v>
      </c>
      <c r="G244" s="106" t="s">
        <v>904</v>
      </c>
      <c r="H244" s="18" t="s">
        <v>1548</v>
      </c>
      <c r="I244" s="82" t="s">
        <v>815</v>
      </c>
      <c r="J244" s="82" t="s">
        <v>275</v>
      </c>
      <c r="K244" s="108"/>
      <c r="L244" s="82"/>
      <c r="M244" s="82"/>
      <c r="N244" s="107"/>
      <c r="O244" s="108"/>
      <c r="P244" s="82"/>
      <c r="Q244" s="88"/>
      <c r="R244" s="82"/>
      <c r="S244" s="82"/>
      <c r="T244" s="82"/>
      <c r="U244" s="82"/>
      <c r="V244" s="82"/>
      <c r="W244" s="89"/>
      <c r="X244" s="90"/>
      <c r="Y244" s="90"/>
      <c r="Z244" s="90"/>
      <c r="AA244" s="89"/>
      <c r="AB244" s="90"/>
      <c r="AC244" s="90"/>
      <c r="AD244" s="90"/>
      <c r="AE244" s="90"/>
      <c r="AF244" s="90"/>
      <c r="AG244" s="92"/>
      <c r="AH244" s="93"/>
      <c r="AI244" s="93"/>
      <c r="AJ244" s="93"/>
      <c r="AK244" s="93"/>
      <c r="AL244" s="93"/>
      <c r="AM244" s="93"/>
      <c r="AN244" s="94"/>
      <c r="AO244" s="95"/>
      <c r="AP244" s="95"/>
      <c r="AQ244" s="95"/>
      <c r="AR244" s="94"/>
      <c r="AS244" s="95"/>
      <c r="AT244" s="95"/>
      <c r="AU244" s="95"/>
      <c r="AV244" s="95"/>
      <c r="AW244" s="92"/>
      <c r="AX244" s="93"/>
      <c r="AY244" s="93"/>
      <c r="AZ244" s="93"/>
      <c r="BA244" s="93"/>
      <c r="BB244" s="93"/>
      <c r="BC244" s="93"/>
      <c r="BD244" s="168"/>
      <c r="BE244" s="97"/>
      <c r="BF244" s="98"/>
      <c r="BG244" s="97"/>
      <c r="BH244" s="168"/>
      <c r="BI244" s="97"/>
      <c r="BJ244" s="97"/>
      <c r="BK244" s="97"/>
      <c r="BL244" s="97"/>
      <c r="BM244" s="97"/>
      <c r="BN244" s="97"/>
      <c r="BO244" s="93"/>
      <c r="BP244" s="93"/>
      <c r="BQ244" s="93"/>
      <c r="BR244" s="93"/>
      <c r="BS244" s="93"/>
      <c r="BT244" s="93"/>
      <c r="BU244" s="93"/>
      <c r="BV244" s="113"/>
      <c r="BW244" s="82"/>
      <c r="BX244" s="82"/>
      <c r="BY244" s="82"/>
      <c r="BZ244" s="84" t="s">
        <v>816</v>
      </c>
      <c r="CA244" s="100" t="str">
        <f ca="1">IFERROR(__xludf.DUMMYFUNCTION("IF(REGEXMATCH(Catalog_RewardType,""reward""), VLOOKUP($E244, {'TitleData rewards.items'!$J$9:$J416,'TitleData rewards.items'!$B$9:$B416}, 2, FALSE), """")"),"")</f>
        <v/>
      </c>
    </row>
    <row r="245" spans="1:79" ht="42" x14ac:dyDescent="0.15">
      <c r="A245" s="82" t="s">
        <v>269</v>
      </c>
      <c r="B245" s="83"/>
      <c r="C245" s="82" t="s">
        <v>1549</v>
      </c>
      <c r="D245" s="85" t="b">
        <f>VLOOKUP($C245, '_REF Catalog Classes'!$C$6:$D416, COLUMNS('_REF Catalog Classes'!$C$6:$D416), FALSE)</f>
        <v>1</v>
      </c>
      <c r="E245" s="82" t="s">
        <v>1550</v>
      </c>
      <c r="F245" s="82" t="str">
        <f t="shared" si="0"/>
        <v>lootTap1:</v>
      </c>
      <c r="G245" s="86" t="s">
        <v>1551</v>
      </c>
      <c r="H245" s="86" t="s">
        <v>1552</v>
      </c>
      <c r="I245" s="82" t="s">
        <v>274</v>
      </c>
      <c r="J245" s="86"/>
      <c r="K245" s="93"/>
      <c r="L245" s="223" t="s">
        <v>857</v>
      </c>
      <c r="M245" s="86"/>
      <c r="N245" s="101" t="s">
        <v>1553</v>
      </c>
      <c r="O245" s="82"/>
      <c r="P245" s="82">
        <v>1</v>
      </c>
      <c r="Q245" s="88"/>
      <c r="R245" s="82"/>
      <c r="S245" s="82"/>
      <c r="T245" s="82"/>
      <c r="U245" s="82"/>
      <c r="V245" s="82"/>
      <c r="W245" s="89">
        <v>0</v>
      </c>
      <c r="X245" s="90" t="s">
        <v>37</v>
      </c>
      <c r="Y245" s="90" t="s">
        <v>1554</v>
      </c>
      <c r="Z245" s="90"/>
      <c r="AA245" s="91" t="s">
        <v>283</v>
      </c>
      <c r="AB245" s="90" t="s">
        <v>1555</v>
      </c>
      <c r="AC245" s="93"/>
      <c r="AD245" s="90" t="s">
        <v>1556</v>
      </c>
      <c r="AE245" s="90" t="s">
        <v>1557</v>
      </c>
      <c r="AF245" s="90" t="s">
        <v>448</v>
      </c>
      <c r="AG245" s="92"/>
      <c r="AH245" s="93"/>
      <c r="AI245" s="93"/>
      <c r="AJ245" s="93"/>
      <c r="AK245" s="93"/>
      <c r="AL245" s="93"/>
      <c r="AM245" s="93"/>
      <c r="AN245" s="94"/>
      <c r="AO245" s="95"/>
      <c r="AP245" s="95"/>
      <c r="AQ245" s="95"/>
      <c r="AR245" s="94"/>
      <c r="AS245" s="95"/>
      <c r="AT245" s="95"/>
      <c r="AU245" s="95"/>
      <c r="AV245" s="95"/>
      <c r="AW245" s="92"/>
      <c r="AX245" s="93"/>
      <c r="AY245" s="93"/>
      <c r="AZ245" s="93"/>
      <c r="BA245" s="93"/>
      <c r="BB245" s="93"/>
      <c r="BC245" s="93"/>
      <c r="BD245" s="96">
        <v>2</v>
      </c>
      <c r="BE245" s="97" t="s">
        <v>38</v>
      </c>
      <c r="BF245" s="98" t="s">
        <v>1554</v>
      </c>
      <c r="BG245" s="97"/>
      <c r="BH245" s="97" t="s">
        <v>283</v>
      </c>
      <c r="BI245" s="97" t="s">
        <v>1555</v>
      </c>
      <c r="BJ245" s="93"/>
      <c r="BK245" s="93"/>
      <c r="BL245" s="97" t="s">
        <v>1558</v>
      </c>
      <c r="BM245" s="97" t="s">
        <v>1557</v>
      </c>
      <c r="BN245" s="97" t="s">
        <v>448</v>
      </c>
      <c r="BO245" s="93"/>
      <c r="BP245" s="93"/>
      <c r="BQ245" s="93"/>
      <c r="BR245" s="93"/>
      <c r="BS245" s="93"/>
      <c r="BT245" s="93"/>
      <c r="BU245" s="93"/>
      <c r="BV245" s="99" t="s">
        <v>1559</v>
      </c>
      <c r="BW245" s="86" t="str">
        <f>VLOOKUP($C245, '_REF Catalog Classes'!$C$6:$E416, COLUMNS('_REF Catalog Classes'!$C$6:$E416), FALSE)</f>
        <v>always</v>
      </c>
      <c r="BX245" s="100">
        <v>2000</v>
      </c>
      <c r="BY245" s="100" t="s">
        <v>1560</v>
      </c>
      <c r="BZ245" s="82" t="s">
        <v>322</v>
      </c>
      <c r="CA245" s="100" t="b">
        <f ca="1">IFERROR(__xludf.DUMMYFUNCTION("IF(REGEXMATCH(Catalog_RewardType,""reward""), VLOOKUP($E245, {'TitleData rewards.items'!$J$9:$J416,'TitleData rewards.items'!$B$9:$B416}, 2, FALSE), """")"),FALSE)</f>
        <v>0</v>
      </c>
    </row>
    <row r="246" spans="1:79" ht="16" hidden="1" x14ac:dyDescent="0.15">
      <c r="A246" s="82" t="s">
        <v>269</v>
      </c>
      <c r="B246" s="83"/>
      <c r="C246" s="82" t="s">
        <v>811</v>
      </c>
      <c r="D246" s="85" t="b">
        <f>VLOOKUP($C246, '_REF Catalog Classes'!$C$6:$D416, COLUMNS('_REF Catalog Classes'!$C$6:$D416), FALSE)</f>
        <v>1</v>
      </c>
      <c r="E246" s="82" t="s">
        <v>1561</v>
      </c>
      <c r="F246" s="82" t="str">
        <f t="shared" si="0"/>
        <v>actionLootLocation02:</v>
      </c>
      <c r="G246" s="106" t="s">
        <v>904</v>
      </c>
      <c r="H246" s="86" t="s">
        <v>1562</v>
      </c>
      <c r="I246" s="82" t="s">
        <v>815</v>
      </c>
      <c r="J246" s="82" t="s">
        <v>275</v>
      </c>
      <c r="K246" s="108"/>
      <c r="L246" s="82"/>
      <c r="M246" s="82"/>
      <c r="N246" s="107"/>
      <c r="O246" s="108"/>
      <c r="P246" s="82"/>
      <c r="Q246" s="88"/>
      <c r="R246" s="82"/>
      <c r="S246" s="82"/>
      <c r="T246" s="82"/>
      <c r="U246" s="82"/>
      <c r="V246" s="82"/>
      <c r="W246" s="89"/>
      <c r="X246" s="90"/>
      <c r="Y246" s="90"/>
      <c r="Z246" s="90"/>
      <c r="AA246" s="89"/>
      <c r="AB246" s="90"/>
      <c r="AC246" s="93"/>
      <c r="AD246" s="90"/>
      <c r="AE246" s="90"/>
      <c r="AF246" s="90"/>
      <c r="AG246" s="92"/>
      <c r="AH246" s="93"/>
      <c r="AI246" s="93"/>
      <c r="AJ246" s="93"/>
      <c r="AK246" s="93"/>
      <c r="AL246" s="93"/>
      <c r="AM246" s="93"/>
      <c r="AN246" s="94"/>
      <c r="AO246" s="95"/>
      <c r="AP246" s="95"/>
      <c r="AQ246" s="95"/>
      <c r="AR246" s="94"/>
      <c r="AS246" s="95"/>
      <c r="AT246" s="95"/>
      <c r="AU246" s="95"/>
      <c r="AV246" s="95"/>
      <c r="AW246" s="92"/>
      <c r="AX246" s="93"/>
      <c r="AY246" s="93"/>
      <c r="AZ246" s="93"/>
      <c r="BA246" s="93"/>
      <c r="BB246" s="93"/>
      <c r="BC246" s="93"/>
      <c r="BD246" s="168"/>
      <c r="BE246" s="97"/>
      <c r="BF246" s="98"/>
      <c r="BG246" s="97"/>
      <c r="BH246" s="168"/>
      <c r="BI246" s="97"/>
      <c r="BJ246" s="93"/>
      <c r="BK246" s="93"/>
      <c r="BL246" s="97"/>
      <c r="BM246" s="93"/>
      <c r="BN246" s="97"/>
      <c r="BO246" s="93"/>
      <c r="BP246" s="93"/>
      <c r="BQ246" s="93"/>
      <c r="BR246" s="93"/>
      <c r="BS246" s="93"/>
      <c r="BT246" s="93"/>
      <c r="BU246" s="93"/>
      <c r="BV246" s="113"/>
      <c r="BW246" s="82"/>
      <c r="BX246" s="82"/>
      <c r="BY246" s="82"/>
      <c r="BZ246" s="84" t="s">
        <v>816</v>
      </c>
      <c r="CA246" s="100" t="str">
        <f ca="1">IFERROR(__xludf.DUMMYFUNCTION("IF(REGEXMATCH(Catalog_RewardType,""reward""), VLOOKUP($E246, {'TitleData rewards.items'!$J$9:$J416,'TitleData rewards.items'!$B$9:$B416}, 2, FALSE), """")"),"")</f>
        <v/>
      </c>
    </row>
    <row r="247" spans="1:79" ht="28" x14ac:dyDescent="0.15">
      <c r="A247" s="82" t="s">
        <v>269</v>
      </c>
      <c r="B247" s="83"/>
      <c r="C247" s="82" t="s">
        <v>1549</v>
      </c>
      <c r="D247" s="85" t="b">
        <f>VLOOKUP($C247, '_REF Catalog Classes'!$C$6:$D416, COLUMNS('_REF Catalog Classes'!$C$6:$D416), FALSE)</f>
        <v>1</v>
      </c>
      <c r="E247" s="82" t="s">
        <v>1563</v>
      </c>
      <c r="F247" s="82" t="str">
        <f t="shared" si="0"/>
        <v>lootTap2:</v>
      </c>
      <c r="G247" s="86" t="s">
        <v>1564</v>
      </c>
      <c r="H247" s="86" t="s">
        <v>1565</v>
      </c>
      <c r="I247" s="82" t="s">
        <v>274</v>
      </c>
      <c r="J247" s="86"/>
      <c r="K247" s="93"/>
      <c r="L247" s="223" t="s">
        <v>857</v>
      </c>
      <c r="M247" s="86"/>
      <c r="N247" s="101" t="s">
        <v>1553</v>
      </c>
      <c r="O247" s="82"/>
      <c r="P247" s="82">
        <v>2</v>
      </c>
      <c r="Q247" s="88"/>
      <c r="R247" s="82"/>
      <c r="S247" s="82"/>
      <c r="T247" s="82"/>
      <c r="U247" s="82"/>
      <c r="V247" s="82"/>
      <c r="W247" s="89">
        <v>0</v>
      </c>
      <c r="X247" s="90" t="s">
        <v>37</v>
      </c>
      <c r="Y247" s="90" t="s">
        <v>1566</v>
      </c>
      <c r="Z247" s="90"/>
      <c r="AA247" s="91" t="s">
        <v>283</v>
      </c>
      <c r="AB247" s="90" t="s">
        <v>1567</v>
      </c>
      <c r="AC247" s="93"/>
      <c r="AD247" s="90" t="s">
        <v>1556</v>
      </c>
      <c r="AE247" s="90" t="s">
        <v>1557</v>
      </c>
      <c r="AF247" s="90" t="s">
        <v>448</v>
      </c>
      <c r="AG247" s="92"/>
      <c r="AH247" s="93"/>
      <c r="AI247" s="93"/>
      <c r="AJ247" s="93"/>
      <c r="AK247" s="93"/>
      <c r="AL247" s="93"/>
      <c r="AM247" s="93"/>
      <c r="AN247" s="94"/>
      <c r="AO247" s="95"/>
      <c r="AP247" s="95"/>
      <c r="AQ247" s="95"/>
      <c r="AR247" s="94"/>
      <c r="AS247" s="95"/>
      <c r="AT247" s="95"/>
      <c r="AU247" s="95"/>
      <c r="AV247" s="95"/>
      <c r="AW247" s="92"/>
      <c r="AX247" s="93"/>
      <c r="AY247" s="93"/>
      <c r="AZ247" s="93"/>
      <c r="BA247" s="93"/>
      <c r="BB247" s="93"/>
      <c r="BC247" s="93"/>
      <c r="BD247" s="96">
        <v>2</v>
      </c>
      <c r="BE247" s="97" t="s">
        <v>38</v>
      </c>
      <c r="BF247" s="98" t="s">
        <v>1566</v>
      </c>
      <c r="BG247" s="97"/>
      <c r="BH247" s="97" t="s">
        <v>283</v>
      </c>
      <c r="BI247" s="97" t="s">
        <v>1567</v>
      </c>
      <c r="BJ247" s="93"/>
      <c r="BK247" s="93"/>
      <c r="BL247" s="97" t="s">
        <v>1568</v>
      </c>
      <c r="BM247" s="97" t="s">
        <v>1557</v>
      </c>
      <c r="BN247" s="97" t="s">
        <v>448</v>
      </c>
      <c r="BO247" s="93"/>
      <c r="BP247" s="93"/>
      <c r="BQ247" s="93"/>
      <c r="BR247" s="93"/>
      <c r="BS247" s="93"/>
      <c r="BT247" s="93"/>
      <c r="BU247" s="93"/>
      <c r="BV247" s="99" t="s">
        <v>1569</v>
      </c>
      <c r="BW247" s="86" t="str">
        <f>VLOOKUP($C247, '_REF Catalog Classes'!$C$6:$E416, COLUMNS('_REF Catalog Classes'!$C$6:$E416), FALSE)</f>
        <v>always</v>
      </c>
      <c r="BX247" s="100">
        <v>2000</v>
      </c>
      <c r="BY247" s="100" t="s">
        <v>1560</v>
      </c>
      <c r="BZ247" s="82" t="s">
        <v>322</v>
      </c>
      <c r="CA247" s="100" t="b">
        <f ca="1">IFERROR(__xludf.DUMMYFUNCTION("IF(REGEXMATCH(Catalog_RewardType,""reward""), VLOOKUP($E247, {'TitleData rewards.items'!$J$9:$J416,'TitleData rewards.items'!$B$9:$B416}, 2, FALSE), """")"),FALSE)</f>
        <v>0</v>
      </c>
    </row>
    <row r="248" spans="1:79" ht="16" hidden="1" x14ac:dyDescent="0.15">
      <c r="A248" s="82" t="s">
        <v>269</v>
      </c>
      <c r="B248" s="83"/>
      <c r="C248" s="82" t="s">
        <v>811</v>
      </c>
      <c r="D248" s="85" t="b">
        <f>VLOOKUP($C248, '_REF Catalog Classes'!$C$6:$D416, COLUMNS('_REF Catalog Classes'!$C$6:$D416), FALSE)</f>
        <v>1</v>
      </c>
      <c r="E248" s="82" t="s">
        <v>1570</v>
      </c>
      <c r="F248" s="82" t="str">
        <f t="shared" si="0"/>
        <v>actionLootLocation03:</v>
      </c>
      <c r="G248" s="106" t="s">
        <v>904</v>
      </c>
      <c r="H248" s="86" t="s">
        <v>1571</v>
      </c>
      <c r="I248" s="82" t="s">
        <v>815</v>
      </c>
      <c r="J248" s="82" t="s">
        <v>275</v>
      </c>
      <c r="K248" s="108"/>
      <c r="L248" s="82"/>
      <c r="M248" s="82"/>
      <c r="N248" s="107"/>
      <c r="O248" s="108"/>
      <c r="P248" s="82"/>
      <c r="Q248" s="88"/>
      <c r="R248" s="82"/>
      <c r="S248" s="82"/>
      <c r="T248" s="82"/>
      <c r="U248" s="82"/>
      <c r="V248" s="82"/>
      <c r="W248" s="89"/>
      <c r="X248" s="90"/>
      <c r="Y248" s="90"/>
      <c r="Z248" s="90"/>
      <c r="AA248" s="89"/>
      <c r="AB248" s="90"/>
      <c r="AC248" s="93"/>
      <c r="AD248" s="90"/>
      <c r="AE248" s="90"/>
      <c r="AF248" s="90"/>
      <c r="AG248" s="92"/>
      <c r="AH248" s="93"/>
      <c r="AI248" s="93"/>
      <c r="AJ248" s="93"/>
      <c r="AK248" s="93"/>
      <c r="AL248" s="93"/>
      <c r="AM248" s="93"/>
      <c r="AN248" s="94"/>
      <c r="AO248" s="95"/>
      <c r="AP248" s="95"/>
      <c r="AQ248" s="95"/>
      <c r="AR248" s="94"/>
      <c r="AS248" s="95"/>
      <c r="AT248" s="95"/>
      <c r="AU248" s="95"/>
      <c r="AV248" s="95"/>
      <c r="AW248" s="92"/>
      <c r="AX248" s="93"/>
      <c r="AY248" s="93"/>
      <c r="AZ248" s="93"/>
      <c r="BA248" s="93"/>
      <c r="BB248" s="93"/>
      <c r="BC248" s="93"/>
      <c r="BD248" s="168"/>
      <c r="BE248" s="97"/>
      <c r="BF248" s="98"/>
      <c r="BG248" s="97"/>
      <c r="BH248" s="168"/>
      <c r="BI248" s="97"/>
      <c r="BJ248" s="93"/>
      <c r="BK248" s="93"/>
      <c r="BL248" s="97"/>
      <c r="BM248" s="93"/>
      <c r="BN248" s="97"/>
      <c r="BO248" s="93"/>
      <c r="BP248" s="93"/>
      <c r="BQ248" s="93"/>
      <c r="BR248" s="93"/>
      <c r="BS248" s="93"/>
      <c r="BT248" s="93"/>
      <c r="BU248" s="93"/>
      <c r="BV248" s="113"/>
      <c r="BW248" s="82"/>
      <c r="BX248" s="82"/>
      <c r="BY248" s="82"/>
      <c r="BZ248" s="84" t="s">
        <v>816</v>
      </c>
      <c r="CA248" s="100" t="str">
        <f ca="1">IFERROR(__xludf.DUMMYFUNCTION("IF(REGEXMATCH(Catalog_RewardType,""reward""), VLOOKUP($E248, {'TitleData rewards.items'!$J$9:$J416,'TitleData rewards.items'!$B$9:$B416}, 2, FALSE), """")"),"")</f>
        <v/>
      </c>
    </row>
    <row r="249" spans="1:79" ht="28" x14ac:dyDescent="0.15">
      <c r="A249" s="82" t="s">
        <v>269</v>
      </c>
      <c r="B249" s="83"/>
      <c r="C249" s="82" t="s">
        <v>1549</v>
      </c>
      <c r="D249" s="85" t="b">
        <f>VLOOKUP($C249, '_REF Catalog Classes'!$C$6:$D416, COLUMNS('_REF Catalog Classes'!$C$6:$D416), FALSE)</f>
        <v>1</v>
      </c>
      <c r="E249" s="82" t="s">
        <v>1572</v>
      </c>
      <c r="F249" s="82" t="str">
        <f t="shared" si="0"/>
        <v>lootTap3:</v>
      </c>
      <c r="G249" s="86" t="s">
        <v>1573</v>
      </c>
      <c r="H249" s="86" t="s">
        <v>1574</v>
      </c>
      <c r="I249" s="82" t="s">
        <v>274</v>
      </c>
      <c r="J249" s="86"/>
      <c r="K249" s="93"/>
      <c r="L249" s="223" t="s">
        <v>857</v>
      </c>
      <c r="M249" s="86"/>
      <c r="N249" s="101" t="s">
        <v>1553</v>
      </c>
      <c r="O249" s="82"/>
      <c r="P249" s="82">
        <v>3</v>
      </c>
      <c r="Q249" s="88"/>
      <c r="R249" s="82"/>
      <c r="S249" s="82"/>
      <c r="T249" s="82"/>
      <c r="U249" s="82"/>
      <c r="V249" s="82"/>
      <c r="W249" s="89">
        <v>0</v>
      </c>
      <c r="X249" s="90" t="s">
        <v>37</v>
      </c>
      <c r="Y249" s="90" t="s">
        <v>1575</v>
      </c>
      <c r="Z249" s="90"/>
      <c r="AA249" s="91" t="s">
        <v>283</v>
      </c>
      <c r="AB249" s="90" t="s">
        <v>1576</v>
      </c>
      <c r="AC249" s="93"/>
      <c r="AD249" s="90" t="s">
        <v>1577</v>
      </c>
      <c r="AE249" s="90" t="s">
        <v>1557</v>
      </c>
      <c r="AF249" s="90" t="s">
        <v>448</v>
      </c>
      <c r="AG249" s="92"/>
      <c r="AH249" s="93"/>
      <c r="AI249" s="93"/>
      <c r="AJ249" s="93"/>
      <c r="AK249" s="93"/>
      <c r="AL249" s="93"/>
      <c r="AM249" s="93"/>
      <c r="AN249" s="94"/>
      <c r="AO249" s="95"/>
      <c r="AP249" s="95"/>
      <c r="AQ249" s="95"/>
      <c r="AR249" s="94"/>
      <c r="AS249" s="95"/>
      <c r="AT249" s="95"/>
      <c r="AU249" s="95"/>
      <c r="AV249" s="95"/>
      <c r="AW249" s="92"/>
      <c r="AX249" s="93"/>
      <c r="AY249" s="93"/>
      <c r="AZ249" s="93"/>
      <c r="BA249" s="93"/>
      <c r="BB249" s="93"/>
      <c r="BC249" s="93"/>
      <c r="BD249" s="96">
        <v>2</v>
      </c>
      <c r="BE249" s="97" t="s">
        <v>38</v>
      </c>
      <c r="BF249" s="98" t="s">
        <v>1575</v>
      </c>
      <c r="BG249" s="97"/>
      <c r="BH249" s="97" t="s">
        <v>283</v>
      </c>
      <c r="BI249" s="97" t="s">
        <v>1576</v>
      </c>
      <c r="BJ249" s="93"/>
      <c r="BK249" s="93"/>
      <c r="BL249" s="97" t="s">
        <v>1578</v>
      </c>
      <c r="BM249" s="97" t="s">
        <v>1557</v>
      </c>
      <c r="BN249" s="97" t="s">
        <v>448</v>
      </c>
      <c r="BO249" s="93"/>
      <c r="BP249" s="93"/>
      <c r="BQ249" s="93"/>
      <c r="BR249" s="93"/>
      <c r="BS249" s="93"/>
      <c r="BT249" s="93"/>
      <c r="BU249" s="93"/>
      <c r="BV249" s="99" t="s">
        <v>1579</v>
      </c>
      <c r="BW249" s="86" t="str">
        <f>VLOOKUP($C249, '_REF Catalog Classes'!$C$6:$E416, COLUMNS('_REF Catalog Classes'!$C$6:$E416), FALSE)</f>
        <v>always</v>
      </c>
      <c r="BX249" s="100">
        <v>2000</v>
      </c>
      <c r="BY249" s="100" t="s">
        <v>1560</v>
      </c>
      <c r="BZ249" s="82" t="s">
        <v>322</v>
      </c>
      <c r="CA249" s="100" t="b">
        <f ca="1">IFERROR(__xludf.DUMMYFUNCTION("IF(REGEXMATCH(Catalog_RewardType,""reward""), VLOOKUP($E249, {'TitleData rewards.items'!$J$9:$J416,'TitleData rewards.items'!$B$9:$B416}, 2, FALSE), """")"),FALSE)</f>
        <v>0</v>
      </c>
    </row>
    <row r="250" spans="1:79" ht="28" hidden="1" x14ac:dyDescent="0.15">
      <c r="A250" s="82" t="s">
        <v>269</v>
      </c>
      <c r="B250" s="83"/>
      <c r="C250" s="82" t="s">
        <v>811</v>
      </c>
      <c r="D250" s="85" t="b">
        <f>VLOOKUP($C250, '_REF Catalog Classes'!$C$6:$D416, COLUMNS('_REF Catalog Classes'!$C$6:$D416), FALSE)</f>
        <v>1</v>
      </c>
      <c r="E250" s="82" t="s">
        <v>1580</v>
      </c>
      <c r="F250" s="82" t="str">
        <f t="shared" si="0"/>
        <v>actionLootLocation04:</v>
      </c>
      <c r="G250" s="106" t="s">
        <v>904</v>
      </c>
      <c r="H250" s="86" t="s">
        <v>1581</v>
      </c>
      <c r="I250" s="82" t="s">
        <v>815</v>
      </c>
      <c r="J250" s="82" t="s">
        <v>275</v>
      </c>
      <c r="K250" s="108"/>
      <c r="L250" s="82"/>
      <c r="M250" s="82"/>
      <c r="N250" s="107"/>
      <c r="O250" s="108"/>
      <c r="P250" s="82"/>
      <c r="Q250" s="88"/>
      <c r="R250" s="82"/>
      <c r="S250" s="82"/>
      <c r="T250" s="82"/>
      <c r="U250" s="82"/>
      <c r="V250" s="82"/>
      <c r="W250" s="89"/>
      <c r="X250" s="90"/>
      <c r="Y250" s="90"/>
      <c r="Z250" s="90"/>
      <c r="AA250" s="89"/>
      <c r="AB250" s="90"/>
      <c r="AC250" s="93"/>
      <c r="AD250" s="90"/>
      <c r="AE250" s="90"/>
      <c r="AF250" s="90"/>
      <c r="AG250" s="92"/>
      <c r="AH250" s="93"/>
      <c r="AI250" s="93"/>
      <c r="AJ250" s="93"/>
      <c r="AK250" s="93"/>
      <c r="AL250" s="93"/>
      <c r="AM250" s="93"/>
      <c r="AN250" s="94"/>
      <c r="AO250" s="95"/>
      <c r="AP250" s="95"/>
      <c r="AQ250" s="95"/>
      <c r="AR250" s="94"/>
      <c r="AS250" s="95"/>
      <c r="AT250" s="95"/>
      <c r="AU250" s="95"/>
      <c r="AV250" s="95"/>
      <c r="AW250" s="92"/>
      <c r="AX250" s="93"/>
      <c r="AY250" s="93"/>
      <c r="AZ250" s="93"/>
      <c r="BA250" s="93"/>
      <c r="BB250" s="93"/>
      <c r="BC250" s="93"/>
      <c r="BD250" s="168"/>
      <c r="BE250" s="97"/>
      <c r="BF250" s="98"/>
      <c r="BG250" s="97"/>
      <c r="BH250" s="168"/>
      <c r="BI250" s="97"/>
      <c r="BJ250" s="93"/>
      <c r="BK250" s="93"/>
      <c r="BL250" s="97"/>
      <c r="BM250" s="93"/>
      <c r="BN250" s="97"/>
      <c r="BO250" s="93"/>
      <c r="BP250" s="93"/>
      <c r="BQ250" s="93"/>
      <c r="BR250" s="93"/>
      <c r="BS250" s="93"/>
      <c r="BT250" s="93"/>
      <c r="BU250" s="93"/>
      <c r="BV250" s="113"/>
      <c r="BW250" s="82"/>
      <c r="BX250" s="82"/>
      <c r="BY250" s="82"/>
      <c r="BZ250" s="84" t="s">
        <v>816</v>
      </c>
      <c r="CA250" s="100" t="str">
        <f ca="1">IFERROR(__xludf.DUMMYFUNCTION("IF(REGEXMATCH(Catalog_RewardType,""reward""), VLOOKUP($E250, {'TitleData rewards.items'!$J$9:$J416,'TitleData rewards.items'!$B$9:$B416}, 2, FALSE), """")"),"")</f>
        <v/>
      </c>
    </row>
    <row r="251" spans="1:79" ht="42" x14ac:dyDescent="0.15">
      <c r="A251" s="82" t="s">
        <v>269</v>
      </c>
      <c r="B251" s="83"/>
      <c r="C251" s="82" t="s">
        <v>1549</v>
      </c>
      <c r="D251" s="85" t="b">
        <f>VLOOKUP($C251, '_REF Catalog Classes'!$C$6:$D416, COLUMNS('_REF Catalog Classes'!$C$6:$D416), FALSE)</f>
        <v>1</v>
      </c>
      <c r="E251" s="82" t="s">
        <v>1582</v>
      </c>
      <c r="F251" s="82" t="str">
        <f t="shared" si="0"/>
        <v>lootTap4:</v>
      </c>
      <c r="G251" s="224" t="s">
        <v>1583</v>
      </c>
      <c r="H251" s="86" t="s">
        <v>1584</v>
      </c>
      <c r="I251" s="82" t="s">
        <v>274</v>
      </c>
      <c r="J251" s="86"/>
      <c r="K251" s="93"/>
      <c r="L251" s="223" t="s">
        <v>857</v>
      </c>
      <c r="M251" s="86"/>
      <c r="N251" s="101" t="s">
        <v>1553</v>
      </c>
      <c r="O251" s="82"/>
      <c r="P251" s="82">
        <v>4</v>
      </c>
      <c r="Q251" s="88"/>
      <c r="R251" s="82"/>
      <c r="S251" s="82"/>
      <c r="T251" s="82"/>
      <c r="U251" s="82"/>
      <c r="V251" s="82"/>
      <c r="W251" s="89">
        <v>0</v>
      </c>
      <c r="X251" s="90" t="s">
        <v>37</v>
      </c>
      <c r="Y251" s="90" t="s">
        <v>1585</v>
      </c>
      <c r="Z251" s="90"/>
      <c r="AA251" s="91" t="s">
        <v>283</v>
      </c>
      <c r="AB251" s="90" t="s">
        <v>1586</v>
      </c>
      <c r="AC251" s="93"/>
      <c r="AD251" s="90" t="s">
        <v>1587</v>
      </c>
      <c r="AE251" s="90" t="s">
        <v>1557</v>
      </c>
      <c r="AF251" s="90" t="s">
        <v>448</v>
      </c>
      <c r="AG251" s="92"/>
      <c r="AH251" s="93"/>
      <c r="AI251" s="93"/>
      <c r="AJ251" s="93"/>
      <c r="AK251" s="93"/>
      <c r="AL251" s="93"/>
      <c r="AM251" s="93"/>
      <c r="AN251" s="94"/>
      <c r="AO251" s="95"/>
      <c r="AP251" s="95"/>
      <c r="AQ251" s="95"/>
      <c r="AR251" s="94"/>
      <c r="AS251" s="95"/>
      <c r="AT251" s="95"/>
      <c r="AU251" s="95"/>
      <c r="AV251" s="95"/>
      <c r="AW251" s="92"/>
      <c r="AX251" s="93"/>
      <c r="AY251" s="93"/>
      <c r="AZ251" s="93"/>
      <c r="BA251" s="93"/>
      <c r="BB251" s="93"/>
      <c r="BC251" s="93"/>
      <c r="BD251" s="96">
        <v>2</v>
      </c>
      <c r="BE251" s="97" t="s">
        <v>38</v>
      </c>
      <c r="BF251" s="98" t="s">
        <v>1585</v>
      </c>
      <c r="BG251" s="97"/>
      <c r="BH251" s="97" t="s">
        <v>283</v>
      </c>
      <c r="BI251" s="97" t="s">
        <v>1586</v>
      </c>
      <c r="BJ251" s="93"/>
      <c r="BK251" s="93"/>
      <c r="BL251" s="97" t="s">
        <v>1588</v>
      </c>
      <c r="BM251" s="97" t="s">
        <v>1557</v>
      </c>
      <c r="BN251" s="97" t="s">
        <v>448</v>
      </c>
      <c r="BO251" s="93"/>
      <c r="BP251" s="93"/>
      <c r="BQ251" s="93"/>
      <c r="BR251" s="93"/>
      <c r="BS251" s="93"/>
      <c r="BT251" s="93"/>
      <c r="BU251" s="93"/>
      <c r="BV251" s="99" t="s">
        <v>1589</v>
      </c>
      <c r="BW251" s="86" t="str">
        <f>VLOOKUP($C251, '_REF Catalog Classes'!$C$6:$E416, COLUMNS('_REF Catalog Classes'!$C$6:$E416), FALSE)</f>
        <v>always</v>
      </c>
      <c r="BX251" s="100">
        <v>2000</v>
      </c>
      <c r="BY251" s="100" t="s">
        <v>1560</v>
      </c>
      <c r="BZ251" s="82" t="s">
        <v>322</v>
      </c>
      <c r="CA251" s="100" t="b">
        <f ca="1">IFERROR(__xludf.DUMMYFUNCTION("IF(REGEXMATCH(Catalog_RewardType,""reward""), VLOOKUP($E251, {'TitleData rewards.items'!$J$9:$J416,'TitleData rewards.items'!$B$9:$B416}, 2, FALSE), """")"),FALSE)</f>
        <v>0</v>
      </c>
    </row>
    <row r="252" spans="1:79" ht="16" hidden="1" x14ac:dyDescent="0.15">
      <c r="A252" s="82" t="s">
        <v>269</v>
      </c>
      <c r="B252" s="83"/>
      <c r="C252" s="82" t="s">
        <v>811</v>
      </c>
      <c r="D252" s="85" t="b">
        <f>VLOOKUP($C252, '_REF Catalog Classes'!$C$6:$D416, COLUMNS('_REF Catalog Classes'!$C$6:$D416), FALSE)</f>
        <v>1</v>
      </c>
      <c r="E252" s="82" t="s">
        <v>1590</v>
      </c>
      <c r="F252" s="82" t="str">
        <f t="shared" si="0"/>
        <v>actionLootLocation05:</v>
      </c>
      <c r="G252" s="106" t="s">
        <v>904</v>
      </c>
      <c r="H252" s="86" t="s">
        <v>1591</v>
      </c>
      <c r="I252" s="82" t="s">
        <v>815</v>
      </c>
      <c r="J252" s="82" t="s">
        <v>275</v>
      </c>
      <c r="K252" s="108"/>
      <c r="L252" s="82"/>
      <c r="M252" s="82"/>
      <c r="N252" s="101"/>
      <c r="O252" s="82"/>
      <c r="P252" s="82"/>
      <c r="Q252" s="88"/>
      <c r="R252" s="82"/>
      <c r="S252" s="82"/>
      <c r="T252" s="82"/>
      <c r="U252" s="82"/>
      <c r="V252" s="82"/>
      <c r="W252" s="89"/>
      <c r="X252" s="90"/>
      <c r="Y252" s="90"/>
      <c r="Z252" s="90"/>
      <c r="AA252" s="89"/>
      <c r="AB252" s="90"/>
      <c r="AC252" s="93"/>
      <c r="AD252" s="90"/>
      <c r="AE252" s="90"/>
      <c r="AF252" s="90"/>
      <c r="AG252" s="92"/>
      <c r="AH252" s="93"/>
      <c r="AI252" s="93"/>
      <c r="AJ252" s="93"/>
      <c r="AK252" s="93"/>
      <c r="AL252" s="93"/>
      <c r="AM252" s="93"/>
      <c r="AN252" s="94"/>
      <c r="AO252" s="95"/>
      <c r="AP252" s="95"/>
      <c r="AQ252" s="95"/>
      <c r="AR252" s="94"/>
      <c r="AS252" s="95"/>
      <c r="AT252" s="95"/>
      <c r="AU252" s="95"/>
      <c r="AV252" s="95"/>
      <c r="AW252" s="92"/>
      <c r="AX252" s="93"/>
      <c r="AY252" s="93"/>
      <c r="AZ252" s="93"/>
      <c r="BA252" s="93"/>
      <c r="BB252" s="93"/>
      <c r="BC252" s="93"/>
      <c r="BD252" s="168"/>
      <c r="BE252" s="97"/>
      <c r="BF252" s="98"/>
      <c r="BG252" s="97"/>
      <c r="BH252" s="168"/>
      <c r="BI252" s="97"/>
      <c r="BJ252" s="93"/>
      <c r="BK252" s="93"/>
      <c r="BL252" s="97"/>
      <c r="BM252" s="93"/>
      <c r="BN252" s="97"/>
      <c r="BO252" s="93"/>
      <c r="BP252" s="93"/>
      <c r="BQ252" s="93"/>
      <c r="BR252" s="93"/>
      <c r="BS252" s="93"/>
      <c r="BT252" s="93"/>
      <c r="BU252" s="93"/>
      <c r="BV252" s="113"/>
      <c r="BW252" s="82"/>
      <c r="BX252" s="82"/>
      <c r="BY252" s="82"/>
      <c r="BZ252" s="84" t="s">
        <v>816</v>
      </c>
      <c r="CA252" s="100" t="str">
        <f ca="1">IFERROR(__xludf.DUMMYFUNCTION("IF(REGEXMATCH(Catalog_RewardType,""reward""), VLOOKUP($E252, {'TitleData rewards.items'!$J$9:$J416,'TitleData rewards.items'!$B$9:$B416}, 2, FALSE), """")"),"")</f>
        <v/>
      </c>
    </row>
    <row r="253" spans="1:79" ht="28" x14ac:dyDescent="0.15">
      <c r="A253" s="82" t="s">
        <v>269</v>
      </c>
      <c r="B253" s="83"/>
      <c r="C253" s="82" t="s">
        <v>1549</v>
      </c>
      <c r="D253" s="85" t="b">
        <f>VLOOKUP($C253, '_REF Catalog Classes'!$C$6:$D416, COLUMNS('_REF Catalog Classes'!$C$6:$D416), FALSE)</f>
        <v>1</v>
      </c>
      <c r="E253" s="82" t="s">
        <v>1592</v>
      </c>
      <c r="F253" s="82" t="str">
        <f t="shared" si="0"/>
        <v>lootTap5:</v>
      </c>
      <c r="G253" s="86" t="s">
        <v>1593</v>
      </c>
      <c r="H253" s="86" t="s">
        <v>1594</v>
      </c>
      <c r="I253" s="82" t="s">
        <v>274</v>
      </c>
      <c r="J253" s="86"/>
      <c r="K253" s="93"/>
      <c r="L253" s="223" t="s">
        <v>857</v>
      </c>
      <c r="M253" s="86"/>
      <c r="N253" s="101" t="s">
        <v>1553</v>
      </c>
      <c r="O253" s="82"/>
      <c r="P253" s="82">
        <v>5</v>
      </c>
      <c r="Q253" s="88"/>
      <c r="R253" s="82"/>
      <c r="S253" s="82"/>
      <c r="T253" s="82"/>
      <c r="U253" s="82"/>
      <c r="V253" s="82"/>
      <c r="W253" s="89">
        <v>0</v>
      </c>
      <c r="X253" s="90" t="s">
        <v>37</v>
      </c>
      <c r="Y253" s="90" t="s">
        <v>1595</v>
      </c>
      <c r="Z253" s="90"/>
      <c r="AA253" s="91" t="s">
        <v>283</v>
      </c>
      <c r="AB253" s="90" t="s">
        <v>1596</v>
      </c>
      <c r="AC253" s="93"/>
      <c r="AD253" s="90" t="s">
        <v>1597</v>
      </c>
      <c r="AE253" s="90" t="s">
        <v>1557</v>
      </c>
      <c r="AF253" s="90" t="s">
        <v>448</v>
      </c>
      <c r="AG253" s="92"/>
      <c r="AH253" s="93"/>
      <c r="AI253" s="93"/>
      <c r="AJ253" s="93"/>
      <c r="AK253" s="93"/>
      <c r="AL253" s="93"/>
      <c r="AM253" s="93"/>
      <c r="AN253" s="94"/>
      <c r="AO253" s="95"/>
      <c r="AP253" s="95"/>
      <c r="AQ253" s="95"/>
      <c r="AR253" s="94"/>
      <c r="AS253" s="95"/>
      <c r="AT253" s="95"/>
      <c r="AU253" s="95"/>
      <c r="AV253" s="95"/>
      <c r="AW253" s="92"/>
      <c r="AX253" s="93"/>
      <c r="AY253" s="93"/>
      <c r="AZ253" s="93"/>
      <c r="BA253" s="93"/>
      <c r="BB253" s="93"/>
      <c r="BC253" s="93"/>
      <c r="BD253" s="96">
        <v>2</v>
      </c>
      <c r="BE253" s="97" t="s">
        <v>38</v>
      </c>
      <c r="BF253" s="98" t="s">
        <v>1595</v>
      </c>
      <c r="BG253" s="97"/>
      <c r="BH253" s="97" t="s">
        <v>283</v>
      </c>
      <c r="BI253" s="97" t="s">
        <v>1596</v>
      </c>
      <c r="BJ253" s="93"/>
      <c r="BK253" s="93"/>
      <c r="BL253" s="97" t="s">
        <v>1598</v>
      </c>
      <c r="BM253" s="97" t="s">
        <v>1557</v>
      </c>
      <c r="BN253" s="97" t="s">
        <v>448</v>
      </c>
      <c r="BO253" s="93"/>
      <c r="BP253" s="93"/>
      <c r="BQ253" s="93"/>
      <c r="BR253" s="93"/>
      <c r="BS253" s="93"/>
      <c r="BT253" s="93"/>
      <c r="BU253" s="93"/>
      <c r="BV253" s="99" t="s">
        <v>1599</v>
      </c>
      <c r="BW253" s="86" t="str">
        <f>VLOOKUP($C253, '_REF Catalog Classes'!$C$6:$E416, COLUMNS('_REF Catalog Classes'!$C$6:$E416), FALSE)</f>
        <v>always</v>
      </c>
      <c r="BX253" s="100">
        <v>2000</v>
      </c>
      <c r="BY253" s="100" t="s">
        <v>1560</v>
      </c>
      <c r="BZ253" s="86" t="s">
        <v>322</v>
      </c>
      <c r="CA253" s="100" t="b">
        <f ca="1">IFERROR(__xludf.DUMMYFUNCTION("IF(REGEXMATCH(Catalog_RewardType,""reward""), VLOOKUP($E253, {'TitleData rewards.items'!$J$9:$J416,'TitleData rewards.items'!$B$9:$B416}, 2, FALSE), """")"),FALSE)</f>
        <v>0</v>
      </c>
    </row>
    <row r="254" spans="1:79" ht="16" hidden="1" x14ac:dyDescent="0.15">
      <c r="A254" s="82" t="s">
        <v>269</v>
      </c>
      <c r="B254" s="83"/>
      <c r="C254" s="82" t="s">
        <v>811</v>
      </c>
      <c r="D254" s="85" t="b">
        <f>VLOOKUP($C254, '_REF Catalog Classes'!$C$6:$D416, COLUMNS('_REF Catalog Classes'!$C$6:$D416), FALSE)</f>
        <v>1</v>
      </c>
      <c r="E254" s="82" t="s">
        <v>1600</v>
      </c>
      <c r="F254" s="82" t="str">
        <f t="shared" si="0"/>
        <v>actionLootLocation06:</v>
      </c>
      <c r="G254" s="106" t="s">
        <v>904</v>
      </c>
      <c r="H254" s="18" t="s">
        <v>1601</v>
      </c>
      <c r="I254" s="82" t="s">
        <v>815</v>
      </c>
      <c r="J254" s="82" t="s">
        <v>275</v>
      </c>
      <c r="K254" s="108"/>
      <c r="L254" s="82"/>
      <c r="M254" s="82"/>
      <c r="N254" s="101"/>
      <c r="O254" s="82"/>
      <c r="P254" s="82"/>
      <c r="Q254" s="88"/>
      <c r="R254" s="82"/>
      <c r="S254" s="82"/>
      <c r="T254" s="82"/>
      <c r="U254" s="82"/>
      <c r="V254" s="82"/>
      <c r="W254" s="89"/>
      <c r="X254" s="90"/>
      <c r="Y254" s="90"/>
      <c r="Z254" s="90"/>
      <c r="AA254" s="89"/>
      <c r="AB254" s="90"/>
      <c r="AC254" s="93"/>
      <c r="AD254" s="90"/>
      <c r="AE254" s="90"/>
      <c r="AF254" s="90"/>
      <c r="AG254" s="92"/>
      <c r="AH254" s="93"/>
      <c r="AI254" s="93"/>
      <c r="AJ254" s="93"/>
      <c r="AK254" s="93"/>
      <c r="AL254" s="93"/>
      <c r="AM254" s="93"/>
      <c r="AN254" s="94"/>
      <c r="AO254" s="95"/>
      <c r="AP254" s="95"/>
      <c r="AQ254" s="95"/>
      <c r="AR254" s="94"/>
      <c r="AS254" s="95"/>
      <c r="AT254" s="95"/>
      <c r="AU254" s="95"/>
      <c r="AV254" s="95"/>
      <c r="AW254" s="92"/>
      <c r="AX254" s="93"/>
      <c r="AY254" s="93"/>
      <c r="AZ254" s="93"/>
      <c r="BA254" s="93"/>
      <c r="BB254" s="93"/>
      <c r="BC254" s="93"/>
      <c r="BD254" s="168"/>
      <c r="BE254" s="97"/>
      <c r="BF254" s="98"/>
      <c r="BG254" s="97"/>
      <c r="BH254" s="168"/>
      <c r="BI254" s="97"/>
      <c r="BJ254" s="93"/>
      <c r="BK254" s="93"/>
      <c r="BL254" s="97"/>
      <c r="BM254" s="93"/>
      <c r="BN254" s="97"/>
      <c r="BO254" s="93"/>
      <c r="BP254" s="93"/>
      <c r="BQ254" s="93"/>
      <c r="BR254" s="93"/>
      <c r="BS254" s="93"/>
      <c r="BT254" s="93"/>
      <c r="BU254" s="93"/>
      <c r="BV254" s="113"/>
      <c r="BW254" s="82"/>
      <c r="BX254" s="82"/>
      <c r="BY254" s="82"/>
      <c r="BZ254" s="84" t="s">
        <v>816</v>
      </c>
      <c r="CA254" s="100" t="str">
        <f ca="1">IFERROR(__xludf.DUMMYFUNCTION("IF(REGEXMATCH(Catalog_RewardType,""reward""), VLOOKUP($E254, {'TitleData rewards.items'!$J$9:$J416,'TitleData rewards.items'!$B$9:$B416}, 2, FALSE), """")"),"")</f>
        <v/>
      </c>
    </row>
    <row r="255" spans="1:79" ht="42" x14ac:dyDescent="0.15">
      <c r="A255" s="82" t="s">
        <v>269</v>
      </c>
      <c r="B255" s="83"/>
      <c r="C255" s="82" t="s">
        <v>1549</v>
      </c>
      <c r="D255" s="85" t="b">
        <f>VLOOKUP($C255, '_REF Catalog Classes'!$C$6:$D416, COLUMNS('_REF Catalog Classes'!$C$6:$D416), FALSE)</f>
        <v>1</v>
      </c>
      <c r="E255" s="82" t="s">
        <v>1602</v>
      </c>
      <c r="F255" s="82" t="str">
        <f t="shared" si="0"/>
        <v>lootTap6:</v>
      </c>
      <c r="G255" s="86" t="s">
        <v>1603</v>
      </c>
      <c r="H255" s="86" t="s">
        <v>1604</v>
      </c>
      <c r="I255" s="82" t="s">
        <v>274</v>
      </c>
      <c r="J255" s="86"/>
      <c r="K255" s="93"/>
      <c r="L255" s="223" t="s">
        <v>857</v>
      </c>
      <c r="M255" s="86"/>
      <c r="N255" s="87" t="s">
        <v>1553</v>
      </c>
      <c r="O255" s="84"/>
      <c r="P255" s="82">
        <v>6</v>
      </c>
      <c r="Q255" s="88"/>
      <c r="R255" s="82"/>
      <c r="S255" s="82"/>
      <c r="T255" s="82"/>
      <c r="U255" s="82"/>
      <c r="V255" s="82"/>
      <c r="W255" s="89">
        <v>0</v>
      </c>
      <c r="X255" s="90" t="s">
        <v>37</v>
      </c>
      <c r="Y255" s="90" t="s">
        <v>1605</v>
      </c>
      <c r="Z255" s="90"/>
      <c r="AA255" s="91" t="s">
        <v>283</v>
      </c>
      <c r="AB255" s="90" t="s">
        <v>1606</v>
      </c>
      <c r="AC255" s="93"/>
      <c r="AD255" s="90" t="s">
        <v>1607</v>
      </c>
      <c r="AE255" s="90" t="s">
        <v>1557</v>
      </c>
      <c r="AF255" s="90" t="s">
        <v>448</v>
      </c>
      <c r="AG255" s="92"/>
      <c r="AH255" s="93"/>
      <c r="AI255" s="93"/>
      <c r="AJ255" s="93"/>
      <c r="AK255" s="93"/>
      <c r="AL255" s="93"/>
      <c r="AM255" s="93"/>
      <c r="AN255" s="94"/>
      <c r="AO255" s="95"/>
      <c r="AP255" s="95"/>
      <c r="AQ255" s="95"/>
      <c r="AR255" s="94"/>
      <c r="AS255" s="95"/>
      <c r="AT255" s="95"/>
      <c r="AU255" s="95"/>
      <c r="AV255" s="95"/>
      <c r="AW255" s="92"/>
      <c r="AX255" s="93"/>
      <c r="AY255" s="93"/>
      <c r="AZ255" s="93"/>
      <c r="BA255" s="93"/>
      <c r="BB255" s="93"/>
      <c r="BC255" s="93"/>
      <c r="BD255" s="96">
        <v>2</v>
      </c>
      <c r="BE255" s="97" t="s">
        <v>38</v>
      </c>
      <c r="BF255" s="98" t="s">
        <v>1605</v>
      </c>
      <c r="BG255" s="97"/>
      <c r="BH255" s="97" t="s">
        <v>283</v>
      </c>
      <c r="BI255" s="97" t="s">
        <v>1606</v>
      </c>
      <c r="BJ255" s="93"/>
      <c r="BK255" s="93"/>
      <c r="BL255" s="97" t="s">
        <v>1608</v>
      </c>
      <c r="BM255" s="97" t="s">
        <v>1557</v>
      </c>
      <c r="BN255" s="97" t="s">
        <v>448</v>
      </c>
      <c r="BO255" s="93"/>
      <c r="BP255" s="93"/>
      <c r="BQ255" s="93"/>
      <c r="BR255" s="93"/>
      <c r="BS255" s="93"/>
      <c r="BT255" s="93"/>
      <c r="BU255" s="93"/>
      <c r="BV255" s="99" t="s">
        <v>1609</v>
      </c>
      <c r="BW255" s="86" t="str">
        <f>VLOOKUP($C255, '_REF Catalog Classes'!$C$6:$E416, COLUMNS('_REF Catalog Classes'!$C$6:$E416), FALSE)</f>
        <v>always</v>
      </c>
      <c r="BX255" s="100">
        <v>2000</v>
      </c>
      <c r="BY255" s="100" t="s">
        <v>1560</v>
      </c>
      <c r="BZ255" s="86" t="s">
        <v>322</v>
      </c>
      <c r="CA255" s="100" t="b">
        <f ca="1">IFERROR(__xludf.DUMMYFUNCTION("IF(REGEXMATCH(Catalog_RewardType,""reward""), VLOOKUP($E255, {'TitleData rewards.items'!$J$9:$J416,'TitleData rewards.items'!$B$9:$B416}, 2, FALSE), """")"),FALSE)</f>
        <v>0</v>
      </c>
    </row>
    <row r="256" spans="1:79" ht="16" hidden="1" x14ac:dyDescent="0.15">
      <c r="A256" s="82" t="s">
        <v>269</v>
      </c>
      <c r="B256" s="83"/>
      <c r="C256" s="82" t="s">
        <v>811</v>
      </c>
      <c r="D256" s="85" t="b">
        <f>VLOOKUP($C256, '_REF Catalog Classes'!$C$6:$D416, COLUMNS('_REF Catalog Classes'!$C$6:$D416), FALSE)</f>
        <v>1</v>
      </c>
      <c r="E256" s="82" t="s">
        <v>1610</v>
      </c>
      <c r="F256" s="82" t="str">
        <f t="shared" si="0"/>
        <v>actionLootLocation07:</v>
      </c>
      <c r="G256" s="106" t="s">
        <v>904</v>
      </c>
      <c r="H256" s="18" t="s">
        <v>1611</v>
      </c>
      <c r="I256" s="82" t="s">
        <v>815</v>
      </c>
      <c r="J256" s="82" t="s">
        <v>275</v>
      </c>
      <c r="K256" s="108"/>
      <c r="L256" s="82"/>
      <c r="M256" s="82"/>
      <c r="N256" s="101"/>
      <c r="O256" s="82"/>
      <c r="P256" s="82"/>
      <c r="Q256" s="88"/>
      <c r="R256" s="82"/>
      <c r="S256" s="82"/>
      <c r="T256" s="82"/>
      <c r="U256" s="82"/>
      <c r="V256" s="82"/>
      <c r="W256" s="89"/>
      <c r="X256" s="90"/>
      <c r="Y256" s="90"/>
      <c r="Z256" s="90"/>
      <c r="AA256" s="89"/>
      <c r="AB256" s="90"/>
      <c r="AC256" s="93"/>
      <c r="AD256" s="90"/>
      <c r="AE256" s="90"/>
      <c r="AF256" s="90"/>
      <c r="AG256" s="92"/>
      <c r="AH256" s="93"/>
      <c r="AI256" s="93"/>
      <c r="AJ256" s="93"/>
      <c r="AK256" s="93"/>
      <c r="AL256" s="93"/>
      <c r="AM256" s="93"/>
      <c r="AN256" s="94"/>
      <c r="AO256" s="95"/>
      <c r="AP256" s="95"/>
      <c r="AQ256" s="95"/>
      <c r="AR256" s="94"/>
      <c r="AS256" s="95"/>
      <c r="AT256" s="95"/>
      <c r="AU256" s="95"/>
      <c r="AV256" s="95"/>
      <c r="AW256" s="92"/>
      <c r="AX256" s="93"/>
      <c r="AY256" s="93"/>
      <c r="AZ256" s="93"/>
      <c r="BA256" s="93"/>
      <c r="BB256" s="93"/>
      <c r="BC256" s="93"/>
      <c r="BD256" s="168"/>
      <c r="BE256" s="97"/>
      <c r="BF256" s="98"/>
      <c r="BG256" s="97"/>
      <c r="BH256" s="168"/>
      <c r="BI256" s="97"/>
      <c r="BJ256" s="93"/>
      <c r="BK256" s="93"/>
      <c r="BL256" s="97"/>
      <c r="BM256" s="93"/>
      <c r="BN256" s="97"/>
      <c r="BO256" s="93"/>
      <c r="BP256" s="93"/>
      <c r="BQ256" s="93"/>
      <c r="BR256" s="93"/>
      <c r="BS256" s="93"/>
      <c r="BT256" s="93"/>
      <c r="BU256" s="93"/>
      <c r="BV256" s="113"/>
      <c r="BW256" s="82"/>
      <c r="BX256" s="82"/>
      <c r="BY256" s="82"/>
      <c r="BZ256" s="84" t="s">
        <v>816</v>
      </c>
      <c r="CA256" s="100" t="str">
        <f ca="1">IFERROR(__xludf.DUMMYFUNCTION("IF(REGEXMATCH(Catalog_RewardType,""reward""), VLOOKUP($E256, {'TitleData rewards.items'!$J$9:$J416,'TitleData rewards.items'!$B$9:$B416}, 2, FALSE), """")"),"")</f>
        <v/>
      </c>
    </row>
    <row r="257" spans="1:79" ht="42" x14ac:dyDescent="0.15">
      <c r="A257" s="82" t="s">
        <v>269</v>
      </c>
      <c r="B257" s="83"/>
      <c r="C257" s="82" t="s">
        <v>1549</v>
      </c>
      <c r="D257" s="85" t="b">
        <f>VLOOKUP($C257, '_REF Catalog Classes'!$C$6:$D416, COLUMNS('_REF Catalog Classes'!$C$6:$D416), FALSE)</f>
        <v>1</v>
      </c>
      <c r="E257" s="82" t="s">
        <v>1612</v>
      </c>
      <c r="F257" s="82" t="str">
        <f t="shared" si="0"/>
        <v>lootTap7:</v>
      </c>
      <c r="G257" s="86" t="s">
        <v>1613</v>
      </c>
      <c r="H257" s="86" t="s">
        <v>1614</v>
      </c>
      <c r="I257" s="82" t="s">
        <v>274</v>
      </c>
      <c r="J257" s="86"/>
      <c r="K257" s="93"/>
      <c r="L257" s="223" t="s">
        <v>857</v>
      </c>
      <c r="M257" s="86"/>
      <c r="N257" s="101" t="s">
        <v>1553</v>
      </c>
      <c r="O257" s="82"/>
      <c r="P257" s="82">
        <v>7</v>
      </c>
      <c r="Q257" s="88"/>
      <c r="R257" s="82"/>
      <c r="S257" s="82"/>
      <c r="T257" s="82"/>
      <c r="U257" s="82"/>
      <c r="V257" s="82"/>
      <c r="W257" s="89">
        <v>0</v>
      </c>
      <c r="X257" s="90" t="s">
        <v>37</v>
      </c>
      <c r="Y257" s="90" t="s">
        <v>1615</v>
      </c>
      <c r="Z257" s="90"/>
      <c r="AA257" s="91" t="s">
        <v>283</v>
      </c>
      <c r="AB257" s="90" t="s">
        <v>1616</v>
      </c>
      <c r="AC257" s="93"/>
      <c r="AD257" s="90" t="s">
        <v>1617</v>
      </c>
      <c r="AE257" s="90" t="s">
        <v>1557</v>
      </c>
      <c r="AF257" s="90" t="s">
        <v>448</v>
      </c>
      <c r="AG257" s="92"/>
      <c r="AH257" s="93"/>
      <c r="AI257" s="93"/>
      <c r="AJ257" s="93"/>
      <c r="AK257" s="93"/>
      <c r="AL257" s="93"/>
      <c r="AM257" s="93"/>
      <c r="AN257" s="94"/>
      <c r="AO257" s="95"/>
      <c r="AP257" s="95"/>
      <c r="AQ257" s="95"/>
      <c r="AR257" s="94"/>
      <c r="AS257" s="95"/>
      <c r="AT257" s="95"/>
      <c r="AU257" s="95"/>
      <c r="AV257" s="95"/>
      <c r="AW257" s="92"/>
      <c r="AX257" s="93"/>
      <c r="AY257" s="93"/>
      <c r="AZ257" s="93"/>
      <c r="BA257" s="93"/>
      <c r="BB257" s="93"/>
      <c r="BC257" s="93"/>
      <c r="BD257" s="96">
        <v>2</v>
      </c>
      <c r="BE257" s="97" t="s">
        <v>38</v>
      </c>
      <c r="BF257" s="98" t="s">
        <v>1615</v>
      </c>
      <c r="BG257" s="97"/>
      <c r="BH257" s="97" t="s">
        <v>283</v>
      </c>
      <c r="BI257" s="97" t="s">
        <v>1616</v>
      </c>
      <c r="BJ257" s="93"/>
      <c r="BK257" s="93"/>
      <c r="BL257" s="97" t="s">
        <v>1618</v>
      </c>
      <c r="BM257" s="97" t="s">
        <v>1557</v>
      </c>
      <c r="BN257" s="97" t="s">
        <v>448</v>
      </c>
      <c r="BO257" s="93"/>
      <c r="BP257" s="93"/>
      <c r="BQ257" s="93"/>
      <c r="BR257" s="93"/>
      <c r="BS257" s="93"/>
      <c r="BT257" s="93"/>
      <c r="BU257" s="93"/>
      <c r="BV257" s="99" t="s">
        <v>1619</v>
      </c>
      <c r="BW257" s="86" t="str">
        <f>VLOOKUP($C257, '_REF Catalog Classes'!$C$6:$E416, COLUMNS('_REF Catalog Classes'!$C$6:$E416), FALSE)</f>
        <v>always</v>
      </c>
      <c r="BX257" s="100">
        <v>2000</v>
      </c>
      <c r="BY257" s="100" t="s">
        <v>1560</v>
      </c>
      <c r="BZ257" s="86" t="s">
        <v>322</v>
      </c>
      <c r="CA257" s="100" t="b">
        <f ca="1">IFERROR(__xludf.DUMMYFUNCTION("IF(REGEXMATCH(Catalog_RewardType,""reward""), VLOOKUP($E257, {'TitleData rewards.items'!$J$9:$J416,'TitleData rewards.items'!$B$9:$B416}, 2, FALSE), """")"),FALSE)</f>
        <v>0</v>
      </c>
    </row>
    <row r="258" spans="1:79" ht="28" hidden="1" x14ac:dyDescent="0.15">
      <c r="A258" s="82" t="s">
        <v>269</v>
      </c>
      <c r="B258" s="83" t="b">
        <v>1</v>
      </c>
      <c r="C258" s="82" t="s">
        <v>811</v>
      </c>
      <c r="D258" s="85" t="b">
        <f>VLOOKUP($C258, '_REF Catalog Classes'!$C$6:$D416, COLUMNS('_REF Catalog Classes'!$C$6:$D416), FALSE)</f>
        <v>1</v>
      </c>
      <c r="E258" s="82" t="s">
        <v>1620</v>
      </c>
      <c r="F258" s="82" t="str">
        <f t="shared" si="0"/>
        <v>actionLootLocation08:TRUE</v>
      </c>
      <c r="G258" s="106" t="s">
        <v>904</v>
      </c>
      <c r="H258" s="86" t="s">
        <v>1621</v>
      </c>
      <c r="I258" s="82" t="s">
        <v>815</v>
      </c>
      <c r="J258" s="82" t="s">
        <v>275</v>
      </c>
      <c r="K258" s="108"/>
      <c r="L258" s="82"/>
      <c r="M258" s="82"/>
      <c r="N258" s="101"/>
      <c r="O258" s="82"/>
      <c r="P258" s="82"/>
      <c r="Q258" s="88"/>
      <c r="R258" s="82"/>
      <c r="S258" s="82"/>
      <c r="T258" s="82"/>
      <c r="U258" s="82"/>
      <c r="V258" s="82"/>
      <c r="W258" s="89"/>
      <c r="X258" s="90"/>
      <c r="Y258" s="90" t="str">
        <f t="shared" ref="Y258:Y259" si="19">"file://"&amp;$E258&amp;"-state0-image0"</f>
        <v>file://actionLootLocation08-state0-image0</v>
      </c>
      <c r="Z258" s="90"/>
      <c r="AA258" s="89"/>
      <c r="AB258" s="90"/>
      <c r="AC258" s="93"/>
      <c r="AD258" s="90"/>
      <c r="AE258" s="90"/>
      <c r="AF258" s="90"/>
      <c r="AG258" s="92"/>
      <c r="AH258" s="93"/>
      <c r="AI258" s="93"/>
      <c r="AJ258" s="93"/>
      <c r="AK258" s="93"/>
      <c r="AL258" s="93"/>
      <c r="AM258" s="93"/>
      <c r="AN258" s="94"/>
      <c r="AO258" s="95"/>
      <c r="AP258" s="95" t="str">
        <f t="shared" ref="AP258:AP259" si="20">"file://"&amp;$E258&amp;"-state1-image0"</f>
        <v>file://actionLootLocation08-state1-image0</v>
      </c>
      <c r="AQ258" s="95"/>
      <c r="AR258" s="94"/>
      <c r="AS258" s="95"/>
      <c r="AT258" s="95"/>
      <c r="AU258" s="95"/>
      <c r="AV258" s="95"/>
      <c r="AW258" s="92"/>
      <c r="AX258" s="93"/>
      <c r="AY258" s="93"/>
      <c r="AZ258" s="93"/>
      <c r="BA258" s="93"/>
      <c r="BB258" s="93"/>
      <c r="BC258" s="93"/>
      <c r="BD258" s="168"/>
      <c r="BE258" s="97"/>
      <c r="BF258" s="98"/>
      <c r="BG258" s="97"/>
      <c r="BH258" s="168"/>
      <c r="BI258" s="97"/>
      <c r="BJ258" s="93"/>
      <c r="BK258" s="93"/>
      <c r="BL258" s="97"/>
      <c r="BM258" s="93"/>
      <c r="BN258" s="97"/>
      <c r="BO258" s="93"/>
      <c r="BP258" s="93"/>
      <c r="BQ258" s="93"/>
      <c r="BR258" s="93"/>
      <c r="BS258" s="93"/>
      <c r="BT258" s="93"/>
      <c r="BU258" s="93"/>
      <c r="BV258" s="113"/>
      <c r="BW258" s="82"/>
      <c r="BX258" s="82"/>
      <c r="BY258" s="82"/>
      <c r="BZ258" s="84" t="s">
        <v>816</v>
      </c>
      <c r="CA258" s="100" t="str">
        <f ca="1">IFERROR(__xludf.DUMMYFUNCTION("IF(REGEXMATCH(Catalog_RewardType,""reward""), VLOOKUP($E258, {'TitleData rewards.items'!$J$9:$J416,'TitleData rewards.items'!$B$9:$B416}, 2, FALSE), """")"),"")</f>
        <v/>
      </c>
    </row>
    <row r="259" spans="1:79" ht="42" hidden="1" x14ac:dyDescent="0.15">
      <c r="A259" s="82" t="s">
        <v>269</v>
      </c>
      <c r="B259" s="83" t="b">
        <v>1</v>
      </c>
      <c r="C259" s="82" t="s">
        <v>1549</v>
      </c>
      <c r="D259" s="85" t="b">
        <f>VLOOKUP($C259, '_REF Catalog Classes'!$C$6:$D416, COLUMNS('_REF Catalog Classes'!$C$6:$D416), FALSE)</f>
        <v>1</v>
      </c>
      <c r="E259" s="82" t="s">
        <v>1622</v>
      </c>
      <c r="F259" s="82" t="str">
        <f t="shared" si="0"/>
        <v>lootTap8:TRUE</v>
      </c>
      <c r="G259" s="225" t="s">
        <v>1623</v>
      </c>
      <c r="H259" s="225" t="s">
        <v>1624</v>
      </c>
      <c r="I259" s="82" t="s">
        <v>274</v>
      </c>
      <c r="J259" s="86"/>
      <c r="K259" s="93"/>
      <c r="L259" s="223" t="s">
        <v>857</v>
      </c>
      <c r="M259" s="86"/>
      <c r="N259" s="101" t="s">
        <v>1553</v>
      </c>
      <c r="O259" s="82"/>
      <c r="P259" s="82">
        <v>8</v>
      </c>
      <c r="Q259" s="88"/>
      <c r="R259" s="82"/>
      <c r="S259" s="82"/>
      <c r="T259" s="82"/>
      <c r="U259" s="82"/>
      <c r="V259" s="82"/>
      <c r="W259" s="89">
        <v>0</v>
      </c>
      <c r="X259" s="90" t="s">
        <v>37</v>
      </c>
      <c r="Y259" s="90" t="str">
        <f t="shared" si="19"/>
        <v>file://lootTap8-state0-image0</v>
      </c>
      <c r="Z259" s="90"/>
      <c r="AA259" s="91" t="s">
        <v>283</v>
      </c>
      <c r="AB259" s="90" t="s">
        <v>1625</v>
      </c>
      <c r="AC259" s="93"/>
      <c r="AD259" s="90" t="s">
        <v>1626</v>
      </c>
      <c r="AE259" s="90" t="s">
        <v>1557</v>
      </c>
      <c r="AF259" s="90" t="s">
        <v>448</v>
      </c>
      <c r="AG259" s="92"/>
      <c r="AH259" s="93"/>
      <c r="AI259" s="93"/>
      <c r="AJ259" s="93"/>
      <c r="AK259" s="93"/>
      <c r="AL259" s="93"/>
      <c r="AM259" s="93"/>
      <c r="AN259" s="94"/>
      <c r="AO259" s="95"/>
      <c r="AP259" s="95" t="str">
        <f t="shared" si="20"/>
        <v>file://lootTap8-state1-image0</v>
      </c>
      <c r="AQ259" s="95"/>
      <c r="AR259" s="94"/>
      <c r="AS259" s="95"/>
      <c r="AT259" s="95"/>
      <c r="AU259" s="95"/>
      <c r="AV259" s="95"/>
      <c r="AW259" s="92"/>
      <c r="AX259" s="93"/>
      <c r="AY259" s="93"/>
      <c r="AZ259" s="93"/>
      <c r="BA259" s="93"/>
      <c r="BB259" s="93"/>
      <c r="BC259" s="93"/>
      <c r="BD259" s="96">
        <v>2</v>
      </c>
      <c r="BE259" s="97" t="s">
        <v>38</v>
      </c>
      <c r="BF259" s="98"/>
      <c r="BG259" s="97"/>
      <c r="BH259" s="97" t="s">
        <v>283</v>
      </c>
      <c r="BI259" s="97" t="s">
        <v>1625</v>
      </c>
      <c r="BJ259" s="93"/>
      <c r="BK259" s="93"/>
      <c r="BL259" s="97" t="s">
        <v>1627</v>
      </c>
      <c r="BM259" s="97" t="s">
        <v>1557</v>
      </c>
      <c r="BN259" s="97" t="s">
        <v>448</v>
      </c>
      <c r="BO259" s="93"/>
      <c r="BP259" s="93"/>
      <c r="BQ259" s="93"/>
      <c r="BR259" s="93"/>
      <c r="BS259" s="93"/>
      <c r="BT259" s="93"/>
      <c r="BU259" s="93"/>
      <c r="BV259" s="99" t="s">
        <v>1628</v>
      </c>
      <c r="BW259" s="86" t="str">
        <f>VLOOKUP($C259, '_REF Catalog Classes'!$C$6:$E416, COLUMNS('_REF Catalog Classes'!$C$6:$E416), FALSE)</f>
        <v>always</v>
      </c>
      <c r="BX259" s="100">
        <v>2000</v>
      </c>
      <c r="BY259" s="100" t="s">
        <v>1560</v>
      </c>
      <c r="BZ259" s="86" t="s">
        <v>322</v>
      </c>
      <c r="CA259" s="100" t="str">
        <f ca="1">IFERROR(__xludf.DUMMYFUNCTION("IF(REGEXMATCH(Catalog_RewardType,""reward""), VLOOKUP($E259, {'TitleData rewards.items'!$J$9:$J416,'TitleData rewards.items'!$B$9:$B416}, 2, FALSE), """")"),"#N/A")</f>
        <v>#N/A</v>
      </c>
    </row>
    <row r="260" spans="1:79" ht="16" hidden="1" x14ac:dyDescent="0.15">
      <c r="A260" s="82" t="s">
        <v>269</v>
      </c>
      <c r="B260" s="83"/>
      <c r="C260" s="82" t="s">
        <v>811</v>
      </c>
      <c r="D260" s="85" t="b">
        <f>VLOOKUP($C260, '_REF Catalog Classes'!$C$6:$D416, COLUMNS('_REF Catalog Classes'!$C$6:$D416), FALSE)</f>
        <v>1</v>
      </c>
      <c r="E260" s="82" t="s">
        <v>1629</v>
      </c>
      <c r="F260" s="82" t="str">
        <f t="shared" ref="F260:F416" si="21">$E260&amp;":"&amp;$B260</f>
        <v>actionLootLocation09:</v>
      </c>
      <c r="G260" s="106" t="s">
        <v>904</v>
      </c>
      <c r="H260" s="18" t="s">
        <v>1630</v>
      </c>
      <c r="I260" s="82" t="s">
        <v>815</v>
      </c>
      <c r="J260" s="82" t="s">
        <v>275</v>
      </c>
      <c r="K260" s="108"/>
      <c r="L260" s="82"/>
      <c r="M260" s="82"/>
      <c r="N260" s="101"/>
      <c r="O260" s="82"/>
      <c r="P260" s="82"/>
      <c r="Q260" s="88"/>
      <c r="R260" s="82"/>
      <c r="S260" s="82"/>
      <c r="T260" s="82"/>
      <c r="U260" s="82"/>
      <c r="V260" s="82"/>
      <c r="W260" s="89"/>
      <c r="X260" s="90"/>
      <c r="Y260" s="90"/>
      <c r="Z260" s="90"/>
      <c r="AA260" s="89"/>
      <c r="AB260" s="90"/>
      <c r="AC260" s="93"/>
      <c r="AD260" s="90"/>
      <c r="AE260" s="90"/>
      <c r="AF260" s="90"/>
      <c r="AG260" s="92"/>
      <c r="AH260" s="93"/>
      <c r="AI260" s="93"/>
      <c r="AJ260" s="93"/>
      <c r="AK260" s="93"/>
      <c r="AL260" s="93"/>
      <c r="AM260" s="93"/>
      <c r="AN260" s="94"/>
      <c r="AO260" s="95"/>
      <c r="AP260" s="95"/>
      <c r="AQ260" s="95"/>
      <c r="AR260" s="94"/>
      <c r="AS260" s="95"/>
      <c r="AT260" s="95"/>
      <c r="AU260" s="95"/>
      <c r="AV260" s="95"/>
      <c r="AW260" s="92"/>
      <c r="AX260" s="93"/>
      <c r="AY260" s="93"/>
      <c r="AZ260" s="93"/>
      <c r="BA260" s="93"/>
      <c r="BB260" s="93"/>
      <c r="BC260" s="93"/>
      <c r="BD260" s="168"/>
      <c r="BE260" s="97"/>
      <c r="BF260" s="98"/>
      <c r="BG260" s="97"/>
      <c r="BH260" s="168"/>
      <c r="BI260" s="97"/>
      <c r="BJ260" s="93"/>
      <c r="BK260" s="93"/>
      <c r="BL260" s="97"/>
      <c r="BM260" s="93"/>
      <c r="BN260" s="97"/>
      <c r="BO260" s="93"/>
      <c r="BP260" s="93"/>
      <c r="BQ260" s="93"/>
      <c r="BR260" s="93"/>
      <c r="BS260" s="93"/>
      <c r="BT260" s="93"/>
      <c r="BU260" s="93"/>
      <c r="BV260" s="113"/>
      <c r="BW260" s="82"/>
      <c r="BX260" s="82"/>
      <c r="BY260" s="82"/>
      <c r="BZ260" s="84" t="s">
        <v>816</v>
      </c>
      <c r="CA260" s="100" t="str">
        <f ca="1">IFERROR(__xludf.DUMMYFUNCTION("IF(REGEXMATCH(Catalog_RewardType,""reward""), VLOOKUP($E260, {'TitleData rewards.items'!$J$9:$J416,'TitleData rewards.items'!$B$9:$B416}, 2, FALSE), """")"),"")</f>
        <v/>
      </c>
    </row>
    <row r="261" spans="1:79" ht="42" x14ac:dyDescent="0.15">
      <c r="A261" s="82" t="s">
        <v>269</v>
      </c>
      <c r="B261" s="83"/>
      <c r="C261" s="82" t="s">
        <v>1549</v>
      </c>
      <c r="D261" s="85" t="b">
        <f>VLOOKUP($C261, '_REF Catalog Classes'!$C$6:$D416, COLUMNS('_REF Catalog Classes'!$C$6:$D416), FALSE)</f>
        <v>1</v>
      </c>
      <c r="E261" s="82" t="s">
        <v>1631</v>
      </c>
      <c r="F261" s="82" t="str">
        <f t="shared" si="21"/>
        <v>lootTap9:</v>
      </c>
      <c r="G261" s="86" t="s">
        <v>1632</v>
      </c>
      <c r="H261" s="86" t="s">
        <v>1633</v>
      </c>
      <c r="I261" s="82" t="s">
        <v>274</v>
      </c>
      <c r="J261" s="86"/>
      <c r="K261" s="93"/>
      <c r="L261" s="223" t="s">
        <v>857</v>
      </c>
      <c r="M261" s="86"/>
      <c r="N261" s="101" t="s">
        <v>1553</v>
      </c>
      <c r="O261" s="82"/>
      <c r="P261" s="82">
        <v>9</v>
      </c>
      <c r="Q261" s="88"/>
      <c r="R261" s="82"/>
      <c r="S261" s="82"/>
      <c r="T261" s="82"/>
      <c r="U261" s="82"/>
      <c r="V261" s="82"/>
      <c r="W261" s="89">
        <v>0</v>
      </c>
      <c r="X261" s="90" t="s">
        <v>37</v>
      </c>
      <c r="Y261" s="90" t="s">
        <v>1634</v>
      </c>
      <c r="Z261" s="90"/>
      <c r="AA261" s="91" t="s">
        <v>283</v>
      </c>
      <c r="AB261" s="90" t="s">
        <v>1635</v>
      </c>
      <c r="AC261" s="93"/>
      <c r="AD261" s="90" t="s">
        <v>1636</v>
      </c>
      <c r="AE261" s="90" t="s">
        <v>1557</v>
      </c>
      <c r="AF261" s="90" t="s">
        <v>448</v>
      </c>
      <c r="AG261" s="92"/>
      <c r="AH261" s="93"/>
      <c r="AI261" s="93"/>
      <c r="AJ261" s="93"/>
      <c r="AK261" s="93"/>
      <c r="AL261" s="93"/>
      <c r="AM261" s="93"/>
      <c r="AN261" s="94"/>
      <c r="AO261" s="95"/>
      <c r="AP261" s="95"/>
      <c r="AQ261" s="95"/>
      <c r="AR261" s="94"/>
      <c r="AS261" s="95"/>
      <c r="AT261" s="95"/>
      <c r="AU261" s="95"/>
      <c r="AV261" s="95"/>
      <c r="AW261" s="92"/>
      <c r="AX261" s="93"/>
      <c r="AY261" s="93"/>
      <c r="AZ261" s="93"/>
      <c r="BA261" s="93"/>
      <c r="BB261" s="93"/>
      <c r="BC261" s="93"/>
      <c r="BD261" s="96">
        <v>2</v>
      </c>
      <c r="BE261" s="97" t="s">
        <v>38</v>
      </c>
      <c r="BF261" s="98" t="s">
        <v>1634</v>
      </c>
      <c r="BG261" s="97"/>
      <c r="BH261" s="97" t="s">
        <v>283</v>
      </c>
      <c r="BI261" s="97" t="s">
        <v>1635</v>
      </c>
      <c r="BJ261" s="93"/>
      <c r="BK261" s="93"/>
      <c r="BL261" s="97" t="s">
        <v>1637</v>
      </c>
      <c r="BM261" s="97" t="s">
        <v>1557</v>
      </c>
      <c r="BN261" s="97" t="s">
        <v>448</v>
      </c>
      <c r="BO261" s="93"/>
      <c r="BP261" s="93"/>
      <c r="BQ261" s="93"/>
      <c r="BR261" s="93"/>
      <c r="BS261" s="93"/>
      <c r="BT261" s="93"/>
      <c r="BU261" s="93"/>
      <c r="BV261" s="99" t="s">
        <v>1638</v>
      </c>
      <c r="BW261" s="86" t="str">
        <f>VLOOKUP($C261, '_REF Catalog Classes'!$C$6:$E416, COLUMNS('_REF Catalog Classes'!$C$6:$E416), FALSE)</f>
        <v>always</v>
      </c>
      <c r="BX261" s="100">
        <v>2000</v>
      </c>
      <c r="BY261" s="100" t="s">
        <v>1560</v>
      </c>
      <c r="BZ261" s="86" t="s">
        <v>322</v>
      </c>
      <c r="CA261" s="100" t="b">
        <f ca="1">IFERROR(__xludf.DUMMYFUNCTION("IF(REGEXMATCH(Catalog_RewardType,""reward""), VLOOKUP($E261, {'TitleData rewards.items'!$J$9:$J416,'TitleData rewards.items'!$B$9:$B416}, 2, FALSE), """")"),FALSE)</f>
        <v>0</v>
      </c>
    </row>
    <row r="262" spans="1:79" ht="16" hidden="1" x14ac:dyDescent="0.15">
      <c r="A262" s="82" t="s">
        <v>269</v>
      </c>
      <c r="B262" s="83"/>
      <c r="C262" s="82" t="s">
        <v>811</v>
      </c>
      <c r="D262" s="85" t="b">
        <f>VLOOKUP($C262, '_REF Catalog Classes'!$C$6:$D416, COLUMNS('_REF Catalog Classes'!$C$6:$D416), FALSE)</f>
        <v>1</v>
      </c>
      <c r="E262" s="82" t="s">
        <v>1639</v>
      </c>
      <c r="F262" s="82" t="str">
        <f t="shared" si="21"/>
        <v>actionLootLocation10:</v>
      </c>
      <c r="G262" s="106" t="s">
        <v>904</v>
      </c>
      <c r="H262" s="86" t="s">
        <v>1640</v>
      </c>
      <c r="I262" s="82" t="s">
        <v>815</v>
      </c>
      <c r="J262" s="82" t="s">
        <v>275</v>
      </c>
      <c r="K262" s="108"/>
      <c r="L262" s="82"/>
      <c r="M262" s="82"/>
      <c r="N262" s="101"/>
      <c r="O262" s="82"/>
      <c r="P262" s="82"/>
      <c r="Q262" s="88"/>
      <c r="R262" s="82"/>
      <c r="S262" s="82"/>
      <c r="T262" s="82"/>
      <c r="U262" s="82"/>
      <c r="V262" s="82"/>
      <c r="W262" s="89"/>
      <c r="X262" s="90"/>
      <c r="Y262" s="90"/>
      <c r="Z262" s="90"/>
      <c r="AA262" s="89"/>
      <c r="AB262" s="90"/>
      <c r="AC262" s="93"/>
      <c r="AD262" s="90"/>
      <c r="AE262" s="90"/>
      <c r="AF262" s="90"/>
      <c r="AG262" s="92"/>
      <c r="AH262" s="93"/>
      <c r="AI262" s="93"/>
      <c r="AJ262" s="93"/>
      <c r="AK262" s="93"/>
      <c r="AL262" s="93"/>
      <c r="AM262" s="93"/>
      <c r="AN262" s="94"/>
      <c r="AO262" s="95"/>
      <c r="AP262" s="95"/>
      <c r="AQ262" s="95"/>
      <c r="AR262" s="94"/>
      <c r="AS262" s="95"/>
      <c r="AT262" s="95"/>
      <c r="AU262" s="95"/>
      <c r="AV262" s="95"/>
      <c r="AW262" s="92"/>
      <c r="AX262" s="93"/>
      <c r="AY262" s="93"/>
      <c r="AZ262" s="93"/>
      <c r="BA262" s="93"/>
      <c r="BB262" s="93"/>
      <c r="BC262" s="93"/>
      <c r="BD262" s="168"/>
      <c r="BE262" s="97"/>
      <c r="BF262" s="98"/>
      <c r="BG262" s="97"/>
      <c r="BH262" s="168"/>
      <c r="BI262" s="97"/>
      <c r="BJ262" s="93"/>
      <c r="BK262" s="93"/>
      <c r="BL262" s="97"/>
      <c r="BM262" s="93"/>
      <c r="BN262" s="97"/>
      <c r="BO262" s="93"/>
      <c r="BP262" s="93"/>
      <c r="BQ262" s="93"/>
      <c r="BR262" s="93"/>
      <c r="BS262" s="93"/>
      <c r="BT262" s="93"/>
      <c r="BU262" s="93"/>
      <c r="BV262" s="113"/>
      <c r="BW262" s="82"/>
      <c r="BX262" s="82"/>
      <c r="BY262" s="82"/>
      <c r="BZ262" s="84" t="s">
        <v>816</v>
      </c>
      <c r="CA262" s="100" t="str">
        <f ca="1">IFERROR(__xludf.DUMMYFUNCTION("IF(REGEXMATCH(Catalog_RewardType,""reward""), VLOOKUP($E262, {'TitleData rewards.items'!$J$9:$J416,'TitleData rewards.items'!$B$9:$B416}, 2, FALSE), """")"),"")</f>
        <v/>
      </c>
    </row>
    <row r="263" spans="1:79" ht="28" x14ac:dyDescent="0.15">
      <c r="A263" s="82" t="s">
        <v>269</v>
      </c>
      <c r="B263" s="83"/>
      <c r="C263" s="82" t="s">
        <v>1549</v>
      </c>
      <c r="D263" s="85" t="b">
        <f>VLOOKUP($C263, '_REF Catalog Classes'!$C$6:$D416, COLUMNS('_REF Catalog Classes'!$C$6:$D416), FALSE)</f>
        <v>1</v>
      </c>
      <c r="E263" s="82" t="s">
        <v>1641</v>
      </c>
      <c r="F263" s="82" t="str">
        <f t="shared" si="21"/>
        <v>lootTap10:</v>
      </c>
      <c r="G263" s="86" t="s">
        <v>1642</v>
      </c>
      <c r="H263" s="86" t="s">
        <v>1643</v>
      </c>
      <c r="I263" s="82" t="s">
        <v>274</v>
      </c>
      <c r="J263" s="86"/>
      <c r="K263" s="93"/>
      <c r="L263" s="223" t="s">
        <v>857</v>
      </c>
      <c r="M263" s="86"/>
      <c r="N263" s="101" t="s">
        <v>1553</v>
      </c>
      <c r="O263" s="82"/>
      <c r="P263" s="82">
        <v>10</v>
      </c>
      <c r="Q263" s="88"/>
      <c r="R263" s="82"/>
      <c r="S263" s="82"/>
      <c r="T263" s="82"/>
      <c r="U263" s="82"/>
      <c r="V263" s="82"/>
      <c r="W263" s="89">
        <v>0</v>
      </c>
      <c r="X263" s="90" t="s">
        <v>37</v>
      </c>
      <c r="Y263" s="90" t="s">
        <v>1644</v>
      </c>
      <c r="Z263" s="90"/>
      <c r="AA263" s="91" t="s">
        <v>283</v>
      </c>
      <c r="AB263" s="90" t="s">
        <v>1645</v>
      </c>
      <c r="AC263" s="93"/>
      <c r="AD263" s="90" t="s">
        <v>1646</v>
      </c>
      <c r="AE263" s="90" t="s">
        <v>1557</v>
      </c>
      <c r="AF263" s="90" t="s">
        <v>448</v>
      </c>
      <c r="AG263" s="92"/>
      <c r="AH263" s="93"/>
      <c r="AI263" s="93"/>
      <c r="AJ263" s="93"/>
      <c r="AK263" s="93"/>
      <c r="AL263" s="93"/>
      <c r="AM263" s="93"/>
      <c r="AN263" s="94"/>
      <c r="AO263" s="95"/>
      <c r="AP263" s="95"/>
      <c r="AQ263" s="95"/>
      <c r="AR263" s="94"/>
      <c r="AS263" s="95"/>
      <c r="AT263" s="95"/>
      <c r="AU263" s="95"/>
      <c r="AV263" s="95"/>
      <c r="AW263" s="92"/>
      <c r="AX263" s="93"/>
      <c r="AY263" s="93"/>
      <c r="AZ263" s="93"/>
      <c r="BA263" s="93"/>
      <c r="BB263" s="93"/>
      <c r="BC263" s="93"/>
      <c r="BD263" s="96">
        <v>2</v>
      </c>
      <c r="BE263" s="97" t="s">
        <v>38</v>
      </c>
      <c r="BF263" s="98" t="s">
        <v>1644</v>
      </c>
      <c r="BG263" s="97"/>
      <c r="BH263" s="97" t="s">
        <v>283</v>
      </c>
      <c r="BI263" s="97" t="s">
        <v>1645</v>
      </c>
      <c r="BJ263" s="93"/>
      <c r="BK263" s="93"/>
      <c r="BL263" s="97" t="s">
        <v>1647</v>
      </c>
      <c r="BM263" s="97" t="s">
        <v>1557</v>
      </c>
      <c r="BN263" s="97" t="s">
        <v>448</v>
      </c>
      <c r="BO263" s="93"/>
      <c r="BP263" s="93"/>
      <c r="BQ263" s="93"/>
      <c r="BR263" s="93"/>
      <c r="BS263" s="93"/>
      <c r="BT263" s="93"/>
      <c r="BU263" s="93"/>
      <c r="BV263" s="99" t="s">
        <v>1648</v>
      </c>
      <c r="BW263" s="86" t="str">
        <f>VLOOKUP($C263, '_REF Catalog Classes'!$C$6:$E416, COLUMNS('_REF Catalog Classes'!$C$6:$E416), FALSE)</f>
        <v>always</v>
      </c>
      <c r="BX263" s="100">
        <v>2000</v>
      </c>
      <c r="BY263" s="100" t="s">
        <v>1560</v>
      </c>
      <c r="BZ263" s="86" t="s">
        <v>322</v>
      </c>
      <c r="CA263" s="100" t="b">
        <f ca="1">IFERROR(__xludf.DUMMYFUNCTION("IF(REGEXMATCH(Catalog_RewardType,""reward""), VLOOKUP($E263, {'TitleData rewards.items'!$J$9:$J416,'TitleData rewards.items'!$B$9:$B416}, 2, FALSE), """")"),FALSE)</f>
        <v>0</v>
      </c>
    </row>
    <row r="264" spans="1:79" ht="28" hidden="1" x14ac:dyDescent="0.15">
      <c r="A264" s="82" t="s">
        <v>269</v>
      </c>
      <c r="B264" s="83" t="b">
        <v>1</v>
      </c>
      <c r="C264" s="82" t="s">
        <v>811</v>
      </c>
      <c r="D264" s="85" t="b">
        <f>VLOOKUP($C264, '_REF Catalog Classes'!$C$6:$D416, COLUMNS('_REF Catalog Classes'!$C$6:$D416), FALSE)</f>
        <v>1</v>
      </c>
      <c r="E264" s="82" t="s">
        <v>1649</v>
      </c>
      <c r="F264" s="82" t="str">
        <f t="shared" si="21"/>
        <v>actionLootLocation11:TRUE</v>
      </c>
      <c r="G264" s="106" t="s">
        <v>904</v>
      </c>
      <c r="H264" s="86" t="s">
        <v>1650</v>
      </c>
      <c r="I264" s="82" t="s">
        <v>815</v>
      </c>
      <c r="J264" s="82" t="s">
        <v>275</v>
      </c>
      <c r="K264" s="108"/>
      <c r="L264" s="82"/>
      <c r="M264" s="82"/>
      <c r="N264" s="101"/>
      <c r="O264" s="82"/>
      <c r="P264" s="82"/>
      <c r="Q264" s="88"/>
      <c r="R264" s="82"/>
      <c r="S264" s="82"/>
      <c r="T264" s="82"/>
      <c r="U264" s="82"/>
      <c r="V264" s="82"/>
      <c r="W264" s="89"/>
      <c r="X264" s="90"/>
      <c r="Y264" s="90" t="str">
        <f t="shared" ref="Y264:Y265" si="22">"file://"&amp;$E264&amp;"-state0-image0"</f>
        <v>file://actionLootLocation11-state0-image0</v>
      </c>
      <c r="Z264" s="90"/>
      <c r="AA264" s="89"/>
      <c r="AB264" s="90"/>
      <c r="AC264" s="93"/>
      <c r="AD264" s="90"/>
      <c r="AE264" s="90"/>
      <c r="AF264" s="90"/>
      <c r="AG264" s="92"/>
      <c r="AH264" s="93"/>
      <c r="AI264" s="93"/>
      <c r="AJ264" s="93"/>
      <c r="AK264" s="93"/>
      <c r="AL264" s="93"/>
      <c r="AM264" s="93"/>
      <c r="AN264" s="94"/>
      <c r="AO264" s="95"/>
      <c r="AP264" s="95" t="str">
        <f t="shared" ref="AP264:AP265" si="23">"file://"&amp;$E264&amp;"-state1-image0"</f>
        <v>file://actionLootLocation11-state1-image0</v>
      </c>
      <c r="AQ264" s="95"/>
      <c r="AR264" s="94"/>
      <c r="AS264" s="95"/>
      <c r="AT264" s="95"/>
      <c r="AU264" s="95"/>
      <c r="AV264" s="95"/>
      <c r="AW264" s="92"/>
      <c r="AX264" s="93"/>
      <c r="AY264" s="93"/>
      <c r="AZ264" s="93"/>
      <c r="BA264" s="93"/>
      <c r="BB264" s="93"/>
      <c r="BC264" s="93"/>
      <c r="BD264" s="168"/>
      <c r="BE264" s="97"/>
      <c r="BF264" s="98"/>
      <c r="BG264" s="97"/>
      <c r="BH264" s="168"/>
      <c r="BI264" s="97"/>
      <c r="BJ264" s="93"/>
      <c r="BK264" s="93"/>
      <c r="BL264" s="97"/>
      <c r="BM264" s="93"/>
      <c r="BN264" s="97"/>
      <c r="BO264" s="93"/>
      <c r="BP264" s="93"/>
      <c r="BQ264" s="93"/>
      <c r="BR264" s="93"/>
      <c r="BS264" s="93"/>
      <c r="BT264" s="93"/>
      <c r="BU264" s="93"/>
      <c r="BV264" s="113"/>
      <c r="BW264" s="82"/>
      <c r="BX264" s="82"/>
      <c r="BY264" s="82"/>
      <c r="BZ264" s="84" t="s">
        <v>816</v>
      </c>
      <c r="CA264" s="100" t="str">
        <f ca="1">IFERROR(__xludf.DUMMYFUNCTION("IF(REGEXMATCH(Catalog_RewardType,""reward""), VLOOKUP($E264, {'TitleData rewards.items'!$J$9:$J416,'TitleData rewards.items'!$B$9:$B416}, 2, FALSE), """")"),"")</f>
        <v/>
      </c>
    </row>
    <row r="265" spans="1:79" ht="42" hidden="1" x14ac:dyDescent="0.15">
      <c r="A265" s="82" t="s">
        <v>269</v>
      </c>
      <c r="B265" s="83" t="b">
        <v>1</v>
      </c>
      <c r="C265" s="82" t="s">
        <v>1549</v>
      </c>
      <c r="D265" s="85" t="b">
        <f>VLOOKUP($C265, '_REF Catalog Classes'!$C$6:$D416, COLUMNS('_REF Catalog Classes'!$C$6:$D416), FALSE)</f>
        <v>1</v>
      </c>
      <c r="E265" s="82" t="s">
        <v>1651</v>
      </c>
      <c r="F265" s="82" t="str">
        <f t="shared" si="21"/>
        <v>lootTap11:TRUE</v>
      </c>
      <c r="G265" s="86" t="s">
        <v>1652</v>
      </c>
      <c r="H265" s="86" t="s">
        <v>1653</v>
      </c>
      <c r="I265" s="82" t="s">
        <v>274</v>
      </c>
      <c r="J265" s="86"/>
      <c r="K265" s="93"/>
      <c r="L265" s="223" t="s">
        <v>857</v>
      </c>
      <c r="M265" s="86"/>
      <c r="N265" s="101" t="s">
        <v>1553</v>
      </c>
      <c r="O265" s="82"/>
      <c r="P265" s="82">
        <v>11</v>
      </c>
      <c r="Q265" s="88"/>
      <c r="R265" s="82"/>
      <c r="S265" s="82"/>
      <c r="T265" s="82"/>
      <c r="U265" s="82"/>
      <c r="V265" s="82"/>
      <c r="W265" s="89">
        <v>0</v>
      </c>
      <c r="X265" s="90" t="s">
        <v>37</v>
      </c>
      <c r="Y265" s="90" t="str">
        <f t="shared" si="22"/>
        <v>file://lootTap11-state0-image0</v>
      </c>
      <c r="Z265" s="90"/>
      <c r="AA265" s="91" t="s">
        <v>283</v>
      </c>
      <c r="AB265" s="90" t="s">
        <v>1654</v>
      </c>
      <c r="AC265" s="93"/>
      <c r="AD265" s="90" t="s">
        <v>1655</v>
      </c>
      <c r="AE265" s="90" t="s">
        <v>1557</v>
      </c>
      <c r="AF265" s="90" t="s">
        <v>448</v>
      </c>
      <c r="AG265" s="92"/>
      <c r="AH265" s="93"/>
      <c r="AI265" s="93"/>
      <c r="AJ265" s="93"/>
      <c r="AK265" s="93"/>
      <c r="AL265" s="93"/>
      <c r="AM265" s="93"/>
      <c r="AN265" s="94"/>
      <c r="AO265" s="95"/>
      <c r="AP265" s="95" t="str">
        <f t="shared" si="23"/>
        <v>file://lootTap11-state1-image0</v>
      </c>
      <c r="AQ265" s="95"/>
      <c r="AR265" s="94"/>
      <c r="AS265" s="95"/>
      <c r="AT265" s="95"/>
      <c r="AU265" s="95"/>
      <c r="AV265" s="95"/>
      <c r="AW265" s="92"/>
      <c r="AX265" s="93"/>
      <c r="AY265" s="93"/>
      <c r="AZ265" s="93"/>
      <c r="BA265" s="93"/>
      <c r="BB265" s="93"/>
      <c r="BC265" s="93"/>
      <c r="BD265" s="96">
        <v>2</v>
      </c>
      <c r="BE265" s="97" t="s">
        <v>38</v>
      </c>
      <c r="BF265" s="98"/>
      <c r="BG265" s="97"/>
      <c r="BH265" s="97" t="s">
        <v>283</v>
      </c>
      <c r="BI265" s="97" t="s">
        <v>1656</v>
      </c>
      <c r="BJ265" s="93"/>
      <c r="BK265" s="93"/>
      <c r="BL265" s="97" t="s">
        <v>1657</v>
      </c>
      <c r="BM265" s="97" t="s">
        <v>1557</v>
      </c>
      <c r="BN265" s="97" t="s">
        <v>448</v>
      </c>
      <c r="BO265" s="93"/>
      <c r="BP265" s="93"/>
      <c r="BQ265" s="93"/>
      <c r="BR265" s="93"/>
      <c r="BS265" s="93"/>
      <c r="BT265" s="93"/>
      <c r="BU265" s="93"/>
      <c r="BV265" s="99" t="s">
        <v>1658</v>
      </c>
      <c r="BW265" s="86" t="str">
        <f>VLOOKUP($C265, '_REF Catalog Classes'!$C$6:$E416, COLUMNS('_REF Catalog Classes'!$C$6:$E416), FALSE)</f>
        <v>always</v>
      </c>
      <c r="BX265" s="100">
        <v>2000</v>
      </c>
      <c r="BY265" s="100" t="s">
        <v>1560</v>
      </c>
      <c r="BZ265" s="86" t="s">
        <v>322</v>
      </c>
      <c r="CA265" s="100" t="str">
        <f ca="1">IFERROR(__xludf.DUMMYFUNCTION("IF(REGEXMATCH(Catalog_RewardType,""reward""), VLOOKUP($E265, {'TitleData rewards.items'!$J$9:$J416,'TitleData rewards.items'!$B$9:$B416}, 2, FALSE), """")"),"#N/A")</f>
        <v>#N/A</v>
      </c>
    </row>
    <row r="266" spans="1:79" ht="28" hidden="1" x14ac:dyDescent="0.15">
      <c r="A266" s="82" t="s">
        <v>491</v>
      </c>
      <c r="B266" s="83"/>
      <c r="C266" s="82" t="s">
        <v>811</v>
      </c>
      <c r="D266" s="85" t="b">
        <f>VLOOKUP($C266, '_REF Catalog Classes'!$C$6:$D416, COLUMNS('_REF Catalog Classes'!$C$6:$D416), FALSE)</f>
        <v>1</v>
      </c>
      <c r="E266" s="82" t="s">
        <v>1659</v>
      </c>
      <c r="F266" s="82" t="str">
        <f t="shared" si="21"/>
        <v>actionLootLocation12:</v>
      </c>
      <c r="G266" s="106" t="s">
        <v>904</v>
      </c>
      <c r="H266" s="86" t="s">
        <v>1660</v>
      </c>
      <c r="I266" s="82" t="s">
        <v>815</v>
      </c>
      <c r="J266" s="82" t="s">
        <v>275</v>
      </c>
      <c r="K266" s="108"/>
      <c r="L266" s="82"/>
      <c r="M266" s="82"/>
      <c r="N266" s="101"/>
      <c r="O266" s="82"/>
      <c r="P266" s="82"/>
      <c r="Q266" s="88"/>
      <c r="R266" s="82"/>
      <c r="S266" s="82"/>
      <c r="T266" s="82"/>
      <c r="U266" s="82"/>
      <c r="V266" s="82"/>
      <c r="W266" s="89"/>
      <c r="X266" s="90"/>
      <c r="Y266" s="90"/>
      <c r="Z266" s="90"/>
      <c r="AA266" s="89"/>
      <c r="AB266" s="90"/>
      <c r="AC266" s="93"/>
      <c r="AD266" s="90"/>
      <c r="AE266" s="90"/>
      <c r="AF266" s="90"/>
      <c r="AG266" s="92"/>
      <c r="AH266" s="93"/>
      <c r="AI266" s="93"/>
      <c r="AJ266" s="93"/>
      <c r="AK266" s="93"/>
      <c r="AL266" s="93"/>
      <c r="AM266" s="93"/>
      <c r="AN266" s="94"/>
      <c r="AO266" s="95"/>
      <c r="AP266" s="95"/>
      <c r="AQ266" s="95"/>
      <c r="AR266" s="94"/>
      <c r="AS266" s="95"/>
      <c r="AT266" s="95"/>
      <c r="AU266" s="95"/>
      <c r="AV266" s="95"/>
      <c r="AW266" s="92"/>
      <c r="AX266" s="93"/>
      <c r="AY266" s="93"/>
      <c r="AZ266" s="93"/>
      <c r="BA266" s="93"/>
      <c r="BB266" s="93"/>
      <c r="BC266" s="93"/>
      <c r="BD266" s="168"/>
      <c r="BE266" s="97"/>
      <c r="BF266" s="98"/>
      <c r="BG266" s="97"/>
      <c r="BH266" s="168"/>
      <c r="BI266" s="97"/>
      <c r="BJ266" s="93"/>
      <c r="BK266" s="93"/>
      <c r="BL266" s="97"/>
      <c r="BM266" s="93"/>
      <c r="BN266" s="97"/>
      <c r="BO266" s="93"/>
      <c r="BP266" s="93"/>
      <c r="BQ266" s="93"/>
      <c r="BR266" s="93"/>
      <c r="BS266" s="93"/>
      <c r="BT266" s="93"/>
      <c r="BU266" s="93"/>
      <c r="BV266" s="113"/>
      <c r="BW266" s="82"/>
      <c r="BX266" s="82"/>
      <c r="BY266" s="82"/>
      <c r="BZ266" s="84" t="s">
        <v>816</v>
      </c>
      <c r="CA266" s="100" t="str">
        <f ca="1">IFERROR(__xludf.DUMMYFUNCTION("IF(REGEXMATCH(Catalog_RewardType,""reward""), VLOOKUP($E266, {'TitleData rewards.items'!$J$9:$J416,'TitleData rewards.items'!$B$9:$B416}, 2, FALSE), """")"),"")</f>
        <v/>
      </c>
    </row>
    <row r="267" spans="1:79" ht="28" x14ac:dyDescent="0.15">
      <c r="A267" s="82" t="s">
        <v>491</v>
      </c>
      <c r="B267" s="83"/>
      <c r="C267" s="82" t="s">
        <v>1549</v>
      </c>
      <c r="D267" s="85" t="b">
        <f>VLOOKUP($C267, '_REF Catalog Classes'!$C$6:$D416, COLUMNS('_REF Catalog Classes'!$C$6:$D416), FALSE)</f>
        <v>1</v>
      </c>
      <c r="E267" s="82" t="s">
        <v>1661</v>
      </c>
      <c r="F267" s="82" t="str">
        <f t="shared" si="21"/>
        <v>lootTap12:</v>
      </c>
      <c r="G267" s="86" t="s">
        <v>1662</v>
      </c>
      <c r="H267" s="86" t="s">
        <v>1663</v>
      </c>
      <c r="I267" s="82" t="s">
        <v>274</v>
      </c>
      <c r="J267" s="86"/>
      <c r="K267" s="86"/>
      <c r="L267" s="223" t="s">
        <v>857</v>
      </c>
      <c r="M267" s="86"/>
      <c r="N267" s="101" t="s">
        <v>1553</v>
      </c>
      <c r="O267" s="82"/>
      <c r="P267" s="82">
        <v>12</v>
      </c>
      <c r="Q267" s="88"/>
      <c r="R267" s="82"/>
      <c r="S267" s="82"/>
      <c r="T267" s="82"/>
      <c r="U267" s="82"/>
      <c r="V267" s="82"/>
      <c r="W267" s="89">
        <v>0</v>
      </c>
      <c r="X267" s="90" t="s">
        <v>37</v>
      </c>
      <c r="Y267" s="90" t="s">
        <v>1664</v>
      </c>
      <c r="Z267" s="90"/>
      <c r="AA267" s="91" t="s">
        <v>283</v>
      </c>
      <c r="AB267" s="90" t="s">
        <v>1665</v>
      </c>
      <c r="AC267" s="93"/>
      <c r="AD267" s="90" t="s">
        <v>1666</v>
      </c>
      <c r="AE267" s="90" t="s">
        <v>1557</v>
      </c>
      <c r="AF267" s="90" t="s">
        <v>448</v>
      </c>
      <c r="AG267" s="92"/>
      <c r="AH267" s="93"/>
      <c r="AI267" s="93"/>
      <c r="AJ267" s="93"/>
      <c r="AK267" s="93"/>
      <c r="AL267" s="93"/>
      <c r="AM267" s="93"/>
      <c r="AN267" s="94"/>
      <c r="AO267" s="95"/>
      <c r="AP267" s="95"/>
      <c r="AQ267" s="95"/>
      <c r="AR267" s="94"/>
      <c r="AS267" s="95"/>
      <c r="AT267" s="95"/>
      <c r="AU267" s="95"/>
      <c r="AV267" s="95"/>
      <c r="AW267" s="92"/>
      <c r="AX267" s="93"/>
      <c r="AY267" s="93"/>
      <c r="AZ267" s="93"/>
      <c r="BA267" s="93"/>
      <c r="BB267" s="93"/>
      <c r="BC267" s="93"/>
      <c r="BD267" s="96">
        <v>2</v>
      </c>
      <c r="BE267" s="97" t="s">
        <v>38</v>
      </c>
      <c r="BF267" s="98" t="s">
        <v>1664</v>
      </c>
      <c r="BG267" s="97"/>
      <c r="BH267" s="97" t="s">
        <v>283</v>
      </c>
      <c r="BI267" s="97" t="s">
        <v>1665</v>
      </c>
      <c r="BJ267" s="93"/>
      <c r="BK267" s="93"/>
      <c r="BL267" s="97" t="s">
        <v>1667</v>
      </c>
      <c r="BM267" s="97" t="s">
        <v>1557</v>
      </c>
      <c r="BN267" s="97" t="s">
        <v>448</v>
      </c>
      <c r="BO267" s="93"/>
      <c r="BP267" s="93"/>
      <c r="BQ267" s="93"/>
      <c r="BR267" s="93"/>
      <c r="BS267" s="93"/>
      <c r="BT267" s="93"/>
      <c r="BU267" s="93"/>
      <c r="BV267" s="99" t="s">
        <v>1668</v>
      </c>
      <c r="BW267" s="86" t="str">
        <f>VLOOKUP($C267, '_REF Catalog Classes'!$C$6:$E416, COLUMNS('_REF Catalog Classes'!$C$6:$E416), FALSE)</f>
        <v>always</v>
      </c>
      <c r="BX267" s="100">
        <v>2000</v>
      </c>
      <c r="BY267" s="100" t="s">
        <v>1560</v>
      </c>
      <c r="BZ267" s="86" t="s">
        <v>322</v>
      </c>
      <c r="CA267" s="100" t="b">
        <f ca="1">IFERROR(__xludf.DUMMYFUNCTION("IF(REGEXMATCH(Catalog_RewardType,""reward""), VLOOKUP($E267, {'TitleData rewards.items'!$J$9:$J416,'TitleData rewards.items'!$B$9:$B416}, 2, FALSE), """")"),FALSE)</f>
        <v>0</v>
      </c>
    </row>
    <row r="268" spans="1:79" ht="42" hidden="1" x14ac:dyDescent="0.15">
      <c r="A268" s="82" t="s">
        <v>491</v>
      </c>
      <c r="B268" s="83" t="b">
        <v>1</v>
      </c>
      <c r="C268" s="82" t="s">
        <v>811</v>
      </c>
      <c r="D268" s="85" t="b">
        <f>VLOOKUP($C268, '_REF Catalog Classes'!$C$6:$D416, COLUMNS('_REF Catalog Classes'!$C$6:$D416), FALSE)</f>
        <v>1</v>
      </c>
      <c r="E268" s="82" t="s">
        <v>1669</v>
      </c>
      <c r="F268" s="82" t="str">
        <f t="shared" si="21"/>
        <v>actionLootLocation30:TRUE</v>
      </c>
      <c r="G268" s="106" t="s">
        <v>904</v>
      </c>
      <c r="H268" s="217" t="s">
        <v>1670</v>
      </c>
      <c r="I268" s="82" t="s">
        <v>815</v>
      </c>
      <c r="J268" s="82" t="s">
        <v>275</v>
      </c>
      <c r="K268" s="82" t="s">
        <v>275</v>
      </c>
      <c r="L268" s="82"/>
      <c r="M268" s="82"/>
      <c r="N268" s="101"/>
      <c r="O268" s="82"/>
      <c r="P268" s="82"/>
      <c r="Q268" s="88"/>
      <c r="R268" s="82"/>
      <c r="S268" s="82"/>
      <c r="T268" s="82"/>
      <c r="U268" s="82"/>
      <c r="V268" s="82"/>
      <c r="W268" s="89"/>
      <c r="X268" s="90"/>
      <c r="Y268" s="90" t="str">
        <f t="shared" ref="Y268:Y270" si="24">"file://"&amp;$E268&amp;"-state0-image0"</f>
        <v>file://actionLootLocation30-state0-image0</v>
      </c>
      <c r="Z268" s="90"/>
      <c r="AA268" s="89"/>
      <c r="AB268" s="90"/>
      <c r="AC268" s="90"/>
      <c r="AD268" s="90"/>
      <c r="AE268" s="90"/>
      <c r="AF268" s="90"/>
      <c r="AG268" s="92"/>
      <c r="AH268" s="93"/>
      <c r="AI268" s="93"/>
      <c r="AJ268" s="93"/>
      <c r="AK268" s="93"/>
      <c r="AL268" s="93"/>
      <c r="AM268" s="93"/>
      <c r="AN268" s="94"/>
      <c r="AO268" s="95"/>
      <c r="AP268" s="95" t="str">
        <f t="shared" ref="AP268:AP270" si="25">"file://"&amp;$E268&amp;"-state1-image0"</f>
        <v>file://actionLootLocation30-state1-image0</v>
      </c>
      <c r="AQ268" s="95"/>
      <c r="AR268" s="94"/>
      <c r="AS268" s="95"/>
      <c r="AT268" s="95"/>
      <c r="AU268" s="95"/>
      <c r="AV268" s="95"/>
      <c r="AW268" s="92"/>
      <c r="AX268" s="93"/>
      <c r="AY268" s="93"/>
      <c r="AZ268" s="93"/>
      <c r="BA268" s="93"/>
      <c r="BB268" s="93"/>
      <c r="BC268" s="93"/>
      <c r="BD268" s="168"/>
      <c r="BE268" s="97"/>
      <c r="BF268" s="98"/>
      <c r="BG268" s="97"/>
      <c r="BH268" s="168"/>
      <c r="BI268" s="97"/>
      <c r="BJ268" s="97"/>
      <c r="BK268" s="97"/>
      <c r="BL268" s="97"/>
      <c r="BM268" s="97"/>
      <c r="BN268" s="97"/>
      <c r="BO268" s="93"/>
      <c r="BP268" s="93"/>
      <c r="BQ268" s="93"/>
      <c r="BR268" s="93"/>
      <c r="BS268" s="93"/>
      <c r="BT268" s="93"/>
      <c r="BU268" s="93"/>
      <c r="BV268" s="113"/>
      <c r="BW268" s="82"/>
      <c r="BX268" s="82"/>
      <c r="BY268" s="82"/>
      <c r="BZ268" s="82"/>
      <c r="CA268" s="100" t="str">
        <f ca="1">IFERROR(__xludf.DUMMYFUNCTION("IF(REGEXMATCH(Catalog_RewardType,""reward""), VLOOKUP($E268, {'TitleData rewards.items'!$J$9:$J416,'TitleData rewards.items'!$B$9:$B416}, 2, FALSE), """")"),"")</f>
        <v/>
      </c>
    </row>
    <row r="269" spans="1:79" ht="42" hidden="1" x14ac:dyDescent="0.15">
      <c r="A269" s="82" t="s">
        <v>314</v>
      </c>
      <c r="B269" s="83" t="b">
        <v>1</v>
      </c>
      <c r="C269" s="82" t="s">
        <v>808</v>
      </c>
      <c r="D269" s="85" t="b">
        <f>VLOOKUP($C269, '_REF Catalog Classes'!$C$6:$D416, COLUMNS('_REF Catalog Classes'!$C$6:$D416), FALSE)</f>
        <v>1</v>
      </c>
      <c r="E269" s="82" t="s">
        <v>1671</v>
      </c>
      <c r="F269" s="82" t="str">
        <f t="shared" si="21"/>
        <v>achievementPlayBlasterAccuracy:TRUE</v>
      </c>
      <c r="G269" s="86" t="s">
        <v>1672</v>
      </c>
      <c r="H269" s="82" t="s">
        <v>819</v>
      </c>
      <c r="I269" s="82" t="s">
        <v>274</v>
      </c>
      <c r="J269" s="82"/>
      <c r="K269" s="82"/>
      <c r="L269" s="82"/>
      <c r="M269" s="86" t="s">
        <v>820</v>
      </c>
      <c r="N269" s="107"/>
      <c r="O269" s="108"/>
      <c r="P269" s="82">
        <v>136</v>
      </c>
      <c r="Q269" s="88"/>
      <c r="R269" s="82"/>
      <c r="S269" s="82"/>
      <c r="T269" s="82"/>
      <c r="U269" s="82"/>
      <c r="V269" s="82"/>
      <c r="W269" s="89">
        <v>0</v>
      </c>
      <c r="X269" s="90" t="s">
        <v>37</v>
      </c>
      <c r="Y269" s="90" t="str">
        <f t="shared" si="24"/>
        <v>file://achievementPlayBlasterAccuracy-state0-image0</v>
      </c>
      <c r="Z269" s="90"/>
      <c r="AA269" s="91" t="s">
        <v>283</v>
      </c>
      <c r="AB269" s="90" t="s">
        <v>821</v>
      </c>
      <c r="AC269" s="90"/>
      <c r="AD269" s="162" t="s">
        <v>822</v>
      </c>
      <c r="AE269" s="90"/>
      <c r="AF269" s="90"/>
      <c r="AG269" s="92"/>
      <c r="AH269" s="93"/>
      <c r="AI269" s="93"/>
      <c r="AJ269" s="93"/>
      <c r="AK269" s="93"/>
      <c r="AL269" s="93"/>
      <c r="AM269" s="93"/>
      <c r="AN269" s="94"/>
      <c r="AO269" s="95"/>
      <c r="AP269" s="95" t="str">
        <f t="shared" si="25"/>
        <v>file://achievementPlayBlasterAccuracy-state1-image0</v>
      </c>
      <c r="AQ269" s="95"/>
      <c r="AR269" s="94"/>
      <c r="AS269" s="95"/>
      <c r="AT269" s="95"/>
      <c r="AU269" s="95"/>
      <c r="AV269" s="95"/>
      <c r="AW269" s="92"/>
      <c r="AX269" s="93"/>
      <c r="AY269" s="93"/>
      <c r="AZ269" s="93"/>
      <c r="BA269" s="93"/>
      <c r="BB269" s="93"/>
      <c r="BC269" s="93"/>
      <c r="BD269" s="184">
        <v>2</v>
      </c>
      <c r="BE269" s="167" t="s">
        <v>823</v>
      </c>
      <c r="BF269" s="98"/>
      <c r="BG269" s="97"/>
      <c r="BH269" s="97" t="s">
        <v>283</v>
      </c>
      <c r="BI269" s="97" t="s">
        <v>821</v>
      </c>
      <c r="BJ269" s="97"/>
      <c r="BK269" s="97"/>
      <c r="BL269" s="97" t="s">
        <v>1673</v>
      </c>
      <c r="BM269" s="97"/>
      <c r="BN269" s="97"/>
      <c r="BO269" s="93"/>
      <c r="BP269" s="93"/>
      <c r="BQ269" s="93"/>
      <c r="BR269" s="93"/>
      <c r="BS269" s="93"/>
      <c r="BT269" s="93"/>
      <c r="BU269" s="93"/>
      <c r="BV269" s="222" t="s">
        <v>1674</v>
      </c>
      <c r="BW269" s="86" t="str">
        <f>VLOOKUP($C269, '_REF Catalog Classes'!$C$6:$E416, COLUMNS('_REF Catalog Classes'!$C$6:$E416), FALSE)</f>
        <v>never</v>
      </c>
      <c r="BX269" s="95"/>
      <c r="BY269" s="95"/>
      <c r="BZ269" s="95" t="s">
        <v>322</v>
      </c>
      <c r="CA269" s="100" t="str">
        <f ca="1">IFERROR(__xludf.DUMMYFUNCTION("IF(REGEXMATCH(Catalog_RewardType,""reward""), VLOOKUP($E269, {'TitleData rewards.items'!$J$9:$J416,'TitleData rewards.items'!$B$9:$B416}, 2, FALSE), """")"),"#N/A")</f>
        <v>#N/A</v>
      </c>
    </row>
    <row r="270" spans="1:79" ht="28" hidden="1" x14ac:dyDescent="0.15">
      <c r="A270" s="82" t="s">
        <v>314</v>
      </c>
      <c r="B270" s="83" t="b">
        <v>1</v>
      </c>
      <c r="C270" s="82" t="s">
        <v>1549</v>
      </c>
      <c r="D270" s="85" t="b">
        <f>VLOOKUP($C270, '_REF Catalog Classes'!$C$6:$D416, COLUMNS('_REF Catalog Classes'!$C$6:$D416), FALSE)</f>
        <v>1</v>
      </c>
      <c r="E270" s="82" t="s">
        <v>1675</v>
      </c>
      <c r="F270" s="82" t="str">
        <f t="shared" si="21"/>
        <v>lootUnicornReplacement:TRUE</v>
      </c>
      <c r="G270" s="217" t="s">
        <v>1676</v>
      </c>
      <c r="H270" s="86" t="s">
        <v>1115</v>
      </c>
      <c r="I270" s="82" t="s">
        <v>847</v>
      </c>
      <c r="J270" s="82" t="s">
        <v>1677</v>
      </c>
      <c r="K270" s="82"/>
      <c r="L270" s="82" t="s">
        <v>857</v>
      </c>
      <c r="M270" s="86"/>
      <c r="N270" s="101" t="s">
        <v>1678</v>
      </c>
      <c r="O270" s="82"/>
      <c r="P270" s="82">
        <v>2</v>
      </c>
      <c r="Q270" s="88"/>
      <c r="R270" s="82"/>
      <c r="S270" s="82"/>
      <c r="T270" s="82"/>
      <c r="U270" s="82"/>
      <c r="V270" s="82"/>
      <c r="W270" s="89">
        <v>0</v>
      </c>
      <c r="X270" s="90" t="s">
        <v>37</v>
      </c>
      <c r="Y270" s="90" t="str">
        <f t="shared" si="24"/>
        <v>file://lootUnicornReplacement-state0-image0</v>
      </c>
      <c r="Z270" s="162"/>
      <c r="AA270" s="91" t="s">
        <v>283</v>
      </c>
      <c r="AB270" s="162" t="s">
        <v>1676</v>
      </c>
      <c r="AC270" s="162"/>
      <c r="AD270" s="162" t="s">
        <v>1679</v>
      </c>
      <c r="AE270" s="90" t="s">
        <v>1680</v>
      </c>
      <c r="AF270" s="162" t="s">
        <v>1681</v>
      </c>
      <c r="AG270" s="164"/>
      <c r="AH270" s="108"/>
      <c r="AI270" s="108"/>
      <c r="AJ270" s="108"/>
      <c r="AK270" s="108"/>
      <c r="AL270" s="108"/>
      <c r="AM270" s="108"/>
      <c r="AN270" s="94"/>
      <c r="AO270" s="95"/>
      <c r="AP270" s="95" t="str">
        <f t="shared" si="25"/>
        <v>file://lootUnicornReplacement-state1-image0</v>
      </c>
      <c r="AQ270" s="95"/>
      <c r="AR270" s="94"/>
      <c r="AS270" s="95"/>
      <c r="AT270" s="206"/>
      <c r="AU270" s="206"/>
      <c r="AV270" s="206"/>
      <c r="AW270" s="164"/>
      <c r="AX270" s="108"/>
      <c r="AY270" s="108"/>
      <c r="AZ270" s="108"/>
      <c r="BA270" s="108"/>
      <c r="BB270" s="108"/>
      <c r="BC270" s="108"/>
      <c r="BD270" s="96">
        <v>2</v>
      </c>
      <c r="BE270" s="97" t="s">
        <v>38</v>
      </c>
      <c r="BF270" s="98"/>
      <c r="BG270" s="97"/>
      <c r="BH270" s="97" t="s">
        <v>283</v>
      </c>
      <c r="BI270" s="97" t="s">
        <v>1682</v>
      </c>
      <c r="BJ270" s="167"/>
      <c r="BK270" s="97"/>
      <c r="BL270" s="167" t="s">
        <v>1683</v>
      </c>
      <c r="BM270" s="97" t="s">
        <v>1684</v>
      </c>
      <c r="BN270" s="167" t="s">
        <v>1681</v>
      </c>
      <c r="BO270" s="108"/>
      <c r="BP270" s="108"/>
      <c r="BQ270" s="108"/>
      <c r="BR270" s="108"/>
      <c r="BS270" s="108"/>
      <c r="BT270" s="108"/>
      <c r="BU270" s="108"/>
      <c r="BV270" s="113"/>
      <c r="BW270" s="82"/>
      <c r="BX270" s="82"/>
      <c r="BY270" s="82"/>
      <c r="BZ270" s="82"/>
      <c r="CA270" s="100" t="str">
        <f ca="1">IFERROR(__xludf.DUMMYFUNCTION("IF(REGEXMATCH(Catalog_RewardType,""reward""), VLOOKUP($E270, {'TitleData rewards.items'!$J$9:$J416,'TitleData rewards.items'!$B$9:$B416}, 2, FALSE), """")"),"")</f>
        <v/>
      </c>
    </row>
    <row r="271" spans="1:79" ht="28" x14ac:dyDescent="0.15">
      <c r="A271" s="82" t="s">
        <v>269</v>
      </c>
      <c r="B271" s="83"/>
      <c r="C271" s="82" t="s">
        <v>1549</v>
      </c>
      <c r="D271" s="85" t="b">
        <f>VLOOKUP($C271, '_REF Catalog Classes'!$C$6:$D416, COLUMNS('_REF Catalog Classes'!$C$6:$D416), FALSE)</f>
        <v>1</v>
      </c>
      <c r="E271" s="82" t="s">
        <v>1685</v>
      </c>
      <c r="F271" s="82" t="str">
        <f t="shared" si="21"/>
        <v>lootV6common:</v>
      </c>
      <c r="G271" s="177" t="s">
        <v>1686</v>
      </c>
      <c r="H271" s="177" t="s">
        <v>1687</v>
      </c>
      <c r="I271" s="82" t="s">
        <v>847</v>
      </c>
      <c r="J271" s="82" t="s">
        <v>1677</v>
      </c>
      <c r="K271" s="82"/>
      <c r="L271" s="82" t="s">
        <v>857</v>
      </c>
      <c r="M271" s="86"/>
      <c r="N271" s="101" t="s">
        <v>1678</v>
      </c>
      <c r="O271" s="82"/>
      <c r="P271" s="82">
        <v>1</v>
      </c>
      <c r="Q271" s="88"/>
      <c r="R271" s="82"/>
      <c r="S271" s="82"/>
      <c r="T271" s="82"/>
      <c r="U271" s="82"/>
      <c r="V271" s="82"/>
      <c r="W271" s="89">
        <v>0</v>
      </c>
      <c r="X271" s="90" t="s">
        <v>37</v>
      </c>
      <c r="Y271" s="90" t="s">
        <v>1688</v>
      </c>
      <c r="Z271" s="162"/>
      <c r="AA271" s="91" t="s">
        <v>283</v>
      </c>
      <c r="AB271" s="162" t="s">
        <v>1689</v>
      </c>
      <c r="AC271" s="162"/>
      <c r="AD271" s="162" t="s">
        <v>1690</v>
      </c>
      <c r="AE271" s="90" t="s">
        <v>1691</v>
      </c>
      <c r="AF271" s="162" t="s">
        <v>448</v>
      </c>
      <c r="AG271" s="164"/>
      <c r="AH271" s="108"/>
      <c r="AI271" s="108"/>
      <c r="AJ271" s="108"/>
      <c r="AK271" s="108"/>
      <c r="AL271" s="108"/>
      <c r="AM271" s="108"/>
      <c r="AN271" s="94"/>
      <c r="AO271" s="95"/>
      <c r="AP271" s="95"/>
      <c r="AQ271" s="95"/>
      <c r="AR271" s="94"/>
      <c r="AS271" s="95"/>
      <c r="AT271" s="206"/>
      <c r="AU271" s="206"/>
      <c r="AV271" s="206"/>
      <c r="AW271" s="164"/>
      <c r="AX271" s="108"/>
      <c r="AY271" s="108"/>
      <c r="AZ271" s="108"/>
      <c r="BA271" s="108"/>
      <c r="BB271" s="108"/>
      <c r="BC271" s="108"/>
      <c r="BD271" s="96">
        <v>2</v>
      </c>
      <c r="BE271" s="97" t="s">
        <v>38</v>
      </c>
      <c r="BF271" s="98" t="s">
        <v>1688</v>
      </c>
      <c r="BG271" s="97"/>
      <c r="BH271" s="97" t="s">
        <v>283</v>
      </c>
      <c r="BI271" s="97" t="s">
        <v>1689</v>
      </c>
      <c r="BJ271" s="108"/>
      <c r="BK271" s="93"/>
      <c r="BL271" s="167" t="s">
        <v>1692</v>
      </c>
      <c r="BM271" s="97" t="s">
        <v>1691</v>
      </c>
      <c r="BN271" s="167" t="s">
        <v>448</v>
      </c>
      <c r="BO271" s="108"/>
      <c r="BP271" s="108"/>
      <c r="BQ271" s="108"/>
      <c r="BR271" s="108"/>
      <c r="BS271" s="108"/>
      <c r="BT271" s="108"/>
      <c r="BU271" s="108"/>
      <c r="BV271" s="113"/>
      <c r="BW271" s="86" t="str">
        <f>VLOOKUP($C271, '_REF Catalog Classes'!$C$6:$E416, COLUMNS('_REF Catalog Classes'!$C$6:$E416), FALSE)</f>
        <v>always</v>
      </c>
      <c r="BX271" s="226">
        <v>100</v>
      </c>
      <c r="BY271" s="226" t="s">
        <v>1693</v>
      </c>
      <c r="BZ271" s="84" t="s">
        <v>850</v>
      </c>
      <c r="CA271" s="100" t="str">
        <f ca="1">IFERROR(__xludf.DUMMYFUNCTION("IF(REGEXMATCH(Catalog_RewardType,""reward""), VLOOKUP($E271, {'TitleData rewards.items'!$J$9:$J416,'TitleData rewards.items'!$B$9:$B416}, 2, FALSE), """")"),"")</f>
        <v/>
      </c>
    </row>
    <row r="272" spans="1:79" ht="28" hidden="1" x14ac:dyDescent="0.15">
      <c r="A272" s="82" t="s">
        <v>491</v>
      </c>
      <c r="B272" s="83" t="b">
        <v>1</v>
      </c>
      <c r="C272" s="82" t="s">
        <v>811</v>
      </c>
      <c r="D272" s="85" t="b">
        <f>VLOOKUP($C272, '_REF Catalog Classes'!$C$6:$D416, COLUMNS('_REF Catalog Classes'!$C$6:$D416), FALSE)</f>
        <v>1</v>
      </c>
      <c r="E272" s="82" t="s">
        <v>1694</v>
      </c>
      <c r="F272" s="82" t="str">
        <f t="shared" si="21"/>
        <v>actionLootLocation19:TRUE</v>
      </c>
      <c r="G272" s="106" t="s">
        <v>904</v>
      </c>
      <c r="H272" s="86" t="s">
        <v>1115</v>
      </c>
      <c r="I272" s="82" t="s">
        <v>815</v>
      </c>
      <c r="J272" s="82" t="s">
        <v>275</v>
      </c>
      <c r="K272" s="82" t="s">
        <v>275</v>
      </c>
      <c r="L272" s="82"/>
      <c r="M272" s="82"/>
      <c r="N272" s="101"/>
      <c r="O272" s="82"/>
      <c r="P272" s="82"/>
      <c r="Q272" s="88"/>
      <c r="R272" s="82"/>
      <c r="S272" s="82"/>
      <c r="T272" s="82"/>
      <c r="U272" s="82"/>
      <c r="V272" s="82"/>
      <c r="W272" s="89"/>
      <c r="X272" s="90"/>
      <c r="Y272" s="90" t="str">
        <f>"file://"&amp;$E272&amp;"-state0-image0"</f>
        <v>file://actionLootLocation19-state0-image0</v>
      </c>
      <c r="Z272" s="90"/>
      <c r="AA272" s="89"/>
      <c r="AB272" s="90"/>
      <c r="AC272" s="90"/>
      <c r="AD272" s="90"/>
      <c r="AE272" s="90"/>
      <c r="AF272" s="90"/>
      <c r="AG272" s="92"/>
      <c r="AH272" s="93"/>
      <c r="AI272" s="93"/>
      <c r="AJ272" s="93"/>
      <c r="AK272" s="93"/>
      <c r="AL272" s="93"/>
      <c r="AM272" s="93"/>
      <c r="AN272" s="94"/>
      <c r="AO272" s="95"/>
      <c r="AP272" s="95" t="str">
        <f>"file://"&amp;$E272&amp;"-state1-image0"</f>
        <v>file://actionLootLocation19-state1-image0</v>
      </c>
      <c r="AQ272" s="95"/>
      <c r="AR272" s="94"/>
      <c r="AS272" s="95"/>
      <c r="AT272" s="95"/>
      <c r="AU272" s="95"/>
      <c r="AV272" s="95"/>
      <c r="AW272" s="92"/>
      <c r="AX272" s="93"/>
      <c r="AY272" s="93"/>
      <c r="AZ272" s="93"/>
      <c r="BA272" s="93"/>
      <c r="BB272" s="93"/>
      <c r="BC272" s="93"/>
      <c r="BD272" s="168"/>
      <c r="BE272" s="97"/>
      <c r="BF272" s="98"/>
      <c r="BG272" s="97"/>
      <c r="BH272" s="168"/>
      <c r="BI272" s="97"/>
      <c r="BJ272" s="97"/>
      <c r="BK272" s="97"/>
      <c r="BL272" s="97"/>
      <c r="BM272" s="97"/>
      <c r="BN272" s="97"/>
      <c r="BO272" s="93"/>
      <c r="BP272" s="93"/>
      <c r="BQ272" s="93"/>
      <c r="BR272" s="93"/>
      <c r="BS272" s="93"/>
      <c r="BT272" s="93"/>
      <c r="BU272" s="93"/>
      <c r="BV272" s="113"/>
      <c r="BW272" s="82"/>
      <c r="BX272" s="82"/>
      <c r="BY272" s="82"/>
      <c r="BZ272" s="82"/>
      <c r="CA272" s="100" t="str">
        <f ca="1">IFERROR(__xludf.DUMMYFUNCTION("IF(REGEXMATCH(Catalog_RewardType,""reward""), VLOOKUP($E272, {'TitleData rewards.items'!$J$9:$J416,'TitleData rewards.items'!$B$9:$B416}, 2, FALSE), """")"),"")</f>
        <v/>
      </c>
    </row>
    <row r="273" spans="1:79" ht="42" x14ac:dyDescent="0.15">
      <c r="A273" s="82" t="s">
        <v>269</v>
      </c>
      <c r="B273" s="83"/>
      <c r="C273" s="82" t="s">
        <v>1549</v>
      </c>
      <c r="D273" s="85" t="b">
        <f>VLOOKUP($C273, '_REF Catalog Classes'!$C$6:$D416, COLUMNS('_REF Catalog Classes'!$C$6:$D416), FALSE)</f>
        <v>1</v>
      </c>
      <c r="E273" s="82" t="s">
        <v>1695</v>
      </c>
      <c r="F273" s="82" t="str">
        <f t="shared" si="21"/>
        <v>lootCookieRobot:</v>
      </c>
      <c r="G273" s="217" t="s">
        <v>1696</v>
      </c>
      <c r="H273" s="86" t="s">
        <v>1696</v>
      </c>
      <c r="I273" s="82" t="s">
        <v>847</v>
      </c>
      <c r="J273" s="82" t="s">
        <v>1677</v>
      </c>
      <c r="K273" s="82"/>
      <c r="L273" s="82" t="s">
        <v>857</v>
      </c>
      <c r="M273" s="82"/>
      <c r="N273" s="227" t="s">
        <v>1678</v>
      </c>
      <c r="O273" s="103"/>
      <c r="P273" s="82">
        <v>5</v>
      </c>
      <c r="Q273" s="88"/>
      <c r="R273" s="82"/>
      <c r="S273" s="82"/>
      <c r="T273" s="82"/>
      <c r="U273" s="82"/>
      <c r="V273" s="82"/>
      <c r="W273" s="89">
        <v>0</v>
      </c>
      <c r="X273" s="90" t="s">
        <v>37</v>
      </c>
      <c r="Y273" s="90" t="s">
        <v>1697</v>
      </c>
      <c r="Z273" s="162"/>
      <c r="AA273" s="91" t="s">
        <v>283</v>
      </c>
      <c r="AB273" s="162" t="s">
        <v>1698</v>
      </c>
      <c r="AC273" s="162"/>
      <c r="AD273" s="162" t="s">
        <v>1699</v>
      </c>
      <c r="AE273" s="90" t="s">
        <v>1691</v>
      </c>
      <c r="AF273" s="162" t="s">
        <v>448</v>
      </c>
      <c r="AG273" s="164"/>
      <c r="AH273" s="108"/>
      <c r="AI273" s="108"/>
      <c r="AJ273" s="108"/>
      <c r="AK273" s="108"/>
      <c r="AL273" s="108"/>
      <c r="AM273" s="108"/>
      <c r="AN273" s="94"/>
      <c r="AO273" s="95"/>
      <c r="AP273" s="95"/>
      <c r="AQ273" s="95"/>
      <c r="AR273" s="94"/>
      <c r="AS273" s="95"/>
      <c r="AT273" s="206"/>
      <c r="AU273" s="206"/>
      <c r="AV273" s="206"/>
      <c r="AW273" s="164"/>
      <c r="AX273" s="108"/>
      <c r="AY273" s="108"/>
      <c r="AZ273" s="108"/>
      <c r="BA273" s="108"/>
      <c r="BB273" s="108"/>
      <c r="BC273" s="108"/>
      <c r="BD273" s="96">
        <v>2</v>
      </c>
      <c r="BE273" s="97" t="s">
        <v>38</v>
      </c>
      <c r="BF273" s="98" t="s">
        <v>1697</v>
      </c>
      <c r="BG273" s="97"/>
      <c r="BH273" s="97" t="s">
        <v>283</v>
      </c>
      <c r="BI273" s="97" t="s">
        <v>1698</v>
      </c>
      <c r="BJ273" s="108"/>
      <c r="BK273" s="93"/>
      <c r="BL273" s="167" t="s">
        <v>1700</v>
      </c>
      <c r="BM273" s="97" t="s">
        <v>1691</v>
      </c>
      <c r="BN273" s="167" t="s">
        <v>448</v>
      </c>
      <c r="BO273" s="108"/>
      <c r="BP273" s="108"/>
      <c r="BQ273" s="108"/>
      <c r="BR273" s="108"/>
      <c r="BS273" s="108"/>
      <c r="BT273" s="108"/>
      <c r="BU273" s="108"/>
      <c r="BV273" s="113"/>
      <c r="BW273" s="86" t="str">
        <f>VLOOKUP($C273, '_REF Catalog Classes'!$C$6:$E416, COLUMNS('_REF Catalog Classes'!$C$6:$E416), FALSE)</f>
        <v>always</v>
      </c>
      <c r="BX273" s="226">
        <v>100</v>
      </c>
      <c r="BY273" s="226" t="s">
        <v>1693</v>
      </c>
      <c r="BZ273" s="84" t="s">
        <v>850</v>
      </c>
      <c r="CA273" s="100" t="str">
        <f ca="1">IFERROR(__xludf.DUMMYFUNCTION("IF(REGEXMATCH(Catalog_RewardType,""reward""), VLOOKUP($E273, {'TitleData rewards.items'!$J$9:$J416,'TitleData rewards.items'!$B$9:$B416}, 2, FALSE), """")"),"")</f>
        <v/>
      </c>
    </row>
    <row r="274" spans="1:79" ht="42" x14ac:dyDescent="0.15">
      <c r="A274" s="82" t="s">
        <v>269</v>
      </c>
      <c r="B274" s="83"/>
      <c r="C274" s="82" t="s">
        <v>1549</v>
      </c>
      <c r="D274" s="85" t="b">
        <f>VLOOKUP($C274, '_REF Catalog Classes'!$C$6:$D416, COLUMNS('_REF Catalog Classes'!$C$6:$D416), FALSE)</f>
        <v>1</v>
      </c>
      <c r="E274" s="82" t="s">
        <v>1701</v>
      </c>
      <c r="F274" s="82" t="str">
        <f t="shared" si="21"/>
        <v>lootBoogieRobot:</v>
      </c>
      <c r="G274" s="217" t="s">
        <v>1702</v>
      </c>
      <c r="H274" s="86" t="s">
        <v>1702</v>
      </c>
      <c r="I274" s="82" t="s">
        <v>847</v>
      </c>
      <c r="J274" s="82" t="s">
        <v>1677</v>
      </c>
      <c r="K274" s="82"/>
      <c r="L274" s="82" t="s">
        <v>857</v>
      </c>
      <c r="M274" s="82"/>
      <c r="N274" s="101" t="s">
        <v>1678</v>
      </c>
      <c r="O274" s="82"/>
      <c r="P274" s="82">
        <v>6</v>
      </c>
      <c r="Q274" s="88"/>
      <c r="R274" s="82"/>
      <c r="S274" s="82"/>
      <c r="T274" s="82"/>
      <c r="U274" s="82"/>
      <c r="V274" s="82"/>
      <c r="W274" s="89">
        <v>0</v>
      </c>
      <c r="X274" s="90" t="s">
        <v>37</v>
      </c>
      <c r="Y274" s="90" t="s">
        <v>1703</v>
      </c>
      <c r="Z274" s="162"/>
      <c r="AA274" s="91" t="s">
        <v>283</v>
      </c>
      <c r="AB274" s="162" t="s">
        <v>1704</v>
      </c>
      <c r="AC274" s="162"/>
      <c r="AD274" s="162" t="s">
        <v>1705</v>
      </c>
      <c r="AE274" s="90" t="s">
        <v>1691</v>
      </c>
      <c r="AF274" s="162" t="s">
        <v>448</v>
      </c>
      <c r="AG274" s="164"/>
      <c r="AH274" s="108"/>
      <c r="AI274" s="108"/>
      <c r="AJ274" s="108"/>
      <c r="AK274" s="108"/>
      <c r="AL274" s="108"/>
      <c r="AM274" s="108"/>
      <c r="AN274" s="94"/>
      <c r="AO274" s="95"/>
      <c r="AP274" s="95"/>
      <c r="AQ274" s="95"/>
      <c r="AR274" s="94"/>
      <c r="AS274" s="95"/>
      <c r="AT274" s="206"/>
      <c r="AU274" s="206"/>
      <c r="AV274" s="206"/>
      <c r="AW274" s="164"/>
      <c r="AX274" s="108"/>
      <c r="AY274" s="108"/>
      <c r="AZ274" s="108"/>
      <c r="BA274" s="108"/>
      <c r="BB274" s="108"/>
      <c r="BC274" s="108"/>
      <c r="BD274" s="96">
        <v>2</v>
      </c>
      <c r="BE274" s="97" t="s">
        <v>38</v>
      </c>
      <c r="BF274" s="98" t="s">
        <v>1703</v>
      </c>
      <c r="BG274" s="97"/>
      <c r="BH274" s="97" t="s">
        <v>283</v>
      </c>
      <c r="BI274" s="97" t="s">
        <v>1704</v>
      </c>
      <c r="BJ274" s="108"/>
      <c r="BK274" s="93"/>
      <c r="BL274" s="167" t="s">
        <v>1706</v>
      </c>
      <c r="BM274" s="97" t="s">
        <v>1691</v>
      </c>
      <c r="BN274" s="167" t="s">
        <v>448</v>
      </c>
      <c r="BO274" s="108"/>
      <c r="BP274" s="108"/>
      <c r="BQ274" s="108"/>
      <c r="BR274" s="108"/>
      <c r="BS274" s="108"/>
      <c r="BT274" s="108"/>
      <c r="BU274" s="108"/>
      <c r="BV274" s="113"/>
      <c r="BW274" s="86" t="str">
        <f>VLOOKUP($C274, '_REF Catalog Classes'!$C$6:$E416, COLUMNS('_REF Catalog Classes'!$C$6:$E416), FALSE)</f>
        <v>always</v>
      </c>
      <c r="BX274" s="226">
        <v>100</v>
      </c>
      <c r="BY274" s="226" t="s">
        <v>1693</v>
      </c>
      <c r="BZ274" s="84" t="s">
        <v>850</v>
      </c>
      <c r="CA274" s="100" t="str">
        <f ca="1">IFERROR(__xludf.DUMMYFUNCTION("IF(REGEXMATCH(Catalog_RewardType,""reward""), VLOOKUP($E274, {'TitleData rewards.items'!$J$9:$J416,'TitleData rewards.items'!$B$9:$B416}, 2, FALSE), """")"),"")</f>
        <v/>
      </c>
    </row>
    <row r="275" spans="1:79" ht="42" hidden="1" x14ac:dyDescent="0.15">
      <c r="A275" s="106" t="s">
        <v>314</v>
      </c>
      <c r="B275" s="83" t="b">
        <v>1</v>
      </c>
      <c r="C275" s="106" t="s">
        <v>808</v>
      </c>
      <c r="D275" s="85" t="b">
        <f>VLOOKUP($C275, '_REF Catalog Classes'!$C$6:$D416, COLUMNS('_REF Catalog Classes'!$C$6:$D416), FALSE)</f>
        <v>1</v>
      </c>
      <c r="E275" s="106" t="s">
        <v>1707</v>
      </c>
      <c r="F275" s="82" t="str">
        <f t="shared" si="21"/>
        <v>achievementPlayOneMinionPerScene:TRUE</v>
      </c>
      <c r="G275" s="106" t="s">
        <v>1708</v>
      </c>
      <c r="H275" s="125" t="s">
        <v>1709</v>
      </c>
      <c r="I275" s="82" t="s">
        <v>274</v>
      </c>
      <c r="J275" s="82"/>
      <c r="K275" s="82"/>
      <c r="L275" s="82"/>
      <c r="M275" s="86" t="s">
        <v>820</v>
      </c>
      <c r="N275" s="107"/>
      <c r="O275" s="108"/>
      <c r="P275" s="82">
        <v>27</v>
      </c>
      <c r="Q275" s="88"/>
      <c r="R275" s="82"/>
      <c r="S275" s="82"/>
      <c r="T275" s="82"/>
      <c r="U275" s="82"/>
      <c r="V275" s="82"/>
      <c r="W275" s="89">
        <v>0</v>
      </c>
      <c r="X275" s="90" t="s">
        <v>37</v>
      </c>
      <c r="Y275" s="90" t="str">
        <f>"file://"&amp;$E275&amp;"-state0-image0"</f>
        <v>file://achievementPlayOneMinionPerScene-state0-image0</v>
      </c>
      <c r="Z275" s="162"/>
      <c r="AA275" s="91" t="s">
        <v>283</v>
      </c>
      <c r="AB275" s="162" t="s">
        <v>1708</v>
      </c>
      <c r="AC275" s="90"/>
      <c r="AD275" s="162" t="s">
        <v>1710</v>
      </c>
      <c r="AE275" s="162"/>
      <c r="AF275" s="162"/>
      <c r="AG275" s="164"/>
      <c r="AH275" s="108"/>
      <c r="AI275" s="108"/>
      <c r="AJ275" s="108"/>
      <c r="AK275" s="108"/>
      <c r="AL275" s="108"/>
      <c r="AM275" s="108"/>
      <c r="AN275" s="94"/>
      <c r="AO275" s="95"/>
      <c r="AP275" s="95" t="str">
        <f>"file://"&amp;$E275&amp;"-state1-image0"</f>
        <v>file://achievementPlayOneMinionPerScene-state1-image0</v>
      </c>
      <c r="AQ275" s="95"/>
      <c r="AR275" s="94"/>
      <c r="AS275" s="95"/>
      <c r="AT275" s="95"/>
      <c r="AU275" s="95"/>
      <c r="AV275" s="95"/>
      <c r="AW275" s="164"/>
      <c r="AX275" s="108"/>
      <c r="AY275" s="108"/>
      <c r="AZ275" s="108"/>
      <c r="BA275" s="108"/>
      <c r="BB275" s="108"/>
      <c r="BC275" s="108"/>
      <c r="BD275" s="96">
        <v>2</v>
      </c>
      <c r="BE275" s="167" t="s">
        <v>823</v>
      </c>
      <c r="BF275" s="98"/>
      <c r="BG275" s="167"/>
      <c r="BH275" s="97" t="s">
        <v>283</v>
      </c>
      <c r="BI275" s="97" t="s">
        <v>1708</v>
      </c>
      <c r="BJ275" s="167"/>
      <c r="BK275" s="167"/>
      <c r="BL275" s="167" t="s">
        <v>1711</v>
      </c>
      <c r="BM275" s="167"/>
      <c r="BN275" s="167"/>
      <c r="BO275" s="108"/>
      <c r="BP275" s="108"/>
      <c r="BQ275" s="108"/>
      <c r="BR275" s="108"/>
      <c r="BS275" s="108"/>
      <c r="BT275" s="108"/>
      <c r="BU275" s="108"/>
      <c r="BV275" s="113" t="s">
        <v>1712</v>
      </c>
      <c r="BW275" s="86" t="str">
        <f>VLOOKUP($C275, '_REF Catalog Classes'!$C$6:$E416, COLUMNS('_REF Catalog Classes'!$C$6:$E416), FALSE)</f>
        <v>never</v>
      </c>
      <c r="BX275" s="82"/>
      <c r="BY275" s="82"/>
      <c r="BZ275" s="86" t="s">
        <v>322</v>
      </c>
      <c r="CA275" s="100" t="str">
        <f ca="1">IFERROR(__xludf.DUMMYFUNCTION("IF(REGEXMATCH(Catalog_RewardType,""reward""), VLOOKUP($E275, {'TitleData rewards.items'!$J$9:$J416,'TitleData rewards.items'!$B$9:$B416}, 2, FALSE), """")"),"#N/A")</f>
        <v>#N/A</v>
      </c>
    </row>
    <row r="276" spans="1:79" ht="28" x14ac:dyDescent="0.15">
      <c r="A276" s="82" t="s">
        <v>269</v>
      </c>
      <c r="B276" s="83"/>
      <c r="C276" s="82" t="s">
        <v>1549</v>
      </c>
      <c r="D276" s="85" t="b">
        <f>VLOOKUP($C276, '_REF Catalog Classes'!$C$6:$D416, COLUMNS('_REF Catalog Classes'!$C$6:$D416), FALSE)</f>
        <v>1</v>
      </c>
      <c r="E276" s="82" t="s">
        <v>1713</v>
      </c>
      <c r="F276" s="82" t="str">
        <f t="shared" si="21"/>
        <v>lootV6uncommon:</v>
      </c>
      <c r="G276" s="217" t="s">
        <v>1714</v>
      </c>
      <c r="H276" s="86" t="s">
        <v>1714</v>
      </c>
      <c r="I276" s="82" t="s">
        <v>847</v>
      </c>
      <c r="J276" s="82" t="s">
        <v>1677</v>
      </c>
      <c r="K276" s="82"/>
      <c r="L276" s="82" t="s">
        <v>857</v>
      </c>
      <c r="M276" s="82"/>
      <c r="N276" s="101" t="s">
        <v>1678</v>
      </c>
      <c r="O276" s="82"/>
      <c r="P276" s="82">
        <v>7</v>
      </c>
      <c r="Q276" s="88"/>
      <c r="R276" s="82"/>
      <c r="S276" s="82"/>
      <c r="T276" s="82"/>
      <c r="U276" s="82"/>
      <c r="V276" s="82"/>
      <c r="W276" s="89">
        <v>0</v>
      </c>
      <c r="X276" s="90" t="s">
        <v>37</v>
      </c>
      <c r="Y276" s="90" t="s">
        <v>1715</v>
      </c>
      <c r="Z276" s="162"/>
      <c r="AA276" s="91" t="s">
        <v>283</v>
      </c>
      <c r="AB276" s="162" t="s">
        <v>1716</v>
      </c>
      <c r="AC276" s="162"/>
      <c r="AD276" s="162" t="s">
        <v>1717</v>
      </c>
      <c r="AE276" s="90" t="s">
        <v>1718</v>
      </c>
      <c r="AF276" s="162" t="s">
        <v>497</v>
      </c>
      <c r="AG276" s="164"/>
      <c r="AH276" s="108"/>
      <c r="AI276" s="108"/>
      <c r="AJ276" s="108"/>
      <c r="AK276" s="108"/>
      <c r="AL276" s="108"/>
      <c r="AM276" s="108"/>
      <c r="AN276" s="94"/>
      <c r="AO276" s="95"/>
      <c r="AP276" s="95"/>
      <c r="AQ276" s="95"/>
      <c r="AR276" s="94"/>
      <c r="AS276" s="95"/>
      <c r="AT276" s="206"/>
      <c r="AU276" s="206"/>
      <c r="AV276" s="206"/>
      <c r="AW276" s="164"/>
      <c r="AX276" s="108"/>
      <c r="AY276" s="108"/>
      <c r="AZ276" s="108"/>
      <c r="BA276" s="108"/>
      <c r="BB276" s="108"/>
      <c r="BC276" s="108"/>
      <c r="BD276" s="96">
        <v>2</v>
      </c>
      <c r="BE276" s="97" t="s">
        <v>38</v>
      </c>
      <c r="BF276" s="98" t="s">
        <v>1715</v>
      </c>
      <c r="BG276" s="97"/>
      <c r="BH276" s="97" t="s">
        <v>283</v>
      </c>
      <c r="BI276" s="97" t="s">
        <v>1716</v>
      </c>
      <c r="BJ276" s="108"/>
      <c r="BK276" s="93"/>
      <c r="BL276" s="167" t="s">
        <v>1719</v>
      </c>
      <c r="BM276" s="97" t="s">
        <v>1718</v>
      </c>
      <c r="BN276" s="167" t="s">
        <v>497</v>
      </c>
      <c r="BO276" s="108"/>
      <c r="BP276" s="108"/>
      <c r="BQ276" s="108"/>
      <c r="BR276" s="108"/>
      <c r="BS276" s="108"/>
      <c r="BT276" s="108"/>
      <c r="BU276" s="108"/>
      <c r="BV276" s="113"/>
      <c r="BW276" s="86" t="str">
        <f>VLOOKUP($C276, '_REF Catalog Classes'!$C$6:$E416, COLUMNS('_REF Catalog Classes'!$C$6:$E416), FALSE)</f>
        <v>always</v>
      </c>
      <c r="BX276" s="226">
        <v>1000</v>
      </c>
      <c r="BY276" s="226" t="s">
        <v>1693</v>
      </c>
      <c r="BZ276" s="84" t="s">
        <v>850</v>
      </c>
      <c r="CA276" s="100" t="str">
        <f ca="1">IFERROR(__xludf.DUMMYFUNCTION("IF(REGEXMATCH(Catalog_RewardType,""reward""), VLOOKUP($E276, {'TitleData rewards.items'!$J$9:$J416,'TitleData rewards.items'!$B$9:$B416}, 2, FALSE), """")"),"")</f>
        <v/>
      </c>
    </row>
    <row r="277" spans="1:79" ht="28" x14ac:dyDescent="0.15">
      <c r="A277" s="82" t="s">
        <v>269</v>
      </c>
      <c r="B277" s="83"/>
      <c r="C277" s="82" t="s">
        <v>1549</v>
      </c>
      <c r="D277" s="85" t="b">
        <f>VLOOKUP($C277, '_REF Catalog Classes'!$C$6:$D416, COLUMNS('_REF Catalog Classes'!$C$6:$D416), FALSE)</f>
        <v>1</v>
      </c>
      <c r="E277" s="82" t="s">
        <v>1720</v>
      </c>
      <c r="F277" s="82" t="str">
        <f t="shared" si="21"/>
        <v>lootV6rare:</v>
      </c>
      <c r="G277" s="217" t="s">
        <v>1721</v>
      </c>
      <c r="H277" s="86" t="s">
        <v>1721</v>
      </c>
      <c r="I277" s="82" t="s">
        <v>847</v>
      </c>
      <c r="J277" s="82" t="s">
        <v>1677</v>
      </c>
      <c r="K277" s="82"/>
      <c r="L277" s="82" t="s">
        <v>857</v>
      </c>
      <c r="M277" s="82"/>
      <c r="N277" s="101" t="s">
        <v>1678</v>
      </c>
      <c r="O277" s="82"/>
      <c r="P277" s="82">
        <v>8</v>
      </c>
      <c r="Q277" s="88"/>
      <c r="R277" s="82"/>
      <c r="S277" s="82"/>
      <c r="T277" s="82"/>
      <c r="U277" s="82"/>
      <c r="V277" s="82"/>
      <c r="W277" s="89">
        <v>0</v>
      </c>
      <c r="X277" s="90" t="s">
        <v>37</v>
      </c>
      <c r="Y277" s="90" t="s">
        <v>1722</v>
      </c>
      <c r="Z277" s="162"/>
      <c r="AA277" s="91" t="s">
        <v>283</v>
      </c>
      <c r="AB277" s="162" t="s">
        <v>1723</v>
      </c>
      <c r="AC277" s="162"/>
      <c r="AD277" s="162" t="s">
        <v>1724</v>
      </c>
      <c r="AE277" s="90" t="s">
        <v>1725</v>
      </c>
      <c r="AF277" s="162" t="s">
        <v>1681</v>
      </c>
      <c r="AG277" s="164"/>
      <c r="AH277" s="108"/>
      <c r="AI277" s="108"/>
      <c r="AJ277" s="108"/>
      <c r="AK277" s="108"/>
      <c r="AL277" s="108"/>
      <c r="AM277" s="108"/>
      <c r="AN277" s="94"/>
      <c r="AO277" s="95"/>
      <c r="AP277" s="95"/>
      <c r="AQ277" s="95"/>
      <c r="AR277" s="94"/>
      <c r="AS277" s="95"/>
      <c r="AT277" s="206"/>
      <c r="AU277" s="206"/>
      <c r="AV277" s="206"/>
      <c r="AW277" s="164"/>
      <c r="AX277" s="108"/>
      <c r="AY277" s="108"/>
      <c r="AZ277" s="108"/>
      <c r="BA277" s="108"/>
      <c r="BB277" s="108"/>
      <c r="BC277" s="108"/>
      <c r="BD277" s="96">
        <v>2</v>
      </c>
      <c r="BE277" s="97" t="s">
        <v>38</v>
      </c>
      <c r="BF277" s="98" t="s">
        <v>1722</v>
      </c>
      <c r="BG277" s="97"/>
      <c r="BH277" s="97" t="s">
        <v>283</v>
      </c>
      <c r="BI277" s="97" t="s">
        <v>1723</v>
      </c>
      <c r="BJ277" s="108"/>
      <c r="BK277" s="93"/>
      <c r="BL277" s="167" t="s">
        <v>1726</v>
      </c>
      <c r="BM277" s="97" t="s">
        <v>1725</v>
      </c>
      <c r="BN277" s="167" t="s">
        <v>1681</v>
      </c>
      <c r="BO277" s="108"/>
      <c r="BP277" s="108"/>
      <c r="BQ277" s="108"/>
      <c r="BR277" s="108"/>
      <c r="BS277" s="108"/>
      <c r="BT277" s="108"/>
      <c r="BU277" s="108"/>
      <c r="BV277" s="113"/>
      <c r="BW277" s="86" t="str">
        <f>VLOOKUP($C277, '_REF Catalog Classes'!$C$6:$E416, COLUMNS('_REF Catalog Classes'!$C$6:$E416), FALSE)</f>
        <v>always</v>
      </c>
      <c r="BX277" s="226">
        <v>3000</v>
      </c>
      <c r="BY277" s="226" t="s">
        <v>1693</v>
      </c>
      <c r="BZ277" s="84" t="s">
        <v>850</v>
      </c>
      <c r="CA277" s="100" t="str">
        <f ca="1">IFERROR(__xludf.DUMMYFUNCTION("IF(REGEXMATCH(Catalog_RewardType,""reward""), VLOOKUP($E277, {'TitleData rewards.items'!$J$9:$J416,'TitleData rewards.items'!$B$9:$B416}, 2, FALSE), """")"),"")</f>
        <v/>
      </c>
    </row>
    <row r="278" spans="1:79" ht="42" x14ac:dyDescent="0.15">
      <c r="A278" s="82" t="s">
        <v>269</v>
      </c>
      <c r="B278" s="83"/>
      <c r="C278" s="82" t="s">
        <v>1549</v>
      </c>
      <c r="D278" s="85" t="b">
        <f>VLOOKUP($C278, '_REF Catalog Classes'!$C$6:$D416, COLUMNS('_REF Catalog Classes'!$C$6:$D416), FALSE)</f>
        <v>1</v>
      </c>
      <c r="E278" s="82" t="s">
        <v>1727</v>
      </c>
      <c r="F278" s="82" t="str">
        <f t="shared" si="21"/>
        <v>lootGuacSombrero:</v>
      </c>
      <c r="G278" s="217" t="s">
        <v>1728</v>
      </c>
      <c r="H278" s="86" t="s">
        <v>1729</v>
      </c>
      <c r="I278" s="82" t="s">
        <v>847</v>
      </c>
      <c r="J278" s="82" t="s">
        <v>1677</v>
      </c>
      <c r="K278" s="82"/>
      <c r="L278" s="82" t="s">
        <v>857</v>
      </c>
      <c r="M278" s="82"/>
      <c r="N278" s="101" t="s">
        <v>1678</v>
      </c>
      <c r="O278" s="82"/>
      <c r="P278" s="82">
        <v>9</v>
      </c>
      <c r="Q278" s="88"/>
      <c r="R278" s="82"/>
      <c r="S278" s="82"/>
      <c r="T278" s="82"/>
      <c r="U278" s="82"/>
      <c r="V278" s="82"/>
      <c r="W278" s="89">
        <v>0</v>
      </c>
      <c r="X278" s="90" t="s">
        <v>37</v>
      </c>
      <c r="Y278" s="90" t="s">
        <v>1730</v>
      </c>
      <c r="Z278" s="162"/>
      <c r="AA278" s="91" t="s">
        <v>283</v>
      </c>
      <c r="AB278" s="162" t="s">
        <v>1731</v>
      </c>
      <c r="AC278" s="162"/>
      <c r="AD278" s="162" t="s">
        <v>1732</v>
      </c>
      <c r="AE278" s="90" t="s">
        <v>1718</v>
      </c>
      <c r="AF278" s="90" t="s">
        <v>497</v>
      </c>
      <c r="AG278" s="164"/>
      <c r="AH278" s="108"/>
      <c r="AI278" s="108"/>
      <c r="AJ278" s="108"/>
      <c r="AK278" s="108"/>
      <c r="AL278" s="108"/>
      <c r="AM278" s="108"/>
      <c r="AN278" s="94"/>
      <c r="AO278" s="95"/>
      <c r="AP278" s="95"/>
      <c r="AQ278" s="95"/>
      <c r="AR278" s="94"/>
      <c r="AS278" s="95"/>
      <c r="AT278" s="206"/>
      <c r="AU278" s="206"/>
      <c r="AV278" s="206"/>
      <c r="AW278" s="164"/>
      <c r="AX278" s="108"/>
      <c r="AY278" s="108"/>
      <c r="AZ278" s="108"/>
      <c r="BA278" s="108"/>
      <c r="BB278" s="108"/>
      <c r="BC278" s="108"/>
      <c r="BD278" s="96">
        <v>2</v>
      </c>
      <c r="BE278" s="97" t="s">
        <v>38</v>
      </c>
      <c r="BF278" s="98" t="s">
        <v>1730</v>
      </c>
      <c r="BG278" s="97"/>
      <c r="BH278" s="97" t="s">
        <v>283</v>
      </c>
      <c r="BI278" s="97" t="s">
        <v>1731</v>
      </c>
      <c r="BJ278" s="108"/>
      <c r="BK278" s="93"/>
      <c r="BL278" s="167" t="s">
        <v>1733</v>
      </c>
      <c r="BM278" s="97" t="s">
        <v>1718</v>
      </c>
      <c r="BN278" s="167" t="s">
        <v>497</v>
      </c>
      <c r="BO278" s="108"/>
      <c r="BP278" s="108"/>
      <c r="BQ278" s="108"/>
      <c r="BR278" s="108"/>
      <c r="BS278" s="108"/>
      <c r="BT278" s="108"/>
      <c r="BU278" s="108"/>
      <c r="BV278" s="113"/>
      <c r="BW278" s="86" t="str">
        <f>VLOOKUP($C278, '_REF Catalog Classes'!$C$6:$E416, COLUMNS('_REF Catalog Classes'!$C$6:$E416), FALSE)</f>
        <v>always</v>
      </c>
      <c r="BX278" s="226">
        <v>1000</v>
      </c>
      <c r="BY278" s="226" t="s">
        <v>1693</v>
      </c>
      <c r="BZ278" s="84" t="s">
        <v>850</v>
      </c>
      <c r="CA278" s="100" t="str">
        <f ca="1">IFERROR(__xludf.DUMMYFUNCTION("IF(REGEXMATCH(Catalog_RewardType,""reward""), VLOOKUP($E278, {'TitleData rewards.items'!$J$9:$J416,'TitleData rewards.items'!$B$9:$B416}, 2, FALSE), """")"),"")</f>
        <v/>
      </c>
    </row>
    <row r="279" spans="1:79" ht="42" x14ac:dyDescent="0.15">
      <c r="A279" s="82" t="s">
        <v>269</v>
      </c>
      <c r="B279" s="83"/>
      <c r="C279" s="82" t="s">
        <v>1549</v>
      </c>
      <c r="D279" s="85" t="b">
        <f>VLOOKUP($C279, '_REF Catalog Classes'!$C$6:$D416, COLUMNS('_REF Catalog Classes'!$C$6:$D416), FALSE)</f>
        <v>1</v>
      </c>
      <c r="E279" s="82" t="s">
        <v>1734</v>
      </c>
      <c r="F279" s="82" t="str">
        <f t="shared" si="21"/>
        <v>lootLipstickTaser:</v>
      </c>
      <c r="G279" s="86" t="s">
        <v>1735</v>
      </c>
      <c r="H279" s="86" t="s">
        <v>1735</v>
      </c>
      <c r="I279" s="82" t="s">
        <v>847</v>
      </c>
      <c r="J279" s="82" t="s">
        <v>1677</v>
      </c>
      <c r="K279" s="86"/>
      <c r="L279" s="82" t="s">
        <v>857</v>
      </c>
      <c r="M279" s="86"/>
      <c r="N279" s="101" t="s">
        <v>1678</v>
      </c>
      <c r="O279" s="82"/>
      <c r="P279" s="82">
        <v>10</v>
      </c>
      <c r="Q279" s="88"/>
      <c r="R279" s="82"/>
      <c r="S279" s="82"/>
      <c r="T279" s="82"/>
      <c r="U279" s="82"/>
      <c r="V279" s="82"/>
      <c r="W279" s="89">
        <v>0</v>
      </c>
      <c r="X279" s="90" t="s">
        <v>37</v>
      </c>
      <c r="Y279" s="90" t="s">
        <v>1736</v>
      </c>
      <c r="Z279" s="90"/>
      <c r="AA279" s="91" t="s">
        <v>283</v>
      </c>
      <c r="AB279" s="90" t="s">
        <v>1737</v>
      </c>
      <c r="AC279" s="90"/>
      <c r="AD279" s="162" t="s">
        <v>1738</v>
      </c>
      <c r="AE279" s="90" t="s">
        <v>1718</v>
      </c>
      <c r="AF279" s="90" t="s">
        <v>497</v>
      </c>
      <c r="AG279" s="92"/>
      <c r="AH279" s="93"/>
      <c r="AI279" s="93"/>
      <c r="AJ279" s="93"/>
      <c r="AK279" s="93"/>
      <c r="AL279" s="93"/>
      <c r="AM279" s="93"/>
      <c r="AN279" s="94"/>
      <c r="AO279" s="95"/>
      <c r="AP279" s="95"/>
      <c r="AQ279" s="95"/>
      <c r="AR279" s="94"/>
      <c r="AS279" s="95"/>
      <c r="AT279" s="95"/>
      <c r="AU279" s="95"/>
      <c r="AV279" s="95"/>
      <c r="AW279" s="92"/>
      <c r="AX279" s="93"/>
      <c r="AY279" s="93"/>
      <c r="AZ279" s="93"/>
      <c r="BA279" s="93"/>
      <c r="BB279" s="93"/>
      <c r="BC279" s="93"/>
      <c r="BD279" s="96">
        <v>2</v>
      </c>
      <c r="BE279" s="97" t="s">
        <v>38</v>
      </c>
      <c r="BF279" s="98" t="s">
        <v>1736</v>
      </c>
      <c r="BG279" s="97"/>
      <c r="BH279" s="97" t="s">
        <v>283</v>
      </c>
      <c r="BI279" s="97" t="s">
        <v>1737</v>
      </c>
      <c r="BJ279" s="93"/>
      <c r="BK279" s="93"/>
      <c r="BL279" s="97" t="s">
        <v>1739</v>
      </c>
      <c r="BM279" s="97" t="s">
        <v>1718</v>
      </c>
      <c r="BN279" s="97" t="s">
        <v>497</v>
      </c>
      <c r="BO279" s="93"/>
      <c r="BP279" s="93"/>
      <c r="BQ279" s="93"/>
      <c r="BR279" s="93"/>
      <c r="BS279" s="93"/>
      <c r="BT279" s="93"/>
      <c r="BU279" s="93"/>
      <c r="BV279" s="99"/>
      <c r="BW279" s="86" t="str">
        <f>VLOOKUP($C279, '_REF Catalog Classes'!$C$6:$E416, COLUMNS('_REF Catalog Classes'!$C$6:$E416), FALSE)</f>
        <v>always</v>
      </c>
      <c r="BX279" s="226">
        <v>1000</v>
      </c>
      <c r="BY279" s="226" t="s">
        <v>1693</v>
      </c>
      <c r="BZ279" s="84" t="s">
        <v>850</v>
      </c>
      <c r="CA279" s="100" t="str">
        <f ca="1">IFERROR(__xludf.DUMMYFUNCTION("IF(REGEXMATCH(Catalog_RewardType,""reward""), VLOOKUP($E279, {'TitleData rewards.items'!$J$9:$J416,'TitleData rewards.items'!$B$9:$B416}, 2, FALSE), """")"),"")</f>
        <v/>
      </c>
    </row>
    <row r="280" spans="1:79" ht="56" x14ac:dyDescent="0.15">
      <c r="A280" s="82" t="s">
        <v>269</v>
      </c>
      <c r="B280" s="83"/>
      <c r="C280" s="82" t="s">
        <v>1549</v>
      </c>
      <c r="D280" s="85" t="b">
        <f>VLOOKUP($C280, '_REF Catalog Classes'!$C$6:$D416, COLUMNS('_REF Catalog Classes'!$C$6:$D416), FALSE)</f>
        <v>1</v>
      </c>
      <c r="E280" s="82" t="s">
        <v>1740</v>
      </c>
      <c r="F280" s="82" t="str">
        <f t="shared" si="21"/>
        <v>lootHypnoHat:</v>
      </c>
      <c r="G280" s="217" t="s">
        <v>1741</v>
      </c>
      <c r="H280" s="217" t="s">
        <v>1741</v>
      </c>
      <c r="I280" s="82" t="s">
        <v>847</v>
      </c>
      <c r="J280" s="82" t="s">
        <v>1677</v>
      </c>
      <c r="K280" s="82"/>
      <c r="L280" s="82" t="s">
        <v>857</v>
      </c>
      <c r="M280" s="82"/>
      <c r="N280" s="101" t="s">
        <v>1678</v>
      </c>
      <c r="O280" s="82"/>
      <c r="P280" s="82">
        <v>11</v>
      </c>
      <c r="Q280" s="88"/>
      <c r="R280" s="82"/>
      <c r="S280" s="82"/>
      <c r="T280" s="82"/>
      <c r="U280" s="82"/>
      <c r="V280" s="82"/>
      <c r="W280" s="89">
        <v>0</v>
      </c>
      <c r="X280" s="90" t="s">
        <v>37</v>
      </c>
      <c r="Y280" s="90" t="s">
        <v>1742</v>
      </c>
      <c r="Z280" s="162"/>
      <c r="AA280" s="91" t="s">
        <v>283</v>
      </c>
      <c r="AB280" s="162" t="s">
        <v>1743</v>
      </c>
      <c r="AC280" s="162"/>
      <c r="AD280" s="162" t="s">
        <v>1744</v>
      </c>
      <c r="AE280" s="90" t="s">
        <v>1691</v>
      </c>
      <c r="AF280" s="162" t="s">
        <v>448</v>
      </c>
      <c r="AG280" s="164"/>
      <c r="AH280" s="108"/>
      <c r="AI280" s="108"/>
      <c r="AJ280" s="108"/>
      <c r="AK280" s="108"/>
      <c r="AL280" s="108"/>
      <c r="AM280" s="108"/>
      <c r="AN280" s="94"/>
      <c r="AO280" s="95"/>
      <c r="AP280" s="95"/>
      <c r="AQ280" s="95"/>
      <c r="AR280" s="94"/>
      <c r="AS280" s="95"/>
      <c r="AT280" s="206"/>
      <c r="AU280" s="206"/>
      <c r="AV280" s="206"/>
      <c r="AW280" s="164"/>
      <c r="AX280" s="108"/>
      <c r="AY280" s="108"/>
      <c r="AZ280" s="108"/>
      <c r="BA280" s="108"/>
      <c r="BB280" s="108"/>
      <c r="BC280" s="108"/>
      <c r="BD280" s="96">
        <v>2</v>
      </c>
      <c r="BE280" s="97" t="s">
        <v>38</v>
      </c>
      <c r="BF280" s="98" t="s">
        <v>1742</v>
      </c>
      <c r="BG280" s="97"/>
      <c r="BH280" s="97" t="s">
        <v>283</v>
      </c>
      <c r="BI280" s="97" t="s">
        <v>1743</v>
      </c>
      <c r="BJ280" s="108"/>
      <c r="BK280" s="93"/>
      <c r="BL280" s="167" t="s">
        <v>1745</v>
      </c>
      <c r="BM280" s="97" t="s">
        <v>1691</v>
      </c>
      <c r="BN280" s="167" t="s">
        <v>448</v>
      </c>
      <c r="BO280" s="108"/>
      <c r="BP280" s="108"/>
      <c r="BQ280" s="108"/>
      <c r="BR280" s="108"/>
      <c r="BS280" s="108"/>
      <c r="BT280" s="108"/>
      <c r="BU280" s="108"/>
      <c r="BV280" s="113"/>
      <c r="BW280" s="86" t="str">
        <f>VLOOKUP($C280, '_REF Catalog Classes'!$C$6:$E416, COLUMNS('_REF Catalog Classes'!$C$6:$E416), FALSE)</f>
        <v>always</v>
      </c>
      <c r="BX280" s="226">
        <v>100</v>
      </c>
      <c r="BY280" s="226" t="s">
        <v>1693</v>
      </c>
      <c r="BZ280" s="84" t="s">
        <v>850</v>
      </c>
      <c r="CA280" s="100" t="str">
        <f ca="1">IFERROR(__xludf.DUMMYFUNCTION("IF(REGEXMATCH(Catalog_RewardType,""reward""), VLOOKUP($E280, {'TitleData rewards.items'!$J$9:$J416,'TitleData rewards.items'!$B$9:$B416}, 2, FALSE), """")"),"")</f>
        <v/>
      </c>
    </row>
    <row r="281" spans="1:79" ht="42" x14ac:dyDescent="0.15">
      <c r="A281" s="82" t="s">
        <v>269</v>
      </c>
      <c r="B281" s="83"/>
      <c r="C281" s="82" t="s">
        <v>1549</v>
      </c>
      <c r="D281" s="85" t="b">
        <f>VLOOKUP($C281, '_REF Catalog Classes'!$C$6:$D416, COLUMNS('_REF Catalog Classes'!$C$6:$D416), FALSE)</f>
        <v>1</v>
      </c>
      <c r="E281" s="82" t="s">
        <v>1746</v>
      </c>
      <c r="F281" s="82" t="str">
        <f t="shared" si="21"/>
        <v>lootGrusJelly:</v>
      </c>
      <c r="G281" s="86" t="s">
        <v>1747</v>
      </c>
      <c r="H281" s="86" t="s">
        <v>1748</v>
      </c>
      <c r="I281" s="82" t="s">
        <v>847</v>
      </c>
      <c r="J281" s="82" t="s">
        <v>1677</v>
      </c>
      <c r="K281" s="86"/>
      <c r="L281" s="82" t="s">
        <v>857</v>
      </c>
      <c r="M281" s="86"/>
      <c r="N281" s="101" t="s">
        <v>1678</v>
      </c>
      <c r="O281" s="82"/>
      <c r="P281" s="82">
        <v>4</v>
      </c>
      <c r="Q281" s="88"/>
      <c r="R281" s="82"/>
      <c r="S281" s="82"/>
      <c r="T281" s="82"/>
      <c r="U281" s="82"/>
      <c r="V281" s="82"/>
      <c r="W281" s="89">
        <v>0</v>
      </c>
      <c r="X281" s="90" t="s">
        <v>37</v>
      </c>
      <c r="Y281" s="90" t="s">
        <v>1749</v>
      </c>
      <c r="Z281" s="90"/>
      <c r="AA281" s="91" t="s">
        <v>283</v>
      </c>
      <c r="AB281" s="90" t="s">
        <v>1750</v>
      </c>
      <c r="AC281" s="90"/>
      <c r="AD281" s="90" t="s">
        <v>1751</v>
      </c>
      <c r="AE281" s="90" t="s">
        <v>1691</v>
      </c>
      <c r="AF281" s="90" t="s">
        <v>448</v>
      </c>
      <c r="AG281" s="92"/>
      <c r="AH281" s="93"/>
      <c r="AI281" s="93"/>
      <c r="AJ281" s="93"/>
      <c r="AK281" s="93"/>
      <c r="AL281" s="93"/>
      <c r="AM281" s="93"/>
      <c r="AN281" s="94"/>
      <c r="AO281" s="95"/>
      <c r="AP281" s="95"/>
      <c r="AQ281" s="95"/>
      <c r="AR281" s="94"/>
      <c r="AS281" s="95"/>
      <c r="AT281" s="95"/>
      <c r="AU281" s="95"/>
      <c r="AV281" s="95"/>
      <c r="AW281" s="92"/>
      <c r="AX281" s="93"/>
      <c r="AY281" s="93"/>
      <c r="AZ281" s="93"/>
      <c r="BA281" s="93"/>
      <c r="BB281" s="93"/>
      <c r="BC281" s="93"/>
      <c r="BD281" s="96">
        <v>2</v>
      </c>
      <c r="BE281" s="97" t="s">
        <v>38</v>
      </c>
      <c r="BF281" s="98" t="s">
        <v>1749</v>
      </c>
      <c r="BG281" s="97"/>
      <c r="BH281" s="97" t="s">
        <v>283</v>
      </c>
      <c r="BI281" s="97" t="s">
        <v>1750</v>
      </c>
      <c r="BJ281" s="97"/>
      <c r="BK281" s="97"/>
      <c r="BL281" s="97" t="s">
        <v>1752</v>
      </c>
      <c r="BM281" s="97" t="s">
        <v>1691</v>
      </c>
      <c r="BN281" s="97" t="s">
        <v>448</v>
      </c>
      <c r="BO281" s="93"/>
      <c r="BP281" s="93"/>
      <c r="BQ281" s="93"/>
      <c r="BR281" s="93"/>
      <c r="BS281" s="93"/>
      <c r="BT281" s="93"/>
      <c r="BU281" s="93"/>
      <c r="BV281" s="99"/>
      <c r="BW281" s="86" t="str">
        <f>VLOOKUP($C281, '_REF Catalog Classes'!$C$6:$E416, COLUMNS('_REF Catalog Classes'!$C$6:$E416), FALSE)</f>
        <v>always</v>
      </c>
      <c r="BX281" s="226">
        <v>100</v>
      </c>
      <c r="BY281" s="226" t="s">
        <v>1693</v>
      </c>
      <c r="BZ281" s="84" t="s">
        <v>850</v>
      </c>
      <c r="CA281" s="100" t="str">
        <f ca="1">IFERROR(__xludf.DUMMYFUNCTION("IF(REGEXMATCH(Catalog_RewardType,""reward""), VLOOKUP($E281, {'TitleData rewards.items'!$J$9:$J416,'TitleData rewards.items'!$B$9:$B416}, 2, FALSE), """")"),"")</f>
        <v/>
      </c>
    </row>
    <row r="282" spans="1:79" ht="28" hidden="1" x14ac:dyDescent="0.15">
      <c r="A282" s="82" t="s">
        <v>269</v>
      </c>
      <c r="B282" s="83" t="b">
        <v>1</v>
      </c>
      <c r="C282" s="82" t="s">
        <v>811</v>
      </c>
      <c r="D282" s="85" t="b">
        <f>VLOOKUP($C282, '_REF Catalog Classes'!$C$6:$D416, COLUMNS('_REF Catalog Classes'!$C$6:$D416), FALSE)</f>
        <v>1</v>
      </c>
      <c r="E282" s="82" t="s">
        <v>1753</v>
      </c>
      <c r="F282" s="82" t="str">
        <f t="shared" si="21"/>
        <v>actionMissionOverstock6Unlock:TRUE</v>
      </c>
      <c r="G282" s="106" t="s">
        <v>904</v>
      </c>
      <c r="H282" s="86" t="s">
        <v>1754</v>
      </c>
      <c r="I282" s="82" t="s">
        <v>274</v>
      </c>
      <c r="J282" s="82"/>
      <c r="K282" s="82" t="s">
        <v>275</v>
      </c>
      <c r="L282" s="82"/>
      <c r="M282" s="82"/>
      <c r="N282" s="107"/>
      <c r="O282" s="108"/>
      <c r="P282" s="82"/>
      <c r="Q282" s="88"/>
      <c r="R282" s="82"/>
      <c r="S282" s="82"/>
      <c r="T282" s="82"/>
      <c r="U282" s="82"/>
      <c r="V282" s="82"/>
      <c r="W282" s="89"/>
      <c r="X282" s="90"/>
      <c r="Y282" s="90" t="str">
        <f t="shared" ref="Y282:Y285" si="26">"file://"&amp;$E282&amp;"-state0-image0"</f>
        <v>file://actionMissionOverstock6Unlock-state0-image0</v>
      </c>
      <c r="Z282" s="90"/>
      <c r="AA282" s="89"/>
      <c r="AB282" s="90"/>
      <c r="AC282" s="90"/>
      <c r="AD282" s="90"/>
      <c r="AE282" s="90"/>
      <c r="AF282" s="90"/>
      <c r="AG282" s="92"/>
      <c r="AH282" s="93"/>
      <c r="AI282" s="93"/>
      <c r="AJ282" s="93"/>
      <c r="AK282" s="93"/>
      <c r="AL282" s="93"/>
      <c r="AM282" s="93"/>
      <c r="AN282" s="94"/>
      <c r="AO282" s="95"/>
      <c r="AP282" s="95" t="str">
        <f t="shared" ref="AP282:AP285" si="27">"file://"&amp;$E282&amp;"-state1-image0"</f>
        <v>file://actionMissionOverstock6Unlock-state1-image0</v>
      </c>
      <c r="AQ282" s="95"/>
      <c r="AR282" s="94"/>
      <c r="AS282" s="95"/>
      <c r="AT282" s="95"/>
      <c r="AU282" s="95"/>
      <c r="AV282" s="95"/>
      <c r="AW282" s="92"/>
      <c r="AX282" s="93"/>
      <c r="AY282" s="93"/>
      <c r="AZ282" s="93"/>
      <c r="BA282" s="93"/>
      <c r="BB282" s="93"/>
      <c r="BC282" s="93"/>
      <c r="BD282" s="168"/>
      <c r="BE282" s="97"/>
      <c r="BF282" s="98"/>
      <c r="BG282" s="97"/>
      <c r="BH282" s="168"/>
      <c r="BI282" s="97"/>
      <c r="BJ282" s="97"/>
      <c r="BK282" s="97"/>
      <c r="BL282" s="97"/>
      <c r="BM282" s="97"/>
      <c r="BN282" s="97"/>
      <c r="BO282" s="93"/>
      <c r="BP282" s="93"/>
      <c r="BQ282" s="93"/>
      <c r="BR282" s="93"/>
      <c r="BS282" s="93"/>
      <c r="BT282" s="93"/>
      <c r="BU282" s="93"/>
      <c r="BV282" s="99" t="s">
        <v>1755</v>
      </c>
      <c r="BW282" s="86" t="str">
        <f>VLOOKUP($C282, '_REF Catalog Classes'!$C$6:$E416, COLUMNS('_REF Catalog Classes'!$C$6:$E416), FALSE)</f>
        <v>always</v>
      </c>
      <c r="BX282" s="86"/>
      <c r="BY282" s="86"/>
      <c r="BZ282" s="86" t="s">
        <v>354</v>
      </c>
      <c r="CA282" s="100" t="str">
        <f ca="1">IFERROR(__xludf.DUMMYFUNCTION("IF(REGEXMATCH(Catalog_RewardType,""reward""), VLOOKUP($E282, {'TitleData rewards.items'!$J$9:$J416,'TitleData rewards.items'!$B$9:$B416}, 2, FALSE), """")"),"#N/A")</f>
        <v>#N/A</v>
      </c>
    </row>
    <row r="283" spans="1:79" ht="42" hidden="1" x14ac:dyDescent="0.15">
      <c r="A283" s="82" t="s">
        <v>269</v>
      </c>
      <c r="B283" s="83" t="b">
        <v>1</v>
      </c>
      <c r="C283" s="82" t="s">
        <v>811</v>
      </c>
      <c r="D283" s="85" t="b">
        <f>VLOOKUP($C283, '_REF Catalog Classes'!$C$6:$D416, COLUMNS('_REF Catalog Classes'!$C$6:$D416), FALSE)</f>
        <v>1</v>
      </c>
      <c r="E283" s="82" t="s">
        <v>1756</v>
      </c>
      <c r="F283" s="82" t="str">
        <f t="shared" si="21"/>
        <v>actionMissionOverstockAttempt:TRUE</v>
      </c>
      <c r="G283" s="106" t="s">
        <v>904</v>
      </c>
      <c r="H283" s="86" t="s">
        <v>1115</v>
      </c>
      <c r="I283" s="82" t="s">
        <v>847</v>
      </c>
      <c r="J283" s="82" t="s">
        <v>848</v>
      </c>
      <c r="K283" s="82" t="s">
        <v>849</v>
      </c>
      <c r="L283" s="108"/>
      <c r="M283" s="82"/>
      <c r="N283" s="107"/>
      <c r="O283" s="108"/>
      <c r="P283" s="82"/>
      <c r="Q283" s="88"/>
      <c r="R283" s="82"/>
      <c r="S283" s="82"/>
      <c r="T283" s="82"/>
      <c r="U283" s="82"/>
      <c r="V283" s="82"/>
      <c r="W283" s="89"/>
      <c r="X283" s="90"/>
      <c r="Y283" s="90" t="str">
        <f t="shared" si="26"/>
        <v>file://actionMissionOverstockAttempt-state0-image0</v>
      </c>
      <c r="Z283" s="90"/>
      <c r="AA283" s="89"/>
      <c r="AB283" s="90"/>
      <c r="AC283" s="90"/>
      <c r="AD283" s="90"/>
      <c r="AE283" s="90"/>
      <c r="AF283" s="90"/>
      <c r="AG283" s="92"/>
      <c r="AH283" s="93"/>
      <c r="AI283" s="93"/>
      <c r="AJ283" s="93"/>
      <c r="AK283" s="93"/>
      <c r="AL283" s="93"/>
      <c r="AM283" s="93"/>
      <c r="AN283" s="94"/>
      <c r="AO283" s="95"/>
      <c r="AP283" s="95" t="str">
        <f t="shared" si="27"/>
        <v>file://actionMissionOverstockAttempt-state1-image0</v>
      </c>
      <c r="AQ283" s="95"/>
      <c r="AR283" s="94"/>
      <c r="AS283" s="95"/>
      <c r="AT283" s="95"/>
      <c r="AU283" s="95"/>
      <c r="AV283" s="95"/>
      <c r="AW283" s="92"/>
      <c r="AX283" s="93"/>
      <c r="AY283" s="93"/>
      <c r="AZ283" s="93"/>
      <c r="BA283" s="93"/>
      <c r="BB283" s="93"/>
      <c r="BC283" s="93"/>
      <c r="BD283" s="168"/>
      <c r="BE283" s="97"/>
      <c r="BF283" s="98"/>
      <c r="BG283" s="97"/>
      <c r="BH283" s="168"/>
      <c r="BI283" s="97"/>
      <c r="BJ283" s="97"/>
      <c r="BK283" s="97"/>
      <c r="BL283" s="97"/>
      <c r="BM283" s="97"/>
      <c r="BN283" s="97"/>
      <c r="BO283" s="93"/>
      <c r="BP283" s="93"/>
      <c r="BQ283" s="93"/>
      <c r="BR283" s="93"/>
      <c r="BS283" s="93"/>
      <c r="BT283" s="93"/>
      <c r="BU283" s="93"/>
      <c r="BV283" s="99"/>
      <c r="BW283" s="86"/>
      <c r="BX283" s="86"/>
      <c r="BY283" s="86"/>
      <c r="BZ283" s="86"/>
      <c r="CA283" s="100" t="str">
        <f ca="1">IFERROR(__xludf.DUMMYFUNCTION("IF(REGEXMATCH(Catalog_RewardType,""reward""), VLOOKUP($E283, {'TitleData rewards.items'!$J$9:$J416,'TitleData rewards.items'!$B$9:$B416}, 2, FALSE), """")"),"")</f>
        <v/>
      </c>
    </row>
    <row r="284" spans="1:79" ht="42" hidden="1" x14ac:dyDescent="0.15">
      <c r="A284" s="82" t="s">
        <v>269</v>
      </c>
      <c r="B284" s="83" t="b">
        <v>1</v>
      </c>
      <c r="C284" s="82" t="s">
        <v>851</v>
      </c>
      <c r="D284" s="85" t="b">
        <f>VLOOKUP($C284, '_REF Catalog Classes'!$C$6:$D416, COLUMNS('_REF Catalog Classes'!$C$6:$D416), FALSE)</f>
        <v>1</v>
      </c>
      <c r="E284" s="82" t="s">
        <v>1757</v>
      </c>
      <c r="F284" s="82" t="str">
        <f t="shared" si="21"/>
        <v>missionOverstock:TRUE</v>
      </c>
      <c r="G284" s="86" t="s">
        <v>1758</v>
      </c>
      <c r="H284" s="86" t="s">
        <v>1759</v>
      </c>
      <c r="I284" s="82" t="s">
        <v>847</v>
      </c>
      <c r="J284" s="82" t="s">
        <v>856</v>
      </c>
      <c r="K284" s="82"/>
      <c r="L284" s="82" t="s">
        <v>857</v>
      </c>
      <c r="M284" s="82"/>
      <c r="N284" s="107"/>
      <c r="O284" s="108"/>
      <c r="P284" s="82">
        <v>8</v>
      </c>
      <c r="Q284" s="88"/>
      <c r="R284" s="82"/>
      <c r="S284" s="82"/>
      <c r="T284" s="82"/>
      <c r="U284" s="82"/>
      <c r="V284" s="82"/>
      <c r="W284" s="89">
        <v>0</v>
      </c>
      <c r="X284" s="90" t="s">
        <v>319</v>
      </c>
      <c r="Y284" s="90" t="str">
        <f t="shared" si="26"/>
        <v>file://missionOverstock-state0-image0</v>
      </c>
      <c r="Z284" s="90"/>
      <c r="AA284" s="91" t="s">
        <v>283</v>
      </c>
      <c r="AB284" s="90" t="s">
        <v>1760</v>
      </c>
      <c r="AC284" s="90"/>
      <c r="AD284" s="90" t="s">
        <v>1761</v>
      </c>
      <c r="AE284" s="90"/>
      <c r="AF284" s="90"/>
      <c r="AG284" s="92"/>
      <c r="AH284" s="93"/>
      <c r="AI284" s="93"/>
      <c r="AJ284" s="93"/>
      <c r="AK284" s="93"/>
      <c r="AL284" s="93"/>
      <c r="AM284" s="93"/>
      <c r="AN284" s="94">
        <v>1</v>
      </c>
      <c r="AO284" s="95" t="s">
        <v>858</v>
      </c>
      <c r="AP284" s="95" t="str">
        <f t="shared" si="27"/>
        <v>file://missionOverstock-state1-image0</v>
      </c>
      <c r="AQ284" s="95"/>
      <c r="AR284" s="94" t="s">
        <v>283</v>
      </c>
      <c r="AS284" s="95" t="s">
        <v>1760</v>
      </c>
      <c r="AT284" s="95" t="s">
        <v>1762</v>
      </c>
      <c r="AU284" s="95" t="s">
        <v>1763</v>
      </c>
      <c r="AV284" s="95" t="s">
        <v>1002</v>
      </c>
      <c r="AW284" s="92"/>
      <c r="AX284" s="93"/>
      <c r="AY284" s="93"/>
      <c r="AZ284" s="93"/>
      <c r="BA284" s="93"/>
      <c r="BB284" s="93"/>
      <c r="BC284" s="93"/>
      <c r="BD284" s="96">
        <v>2</v>
      </c>
      <c r="BE284" s="97" t="s">
        <v>865</v>
      </c>
      <c r="BF284" s="98"/>
      <c r="BG284" s="97"/>
      <c r="BH284" s="97" t="s">
        <v>283</v>
      </c>
      <c r="BI284" s="97" t="s">
        <v>1760</v>
      </c>
      <c r="BJ284" s="97"/>
      <c r="BK284" s="97" t="s">
        <v>1764</v>
      </c>
      <c r="BL284" s="97" t="s">
        <v>1765</v>
      </c>
      <c r="BM284" s="97" t="s">
        <v>1766</v>
      </c>
      <c r="BN284" s="167"/>
      <c r="BO284" s="93"/>
      <c r="BP284" s="93"/>
      <c r="BQ284" s="93"/>
      <c r="BR284" s="93"/>
      <c r="BS284" s="93"/>
      <c r="BT284" s="93"/>
      <c r="BU284" s="93"/>
      <c r="BV284" s="99"/>
      <c r="BW284" s="86"/>
      <c r="BX284" s="86"/>
      <c r="BY284" s="86"/>
      <c r="BZ284" s="86"/>
      <c r="CA284" s="100" t="str">
        <f ca="1">IFERROR(__xludf.DUMMYFUNCTION("IF(REGEXMATCH(Catalog_RewardType,""reward""), VLOOKUP($E284, {'TitleData rewards.items'!$J$9:$J416,'TitleData rewards.items'!$B$9:$B416}, 2, FALSE), """")"),"")</f>
        <v/>
      </c>
    </row>
    <row r="285" spans="1:79" ht="56" hidden="1" x14ac:dyDescent="0.15">
      <c r="A285" s="82" t="s">
        <v>269</v>
      </c>
      <c r="B285" s="83" t="b">
        <v>1</v>
      </c>
      <c r="C285" s="82" t="s">
        <v>808</v>
      </c>
      <c r="D285" s="85" t="b">
        <f>VLOOKUP($C285, '_REF Catalog Classes'!$C$6:$D416, COLUMNS('_REF Catalog Classes'!$C$6:$D416), FALSE)</f>
        <v>1</v>
      </c>
      <c r="E285" s="82" t="s">
        <v>1767</v>
      </c>
      <c r="F285" s="82" t="str">
        <f t="shared" si="21"/>
        <v>achievementMissionOverstock:TRUE</v>
      </c>
      <c r="G285" s="86" t="s">
        <v>1768</v>
      </c>
      <c r="H285" s="86" t="s">
        <v>1769</v>
      </c>
      <c r="I285" s="82" t="s">
        <v>274</v>
      </c>
      <c r="J285" s="82"/>
      <c r="K285" s="82"/>
      <c r="L285" s="82"/>
      <c r="M285" s="82" t="s">
        <v>820</v>
      </c>
      <c r="N285" s="107"/>
      <c r="O285" s="108"/>
      <c r="P285" s="82">
        <v>34</v>
      </c>
      <c r="Q285" s="88"/>
      <c r="R285" s="82"/>
      <c r="S285" s="82"/>
      <c r="T285" s="82"/>
      <c r="U285" s="82"/>
      <c r="V285" s="82"/>
      <c r="W285" s="89"/>
      <c r="X285" s="90" t="s">
        <v>37</v>
      </c>
      <c r="Y285" s="90" t="str">
        <f t="shared" si="26"/>
        <v>file://achievementMissionOverstock-state0-image0</v>
      </c>
      <c r="Z285" s="90"/>
      <c r="AA285" s="91" t="s">
        <v>283</v>
      </c>
      <c r="AB285" s="90" t="s">
        <v>1765</v>
      </c>
      <c r="AC285" s="90"/>
      <c r="AD285" s="90" t="s">
        <v>931</v>
      </c>
      <c r="AE285" s="90"/>
      <c r="AF285" s="90"/>
      <c r="AG285" s="92"/>
      <c r="AH285" s="93"/>
      <c r="AI285" s="93"/>
      <c r="AJ285" s="93"/>
      <c r="AK285" s="93"/>
      <c r="AL285" s="93"/>
      <c r="AM285" s="93"/>
      <c r="AN285" s="94"/>
      <c r="AO285" s="95"/>
      <c r="AP285" s="95" t="str">
        <f t="shared" si="27"/>
        <v>file://achievementMissionOverstock-state1-image0</v>
      </c>
      <c r="AQ285" s="95"/>
      <c r="AR285" s="94"/>
      <c r="AS285" s="95"/>
      <c r="AT285" s="95"/>
      <c r="AU285" s="95"/>
      <c r="AV285" s="95"/>
      <c r="AW285" s="92"/>
      <c r="AX285" s="93"/>
      <c r="AY285" s="93"/>
      <c r="AZ285" s="93"/>
      <c r="BA285" s="93"/>
      <c r="BB285" s="93"/>
      <c r="BC285" s="93"/>
      <c r="BD285" s="96">
        <v>2</v>
      </c>
      <c r="BE285" s="97" t="s">
        <v>823</v>
      </c>
      <c r="BF285" s="98"/>
      <c r="BG285" s="97"/>
      <c r="BH285" s="97" t="s">
        <v>283</v>
      </c>
      <c r="BI285" s="97" t="s">
        <v>1765</v>
      </c>
      <c r="BJ285" s="97"/>
      <c r="BK285" s="97"/>
      <c r="BL285" s="97" t="s">
        <v>1770</v>
      </c>
      <c r="BM285" s="97"/>
      <c r="BN285" s="167"/>
      <c r="BO285" s="93"/>
      <c r="BP285" s="93"/>
      <c r="BQ285" s="93"/>
      <c r="BR285" s="93"/>
      <c r="BS285" s="93"/>
      <c r="BT285" s="93"/>
      <c r="BU285" s="93"/>
      <c r="BV285" s="99" t="s">
        <v>1771</v>
      </c>
      <c r="BW285" s="86"/>
      <c r="BX285" s="86"/>
      <c r="BY285" s="86"/>
      <c r="BZ285" s="86"/>
      <c r="CA285" s="100" t="str">
        <f ca="1">IFERROR(__xludf.DUMMYFUNCTION("IF(REGEXMATCH(Catalog_RewardType,""reward""), VLOOKUP($E285, {'TitleData rewards.items'!$J$9:$J416,'TitleData rewards.items'!$B$9:$B416}, 2, FALSE), """")"),"")</f>
        <v/>
      </c>
    </row>
    <row r="286" spans="1:79" ht="42" x14ac:dyDescent="0.15">
      <c r="A286" s="82" t="s">
        <v>269</v>
      </c>
      <c r="B286" s="83"/>
      <c r="C286" s="82" t="s">
        <v>1549</v>
      </c>
      <c r="D286" s="85" t="b">
        <f>VLOOKUP($C286, '_REF Catalog Classes'!$C$6:$D416, COLUMNS('_REF Catalog Classes'!$C$6:$D416), FALSE)</f>
        <v>1</v>
      </c>
      <c r="E286" s="82" t="s">
        <v>1772</v>
      </c>
      <c r="F286" s="82" t="str">
        <f t="shared" si="21"/>
        <v>lootBrattToy:</v>
      </c>
      <c r="G286" s="217" t="s">
        <v>1773</v>
      </c>
      <c r="H286" s="217" t="s">
        <v>1774</v>
      </c>
      <c r="I286" s="82" t="s">
        <v>847</v>
      </c>
      <c r="J286" s="82" t="s">
        <v>1677</v>
      </c>
      <c r="K286" s="82"/>
      <c r="L286" s="82" t="s">
        <v>857</v>
      </c>
      <c r="M286" s="82"/>
      <c r="N286" s="101" t="s">
        <v>1678</v>
      </c>
      <c r="O286" s="82"/>
      <c r="P286" s="82">
        <v>3</v>
      </c>
      <c r="Q286" s="88"/>
      <c r="R286" s="82"/>
      <c r="S286" s="82"/>
      <c r="T286" s="82"/>
      <c r="U286" s="82"/>
      <c r="V286" s="82"/>
      <c r="W286" s="89">
        <v>0</v>
      </c>
      <c r="X286" s="90" t="s">
        <v>37</v>
      </c>
      <c r="Y286" s="90" t="s">
        <v>1775</v>
      </c>
      <c r="Z286" s="162"/>
      <c r="AA286" s="91" t="s">
        <v>283</v>
      </c>
      <c r="AB286" s="162" t="s">
        <v>1776</v>
      </c>
      <c r="AC286" s="162"/>
      <c r="AD286" s="162" t="s">
        <v>1777</v>
      </c>
      <c r="AE286" s="90" t="s">
        <v>1718</v>
      </c>
      <c r="AF286" s="162" t="s">
        <v>497</v>
      </c>
      <c r="AG286" s="164"/>
      <c r="AH286" s="108"/>
      <c r="AI286" s="108"/>
      <c r="AJ286" s="108"/>
      <c r="AK286" s="108"/>
      <c r="AL286" s="108"/>
      <c r="AM286" s="108"/>
      <c r="AN286" s="94"/>
      <c r="AO286" s="95"/>
      <c r="AP286" s="95"/>
      <c r="AQ286" s="95"/>
      <c r="AR286" s="94"/>
      <c r="AS286" s="95"/>
      <c r="AT286" s="206"/>
      <c r="AU286" s="206"/>
      <c r="AV286" s="206"/>
      <c r="AW286" s="164"/>
      <c r="AX286" s="108"/>
      <c r="AY286" s="108"/>
      <c r="AZ286" s="108"/>
      <c r="BA286" s="108"/>
      <c r="BB286" s="108"/>
      <c r="BC286" s="108"/>
      <c r="BD286" s="96">
        <v>2</v>
      </c>
      <c r="BE286" s="97" t="s">
        <v>38</v>
      </c>
      <c r="BF286" s="98" t="s">
        <v>1775</v>
      </c>
      <c r="BG286" s="97"/>
      <c r="BH286" s="97" t="s">
        <v>283</v>
      </c>
      <c r="BI286" s="97" t="s">
        <v>1776</v>
      </c>
      <c r="BJ286" s="167"/>
      <c r="BK286" s="97"/>
      <c r="BL286" s="167" t="s">
        <v>1778</v>
      </c>
      <c r="BM286" s="97" t="s">
        <v>1718</v>
      </c>
      <c r="BN286" s="167" t="s">
        <v>497</v>
      </c>
      <c r="BO286" s="108"/>
      <c r="BP286" s="108"/>
      <c r="BQ286" s="108"/>
      <c r="BR286" s="108"/>
      <c r="BS286" s="108"/>
      <c r="BT286" s="108"/>
      <c r="BU286" s="108"/>
      <c r="BV286" s="113"/>
      <c r="BW286" s="86" t="str">
        <f>VLOOKUP($C286, '_REF Catalog Classes'!$C$6:$E416, COLUMNS('_REF Catalog Classes'!$C$6:$E416), FALSE)</f>
        <v>always</v>
      </c>
      <c r="BX286" s="226">
        <v>1000</v>
      </c>
      <c r="BY286" s="226" t="s">
        <v>1693</v>
      </c>
      <c r="BZ286" s="84" t="s">
        <v>850</v>
      </c>
      <c r="CA286" s="100" t="str">
        <f ca="1">IFERROR(__xludf.DUMMYFUNCTION("IF(REGEXMATCH(Catalog_RewardType,""reward""), VLOOKUP($E286, {'TitleData rewards.items'!$J$9:$J416,'TitleData rewards.items'!$B$9:$B416}, 2, FALSE), """")"),"")</f>
        <v/>
      </c>
    </row>
    <row r="287" spans="1:79" ht="28" hidden="1" x14ac:dyDescent="0.15">
      <c r="A287" s="82" t="s">
        <v>269</v>
      </c>
      <c r="B287" s="83" t="b">
        <v>1</v>
      </c>
      <c r="C287" s="82" t="s">
        <v>811</v>
      </c>
      <c r="D287" s="85" t="b">
        <f>VLOOKUP($C287, '_REF Catalog Classes'!$C$6:$D416, COLUMNS('_REF Catalog Classes'!$C$6:$D416), FALSE)</f>
        <v>1</v>
      </c>
      <c r="E287" s="82" t="s">
        <v>841</v>
      </c>
      <c r="F287" s="82" t="str">
        <f t="shared" si="21"/>
        <v>actionMissionVectorUnlock:TRUE</v>
      </c>
      <c r="G287" s="106" t="s">
        <v>904</v>
      </c>
      <c r="H287" s="86" t="s">
        <v>1779</v>
      </c>
      <c r="I287" s="82" t="s">
        <v>274</v>
      </c>
      <c r="J287" s="82"/>
      <c r="K287" s="82" t="s">
        <v>275</v>
      </c>
      <c r="L287" s="82"/>
      <c r="M287" s="82"/>
      <c r="N287" s="107"/>
      <c r="O287" s="108"/>
      <c r="P287" s="82"/>
      <c r="Q287" s="88"/>
      <c r="R287" s="82"/>
      <c r="S287" s="82"/>
      <c r="T287" s="82"/>
      <c r="U287" s="82"/>
      <c r="V287" s="82"/>
      <c r="W287" s="89"/>
      <c r="X287" s="90"/>
      <c r="Y287" s="90" t="str">
        <f t="shared" ref="Y287:Y290" si="28">"file://"&amp;$E287&amp;"-state0-image0"</f>
        <v>file://actionMissionVectorUnlock-state0-image0</v>
      </c>
      <c r="Z287" s="90"/>
      <c r="AA287" s="89"/>
      <c r="AB287" s="90"/>
      <c r="AC287" s="90"/>
      <c r="AD287" s="90"/>
      <c r="AE287" s="90"/>
      <c r="AF287" s="90"/>
      <c r="AG287" s="92"/>
      <c r="AH287" s="93"/>
      <c r="AI287" s="93"/>
      <c r="AJ287" s="93"/>
      <c r="AK287" s="93"/>
      <c r="AL287" s="93"/>
      <c r="AM287" s="93"/>
      <c r="AN287" s="94"/>
      <c r="AO287" s="95"/>
      <c r="AP287" s="95" t="str">
        <f t="shared" ref="AP287:AP290" si="29">"file://"&amp;$E287&amp;"-state1-image0"</f>
        <v>file://actionMissionVectorUnlock-state1-image0</v>
      </c>
      <c r="AQ287" s="95"/>
      <c r="AR287" s="94"/>
      <c r="AS287" s="95"/>
      <c r="AT287" s="95"/>
      <c r="AU287" s="95"/>
      <c r="AV287" s="95"/>
      <c r="AW287" s="92"/>
      <c r="AX287" s="93"/>
      <c r="AY287" s="93"/>
      <c r="AZ287" s="93"/>
      <c r="BA287" s="93"/>
      <c r="BB287" s="93"/>
      <c r="BC287" s="93"/>
      <c r="BD287" s="168"/>
      <c r="BE287" s="97"/>
      <c r="BF287" s="98"/>
      <c r="BG287" s="97"/>
      <c r="BH287" s="168"/>
      <c r="BI287" s="97"/>
      <c r="BJ287" s="97"/>
      <c r="BK287" s="97"/>
      <c r="BL287" s="97"/>
      <c r="BM287" s="97"/>
      <c r="BN287" s="97"/>
      <c r="BO287" s="93"/>
      <c r="BP287" s="93"/>
      <c r="BQ287" s="93"/>
      <c r="BR287" s="93"/>
      <c r="BS287" s="93"/>
      <c r="BT287" s="93"/>
      <c r="BU287" s="93"/>
      <c r="BV287" s="99" t="s">
        <v>1780</v>
      </c>
      <c r="BW287" s="86" t="str">
        <f>VLOOKUP($C287, '_REF Catalog Classes'!$C$6:$E416, COLUMNS('_REF Catalog Classes'!$C$6:$E416), FALSE)</f>
        <v>always</v>
      </c>
      <c r="BX287" s="86"/>
      <c r="BY287" s="86"/>
      <c r="BZ287" s="86" t="s">
        <v>354</v>
      </c>
      <c r="CA287" s="100" t="str">
        <f ca="1">IFERROR(__xludf.DUMMYFUNCTION("IF(REGEXMATCH(Catalog_RewardType,""reward""), VLOOKUP($E287, {'TitleData rewards.items'!$J$9:$J416,'TitleData rewards.items'!$B$9:$B416}, 2, FALSE), """")"),"#N/A")</f>
        <v>#N/A</v>
      </c>
    </row>
    <row r="288" spans="1:79" ht="42" hidden="1" x14ac:dyDescent="0.15">
      <c r="A288" s="82" t="s">
        <v>269</v>
      </c>
      <c r="B288" s="83" t="b">
        <v>1</v>
      </c>
      <c r="C288" s="82" t="s">
        <v>811</v>
      </c>
      <c r="D288" s="85" t="b">
        <f>VLOOKUP($C288, '_REF Catalog Classes'!$C$6:$D416, COLUMNS('_REF Catalog Classes'!$C$6:$D416), FALSE)</f>
        <v>1</v>
      </c>
      <c r="E288" s="82" t="s">
        <v>844</v>
      </c>
      <c r="F288" s="82" t="str">
        <f t="shared" si="21"/>
        <v>actionMissionVectorAttempt:TRUE</v>
      </c>
      <c r="G288" s="106" t="s">
        <v>904</v>
      </c>
      <c r="H288" s="86" t="s">
        <v>1115</v>
      </c>
      <c r="I288" s="82" t="s">
        <v>847</v>
      </c>
      <c r="J288" s="82" t="s">
        <v>848</v>
      </c>
      <c r="K288" s="82" t="s">
        <v>849</v>
      </c>
      <c r="L288" s="108"/>
      <c r="M288" s="82"/>
      <c r="N288" s="107"/>
      <c r="O288" s="108"/>
      <c r="P288" s="82"/>
      <c r="Q288" s="88"/>
      <c r="R288" s="82"/>
      <c r="S288" s="82"/>
      <c r="T288" s="82"/>
      <c r="U288" s="82"/>
      <c r="V288" s="82"/>
      <c r="W288" s="89"/>
      <c r="X288" s="90"/>
      <c r="Y288" s="90" t="str">
        <f t="shared" si="28"/>
        <v>file://actionMissionVectorAttempt-state0-image0</v>
      </c>
      <c r="Z288" s="90"/>
      <c r="AA288" s="89"/>
      <c r="AB288" s="90"/>
      <c r="AC288" s="90"/>
      <c r="AD288" s="90"/>
      <c r="AE288" s="90"/>
      <c r="AF288" s="90"/>
      <c r="AG288" s="92"/>
      <c r="AH288" s="93"/>
      <c r="AI288" s="93"/>
      <c r="AJ288" s="93"/>
      <c r="AK288" s="93"/>
      <c r="AL288" s="93"/>
      <c r="AM288" s="93"/>
      <c r="AN288" s="94"/>
      <c r="AO288" s="95"/>
      <c r="AP288" s="95" t="str">
        <f t="shared" si="29"/>
        <v>file://actionMissionVectorAttempt-state1-image0</v>
      </c>
      <c r="AQ288" s="95"/>
      <c r="AR288" s="94"/>
      <c r="AS288" s="95"/>
      <c r="AT288" s="95"/>
      <c r="AU288" s="95"/>
      <c r="AV288" s="95"/>
      <c r="AW288" s="92"/>
      <c r="AX288" s="93"/>
      <c r="AY288" s="93"/>
      <c r="AZ288" s="93"/>
      <c r="BA288" s="93"/>
      <c r="BB288" s="93"/>
      <c r="BC288" s="93"/>
      <c r="BD288" s="168"/>
      <c r="BE288" s="97"/>
      <c r="BF288" s="98"/>
      <c r="BG288" s="97"/>
      <c r="BH288" s="168"/>
      <c r="BI288" s="97"/>
      <c r="BJ288" s="97"/>
      <c r="BK288" s="97"/>
      <c r="BL288" s="97"/>
      <c r="BM288" s="97"/>
      <c r="BN288" s="97"/>
      <c r="BO288" s="93"/>
      <c r="BP288" s="93"/>
      <c r="BQ288" s="93"/>
      <c r="BR288" s="93"/>
      <c r="BS288" s="93"/>
      <c r="BT288" s="93"/>
      <c r="BU288" s="93"/>
      <c r="BV288" s="99"/>
      <c r="BW288" s="86"/>
      <c r="BX288" s="86"/>
      <c r="BY288" s="86"/>
      <c r="BZ288" s="86"/>
      <c r="CA288" s="100" t="str">
        <f ca="1">IFERROR(__xludf.DUMMYFUNCTION("IF(REGEXMATCH(Catalog_RewardType,""reward""), VLOOKUP($E288, {'TitleData rewards.items'!$J$9:$J416,'TitleData rewards.items'!$B$9:$B416}, 2, FALSE), """")"),"")</f>
        <v/>
      </c>
    </row>
    <row r="289" spans="1:79" ht="42" hidden="1" x14ac:dyDescent="0.15">
      <c r="A289" s="82" t="s">
        <v>269</v>
      </c>
      <c r="B289" s="83" t="b">
        <v>1</v>
      </c>
      <c r="C289" s="82" t="s">
        <v>851</v>
      </c>
      <c r="D289" s="85" t="b">
        <f>VLOOKUP($C289, '_REF Catalog Classes'!$C$6:$D416, COLUMNS('_REF Catalog Classes'!$C$6:$D416), FALSE)</f>
        <v>1</v>
      </c>
      <c r="E289" s="82" t="s">
        <v>852</v>
      </c>
      <c r="F289" s="82" t="str">
        <f t="shared" si="21"/>
        <v>missionVector:TRUE</v>
      </c>
      <c r="G289" s="86" t="s">
        <v>1781</v>
      </c>
      <c r="H289" s="86" t="s">
        <v>1782</v>
      </c>
      <c r="I289" s="82" t="s">
        <v>847</v>
      </c>
      <c r="J289" s="82" t="s">
        <v>856</v>
      </c>
      <c r="K289" s="82"/>
      <c r="L289" s="108"/>
      <c r="M289" s="82"/>
      <c r="N289" s="107"/>
      <c r="O289" s="108"/>
      <c r="P289" s="82">
        <v>9</v>
      </c>
      <c r="Q289" s="88"/>
      <c r="R289" s="82"/>
      <c r="S289" s="82"/>
      <c r="T289" s="82"/>
      <c r="U289" s="82"/>
      <c r="V289" s="82"/>
      <c r="W289" s="89">
        <v>0</v>
      </c>
      <c r="X289" s="90" t="s">
        <v>319</v>
      </c>
      <c r="Y289" s="90" t="str">
        <f t="shared" si="28"/>
        <v>file://missionVector-state0-image0</v>
      </c>
      <c r="Z289" s="90"/>
      <c r="AA289" s="91" t="s">
        <v>283</v>
      </c>
      <c r="AB289" s="90" t="s">
        <v>1783</v>
      </c>
      <c r="AC289" s="90"/>
      <c r="AD289" s="90" t="s">
        <v>1784</v>
      </c>
      <c r="AE289" s="90"/>
      <c r="AF289" s="90"/>
      <c r="AG289" s="92"/>
      <c r="AH289" s="93"/>
      <c r="AI289" s="93"/>
      <c r="AJ289" s="93"/>
      <c r="AK289" s="93"/>
      <c r="AL289" s="93"/>
      <c r="AM289" s="93"/>
      <c r="AN289" s="94">
        <v>1</v>
      </c>
      <c r="AO289" s="95" t="s">
        <v>858</v>
      </c>
      <c r="AP289" s="95" t="str">
        <f t="shared" si="29"/>
        <v>file://missionVector-state1-image0</v>
      </c>
      <c r="AQ289" s="95"/>
      <c r="AR289" s="94" t="s">
        <v>283</v>
      </c>
      <c r="AS289" s="95" t="s">
        <v>1785</v>
      </c>
      <c r="AT289" s="95" t="s">
        <v>1786</v>
      </c>
      <c r="AU289" s="95" t="s">
        <v>1787</v>
      </c>
      <c r="AV289" s="95" t="s">
        <v>1002</v>
      </c>
      <c r="AW289" s="92"/>
      <c r="AX289" s="93"/>
      <c r="AY289" s="93"/>
      <c r="AZ289" s="93"/>
      <c r="BA289" s="93"/>
      <c r="BB289" s="93"/>
      <c r="BC289" s="93"/>
      <c r="BD289" s="96">
        <v>2</v>
      </c>
      <c r="BE289" s="97" t="s">
        <v>865</v>
      </c>
      <c r="BF289" s="98"/>
      <c r="BG289" s="97"/>
      <c r="BH289" s="97" t="s">
        <v>283</v>
      </c>
      <c r="BI289" s="97" t="s">
        <v>1783</v>
      </c>
      <c r="BJ289" s="97"/>
      <c r="BK289" s="97" t="s">
        <v>1788</v>
      </c>
      <c r="BL289" s="97" t="s">
        <v>1789</v>
      </c>
      <c r="BM289" s="97" t="s">
        <v>1790</v>
      </c>
      <c r="BN289" s="97"/>
      <c r="BO289" s="93"/>
      <c r="BP289" s="93"/>
      <c r="BQ289" s="93"/>
      <c r="BR289" s="93"/>
      <c r="BS289" s="93"/>
      <c r="BT289" s="93"/>
      <c r="BU289" s="93"/>
      <c r="BV289" s="99"/>
      <c r="BW289" s="86"/>
      <c r="BX289" s="86"/>
      <c r="BY289" s="86"/>
      <c r="BZ289" s="86"/>
      <c r="CA289" s="100" t="str">
        <f ca="1">IFERROR(__xludf.DUMMYFUNCTION("IF(REGEXMATCH(Catalog_RewardType,""reward""), VLOOKUP($E289, {'TitleData rewards.items'!$J$9:$J416,'TitleData rewards.items'!$B$9:$B416}, 2, FALSE), """")"),"")</f>
        <v/>
      </c>
    </row>
    <row r="290" spans="1:79" ht="42" hidden="1" x14ac:dyDescent="0.15">
      <c r="A290" s="191" t="s">
        <v>269</v>
      </c>
      <c r="B290" s="83" t="b">
        <v>1</v>
      </c>
      <c r="C290" s="82" t="s">
        <v>808</v>
      </c>
      <c r="D290" s="85" t="b">
        <f>VLOOKUP($C290, '_REF Catalog Classes'!$C$6:$D416, COLUMNS('_REF Catalog Classes'!$C$6:$D416), FALSE)</f>
        <v>1</v>
      </c>
      <c r="E290" s="82" t="s">
        <v>870</v>
      </c>
      <c r="F290" s="82" t="str">
        <f t="shared" si="21"/>
        <v>achievementMissionVector:TRUE</v>
      </c>
      <c r="G290" s="185" t="s">
        <v>1791</v>
      </c>
      <c r="H290" s="86" t="s">
        <v>1792</v>
      </c>
      <c r="I290" s="191" t="s">
        <v>274</v>
      </c>
      <c r="J290" s="191"/>
      <c r="K290" s="191"/>
      <c r="L290" s="191"/>
      <c r="M290" s="191" t="s">
        <v>820</v>
      </c>
      <c r="N290" s="192"/>
      <c r="O290" s="193"/>
      <c r="P290" s="191">
        <v>38</v>
      </c>
      <c r="Q290" s="194"/>
      <c r="R290" s="191"/>
      <c r="S290" s="191"/>
      <c r="T290" s="191"/>
      <c r="U290" s="191"/>
      <c r="V290" s="191"/>
      <c r="W290" s="89">
        <v>0</v>
      </c>
      <c r="X290" s="90" t="s">
        <v>37</v>
      </c>
      <c r="Y290" s="90" t="str">
        <f t="shared" si="28"/>
        <v>file://achievementMissionVector-state0-image0</v>
      </c>
      <c r="Z290" s="195"/>
      <c r="AA290" s="91" t="s">
        <v>283</v>
      </c>
      <c r="AB290" s="195" t="s">
        <v>1793</v>
      </c>
      <c r="AC290" s="90"/>
      <c r="AD290" s="90" t="s">
        <v>931</v>
      </c>
      <c r="AE290" s="195"/>
      <c r="AF290" s="195"/>
      <c r="AG290" s="196"/>
      <c r="AH290" s="197"/>
      <c r="AI290" s="197"/>
      <c r="AJ290" s="197"/>
      <c r="AK290" s="197"/>
      <c r="AL290" s="197"/>
      <c r="AM290" s="197"/>
      <c r="AN290" s="198"/>
      <c r="AO290" s="199"/>
      <c r="AP290" s="95" t="str">
        <f t="shared" si="29"/>
        <v>file://achievementMissionVector-state1-image0</v>
      </c>
      <c r="AQ290" s="199"/>
      <c r="AR290" s="198"/>
      <c r="AS290" s="199"/>
      <c r="AT290" s="199"/>
      <c r="AU290" s="199"/>
      <c r="AV290" s="199"/>
      <c r="AW290" s="196"/>
      <c r="AX290" s="197"/>
      <c r="AY290" s="197"/>
      <c r="AZ290" s="197"/>
      <c r="BA290" s="197"/>
      <c r="BB290" s="197"/>
      <c r="BC290" s="197"/>
      <c r="BD290" s="96">
        <v>2</v>
      </c>
      <c r="BE290" s="97" t="s">
        <v>823</v>
      </c>
      <c r="BF290" s="98"/>
      <c r="BG290" s="97"/>
      <c r="BH290" s="97" t="s">
        <v>283</v>
      </c>
      <c r="BI290" s="200" t="s">
        <v>1793</v>
      </c>
      <c r="BJ290" s="200"/>
      <c r="BK290" s="97"/>
      <c r="BL290" s="97" t="s">
        <v>1794</v>
      </c>
      <c r="BM290" s="97"/>
      <c r="BN290" s="182"/>
      <c r="BO290" s="197"/>
      <c r="BP290" s="197"/>
      <c r="BQ290" s="197"/>
      <c r="BR290" s="197"/>
      <c r="BS290" s="197"/>
      <c r="BT290" s="197"/>
      <c r="BU290" s="197"/>
      <c r="BV290" s="99" t="s">
        <v>1795</v>
      </c>
      <c r="BW290" s="86"/>
      <c r="BX290" s="86"/>
      <c r="BY290" s="86"/>
      <c r="BZ290" s="185"/>
      <c r="CA290" s="100" t="str">
        <f ca="1">IFERROR(__xludf.DUMMYFUNCTION("IF(REGEXMATCH(Catalog_RewardType,""reward""), VLOOKUP($E290, {'TitleData rewards.items'!$J$9:$J416,'TitleData rewards.items'!$B$9:$B416}, 2, FALSE), """")"),"")</f>
        <v/>
      </c>
    </row>
    <row r="291" spans="1:79" ht="42" x14ac:dyDescent="0.15">
      <c r="A291" s="191" t="s">
        <v>269</v>
      </c>
      <c r="B291" s="83"/>
      <c r="C291" s="82" t="s">
        <v>1549</v>
      </c>
      <c r="D291" s="85" t="b">
        <f>VLOOKUP($C291, '_REF Catalog Classes'!$C$6:$D416, COLUMNS('_REF Catalog Classes'!$C$6:$D416), FALSE)</f>
        <v>1</v>
      </c>
      <c r="E291" s="82" t="s">
        <v>1796</v>
      </c>
      <c r="F291" s="82" t="str">
        <f t="shared" si="21"/>
        <v>lootCoconutties:</v>
      </c>
      <c r="G291" s="203" t="s">
        <v>1797</v>
      </c>
      <c r="H291" s="203" t="s">
        <v>1798</v>
      </c>
      <c r="I291" s="191" t="s">
        <v>847</v>
      </c>
      <c r="J291" s="191" t="s">
        <v>1677</v>
      </c>
      <c r="K291" s="191"/>
      <c r="L291" s="191" t="s">
        <v>857</v>
      </c>
      <c r="M291" s="191"/>
      <c r="N291" s="228" t="s">
        <v>1678</v>
      </c>
      <c r="O291" s="229"/>
      <c r="P291" s="191">
        <v>2</v>
      </c>
      <c r="Q291" s="191"/>
      <c r="R291" s="191"/>
      <c r="S291" s="191"/>
      <c r="T291" s="191"/>
      <c r="U291" s="191"/>
      <c r="V291" s="191"/>
      <c r="W291" s="89"/>
      <c r="X291" s="90" t="s">
        <v>37</v>
      </c>
      <c r="Y291" s="90" t="s">
        <v>1799</v>
      </c>
      <c r="Z291" s="195"/>
      <c r="AA291" s="91" t="s">
        <v>283</v>
      </c>
      <c r="AB291" s="195" t="s">
        <v>1800</v>
      </c>
      <c r="AC291" s="90"/>
      <c r="AD291" s="90" t="s">
        <v>1801</v>
      </c>
      <c r="AE291" s="195" t="s">
        <v>1691</v>
      </c>
      <c r="AF291" s="195" t="s">
        <v>448</v>
      </c>
      <c r="AG291" s="197"/>
      <c r="AH291" s="197"/>
      <c r="AI291" s="197"/>
      <c r="AJ291" s="197"/>
      <c r="AK291" s="197"/>
      <c r="AL291" s="197"/>
      <c r="AM291" s="197"/>
      <c r="AN291" s="199"/>
      <c r="AO291" s="199"/>
      <c r="AP291" s="95"/>
      <c r="AQ291" s="199"/>
      <c r="AR291" s="199"/>
      <c r="AS291" s="199"/>
      <c r="AT291" s="199"/>
      <c r="AU291" s="199"/>
      <c r="AV291" s="199"/>
      <c r="AW291" s="197"/>
      <c r="AX291" s="197"/>
      <c r="AY291" s="197"/>
      <c r="AZ291" s="197"/>
      <c r="BA291" s="197"/>
      <c r="BB291" s="197"/>
      <c r="BC291" s="197"/>
      <c r="BD291" s="184">
        <v>2</v>
      </c>
      <c r="BE291" s="97" t="s">
        <v>38</v>
      </c>
      <c r="BF291" s="98" t="s">
        <v>1799</v>
      </c>
      <c r="BG291" s="97"/>
      <c r="BH291" s="97" t="s">
        <v>283</v>
      </c>
      <c r="BI291" s="200" t="s">
        <v>1800</v>
      </c>
      <c r="BJ291" s="200"/>
      <c r="BK291" s="97"/>
      <c r="BL291" s="97" t="s">
        <v>1802</v>
      </c>
      <c r="BM291" s="97" t="s">
        <v>1691</v>
      </c>
      <c r="BN291" s="167" t="s">
        <v>448</v>
      </c>
      <c r="BO291" s="197"/>
      <c r="BP291" s="197"/>
      <c r="BQ291" s="197"/>
      <c r="BR291" s="197"/>
      <c r="BS291" s="197"/>
      <c r="BT291" s="197"/>
      <c r="BU291" s="197"/>
      <c r="BV291" s="99"/>
      <c r="BW291" s="86" t="str">
        <f>VLOOKUP($C291, '_REF Catalog Classes'!$C$6:$E416, COLUMNS('_REF Catalog Classes'!$C$6:$E416), FALSE)</f>
        <v>always</v>
      </c>
      <c r="BX291" s="226">
        <v>100</v>
      </c>
      <c r="BY291" s="226" t="s">
        <v>1693</v>
      </c>
      <c r="BZ291" s="84" t="s">
        <v>850</v>
      </c>
      <c r="CA291" s="100" t="str">
        <f ca="1">IFERROR(__xludf.DUMMYFUNCTION("IF(REGEXMATCH(Catalog_RewardType,""reward""), VLOOKUP($E291, {'TitleData rewards.items'!$J$9:$J416,'TitleData rewards.items'!$B$9:$B416}, 2, FALSE), """")"),"")</f>
        <v/>
      </c>
    </row>
    <row r="292" spans="1:79" ht="42" hidden="1" x14ac:dyDescent="0.15">
      <c r="A292" s="82" t="s">
        <v>314</v>
      </c>
      <c r="B292" s="83" t="b">
        <v>1</v>
      </c>
      <c r="C292" s="82" t="s">
        <v>808</v>
      </c>
      <c r="D292" s="85" t="b">
        <f>VLOOKUP($C292, '_REF Catalog Classes'!$C$6:$D416, COLUMNS('_REF Catalog Classes'!$C$6:$D416), FALSE)</f>
        <v>1</v>
      </c>
      <c r="E292" s="82" t="s">
        <v>1803</v>
      </c>
      <c r="F292" s="82" t="str">
        <f t="shared" si="21"/>
        <v>achievementCollectIceCream:TRUE</v>
      </c>
      <c r="G292" s="217" t="s">
        <v>1804</v>
      </c>
      <c r="H292" s="217" t="s">
        <v>1805</v>
      </c>
      <c r="I292" s="82" t="s">
        <v>274</v>
      </c>
      <c r="J292" s="82"/>
      <c r="K292" s="82"/>
      <c r="L292" s="82"/>
      <c r="M292" s="82" t="s">
        <v>820</v>
      </c>
      <c r="N292" s="107"/>
      <c r="O292" s="108"/>
      <c r="P292" s="82">
        <v>36</v>
      </c>
      <c r="Q292" s="88"/>
      <c r="R292" s="82"/>
      <c r="S292" s="82"/>
      <c r="T292" s="82"/>
      <c r="U292" s="82"/>
      <c r="V292" s="82"/>
      <c r="W292" s="89">
        <v>0</v>
      </c>
      <c r="X292" s="90" t="s">
        <v>37</v>
      </c>
      <c r="Y292" s="90" t="str">
        <f t="shared" ref="Y292:Y300" si="30">"file://"&amp;$E292&amp;"-state0-image0"</f>
        <v>file://achievementCollectIceCream-state0-image0</v>
      </c>
      <c r="Z292" s="162"/>
      <c r="AA292" s="91" t="s">
        <v>283</v>
      </c>
      <c r="AB292" s="162" t="s">
        <v>1806</v>
      </c>
      <c r="AC292" s="162"/>
      <c r="AD292" s="162" t="s">
        <v>1807</v>
      </c>
      <c r="AE292" s="162"/>
      <c r="AF292" s="162"/>
      <c r="AG292" s="164"/>
      <c r="AH292" s="108"/>
      <c r="AI292" s="108"/>
      <c r="AJ292" s="108"/>
      <c r="AK292" s="108"/>
      <c r="AL292" s="108"/>
      <c r="AM292" s="108"/>
      <c r="AN292" s="94"/>
      <c r="AO292" s="95"/>
      <c r="AP292" s="95" t="str">
        <f t="shared" ref="AP292:AP300" si="31">"file://"&amp;$E292&amp;"-state1-image0"</f>
        <v>file://achievementCollectIceCream-state1-image0</v>
      </c>
      <c r="AQ292" s="95"/>
      <c r="AR292" s="94"/>
      <c r="AS292" s="95"/>
      <c r="AT292" s="206"/>
      <c r="AU292" s="206"/>
      <c r="AV292" s="206"/>
      <c r="AW292" s="164"/>
      <c r="AX292" s="108"/>
      <c r="AY292" s="108"/>
      <c r="AZ292" s="108"/>
      <c r="BA292" s="108"/>
      <c r="BB292" s="108"/>
      <c r="BC292" s="108"/>
      <c r="BD292" s="96">
        <v>2</v>
      </c>
      <c r="BE292" s="167" t="s">
        <v>810</v>
      </c>
      <c r="BF292" s="98"/>
      <c r="BG292" s="97"/>
      <c r="BH292" s="97" t="s">
        <v>283</v>
      </c>
      <c r="BI292" s="97" t="s">
        <v>1806</v>
      </c>
      <c r="BJ292" s="167"/>
      <c r="BK292" s="167"/>
      <c r="BL292" s="167" t="s">
        <v>1808</v>
      </c>
      <c r="BM292" s="167"/>
      <c r="BN292" s="167"/>
      <c r="BO292" s="108"/>
      <c r="BP292" s="108"/>
      <c r="BQ292" s="108"/>
      <c r="BR292" s="108"/>
      <c r="BS292" s="108"/>
      <c r="BT292" s="108"/>
      <c r="BU292" s="108"/>
      <c r="BV292" s="113" t="s">
        <v>1809</v>
      </c>
      <c r="BW292" s="86" t="str">
        <f>VLOOKUP($C292, '_REF Catalog Classes'!$C$6:$E416, COLUMNS('_REF Catalog Classes'!$C$6:$E416), FALSE)</f>
        <v>never</v>
      </c>
      <c r="BX292" s="82"/>
      <c r="BY292" s="82"/>
      <c r="BZ292" s="86" t="s">
        <v>354</v>
      </c>
      <c r="CA292" s="100" t="str">
        <f ca="1">IFERROR(__xludf.DUMMYFUNCTION("IF(REGEXMATCH(Catalog_RewardType,""reward""), VLOOKUP($E292, {'TitleData rewards.items'!$J$9:$J416,'TitleData rewards.items'!$B$9:$B416}, 2, FALSE), """")"),"#N/A")</f>
        <v>#N/A</v>
      </c>
    </row>
    <row r="293" spans="1:79" ht="42" hidden="1" x14ac:dyDescent="0.15">
      <c r="A293" s="82" t="s">
        <v>314</v>
      </c>
      <c r="B293" s="83" t="b">
        <v>1</v>
      </c>
      <c r="C293" s="82" t="s">
        <v>808</v>
      </c>
      <c r="D293" s="85" t="b">
        <f>VLOOKUP($C293, '_REF Catalog Classes'!$C$6:$D416, COLUMNS('_REF Catalog Classes'!$C$6:$D416), FALSE)</f>
        <v>1</v>
      </c>
      <c r="E293" s="82" t="s">
        <v>1810</v>
      </c>
      <c r="F293" s="82" t="str">
        <f t="shared" si="21"/>
        <v>achievementCollectGrusJelly:TRUE</v>
      </c>
      <c r="G293" s="217" t="s">
        <v>1811</v>
      </c>
      <c r="H293" s="217" t="s">
        <v>1812</v>
      </c>
      <c r="I293" s="82" t="s">
        <v>274</v>
      </c>
      <c r="J293" s="82"/>
      <c r="K293" s="82"/>
      <c r="L293" s="82"/>
      <c r="M293" s="82" t="s">
        <v>820</v>
      </c>
      <c r="N293" s="107"/>
      <c r="O293" s="108"/>
      <c r="P293" s="82">
        <v>37</v>
      </c>
      <c r="Q293" s="88"/>
      <c r="R293" s="82"/>
      <c r="S293" s="82"/>
      <c r="T293" s="82"/>
      <c r="U293" s="82"/>
      <c r="V293" s="82"/>
      <c r="W293" s="89">
        <v>0</v>
      </c>
      <c r="X293" s="90" t="s">
        <v>37</v>
      </c>
      <c r="Y293" s="90" t="str">
        <f t="shared" si="30"/>
        <v>file://achievementCollectGrusJelly-state0-image0</v>
      </c>
      <c r="Z293" s="162"/>
      <c r="AA293" s="91" t="s">
        <v>283</v>
      </c>
      <c r="AB293" s="162" t="s">
        <v>1813</v>
      </c>
      <c r="AC293" s="162"/>
      <c r="AD293" s="162" t="s">
        <v>1814</v>
      </c>
      <c r="AE293" s="162"/>
      <c r="AF293" s="162"/>
      <c r="AG293" s="164"/>
      <c r="AH293" s="108"/>
      <c r="AI293" s="108"/>
      <c r="AJ293" s="108"/>
      <c r="AK293" s="108"/>
      <c r="AL293" s="108"/>
      <c r="AM293" s="108"/>
      <c r="AN293" s="94"/>
      <c r="AO293" s="95"/>
      <c r="AP293" s="95" t="str">
        <f t="shared" si="31"/>
        <v>file://achievementCollectGrusJelly-state1-image0</v>
      </c>
      <c r="AQ293" s="95"/>
      <c r="AR293" s="94"/>
      <c r="AS293" s="95"/>
      <c r="AT293" s="206"/>
      <c r="AU293" s="206"/>
      <c r="AV293" s="206"/>
      <c r="AW293" s="164"/>
      <c r="AX293" s="108"/>
      <c r="AY293" s="108"/>
      <c r="AZ293" s="108"/>
      <c r="BA293" s="108"/>
      <c r="BB293" s="108"/>
      <c r="BC293" s="108"/>
      <c r="BD293" s="96">
        <v>2</v>
      </c>
      <c r="BE293" s="167" t="s">
        <v>810</v>
      </c>
      <c r="BF293" s="98"/>
      <c r="BG293" s="97"/>
      <c r="BH293" s="97" t="s">
        <v>283</v>
      </c>
      <c r="BI293" s="97" t="s">
        <v>1813</v>
      </c>
      <c r="BJ293" s="167"/>
      <c r="BK293" s="167"/>
      <c r="BL293" s="167" t="s">
        <v>1815</v>
      </c>
      <c r="BM293" s="167"/>
      <c r="BN293" s="167"/>
      <c r="BO293" s="108"/>
      <c r="BP293" s="108"/>
      <c r="BQ293" s="108"/>
      <c r="BR293" s="108"/>
      <c r="BS293" s="108"/>
      <c r="BT293" s="108"/>
      <c r="BU293" s="108"/>
      <c r="BV293" s="113" t="s">
        <v>1816</v>
      </c>
      <c r="BW293" s="86" t="str">
        <f>VLOOKUP($C293, '_REF Catalog Classes'!$C$6:$E416, COLUMNS('_REF Catalog Classes'!$C$6:$E416), FALSE)</f>
        <v>never</v>
      </c>
      <c r="BX293" s="82"/>
      <c r="BY293" s="82"/>
      <c r="BZ293" s="82" t="s">
        <v>354</v>
      </c>
      <c r="CA293" s="100" t="str">
        <f ca="1">IFERROR(__xludf.DUMMYFUNCTION("IF(REGEXMATCH(Catalog_RewardType,""reward""), VLOOKUP($E293, {'TitleData rewards.items'!$J$9:$J416,'TitleData rewards.items'!$B$9:$B416}, 2, FALSE), """")"),"#N/A")</f>
        <v>#N/A</v>
      </c>
    </row>
    <row r="294" spans="1:79" ht="28" hidden="1" x14ac:dyDescent="0.15">
      <c r="A294" s="82" t="s">
        <v>314</v>
      </c>
      <c r="B294" s="83" t="b">
        <v>1</v>
      </c>
      <c r="C294" s="82" t="s">
        <v>1549</v>
      </c>
      <c r="D294" s="85" t="b">
        <f>VLOOKUP($C294, '_REF Catalog Classes'!$C$6:$D416, COLUMNS('_REF Catalog Classes'!$C$6:$D416), FALSE)</f>
        <v>1</v>
      </c>
      <c r="E294" s="82" t="s">
        <v>1817</v>
      </c>
      <c r="F294" s="82" t="str">
        <f t="shared" si="21"/>
        <v>lootLavaLampGun:TRUE</v>
      </c>
      <c r="G294" s="217" t="s">
        <v>1818</v>
      </c>
      <c r="H294" s="217" t="s">
        <v>1819</v>
      </c>
      <c r="I294" s="82" t="s">
        <v>847</v>
      </c>
      <c r="J294" s="82" t="s">
        <v>1677</v>
      </c>
      <c r="K294" s="82"/>
      <c r="L294" s="82" t="s">
        <v>857</v>
      </c>
      <c r="M294" s="82"/>
      <c r="N294" s="101" t="s">
        <v>1678</v>
      </c>
      <c r="O294" s="82"/>
      <c r="P294" s="82">
        <v>12</v>
      </c>
      <c r="Q294" s="88"/>
      <c r="R294" s="82"/>
      <c r="S294" s="82"/>
      <c r="T294" s="82"/>
      <c r="U294" s="82"/>
      <c r="V294" s="82"/>
      <c r="W294" s="89">
        <v>0</v>
      </c>
      <c r="X294" s="90" t="s">
        <v>37</v>
      </c>
      <c r="Y294" s="90" t="str">
        <f t="shared" si="30"/>
        <v>file://lootLavaLampGun-state0-image0</v>
      </c>
      <c r="Z294" s="162"/>
      <c r="AA294" s="91" t="s">
        <v>283</v>
      </c>
      <c r="AB294" s="162" t="s">
        <v>1820</v>
      </c>
      <c r="AC294" s="162"/>
      <c r="AD294" s="162" t="s">
        <v>1821</v>
      </c>
      <c r="AE294" s="90" t="s">
        <v>1680</v>
      </c>
      <c r="AF294" s="162" t="s">
        <v>497</v>
      </c>
      <c r="AG294" s="164"/>
      <c r="AH294" s="108"/>
      <c r="AI294" s="108"/>
      <c r="AJ294" s="108"/>
      <c r="AK294" s="108"/>
      <c r="AL294" s="108"/>
      <c r="AM294" s="108"/>
      <c r="AN294" s="94"/>
      <c r="AO294" s="95"/>
      <c r="AP294" s="95" t="str">
        <f t="shared" si="31"/>
        <v>file://lootLavaLampGun-state1-image0</v>
      </c>
      <c r="AQ294" s="95"/>
      <c r="AR294" s="94"/>
      <c r="AS294" s="95"/>
      <c r="AT294" s="206"/>
      <c r="AU294" s="206"/>
      <c r="AV294" s="206"/>
      <c r="AW294" s="164"/>
      <c r="AX294" s="108"/>
      <c r="AY294" s="108"/>
      <c r="AZ294" s="108"/>
      <c r="BA294" s="108"/>
      <c r="BB294" s="108"/>
      <c r="BC294" s="108"/>
      <c r="BD294" s="96">
        <v>2</v>
      </c>
      <c r="BE294" s="97" t="s">
        <v>38</v>
      </c>
      <c r="BF294" s="98"/>
      <c r="BG294" s="97"/>
      <c r="BH294" s="97" t="s">
        <v>283</v>
      </c>
      <c r="BI294" s="97" t="s">
        <v>1822</v>
      </c>
      <c r="BJ294" s="167"/>
      <c r="BK294" s="97"/>
      <c r="BL294" s="167" t="s">
        <v>1823</v>
      </c>
      <c r="BM294" s="97" t="s">
        <v>1684</v>
      </c>
      <c r="BN294" s="167" t="s">
        <v>497</v>
      </c>
      <c r="BO294" s="108"/>
      <c r="BP294" s="108"/>
      <c r="BQ294" s="108"/>
      <c r="BR294" s="108"/>
      <c r="BS294" s="108"/>
      <c r="BT294" s="108"/>
      <c r="BU294" s="108"/>
      <c r="BV294" s="113"/>
      <c r="BW294" s="82"/>
      <c r="BX294" s="82"/>
      <c r="BY294" s="82"/>
      <c r="BZ294" s="82"/>
      <c r="CA294" s="100" t="str">
        <f ca="1">IFERROR(__xludf.DUMMYFUNCTION("IF(REGEXMATCH(Catalog_RewardType,""reward""), VLOOKUP($E294, {'TitleData rewards.items'!$J$9:$J416,'TitleData rewards.items'!$B$9:$B416}, 2, FALSE), """")"),"")</f>
        <v/>
      </c>
    </row>
    <row r="295" spans="1:79" ht="28" hidden="1" x14ac:dyDescent="0.15">
      <c r="A295" s="82" t="s">
        <v>314</v>
      </c>
      <c r="B295" s="83" t="b">
        <v>1</v>
      </c>
      <c r="C295" s="82" t="s">
        <v>1549</v>
      </c>
      <c r="D295" s="85" t="b">
        <f>VLOOKUP($C295, '_REF Catalog Classes'!$C$6:$D416, COLUMNS('_REF Catalog Classes'!$C$6:$D416), FALSE)</f>
        <v>1</v>
      </c>
      <c r="E295" s="82" t="s">
        <v>1734</v>
      </c>
      <c r="F295" s="82" t="str">
        <f t="shared" si="21"/>
        <v>lootLipstickTaser:TRUE</v>
      </c>
      <c r="G295" s="217" t="s">
        <v>1737</v>
      </c>
      <c r="H295" s="217" t="s">
        <v>1824</v>
      </c>
      <c r="I295" s="82" t="s">
        <v>847</v>
      </c>
      <c r="J295" s="82" t="s">
        <v>1677</v>
      </c>
      <c r="K295" s="82"/>
      <c r="L295" s="82" t="s">
        <v>857</v>
      </c>
      <c r="M295" s="82"/>
      <c r="N295" s="101" t="s">
        <v>1678</v>
      </c>
      <c r="O295" s="82"/>
      <c r="P295" s="82">
        <v>13</v>
      </c>
      <c r="Q295" s="88"/>
      <c r="R295" s="82"/>
      <c r="S295" s="82"/>
      <c r="T295" s="82"/>
      <c r="U295" s="82"/>
      <c r="V295" s="82"/>
      <c r="W295" s="89">
        <v>0</v>
      </c>
      <c r="X295" s="90" t="s">
        <v>37</v>
      </c>
      <c r="Y295" s="90" t="str">
        <f t="shared" si="30"/>
        <v>file://lootLipstickTaser-state0-image0</v>
      </c>
      <c r="Z295" s="162"/>
      <c r="AA295" s="91" t="s">
        <v>283</v>
      </c>
      <c r="AB295" s="162" t="s">
        <v>1737</v>
      </c>
      <c r="AC295" s="162"/>
      <c r="AD295" s="162" t="s">
        <v>1825</v>
      </c>
      <c r="AE295" s="90" t="s">
        <v>1680</v>
      </c>
      <c r="AF295" s="162" t="s">
        <v>497</v>
      </c>
      <c r="AG295" s="164"/>
      <c r="AH295" s="108"/>
      <c r="AI295" s="108"/>
      <c r="AJ295" s="108"/>
      <c r="AK295" s="108"/>
      <c r="AL295" s="108"/>
      <c r="AM295" s="108"/>
      <c r="AN295" s="94"/>
      <c r="AO295" s="95"/>
      <c r="AP295" s="95" t="str">
        <f t="shared" si="31"/>
        <v>file://lootLipstickTaser-state1-image0</v>
      </c>
      <c r="AQ295" s="95"/>
      <c r="AR295" s="94"/>
      <c r="AS295" s="95"/>
      <c r="AT295" s="206"/>
      <c r="AU295" s="206"/>
      <c r="AV295" s="206"/>
      <c r="AW295" s="164"/>
      <c r="AX295" s="108"/>
      <c r="AY295" s="108"/>
      <c r="AZ295" s="108"/>
      <c r="BA295" s="108"/>
      <c r="BB295" s="108"/>
      <c r="BC295" s="108"/>
      <c r="BD295" s="96">
        <v>2</v>
      </c>
      <c r="BE295" s="97" t="s">
        <v>38</v>
      </c>
      <c r="BF295" s="98"/>
      <c r="BG295" s="97"/>
      <c r="BH295" s="97" t="s">
        <v>283</v>
      </c>
      <c r="BI295" s="97" t="s">
        <v>1737</v>
      </c>
      <c r="BJ295" s="167"/>
      <c r="BK295" s="97"/>
      <c r="BL295" s="167" t="s">
        <v>1826</v>
      </c>
      <c r="BM295" s="97" t="s">
        <v>1684</v>
      </c>
      <c r="BN295" s="167" t="s">
        <v>497</v>
      </c>
      <c r="BO295" s="108"/>
      <c r="BP295" s="108"/>
      <c r="BQ295" s="108"/>
      <c r="BR295" s="108"/>
      <c r="BS295" s="108"/>
      <c r="BT295" s="108"/>
      <c r="BU295" s="108"/>
      <c r="BV295" s="113"/>
      <c r="BW295" s="82"/>
      <c r="BX295" s="82"/>
      <c r="BY295" s="82"/>
      <c r="BZ295" s="82"/>
      <c r="CA295" s="100" t="str">
        <f ca="1">IFERROR(__xludf.DUMMYFUNCTION("IF(REGEXMATCH(Catalog_RewardType,""reward""), VLOOKUP($E295, {'TitleData rewards.items'!$J$9:$J416,'TitleData rewards.items'!$B$9:$B416}, 2, FALSE), """")"),"")</f>
        <v/>
      </c>
    </row>
    <row r="296" spans="1:79" ht="28" hidden="1" x14ac:dyDescent="0.15">
      <c r="A296" s="82" t="s">
        <v>314</v>
      </c>
      <c r="B296" s="83" t="b">
        <v>1</v>
      </c>
      <c r="C296" s="82" t="s">
        <v>1549</v>
      </c>
      <c r="D296" s="85" t="b">
        <f>VLOOKUP($C296, '_REF Catalog Classes'!$C$6:$D416, COLUMNS('_REF Catalog Classes'!$C$6:$D416), FALSE)</f>
        <v>1</v>
      </c>
      <c r="E296" s="82" t="s">
        <v>1827</v>
      </c>
      <c r="F296" s="82" t="str">
        <f t="shared" si="21"/>
        <v>lootDinoEgg:TRUE</v>
      </c>
      <c r="G296" s="177" t="s">
        <v>1828</v>
      </c>
      <c r="H296" s="177" t="s">
        <v>1829</v>
      </c>
      <c r="I296" s="82" t="s">
        <v>847</v>
      </c>
      <c r="J296" s="82" t="s">
        <v>1677</v>
      </c>
      <c r="K296" s="82"/>
      <c r="L296" s="82" t="s">
        <v>857</v>
      </c>
      <c r="M296" s="82"/>
      <c r="N296" s="101" t="s">
        <v>1678</v>
      </c>
      <c r="O296" s="82"/>
      <c r="P296" s="82">
        <v>15</v>
      </c>
      <c r="Q296" s="88"/>
      <c r="R296" s="82"/>
      <c r="S296" s="82"/>
      <c r="T296" s="82"/>
      <c r="U296" s="82"/>
      <c r="V296" s="82"/>
      <c r="W296" s="89">
        <v>0</v>
      </c>
      <c r="X296" s="90" t="s">
        <v>37</v>
      </c>
      <c r="Y296" s="90" t="str">
        <f t="shared" si="30"/>
        <v>file://lootDinoEgg-state0-image0</v>
      </c>
      <c r="Z296" s="162"/>
      <c r="AA296" s="91" t="s">
        <v>283</v>
      </c>
      <c r="AB296" s="162" t="s">
        <v>1830</v>
      </c>
      <c r="AC296" s="162"/>
      <c r="AD296" s="162" t="s">
        <v>1831</v>
      </c>
      <c r="AE296" s="90" t="s">
        <v>1680</v>
      </c>
      <c r="AF296" s="162" t="s">
        <v>1681</v>
      </c>
      <c r="AG296" s="164"/>
      <c r="AH296" s="108"/>
      <c r="AI296" s="108"/>
      <c r="AJ296" s="108"/>
      <c r="AK296" s="108"/>
      <c r="AL296" s="108"/>
      <c r="AM296" s="108"/>
      <c r="AN296" s="94"/>
      <c r="AO296" s="95"/>
      <c r="AP296" s="95" t="str">
        <f t="shared" si="31"/>
        <v>file://lootDinoEgg-state1-image0</v>
      </c>
      <c r="AQ296" s="95"/>
      <c r="AR296" s="94"/>
      <c r="AS296" s="95"/>
      <c r="AT296" s="206"/>
      <c r="AU296" s="206"/>
      <c r="AV296" s="206"/>
      <c r="AW296" s="164"/>
      <c r="AX296" s="108"/>
      <c r="AY296" s="108"/>
      <c r="AZ296" s="108"/>
      <c r="BA296" s="108"/>
      <c r="BB296" s="108"/>
      <c r="BC296" s="108"/>
      <c r="BD296" s="96">
        <v>2</v>
      </c>
      <c r="BE296" s="97" t="s">
        <v>38</v>
      </c>
      <c r="BF296" s="98"/>
      <c r="BG296" s="97"/>
      <c r="BH296" s="97" t="s">
        <v>283</v>
      </c>
      <c r="BI296" s="97" t="s">
        <v>1830</v>
      </c>
      <c r="BJ296" s="167"/>
      <c r="BK296" s="97"/>
      <c r="BL296" s="167" t="s">
        <v>1832</v>
      </c>
      <c r="BM296" s="97" t="s">
        <v>1684</v>
      </c>
      <c r="BN296" s="167" t="s">
        <v>1681</v>
      </c>
      <c r="BO296" s="108"/>
      <c r="BP296" s="108"/>
      <c r="BQ296" s="108"/>
      <c r="BR296" s="108"/>
      <c r="BS296" s="108"/>
      <c r="BT296" s="108"/>
      <c r="BU296" s="108"/>
      <c r="BV296" s="113"/>
      <c r="BW296" s="82"/>
      <c r="BX296" s="82"/>
      <c r="BY296" s="82"/>
      <c r="BZ296" s="82"/>
      <c r="CA296" s="100" t="str">
        <f ca="1">IFERROR(__xludf.DUMMYFUNCTION("IF(REGEXMATCH(Catalog_RewardType,""reward""), VLOOKUP($E296, {'TitleData rewards.items'!$J$9:$J416,'TitleData rewards.items'!$B$9:$B416}, 2, FALSE), """")"),"")</f>
        <v/>
      </c>
    </row>
    <row r="297" spans="1:79" ht="28" hidden="1" x14ac:dyDescent="0.15">
      <c r="A297" s="82" t="s">
        <v>314</v>
      </c>
      <c r="B297" s="83" t="b">
        <v>1</v>
      </c>
      <c r="C297" s="82" t="s">
        <v>1549</v>
      </c>
      <c r="D297" s="85" t="b">
        <f>VLOOKUP($C297, '_REF Catalog Classes'!$C$6:$D416, COLUMNS('_REF Catalog Classes'!$C$6:$D416), FALSE)</f>
        <v>1</v>
      </c>
      <c r="E297" s="82" t="s">
        <v>1833</v>
      </c>
      <c r="F297" s="82" t="str">
        <f t="shared" si="21"/>
        <v>lootOnion:TRUE</v>
      </c>
      <c r="G297" s="177" t="s">
        <v>1834</v>
      </c>
      <c r="H297" s="177" t="s">
        <v>1835</v>
      </c>
      <c r="I297" s="82" t="s">
        <v>847</v>
      </c>
      <c r="J297" s="82" t="s">
        <v>1677</v>
      </c>
      <c r="K297" s="82"/>
      <c r="L297" s="82" t="s">
        <v>857</v>
      </c>
      <c r="M297" s="82"/>
      <c r="N297" s="101" t="s">
        <v>1678</v>
      </c>
      <c r="O297" s="82"/>
      <c r="P297" s="82">
        <v>17</v>
      </c>
      <c r="Q297" s="88"/>
      <c r="R297" s="82"/>
      <c r="S297" s="82"/>
      <c r="T297" s="82"/>
      <c r="U297" s="82"/>
      <c r="V297" s="82"/>
      <c r="W297" s="89">
        <v>0</v>
      </c>
      <c r="X297" s="90" t="s">
        <v>37</v>
      </c>
      <c r="Y297" s="90" t="str">
        <f t="shared" si="30"/>
        <v>file://lootOnion-state0-image0</v>
      </c>
      <c r="Z297" s="162"/>
      <c r="AA297" s="91" t="s">
        <v>283</v>
      </c>
      <c r="AB297" s="162" t="s">
        <v>1834</v>
      </c>
      <c r="AC297" s="162"/>
      <c r="AD297" s="162" t="s">
        <v>1836</v>
      </c>
      <c r="AE297" s="90" t="s">
        <v>1680</v>
      </c>
      <c r="AF297" s="162" t="s">
        <v>652</v>
      </c>
      <c r="AG297" s="164"/>
      <c r="AH297" s="108"/>
      <c r="AI297" s="108"/>
      <c r="AJ297" s="108"/>
      <c r="AK297" s="108"/>
      <c r="AL297" s="108"/>
      <c r="AM297" s="108"/>
      <c r="AN297" s="94"/>
      <c r="AO297" s="95"/>
      <c r="AP297" s="95" t="str">
        <f t="shared" si="31"/>
        <v>file://lootOnion-state1-image0</v>
      </c>
      <c r="AQ297" s="95"/>
      <c r="AR297" s="94"/>
      <c r="AS297" s="95"/>
      <c r="AT297" s="206"/>
      <c r="AU297" s="206"/>
      <c r="AV297" s="206"/>
      <c r="AW297" s="164"/>
      <c r="AX297" s="108"/>
      <c r="AY297" s="108"/>
      <c r="AZ297" s="108"/>
      <c r="BA297" s="108"/>
      <c r="BB297" s="108"/>
      <c r="BC297" s="108"/>
      <c r="BD297" s="96">
        <v>2</v>
      </c>
      <c r="BE297" s="97" t="s">
        <v>38</v>
      </c>
      <c r="BF297" s="98"/>
      <c r="BG297" s="97"/>
      <c r="BH297" s="97" t="s">
        <v>283</v>
      </c>
      <c r="BI297" s="97" t="s">
        <v>1837</v>
      </c>
      <c r="BJ297" s="167"/>
      <c r="BK297" s="97"/>
      <c r="BL297" s="167" t="s">
        <v>1838</v>
      </c>
      <c r="BM297" s="97" t="s">
        <v>1684</v>
      </c>
      <c r="BN297" s="167" t="s">
        <v>652</v>
      </c>
      <c r="BO297" s="108"/>
      <c r="BP297" s="108"/>
      <c r="BQ297" s="108"/>
      <c r="BR297" s="108"/>
      <c r="BS297" s="108"/>
      <c r="BT297" s="108"/>
      <c r="BU297" s="108"/>
      <c r="BV297" s="113"/>
      <c r="BW297" s="82"/>
      <c r="BX297" s="82"/>
      <c r="BY297" s="82"/>
      <c r="BZ297" s="82"/>
      <c r="CA297" s="100" t="str">
        <f ca="1">IFERROR(__xludf.DUMMYFUNCTION("IF(REGEXMATCH(Catalog_RewardType,""reward""), VLOOKUP($E297, {'TitleData rewards.items'!$J$9:$J416,'TitleData rewards.items'!$B$9:$B416}, 2, FALSE), """")"),"")</f>
        <v/>
      </c>
    </row>
    <row r="298" spans="1:79" ht="28" hidden="1" x14ac:dyDescent="0.15">
      <c r="A298" s="82" t="s">
        <v>314</v>
      </c>
      <c r="B298" s="83" t="b">
        <v>1</v>
      </c>
      <c r="C298" s="82" t="s">
        <v>1549</v>
      </c>
      <c r="D298" s="85" t="b">
        <f>VLOOKUP($C298, '_REF Catalog Classes'!$C$6:$D416, COLUMNS('_REF Catalog Classes'!$C$6:$D416), FALSE)</f>
        <v>1</v>
      </c>
      <c r="E298" s="82" t="s">
        <v>1839</v>
      </c>
      <c r="F298" s="82" t="str">
        <f t="shared" si="21"/>
        <v>lootUkulele:TRUE</v>
      </c>
      <c r="G298" s="217" t="s">
        <v>1840</v>
      </c>
      <c r="H298" s="217" t="s">
        <v>1841</v>
      </c>
      <c r="I298" s="82" t="s">
        <v>847</v>
      </c>
      <c r="J298" s="82" t="s">
        <v>1677</v>
      </c>
      <c r="K298" s="82"/>
      <c r="L298" s="82" t="s">
        <v>857</v>
      </c>
      <c r="M298" s="82"/>
      <c r="N298" s="101" t="s">
        <v>1678</v>
      </c>
      <c r="O298" s="82"/>
      <c r="P298" s="82">
        <v>18</v>
      </c>
      <c r="Q298" s="88"/>
      <c r="R298" s="82"/>
      <c r="S298" s="82"/>
      <c r="T298" s="82"/>
      <c r="U298" s="82"/>
      <c r="V298" s="82"/>
      <c r="W298" s="89">
        <v>0</v>
      </c>
      <c r="X298" s="90" t="s">
        <v>37</v>
      </c>
      <c r="Y298" s="90" t="str">
        <f t="shared" si="30"/>
        <v>file://lootUkulele-state0-image0</v>
      </c>
      <c r="Z298" s="162"/>
      <c r="AA298" s="91" t="s">
        <v>283</v>
      </c>
      <c r="AB298" s="162" t="s">
        <v>1840</v>
      </c>
      <c r="AC298" s="162"/>
      <c r="AD298" s="162" t="s">
        <v>1841</v>
      </c>
      <c r="AE298" s="90" t="s">
        <v>1680</v>
      </c>
      <c r="AF298" s="162" t="s">
        <v>497</v>
      </c>
      <c r="AG298" s="164"/>
      <c r="AH298" s="108"/>
      <c r="AI298" s="108"/>
      <c r="AJ298" s="108"/>
      <c r="AK298" s="108"/>
      <c r="AL298" s="108"/>
      <c r="AM298" s="108"/>
      <c r="AN298" s="94"/>
      <c r="AO298" s="95"/>
      <c r="AP298" s="95" t="str">
        <f t="shared" si="31"/>
        <v>file://lootUkulele-state1-image0</v>
      </c>
      <c r="AQ298" s="95"/>
      <c r="AR298" s="94"/>
      <c r="AS298" s="95"/>
      <c r="AT298" s="206"/>
      <c r="AU298" s="206"/>
      <c r="AV298" s="206"/>
      <c r="AW298" s="164"/>
      <c r="AX298" s="108"/>
      <c r="AY298" s="108"/>
      <c r="AZ298" s="108"/>
      <c r="BA298" s="108"/>
      <c r="BB298" s="108"/>
      <c r="BC298" s="108"/>
      <c r="BD298" s="96">
        <v>2</v>
      </c>
      <c r="BE298" s="97" t="s">
        <v>38</v>
      </c>
      <c r="BF298" s="98"/>
      <c r="BG298" s="97"/>
      <c r="BH298" s="97" t="s">
        <v>283</v>
      </c>
      <c r="BI298" s="97" t="s">
        <v>1842</v>
      </c>
      <c r="BJ298" s="167"/>
      <c r="BK298" s="97"/>
      <c r="BL298" s="167" t="s">
        <v>1843</v>
      </c>
      <c r="BM298" s="97" t="s">
        <v>1684</v>
      </c>
      <c r="BN298" s="167" t="s">
        <v>497</v>
      </c>
      <c r="BO298" s="108"/>
      <c r="BP298" s="108"/>
      <c r="BQ298" s="108"/>
      <c r="BR298" s="108"/>
      <c r="BS298" s="108"/>
      <c r="BT298" s="108"/>
      <c r="BU298" s="108"/>
      <c r="BV298" s="113"/>
      <c r="BW298" s="82"/>
      <c r="BX298" s="82"/>
      <c r="BY298" s="82"/>
      <c r="BZ298" s="82"/>
      <c r="CA298" s="100" t="str">
        <f ca="1">IFERROR(__xludf.DUMMYFUNCTION("IF(REGEXMATCH(Catalog_RewardType,""reward""), VLOOKUP($E298, {'TitleData rewards.items'!$J$9:$J416,'TitleData rewards.items'!$B$9:$B416}, 2, FALSE), """")"),"")</f>
        <v/>
      </c>
    </row>
    <row r="299" spans="1:79" ht="28" hidden="1" x14ac:dyDescent="0.15">
      <c r="A299" s="82" t="s">
        <v>314</v>
      </c>
      <c r="B299" s="83" t="b">
        <v>1</v>
      </c>
      <c r="C299" s="82" t="s">
        <v>1549</v>
      </c>
      <c r="D299" s="85" t="b">
        <f>VLOOKUP($C299, '_REF Catalog Classes'!$C$6:$D416, COLUMNS('_REF Catalog Classes'!$C$6:$D416), FALSE)</f>
        <v>1</v>
      </c>
      <c r="E299" s="82" t="s">
        <v>1844</v>
      </c>
      <c r="F299" s="82" t="str">
        <f t="shared" si="21"/>
        <v>lootMoon:TRUE</v>
      </c>
      <c r="G299" s="217" t="s">
        <v>1845</v>
      </c>
      <c r="H299" s="217" t="s">
        <v>1846</v>
      </c>
      <c r="I299" s="82" t="s">
        <v>847</v>
      </c>
      <c r="J299" s="82" t="s">
        <v>1677</v>
      </c>
      <c r="K299" s="82"/>
      <c r="L299" s="82" t="s">
        <v>857</v>
      </c>
      <c r="M299" s="82"/>
      <c r="N299" s="101" t="s">
        <v>1678</v>
      </c>
      <c r="O299" s="82"/>
      <c r="P299" s="82">
        <v>20</v>
      </c>
      <c r="Q299" s="88"/>
      <c r="R299" s="82"/>
      <c r="S299" s="82"/>
      <c r="T299" s="82"/>
      <c r="U299" s="82"/>
      <c r="V299" s="82"/>
      <c r="W299" s="89">
        <v>0</v>
      </c>
      <c r="X299" s="90" t="s">
        <v>37</v>
      </c>
      <c r="Y299" s="90" t="str">
        <f t="shared" si="30"/>
        <v>file://lootMoon-state0-image0</v>
      </c>
      <c r="Z299" s="162"/>
      <c r="AA299" s="91" t="s">
        <v>283</v>
      </c>
      <c r="AB299" s="162" t="s">
        <v>1845</v>
      </c>
      <c r="AC299" s="162"/>
      <c r="AD299" s="162" t="s">
        <v>1846</v>
      </c>
      <c r="AE299" s="90" t="s">
        <v>1680</v>
      </c>
      <c r="AF299" s="162" t="s">
        <v>1681</v>
      </c>
      <c r="AG299" s="164"/>
      <c r="AH299" s="108"/>
      <c r="AI299" s="108"/>
      <c r="AJ299" s="108"/>
      <c r="AK299" s="108"/>
      <c r="AL299" s="108"/>
      <c r="AM299" s="108"/>
      <c r="AN299" s="94"/>
      <c r="AO299" s="95"/>
      <c r="AP299" s="95" t="str">
        <f t="shared" si="31"/>
        <v>file://lootMoon-state1-image0</v>
      </c>
      <c r="AQ299" s="95"/>
      <c r="AR299" s="94"/>
      <c r="AS299" s="95"/>
      <c r="AT299" s="206"/>
      <c r="AU299" s="206"/>
      <c r="AV299" s="206"/>
      <c r="AW299" s="164"/>
      <c r="AX299" s="108"/>
      <c r="AY299" s="108"/>
      <c r="AZ299" s="108"/>
      <c r="BA299" s="108"/>
      <c r="BB299" s="108"/>
      <c r="BC299" s="108"/>
      <c r="BD299" s="96">
        <v>2</v>
      </c>
      <c r="BE299" s="97" t="s">
        <v>38</v>
      </c>
      <c r="BF299" s="98"/>
      <c r="BG299" s="97"/>
      <c r="BH299" s="97" t="s">
        <v>283</v>
      </c>
      <c r="BI299" s="97" t="s">
        <v>1845</v>
      </c>
      <c r="BJ299" s="167"/>
      <c r="BK299" s="97"/>
      <c r="BL299" s="167" t="s">
        <v>1847</v>
      </c>
      <c r="BM299" s="97" t="s">
        <v>1684</v>
      </c>
      <c r="BN299" s="167" t="s">
        <v>1681</v>
      </c>
      <c r="BO299" s="108"/>
      <c r="BP299" s="108"/>
      <c r="BQ299" s="108"/>
      <c r="BR299" s="108"/>
      <c r="BS299" s="108"/>
      <c r="BT299" s="108"/>
      <c r="BU299" s="108"/>
      <c r="BV299" s="113"/>
      <c r="BW299" s="82"/>
      <c r="BX299" s="82"/>
      <c r="BY299" s="82"/>
      <c r="BZ299" s="82"/>
      <c r="CA299" s="100" t="str">
        <f ca="1">IFERROR(__xludf.DUMMYFUNCTION("IF(REGEXMATCH(Catalog_RewardType,""reward""), VLOOKUP($E299, {'TitleData rewards.items'!$J$9:$J416,'TitleData rewards.items'!$B$9:$B416}, 2, FALSE), """")"),"")</f>
        <v/>
      </c>
    </row>
    <row r="300" spans="1:79" ht="42" hidden="1" x14ac:dyDescent="0.15">
      <c r="A300" s="82" t="s">
        <v>314</v>
      </c>
      <c r="B300" s="83" t="b">
        <v>1</v>
      </c>
      <c r="C300" s="82" t="s">
        <v>1549</v>
      </c>
      <c r="D300" s="85" t="b">
        <f>VLOOKUP($C300, '_REF Catalog Classes'!$C$6:$D416, COLUMNS('_REF Catalog Classes'!$C$6:$D416), FALSE)</f>
        <v>1</v>
      </c>
      <c r="E300" s="82" t="s">
        <v>1848</v>
      </c>
      <c r="F300" s="82" t="str">
        <f t="shared" si="21"/>
        <v>lootHydrant:TRUE</v>
      </c>
      <c r="G300" s="217" t="s">
        <v>1849</v>
      </c>
      <c r="H300" s="217" t="s">
        <v>1850</v>
      </c>
      <c r="I300" s="82" t="s">
        <v>847</v>
      </c>
      <c r="J300" s="82" t="s">
        <v>1677</v>
      </c>
      <c r="K300" s="82"/>
      <c r="L300" s="82" t="s">
        <v>857</v>
      </c>
      <c r="M300" s="82"/>
      <c r="N300" s="101" t="s">
        <v>1678</v>
      </c>
      <c r="O300" s="82"/>
      <c r="P300" s="82">
        <v>21</v>
      </c>
      <c r="Q300" s="88"/>
      <c r="R300" s="82"/>
      <c r="S300" s="82"/>
      <c r="T300" s="82"/>
      <c r="U300" s="82"/>
      <c r="V300" s="82"/>
      <c r="W300" s="89">
        <v>0</v>
      </c>
      <c r="X300" s="90" t="s">
        <v>37</v>
      </c>
      <c r="Y300" s="90" t="str">
        <f t="shared" si="30"/>
        <v>file://lootHydrant-state0-image0</v>
      </c>
      <c r="Z300" s="162"/>
      <c r="AA300" s="91" t="s">
        <v>283</v>
      </c>
      <c r="AB300" s="162" t="s">
        <v>1849</v>
      </c>
      <c r="AC300" s="162"/>
      <c r="AD300" s="162" t="s">
        <v>1850</v>
      </c>
      <c r="AE300" s="90" t="s">
        <v>1680</v>
      </c>
      <c r="AF300" s="162" t="s">
        <v>652</v>
      </c>
      <c r="AG300" s="164"/>
      <c r="AH300" s="108"/>
      <c r="AI300" s="108"/>
      <c r="AJ300" s="108"/>
      <c r="AK300" s="108"/>
      <c r="AL300" s="108"/>
      <c r="AM300" s="108"/>
      <c r="AN300" s="94"/>
      <c r="AO300" s="95"/>
      <c r="AP300" s="95" t="str">
        <f t="shared" si="31"/>
        <v>file://lootHydrant-state1-image0</v>
      </c>
      <c r="AQ300" s="95"/>
      <c r="AR300" s="94"/>
      <c r="AS300" s="95"/>
      <c r="AT300" s="206"/>
      <c r="AU300" s="206"/>
      <c r="AV300" s="206"/>
      <c r="AW300" s="164"/>
      <c r="AX300" s="108"/>
      <c r="AY300" s="108"/>
      <c r="AZ300" s="108"/>
      <c r="BA300" s="108"/>
      <c r="BB300" s="108"/>
      <c r="BC300" s="108"/>
      <c r="BD300" s="96">
        <v>2</v>
      </c>
      <c r="BE300" s="97" t="s">
        <v>38</v>
      </c>
      <c r="BF300" s="98"/>
      <c r="BG300" s="97"/>
      <c r="BH300" s="97" t="s">
        <v>283</v>
      </c>
      <c r="BI300" s="97" t="s">
        <v>1851</v>
      </c>
      <c r="BJ300" s="167"/>
      <c r="BK300" s="97"/>
      <c r="BL300" s="167" t="s">
        <v>1852</v>
      </c>
      <c r="BM300" s="97" t="s">
        <v>1684</v>
      </c>
      <c r="BN300" s="167" t="s">
        <v>652</v>
      </c>
      <c r="BO300" s="108"/>
      <c r="BP300" s="108"/>
      <c r="BQ300" s="108"/>
      <c r="BR300" s="108"/>
      <c r="BS300" s="108"/>
      <c r="BT300" s="108"/>
      <c r="BU300" s="108"/>
      <c r="BV300" s="113"/>
      <c r="BW300" s="82"/>
      <c r="BX300" s="82"/>
      <c r="BY300" s="82"/>
      <c r="BZ300" s="82"/>
      <c r="CA300" s="100" t="str">
        <f ca="1">IFERROR(__xludf.DUMMYFUNCTION("IF(REGEXMATCH(Catalog_RewardType,""reward""), VLOOKUP($E300, {'TitleData rewards.items'!$J$9:$J416,'TitleData rewards.items'!$B$9:$B416}, 2, FALSE), """")"),"")</f>
        <v/>
      </c>
    </row>
    <row r="301" spans="1:79" ht="56" x14ac:dyDescent="0.15">
      <c r="A301" s="82" t="s">
        <v>269</v>
      </c>
      <c r="B301" s="83"/>
      <c r="C301" s="82" t="s">
        <v>1549</v>
      </c>
      <c r="D301" s="85" t="b">
        <f>VLOOKUP($C301, '_REF Catalog Classes'!$C$6:$D416, COLUMNS('_REF Catalog Classes'!$C$6:$D416), FALSE)</f>
        <v>1</v>
      </c>
      <c r="E301" s="82" t="s">
        <v>1853</v>
      </c>
      <c r="F301" s="82" t="str">
        <f t="shared" si="21"/>
        <v>lootBubbleGum:</v>
      </c>
      <c r="G301" s="86" t="s">
        <v>1854</v>
      </c>
      <c r="H301" s="86" t="s">
        <v>1854</v>
      </c>
      <c r="I301" s="82" t="s">
        <v>847</v>
      </c>
      <c r="J301" s="82" t="s">
        <v>1677</v>
      </c>
      <c r="K301" s="86"/>
      <c r="L301" s="82" t="s">
        <v>857</v>
      </c>
      <c r="M301" s="86"/>
      <c r="N301" s="101" t="s">
        <v>1678</v>
      </c>
      <c r="O301" s="82"/>
      <c r="P301" s="82">
        <v>12</v>
      </c>
      <c r="Q301" s="88"/>
      <c r="R301" s="82"/>
      <c r="S301" s="82"/>
      <c r="T301" s="82"/>
      <c r="U301" s="82"/>
      <c r="V301" s="82"/>
      <c r="W301" s="89">
        <v>0</v>
      </c>
      <c r="X301" s="90" t="s">
        <v>37</v>
      </c>
      <c r="Y301" s="90" t="s">
        <v>1855</v>
      </c>
      <c r="Z301" s="90"/>
      <c r="AA301" s="91" t="s">
        <v>283</v>
      </c>
      <c r="AB301" s="90" t="s">
        <v>1856</v>
      </c>
      <c r="AC301" s="90"/>
      <c r="AD301" s="90" t="s">
        <v>1857</v>
      </c>
      <c r="AE301" s="90" t="s">
        <v>1691</v>
      </c>
      <c r="AF301" s="90" t="s">
        <v>448</v>
      </c>
      <c r="AG301" s="92"/>
      <c r="AH301" s="93"/>
      <c r="AI301" s="93"/>
      <c r="AJ301" s="93"/>
      <c r="AK301" s="93"/>
      <c r="AL301" s="93"/>
      <c r="AM301" s="93"/>
      <c r="AN301" s="94"/>
      <c r="AO301" s="95"/>
      <c r="AP301" s="95"/>
      <c r="AQ301" s="95"/>
      <c r="AR301" s="94"/>
      <c r="AS301" s="95"/>
      <c r="AT301" s="95"/>
      <c r="AU301" s="95"/>
      <c r="AV301" s="95"/>
      <c r="AW301" s="92"/>
      <c r="AX301" s="93"/>
      <c r="AY301" s="93"/>
      <c r="AZ301" s="93"/>
      <c r="BA301" s="93"/>
      <c r="BB301" s="93"/>
      <c r="BC301" s="93"/>
      <c r="BD301" s="96">
        <v>2</v>
      </c>
      <c r="BE301" s="97" t="s">
        <v>38</v>
      </c>
      <c r="BF301" s="98" t="s">
        <v>1855</v>
      </c>
      <c r="BG301" s="97"/>
      <c r="BH301" s="97" t="s">
        <v>283</v>
      </c>
      <c r="BI301" s="97" t="s">
        <v>1856</v>
      </c>
      <c r="BJ301" s="93"/>
      <c r="BK301" s="93"/>
      <c r="BL301" s="97" t="s">
        <v>1858</v>
      </c>
      <c r="BM301" s="97" t="s">
        <v>1691</v>
      </c>
      <c r="BN301" s="97" t="s">
        <v>448</v>
      </c>
      <c r="BO301" s="93"/>
      <c r="BP301" s="93"/>
      <c r="BQ301" s="93"/>
      <c r="BR301" s="93"/>
      <c r="BS301" s="93"/>
      <c r="BT301" s="93"/>
      <c r="BU301" s="93"/>
      <c r="BV301" s="99"/>
      <c r="BW301" s="86" t="str">
        <f>VLOOKUP($C301, '_REF Catalog Classes'!$C$6:$E416, COLUMNS('_REF Catalog Classes'!$C$6:$E416), FALSE)</f>
        <v>always</v>
      </c>
      <c r="BX301" s="226">
        <v>100</v>
      </c>
      <c r="BY301" s="226" t="s">
        <v>1693</v>
      </c>
      <c r="BZ301" s="84" t="s">
        <v>850</v>
      </c>
      <c r="CA301" s="100" t="str">
        <f ca="1">IFERROR(__xludf.DUMMYFUNCTION("IF(REGEXMATCH(Catalog_RewardType,""reward""), VLOOKUP($E301, {'TitleData rewards.items'!$J$9:$J416,'TitleData rewards.items'!$B$9:$B416}, 2, FALSE), """")"),"")</f>
        <v/>
      </c>
    </row>
    <row r="302" spans="1:79" ht="28" x14ac:dyDescent="0.15">
      <c r="A302" s="82" t="s">
        <v>269</v>
      </c>
      <c r="B302" s="83"/>
      <c r="C302" s="82" t="s">
        <v>1549</v>
      </c>
      <c r="D302" s="85" t="b">
        <f>VLOOKUP($C302, '_REF Catalog Classes'!$C$6:$D416, COLUMNS('_REF Catalog Classes'!$C$6:$D416), FALSE)</f>
        <v>1</v>
      </c>
      <c r="E302" s="82" t="s">
        <v>1859</v>
      </c>
      <c r="F302" s="82" t="str">
        <f t="shared" si="21"/>
        <v>lootElMachoMask:</v>
      </c>
      <c r="G302" s="86" t="s">
        <v>1860</v>
      </c>
      <c r="H302" s="217" t="s">
        <v>1861</v>
      </c>
      <c r="I302" s="82" t="s">
        <v>847</v>
      </c>
      <c r="J302" s="82" t="s">
        <v>1677</v>
      </c>
      <c r="K302" s="86"/>
      <c r="L302" s="82" t="s">
        <v>857</v>
      </c>
      <c r="M302" s="86"/>
      <c r="N302" s="101" t="s">
        <v>1678</v>
      </c>
      <c r="O302" s="82"/>
      <c r="P302" s="82">
        <v>13</v>
      </c>
      <c r="Q302" s="88"/>
      <c r="R302" s="82"/>
      <c r="S302" s="82"/>
      <c r="T302" s="82"/>
      <c r="U302" s="82"/>
      <c r="V302" s="82"/>
      <c r="W302" s="89">
        <v>0</v>
      </c>
      <c r="X302" s="90" t="s">
        <v>37</v>
      </c>
      <c r="Y302" s="90" t="s">
        <v>1862</v>
      </c>
      <c r="Z302" s="90"/>
      <c r="AA302" s="91" t="s">
        <v>283</v>
      </c>
      <c r="AB302" s="90" t="s">
        <v>1863</v>
      </c>
      <c r="AC302" s="90"/>
      <c r="AD302" s="90" t="s">
        <v>1864</v>
      </c>
      <c r="AE302" s="90" t="s">
        <v>1691</v>
      </c>
      <c r="AF302" s="90" t="s">
        <v>448</v>
      </c>
      <c r="AG302" s="92"/>
      <c r="AH302" s="93"/>
      <c r="AI302" s="93"/>
      <c r="AJ302" s="93"/>
      <c r="AK302" s="93"/>
      <c r="AL302" s="93"/>
      <c r="AM302" s="93"/>
      <c r="AN302" s="94"/>
      <c r="AO302" s="95"/>
      <c r="AP302" s="95"/>
      <c r="AQ302" s="95"/>
      <c r="AR302" s="94"/>
      <c r="AS302" s="95"/>
      <c r="AT302" s="95"/>
      <c r="AU302" s="95"/>
      <c r="AV302" s="95"/>
      <c r="AW302" s="92"/>
      <c r="AX302" s="93"/>
      <c r="AY302" s="93"/>
      <c r="AZ302" s="93"/>
      <c r="BA302" s="93"/>
      <c r="BB302" s="93"/>
      <c r="BC302" s="93"/>
      <c r="BD302" s="96">
        <v>2</v>
      </c>
      <c r="BE302" s="97" t="s">
        <v>38</v>
      </c>
      <c r="BF302" s="98" t="s">
        <v>1862</v>
      </c>
      <c r="BG302" s="97"/>
      <c r="BH302" s="97" t="s">
        <v>283</v>
      </c>
      <c r="BI302" s="97" t="s">
        <v>1863</v>
      </c>
      <c r="BJ302" s="93"/>
      <c r="BK302" s="93"/>
      <c r="BL302" s="97" t="s">
        <v>1865</v>
      </c>
      <c r="BM302" s="97" t="s">
        <v>1691</v>
      </c>
      <c r="BN302" s="97" t="s">
        <v>448</v>
      </c>
      <c r="BO302" s="93"/>
      <c r="BP302" s="93"/>
      <c r="BQ302" s="93"/>
      <c r="BR302" s="93"/>
      <c r="BS302" s="93"/>
      <c r="BT302" s="93"/>
      <c r="BU302" s="93"/>
      <c r="BV302" s="99"/>
      <c r="BW302" s="86" t="str">
        <f>VLOOKUP($C302, '_REF Catalog Classes'!$C$6:$E416, COLUMNS('_REF Catalog Classes'!$C$6:$E416), FALSE)</f>
        <v>always</v>
      </c>
      <c r="BX302" s="226">
        <v>100</v>
      </c>
      <c r="BY302" s="226" t="s">
        <v>1693</v>
      </c>
      <c r="BZ302" s="84" t="s">
        <v>850</v>
      </c>
      <c r="CA302" s="100" t="str">
        <f ca="1">IFERROR(__xludf.DUMMYFUNCTION("IF(REGEXMATCH(Catalog_RewardType,""reward""), VLOOKUP($E302, {'TitleData rewards.items'!$J$9:$J416,'TitleData rewards.items'!$B$9:$B416}, 2, FALSE), """")"),"")</f>
        <v/>
      </c>
    </row>
    <row r="303" spans="1:79" ht="42" x14ac:dyDescent="0.15">
      <c r="A303" s="82" t="s">
        <v>269</v>
      </c>
      <c r="B303" s="83"/>
      <c r="C303" s="82" t="s">
        <v>1549</v>
      </c>
      <c r="D303" s="85" t="b">
        <f>VLOOKUP($C303, '_REF Catalog Classes'!$C$6:$D416, COLUMNS('_REF Catalog Classes'!$C$6:$D416), FALSE)</f>
        <v>1</v>
      </c>
      <c r="E303" s="82" t="s">
        <v>1866</v>
      </c>
      <c r="F303" s="82" t="str">
        <f t="shared" si="21"/>
        <v>lootPinkSpacesuit:</v>
      </c>
      <c r="G303" s="86" t="s">
        <v>1867</v>
      </c>
      <c r="H303" s="86" t="s">
        <v>1868</v>
      </c>
      <c r="I303" s="82" t="s">
        <v>847</v>
      </c>
      <c r="J303" s="82" t="s">
        <v>1677</v>
      </c>
      <c r="K303" s="86"/>
      <c r="L303" s="82" t="s">
        <v>857</v>
      </c>
      <c r="M303" s="86"/>
      <c r="N303" s="101" t="s">
        <v>1678</v>
      </c>
      <c r="O303" s="82"/>
      <c r="P303" s="82">
        <v>14</v>
      </c>
      <c r="Q303" s="88"/>
      <c r="R303" s="82"/>
      <c r="S303" s="82"/>
      <c r="T303" s="82"/>
      <c r="U303" s="82"/>
      <c r="V303" s="82"/>
      <c r="W303" s="89">
        <v>0</v>
      </c>
      <c r="X303" s="90" t="s">
        <v>37</v>
      </c>
      <c r="Y303" s="90" t="s">
        <v>1869</v>
      </c>
      <c r="Z303" s="90"/>
      <c r="AA303" s="91" t="s">
        <v>283</v>
      </c>
      <c r="AB303" s="90" t="s">
        <v>1870</v>
      </c>
      <c r="AC303" s="90"/>
      <c r="AD303" s="90" t="s">
        <v>1871</v>
      </c>
      <c r="AE303" s="90" t="s">
        <v>1718</v>
      </c>
      <c r="AF303" s="90" t="s">
        <v>497</v>
      </c>
      <c r="AG303" s="92"/>
      <c r="AH303" s="93"/>
      <c r="AI303" s="93"/>
      <c r="AJ303" s="93"/>
      <c r="AK303" s="93"/>
      <c r="AL303" s="93"/>
      <c r="AM303" s="93"/>
      <c r="AN303" s="94"/>
      <c r="AO303" s="95"/>
      <c r="AP303" s="95"/>
      <c r="AQ303" s="95"/>
      <c r="AR303" s="94"/>
      <c r="AS303" s="95"/>
      <c r="AT303" s="95"/>
      <c r="AU303" s="95"/>
      <c r="AV303" s="95"/>
      <c r="AW303" s="92"/>
      <c r="AX303" s="93"/>
      <c r="AY303" s="93"/>
      <c r="AZ303" s="93"/>
      <c r="BA303" s="93"/>
      <c r="BB303" s="93"/>
      <c r="BC303" s="93"/>
      <c r="BD303" s="96">
        <v>2</v>
      </c>
      <c r="BE303" s="97" t="s">
        <v>38</v>
      </c>
      <c r="BF303" s="98" t="s">
        <v>1869</v>
      </c>
      <c r="BG303" s="97"/>
      <c r="BH303" s="97" t="s">
        <v>283</v>
      </c>
      <c r="BI303" s="97" t="s">
        <v>1870</v>
      </c>
      <c r="BJ303" s="93"/>
      <c r="BK303" s="93"/>
      <c r="BL303" s="97" t="s">
        <v>1872</v>
      </c>
      <c r="BM303" s="97" t="s">
        <v>1718</v>
      </c>
      <c r="BN303" s="97" t="s">
        <v>497</v>
      </c>
      <c r="BO303" s="93"/>
      <c r="BP303" s="93"/>
      <c r="BQ303" s="93"/>
      <c r="BR303" s="93"/>
      <c r="BS303" s="93"/>
      <c r="BT303" s="93"/>
      <c r="BU303" s="93"/>
      <c r="BV303" s="99"/>
      <c r="BW303" s="86" t="str">
        <f>VLOOKUP($C303, '_REF Catalog Classes'!$C$6:$E416, COLUMNS('_REF Catalog Classes'!$C$6:$E416), FALSE)</f>
        <v>always</v>
      </c>
      <c r="BX303" s="226">
        <v>1000</v>
      </c>
      <c r="BY303" s="226" t="s">
        <v>1693</v>
      </c>
      <c r="BZ303" s="84" t="s">
        <v>850</v>
      </c>
      <c r="CA303" s="100" t="str">
        <f ca="1">IFERROR(__xludf.DUMMYFUNCTION("IF(REGEXMATCH(Catalog_RewardType,""reward""), VLOOKUP($E303, {'TitleData rewards.items'!$J$9:$J416,'TitleData rewards.items'!$B$9:$B416}, 2, FALSE), """")"),"")</f>
        <v/>
      </c>
    </row>
    <row r="304" spans="1:79" ht="42" x14ac:dyDescent="0.15">
      <c r="A304" s="82" t="s">
        <v>269</v>
      </c>
      <c r="B304" s="83"/>
      <c r="C304" s="82" t="s">
        <v>1549</v>
      </c>
      <c r="D304" s="85" t="b">
        <f>VLOOKUP($C304, '_REF Catalog Classes'!$C$6:$D416, COLUMNS('_REF Catalog Classes'!$C$6:$D416), FALSE)</f>
        <v>1</v>
      </c>
      <c r="E304" s="82" t="s">
        <v>1873</v>
      </c>
      <c r="F304" s="82" t="str">
        <f t="shared" si="21"/>
        <v>lootStickyFingers:</v>
      </c>
      <c r="G304" s="86" t="s">
        <v>1874</v>
      </c>
      <c r="H304" s="86" t="s">
        <v>1874</v>
      </c>
      <c r="I304" s="82" t="s">
        <v>847</v>
      </c>
      <c r="J304" s="82" t="s">
        <v>1677</v>
      </c>
      <c r="K304" s="86"/>
      <c r="L304" s="82" t="s">
        <v>857</v>
      </c>
      <c r="M304" s="86"/>
      <c r="N304" s="101" t="s">
        <v>1678</v>
      </c>
      <c r="O304" s="82"/>
      <c r="P304" s="82">
        <v>15</v>
      </c>
      <c r="Q304" s="88"/>
      <c r="R304" s="82"/>
      <c r="S304" s="82"/>
      <c r="T304" s="82"/>
      <c r="U304" s="82"/>
      <c r="V304" s="82"/>
      <c r="W304" s="89">
        <v>0</v>
      </c>
      <c r="X304" s="90" t="s">
        <v>37</v>
      </c>
      <c r="Y304" s="90" t="s">
        <v>1875</v>
      </c>
      <c r="Z304" s="90"/>
      <c r="AA304" s="91" t="s">
        <v>283</v>
      </c>
      <c r="AB304" s="90" t="s">
        <v>1876</v>
      </c>
      <c r="AC304" s="90"/>
      <c r="AD304" s="90" t="s">
        <v>1877</v>
      </c>
      <c r="AE304" s="90" t="s">
        <v>1691</v>
      </c>
      <c r="AF304" s="90" t="s">
        <v>448</v>
      </c>
      <c r="AG304" s="92"/>
      <c r="AH304" s="93"/>
      <c r="AI304" s="93"/>
      <c r="AJ304" s="93"/>
      <c r="AK304" s="93"/>
      <c r="AL304" s="93"/>
      <c r="AM304" s="93"/>
      <c r="AN304" s="94"/>
      <c r="AO304" s="95"/>
      <c r="AP304" s="95"/>
      <c r="AQ304" s="95"/>
      <c r="AR304" s="94"/>
      <c r="AS304" s="95"/>
      <c r="AT304" s="95"/>
      <c r="AU304" s="95"/>
      <c r="AV304" s="95"/>
      <c r="AW304" s="92"/>
      <c r="AX304" s="93"/>
      <c r="AY304" s="93"/>
      <c r="AZ304" s="93"/>
      <c r="BA304" s="93"/>
      <c r="BB304" s="93"/>
      <c r="BC304" s="93"/>
      <c r="BD304" s="96">
        <v>2</v>
      </c>
      <c r="BE304" s="97" t="s">
        <v>38</v>
      </c>
      <c r="BF304" s="98" t="s">
        <v>1875</v>
      </c>
      <c r="BG304" s="97"/>
      <c r="BH304" s="97" t="s">
        <v>283</v>
      </c>
      <c r="BI304" s="97" t="s">
        <v>1876</v>
      </c>
      <c r="BJ304" s="93"/>
      <c r="BK304" s="93"/>
      <c r="BL304" s="97" t="s">
        <v>1878</v>
      </c>
      <c r="BM304" s="97" t="s">
        <v>1691</v>
      </c>
      <c r="BN304" s="97" t="s">
        <v>448</v>
      </c>
      <c r="BO304" s="93"/>
      <c r="BP304" s="93"/>
      <c r="BQ304" s="93"/>
      <c r="BR304" s="93"/>
      <c r="BS304" s="93"/>
      <c r="BT304" s="93"/>
      <c r="BU304" s="93"/>
      <c r="BV304" s="99"/>
      <c r="BW304" s="86" t="str">
        <f>VLOOKUP($C304, '_REF Catalog Classes'!$C$6:$E416, COLUMNS('_REF Catalog Classes'!$C$6:$E416), FALSE)</f>
        <v>always</v>
      </c>
      <c r="BX304" s="226">
        <v>100</v>
      </c>
      <c r="BY304" s="226" t="s">
        <v>1693</v>
      </c>
      <c r="BZ304" s="84" t="s">
        <v>850</v>
      </c>
      <c r="CA304" s="100" t="str">
        <f ca="1">IFERROR(__xludf.DUMMYFUNCTION("IF(REGEXMATCH(Catalog_RewardType,""reward""), VLOOKUP($E304, {'TitleData rewards.items'!$J$9:$J416,'TitleData rewards.items'!$B$9:$B416}, 2, FALSE), """")"),"")</f>
        <v/>
      </c>
    </row>
    <row r="305" spans="1:79" ht="42" x14ac:dyDescent="0.15">
      <c r="A305" s="82" t="s">
        <v>269</v>
      </c>
      <c r="B305" s="83"/>
      <c r="C305" s="82" t="s">
        <v>1549</v>
      </c>
      <c r="D305" s="85" t="b">
        <f>VLOOKUP($C305, '_REF Catalog Classes'!$C$6:$D416, COLUMNS('_REF Catalog Classes'!$C$6:$D416), FALSE)</f>
        <v>1</v>
      </c>
      <c r="E305" s="82" t="s">
        <v>1879</v>
      </c>
      <c r="F305" s="82" t="str">
        <f t="shared" si="21"/>
        <v>lootLunchbox:</v>
      </c>
      <c r="G305" s="86" t="s">
        <v>1880</v>
      </c>
      <c r="H305" s="217" t="s">
        <v>1880</v>
      </c>
      <c r="I305" s="82" t="s">
        <v>847</v>
      </c>
      <c r="J305" s="82" t="s">
        <v>1677</v>
      </c>
      <c r="K305" s="86"/>
      <c r="L305" s="82" t="s">
        <v>857</v>
      </c>
      <c r="M305" s="86"/>
      <c r="N305" s="101" t="s">
        <v>1678</v>
      </c>
      <c r="O305" s="82"/>
      <c r="P305" s="82">
        <v>16</v>
      </c>
      <c r="Q305" s="88"/>
      <c r="R305" s="82"/>
      <c r="S305" s="82"/>
      <c r="T305" s="82"/>
      <c r="U305" s="82"/>
      <c r="V305" s="82"/>
      <c r="W305" s="89">
        <v>0</v>
      </c>
      <c r="X305" s="90" t="s">
        <v>37</v>
      </c>
      <c r="Y305" s="90" t="s">
        <v>1881</v>
      </c>
      <c r="Z305" s="90"/>
      <c r="AA305" s="91" t="s">
        <v>283</v>
      </c>
      <c r="AB305" s="90" t="s">
        <v>1882</v>
      </c>
      <c r="AC305" s="90"/>
      <c r="AD305" s="90" t="s">
        <v>1883</v>
      </c>
      <c r="AE305" s="90" t="s">
        <v>1718</v>
      </c>
      <c r="AF305" s="90" t="s">
        <v>497</v>
      </c>
      <c r="AG305" s="92"/>
      <c r="AH305" s="93"/>
      <c r="AI305" s="93"/>
      <c r="AJ305" s="93"/>
      <c r="AK305" s="93"/>
      <c r="AL305" s="93"/>
      <c r="AM305" s="93"/>
      <c r="AN305" s="94"/>
      <c r="AO305" s="95"/>
      <c r="AP305" s="95"/>
      <c r="AQ305" s="95"/>
      <c r="AR305" s="94"/>
      <c r="AS305" s="95"/>
      <c r="AT305" s="95"/>
      <c r="AU305" s="95"/>
      <c r="AV305" s="95"/>
      <c r="AW305" s="92"/>
      <c r="AX305" s="93"/>
      <c r="AY305" s="93"/>
      <c r="AZ305" s="93"/>
      <c r="BA305" s="93"/>
      <c r="BB305" s="93"/>
      <c r="BC305" s="93"/>
      <c r="BD305" s="96">
        <v>2</v>
      </c>
      <c r="BE305" s="97" t="s">
        <v>38</v>
      </c>
      <c r="BF305" s="98" t="s">
        <v>1881</v>
      </c>
      <c r="BG305" s="97"/>
      <c r="BH305" s="97" t="s">
        <v>283</v>
      </c>
      <c r="BI305" s="97" t="s">
        <v>1882</v>
      </c>
      <c r="BJ305" s="93"/>
      <c r="BK305" s="93"/>
      <c r="BL305" s="97" t="s">
        <v>1884</v>
      </c>
      <c r="BM305" s="97" t="s">
        <v>1718</v>
      </c>
      <c r="BN305" s="97" t="s">
        <v>497</v>
      </c>
      <c r="BO305" s="93"/>
      <c r="BP305" s="93"/>
      <c r="BQ305" s="93"/>
      <c r="BR305" s="93"/>
      <c r="BS305" s="93"/>
      <c r="BT305" s="93"/>
      <c r="BU305" s="93"/>
      <c r="BV305" s="99"/>
      <c r="BW305" s="86" t="str">
        <f>VLOOKUP($C305, '_REF Catalog Classes'!$C$6:$E416, COLUMNS('_REF Catalog Classes'!$C$6:$E416), FALSE)</f>
        <v>always</v>
      </c>
      <c r="BX305" s="226">
        <v>1000</v>
      </c>
      <c r="BY305" s="226" t="s">
        <v>1693</v>
      </c>
      <c r="BZ305" s="84" t="s">
        <v>850</v>
      </c>
      <c r="CA305" s="100" t="str">
        <f ca="1">IFERROR(__xludf.DUMMYFUNCTION("IF(REGEXMATCH(Catalog_RewardType,""reward""), VLOOKUP($E305, {'TitleData rewards.items'!$J$9:$J416,'TitleData rewards.items'!$B$9:$B416}, 2, FALSE), """")"),"")</f>
        <v/>
      </c>
    </row>
    <row r="306" spans="1:79" ht="42" x14ac:dyDescent="0.15">
      <c r="A306" s="82" t="s">
        <v>269</v>
      </c>
      <c r="B306" s="83"/>
      <c r="C306" s="82" t="s">
        <v>1549</v>
      </c>
      <c r="D306" s="85" t="b">
        <f>VLOOKUP($C306, '_REF Catalog Classes'!$C$6:$D416, COLUMNS('_REF Catalog Classes'!$C$6:$D416), FALSE)</f>
        <v>1</v>
      </c>
      <c r="E306" s="82" t="s">
        <v>1885</v>
      </c>
      <c r="F306" s="82" t="str">
        <f t="shared" si="21"/>
        <v>lootBigBenSnowglobe:</v>
      </c>
      <c r="G306" s="86" t="s">
        <v>1623</v>
      </c>
      <c r="H306" s="217" t="s">
        <v>1623</v>
      </c>
      <c r="I306" s="82" t="s">
        <v>847</v>
      </c>
      <c r="J306" s="82" t="s">
        <v>1677</v>
      </c>
      <c r="K306" s="86"/>
      <c r="L306" s="82" t="s">
        <v>857</v>
      </c>
      <c r="M306" s="86"/>
      <c r="N306" s="101" t="s">
        <v>1678</v>
      </c>
      <c r="O306" s="82"/>
      <c r="P306" s="82">
        <v>17</v>
      </c>
      <c r="Q306" s="88"/>
      <c r="R306" s="82"/>
      <c r="S306" s="82"/>
      <c r="T306" s="82"/>
      <c r="U306" s="82"/>
      <c r="V306" s="82"/>
      <c r="W306" s="89">
        <v>0</v>
      </c>
      <c r="X306" s="90" t="s">
        <v>37</v>
      </c>
      <c r="Y306" s="90" t="s">
        <v>1886</v>
      </c>
      <c r="Z306" s="90"/>
      <c r="AA306" s="91" t="s">
        <v>283</v>
      </c>
      <c r="AB306" s="90" t="s">
        <v>1625</v>
      </c>
      <c r="AC306" s="90"/>
      <c r="AD306" s="90" t="s">
        <v>1883</v>
      </c>
      <c r="AE306" s="90" t="s">
        <v>1691</v>
      </c>
      <c r="AF306" s="90" t="s">
        <v>448</v>
      </c>
      <c r="AG306" s="92"/>
      <c r="AH306" s="93"/>
      <c r="AI306" s="93"/>
      <c r="AJ306" s="93"/>
      <c r="AK306" s="93"/>
      <c r="AL306" s="93"/>
      <c r="AM306" s="93"/>
      <c r="AN306" s="94"/>
      <c r="AO306" s="95"/>
      <c r="AP306" s="95"/>
      <c r="AQ306" s="95"/>
      <c r="AR306" s="94"/>
      <c r="AS306" s="95"/>
      <c r="AT306" s="95"/>
      <c r="AU306" s="95"/>
      <c r="AV306" s="95"/>
      <c r="AW306" s="92"/>
      <c r="AX306" s="93"/>
      <c r="AY306" s="93"/>
      <c r="AZ306" s="93"/>
      <c r="BA306" s="93"/>
      <c r="BB306" s="93"/>
      <c r="BC306" s="93"/>
      <c r="BD306" s="96">
        <v>2</v>
      </c>
      <c r="BE306" s="97" t="s">
        <v>38</v>
      </c>
      <c r="BF306" s="98" t="s">
        <v>1886</v>
      </c>
      <c r="BG306" s="97"/>
      <c r="BH306" s="97" t="s">
        <v>283</v>
      </c>
      <c r="BI306" s="97" t="s">
        <v>1625</v>
      </c>
      <c r="BJ306" s="93"/>
      <c r="BK306" s="93"/>
      <c r="BL306" s="97" t="s">
        <v>1887</v>
      </c>
      <c r="BM306" s="97" t="s">
        <v>1691</v>
      </c>
      <c r="BN306" s="97" t="s">
        <v>448</v>
      </c>
      <c r="BO306" s="93"/>
      <c r="BP306" s="93"/>
      <c r="BQ306" s="93"/>
      <c r="BR306" s="93"/>
      <c r="BS306" s="93"/>
      <c r="BT306" s="93"/>
      <c r="BU306" s="93"/>
      <c r="BV306" s="99"/>
      <c r="BW306" s="86" t="str">
        <f>VLOOKUP($C306, '_REF Catalog Classes'!$C$6:$E416, COLUMNS('_REF Catalog Classes'!$C$6:$E416), FALSE)</f>
        <v>always</v>
      </c>
      <c r="BX306" s="226">
        <v>100</v>
      </c>
      <c r="BY306" s="226" t="s">
        <v>1693</v>
      </c>
      <c r="BZ306" s="84" t="s">
        <v>850</v>
      </c>
      <c r="CA306" s="100" t="str">
        <f ca="1">IFERROR(__xludf.DUMMYFUNCTION("IF(REGEXMATCH(Catalog_RewardType,""reward""), VLOOKUP($E306, {'TitleData rewards.items'!$J$9:$J416,'TitleData rewards.items'!$B$9:$B416}, 2, FALSE), """")"),"")</f>
        <v/>
      </c>
    </row>
    <row r="307" spans="1:79" ht="28" x14ac:dyDescent="0.15">
      <c r="A307" s="82" t="s">
        <v>269</v>
      </c>
      <c r="B307" s="83"/>
      <c r="C307" s="82" t="s">
        <v>1549</v>
      </c>
      <c r="D307" s="85" t="b">
        <f>VLOOKUP($C307, '_REF Catalog Classes'!$C$6:$D416, COLUMNS('_REF Catalog Classes'!$C$6:$D416), FALSE)</f>
        <v>1</v>
      </c>
      <c r="E307" s="82" t="s">
        <v>1888</v>
      </c>
      <c r="F307" s="82" t="str">
        <f t="shared" si="21"/>
        <v>lootBoxOfShame:</v>
      </c>
      <c r="G307" s="86" t="s">
        <v>1889</v>
      </c>
      <c r="H307" s="86" t="s">
        <v>1890</v>
      </c>
      <c r="I307" s="82" t="s">
        <v>847</v>
      </c>
      <c r="J307" s="82" t="s">
        <v>1677</v>
      </c>
      <c r="K307" s="86"/>
      <c r="L307" s="82" t="s">
        <v>857</v>
      </c>
      <c r="M307" s="86"/>
      <c r="N307" s="101" t="s">
        <v>1678</v>
      </c>
      <c r="O307" s="82"/>
      <c r="P307" s="82">
        <v>18</v>
      </c>
      <c r="Q307" s="88"/>
      <c r="R307" s="82"/>
      <c r="S307" s="82"/>
      <c r="T307" s="82"/>
      <c r="U307" s="82"/>
      <c r="V307" s="82"/>
      <c r="W307" s="89">
        <v>0</v>
      </c>
      <c r="X307" s="90" t="s">
        <v>37</v>
      </c>
      <c r="Y307" s="90" t="s">
        <v>1891</v>
      </c>
      <c r="Z307" s="90"/>
      <c r="AA307" s="91" t="s">
        <v>283</v>
      </c>
      <c r="AB307" s="90" t="s">
        <v>1892</v>
      </c>
      <c r="AC307" s="90"/>
      <c r="AD307" s="90" t="s">
        <v>1893</v>
      </c>
      <c r="AE307" s="90" t="s">
        <v>1691</v>
      </c>
      <c r="AF307" s="90" t="s">
        <v>448</v>
      </c>
      <c r="AG307" s="92"/>
      <c r="AH307" s="93"/>
      <c r="AI307" s="93"/>
      <c r="AJ307" s="93"/>
      <c r="AK307" s="93"/>
      <c r="AL307" s="93"/>
      <c r="AM307" s="93"/>
      <c r="AN307" s="94"/>
      <c r="AO307" s="95"/>
      <c r="AP307" s="95"/>
      <c r="AQ307" s="95"/>
      <c r="AR307" s="94"/>
      <c r="AS307" s="95"/>
      <c r="AT307" s="95"/>
      <c r="AU307" s="95"/>
      <c r="AV307" s="95"/>
      <c r="AW307" s="92"/>
      <c r="AX307" s="93"/>
      <c r="AY307" s="93"/>
      <c r="AZ307" s="93"/>
      <c r="BA307" s="93"/>
      <c r="BB307" s="93"/>
      <c r="BC307" s="93"/>
      <c r="BD307" s="96">
        <v>2</v>
      </c>
      <c r="BE307" s="97" t="s">
        <v>38</v>
      </c>
      <c r="BF307" s="98" t="s">
        <v>1891</v>
      </c>
      <c r="BG307" s="97"/>
      <c r="BH307" s="97" t="s">
        <v>283</v>
      </c>
      <c r="BI307" s="97" t="s">
        <v>1892</v>
      </c>
      <c r="BJ307" s="93"/>
      <c r="BK307" s="93"/>
      <c r="BL307" s="97" t="s">
        <v>1894</v>
      </c>
      <c r="BM307" s="97" t="s">
        <v>1691</v>
      </c>
      <c r="BN307" s="97" t="s">
        <v>448</v>
      </c>
      <c r="BO307" s="93"/>
      <c r="BP307" s="93"/>
      <c r="BQ307" s="93"/>
      <c r="BR307" s="93"/>
      <c r="BS307" s="93"/>
      <c r="BT307" s="93"/>
      <c r="BU307" s="93"/>
      <c r="BV307" s="99"/>
      <c r="BW307" s="86" t="str">
        <f>VLOOKUP($C307, '_REF Catalog Classes'!$C$6:$E416, COLUMNS('_REF Catalog Classes'!$C$6:$E416), FALSE)</f>
        <v>always</v>
      </c>
      <c r="BX307" s="226">
        <v>100</v>
      </c>
      <c r="BY307" s="226" t="s">
        <v>1693</v>
      </c>
      <c r="BZ307" s="84" t="s">
        <v>850</v>
      </c>
      <c r="CA307" s="100" t="str">
        <f ca="1">IFERROR(__xludf.DUMMYFUNCTION("IF(REGEXMATCH(Catalog_RewardType,""reward""), VLOOKUP($E307, {'TitleData rewards.items'!$J$9:$J416,'TitleData rewards.items'!$B$9:$B416}, 2, FALSE), """")"),"")</f>
        <v/>
      </c>
    </row>
    <row r="308" spans="1:79" ht="28" x14ac:dyDescent="0.15">
      <c r="A308" s="82" t="s">
        <v>269</v>
      </c>
      <c r="B308" s="83"/>
      <c r="C308" s="82" t="s">
        <v>1549</v>
      </c>
      <c r="D308" s="85" t="b">
        <f>VLOOKUP($C308, '_REF Catalog Classes'!$C$6:$D416, COLUMNS('_REF Catalog Classes'!$C$6:$D416), FALSE)</f>
        <v>1</v>
      </c>
      <c r="E308" s="82" t="s">
        <v>1895</v>
      </c>
      <c r="F308" s="82" t="str">
        <f t="shared" si="21"/>
        <v>lootSleepyKittens:</v>
      </c>
      <c r="G308" s="86" t="s">
        <v>1896</v>
      </c>
      <c r="H308" s="86" t="s">
        <v>1896</v>
      </c>
      <c r="I308" s="82" t="s">
        <v>847</v>
      </c>
      <c r="J308" s="82" t="s">
        <v>1677</v>
      </c>
      <c r="K308" s="86"/>
      <c r="L308" s="82" t="s">
        <v>857</v>
      </c>
      <c r="M308" s="86"/>
      <c r="N308" s="101" t="s">
        <v>1678</v>
      </c>
      <c r="O308" s="82"/>
      <c r="P308" s="82">
        <v>19</v>
      </c>
      <c r="Q308" s="88"/>
      <c r="R308" s="82"/>
      <c r="S308" s="82"/>
      <c r="T308" s="82"/>
      <c r="U308" s="82"/>
      <c r="V308" s="82"/>
      <c r="W308" s="89">
        <v>0</v>
      </c>
      <c r="X308" s="90" t="s">
        <v>37</v>
      </c>
      <c r="Y308" s="90" t="s">
        <v>1897</v>
      </c>
      <c r="Z308" s="90"/>
      <c r="AA308" s="91" t="s">
        <v>283</v>
      </c>
      <c r="AB308" s="90" t="s">
        <v>1898</v>
      </c>
      <c r="AC308" s="90"/>
      <c r="AD308" s="90" t="s">
        <v>1899</v>
      </c>
      <c r="AE308" s="90" t="s">
        <v>1691</v>
      </c>
      <c r="AF308" s="90" t="s">
        <v>448</v>
      </c>
      <c r="AG308" s="92"/>
      <c r="AH308" s="93"/>
      <c r="AI308" s="93"/>
      <c r="AJ308" s="93"/>
      <c r="AK308" s="93"/>
      <c r="AL308" s="93"/>
      <c r="AM308" s="93"/>
      <c r="AN308" s="94"/>
      <c r="AO308" s="95"/>
      <c r="AP308" s="95"/>
      <c r="AQ308" s="95"/>
      <c r="AR308" s="94"/>
      <c r="AS308" s="95"/>
      <c r="AT308" s="95"/>
      <c r="AU308" s="95"/>
      <c r="AV308" s="95"/>
      <c r="AW308" s="92"/>
      <c r="AX308" s="93"/>
      <c r="AY308" s="93"/>
      <c r="AZ308" s="93"/>
      <c r="BA308" s="93"/>
      <c r="BB308" s="93"/>
      <c r="BC308" s="93"/>
      <c r="BD308" s="96">
        <v>2</v>
      </c>
      <c r="BE308" s="97" t="s">
        <v>38</v>
      </c>
      <c r="BF308" s="98" t="s">
        <v>1897</v>
      </c>
      <c r="BG308" s="97"/>
      <c r="BH308" s="97" t="s">
        <v>283</v>
      </c>
      <c r="BI308" s="97" t="s">
        <v>1898</v>
      </c>
      <c r="BJ308" s="93"/>
      <c r="BK308" s="93"/>
      <c r="BL308" s="97" t="s">
        <v>1900</v>
      </c>
      <c r="BM308" s="97" t="s">
        <v>1691</v>
      </c>
      <c r="BN308" s="97" t="s">
        <v>448</v>
      </c>
      <c r="BO308" s="93"/>
      <c r="BP308" s="93"/>
      <c r="BQ308" s="93"/>
      <c r="BR308" s="93"/>
      <c r="BS308" s="93"/>
      <c r="BT308" s="93"/>
      <c r="BU308" s="93"/>
      <c r="BV308" s="99"/>
      <c r="BW308" s="86" t="str">
        <f>VLOOKUP($C308, '_REF Catalog Classes'!$C$6:$E416, COLUMNS('_REF Catalog Classes'!$C$6:$E416), FALSE)</f>
        <v>always</v>
      </c>
      <c r="BX308" s="226">
        <v>100</v>
      </c>
      <c r="BY308" s="226" t="s">
        <v>1693</v>
      </c>
      <c r="BZ308" s="84" t="s">
        <v>850</v>
      </c>
      <c r="CA308" s="100" t="str">
        <f ca="1">IFERROR(__xludf.DUMMYFUNCTION("IF(REGEXMATCH(Catalog_RewardType,""reward""), VLOOKUP($E308, {'TitleData rewards.items'!$J$9:$J416,'TitleData rewards.items'!$B$9:$B416}, 2, FALSE), """")"),"")</f>
        <v/>
      </c>
    </row>
    <row r="309" spans="1:79" ht="42" x14ac:dyDescent="0.15">
      <c r="A309" s="82" t="s">
        <v>269</v>
      </c>
      <c r="B309" s="83"/>
      <c r="C309" s="82" t="s">
        <v>1549</v>
      </c>
      <c r="D309" s="85" t="b">
        <f>VLOOKUP($C309, '_REF Catalog Classes'!$C$6:$D416, COLUMNS('_REF Catalog Classes'!$C$6:$D416), FALSE)</f>
        <v>1</v>
      </c>
      <c r="E309" s="82" t="s">
        <v>1901</v>
      </c>
      <c r="F309" s="82" t="str">
        <f t="shared" si="21"/>
        <v>lootVCHat:</v>
      </c>
      <c r="G309" s="86" t="s">
        <v>1902</v>
      </c>
      <c r="H309" s="217" t="s">
        <v>1903</v>
      </c>
      <c r="I309" s="82" t="s">
        <v>847</v>
      </c>
      <c r="J309" s="82" t="s">
        <v>1677</v>
      </c>
      <c r="K309" s="86"/>
      <c r="L309" s="82" t="s">
        <v>857</v>
      </c>
      <c r="M309" s="86"/>
      <c r="N309" s="101" t="s">
        <v>1678</v>
      </c>
      <c r="O309" s="82"/>
      <c r="P309" s="82">
        <v>20</v>
      </c>
      <c r="Q309" s="88"/>
      <c r="R309" s="82"/>
      <c r="S309" s="82"/>
      <c r="T309" s="82"/>
      <c r="U309" s="82"/>
      <c r="V309" s="82"/>
      <c r="W309" s="89">
        <v>0</v>
      </c>
      <c r="X309" s="90" t="s">
        <v>37</v>
      </c>
      <c r="Y309" s="90" t="s">
        <v>1904</v>
      </c>
      <c r="Z309" s="90"/>
      <c r="AA309" s="91" t="s">
        <v>283</v>
      </c>
      <c r="AB309" s="90" t="s">
        <v>1905</v>
      </c>
      <c r="AC309" s="90"/>
      <c r="AD309" s="90" t="s">
        <v>1906</v>
      </c>
      <c r="AE309" s="90" t="s">
        <v>1691</v>
      </c>
      <c r="AF309" s="90" t="s">
        <v>448</v>
      </c>
      <c r="AG309" s="92"/>
      <c r="AH309" s="93"/>
      <c r="AI309" s="93"/>
      <c r="AJ309" s="93"/>
      <c r="AK309" s="93"/>
      <c r="AL309" s="93"/>
      <c r="AM309" s="93"/>
      <c r="AN309" s="94"/>
      <c r="AO309" s="95"/>
      <c r="AP309" s="95"/>
      <c r="AQ309" s="95"/>
      <c r="AR309" s="94"/>
      <c r="AS309" s="95"/>
      <c r="AT309" s="95"/>
      <c r="AU309" s="95"/>
      <c r="AV309" s="95"/>
      <c r="AW309" s="92"/>
      <c r="AX309" s="93"/>
      <c r="AY309" s="93"/>
      <c r="AZ309" s="93"/>
      <c r="BA309" s="93"/>
      <c r="BB309" s="93"/>
      <c r="BC309" s="93"/>
      <c r="BD309" s="96">
        <v>2</v>
      </c>
      <c r="BE309" s="97" t="s">
        <v>38</v>
      </c>
      <c r="BF309" s="98" t="s">
        <v>1904</v>
      </c>
      <c r="BG309" s="97"/>
      <c r="BH309" s="97" t="s">
        <v>283</v>
      </c>
      <c r="BI309" s="97" t="s">
        <v>1905</v>
      </c>
      <c r="BJ309" s="93"/>
      <c r="BK309" s="93"/>
      <c r="BL309" s="97" t="s">
        <v>1907</v>
      </c>
      <c r="BM309" s="97" t="s">
        <v>1691</v>
      </c>
      <c r="BN309" s="97" t="s">
        <v>448</v>
      </c>
      <c r="BO309" s="93"/>
      <c r="BP309" s="93"/>
      <c r="BQ309" s="93"/>
      <c r="BR309" s="93"/>
      <c r="BS309" s="93"/>
      <c r="BT309" s="93"/>
      <c r="BU309" s="93"/>
      <c r="BV309" s="99"/>
      <c r="BW309" s="86" t="str">
        <f>VLOOKUP($C309, '_REF Catalog Classes'!$C$6:$E416, COLUMNS('_REF Catalog Classes'!$C$6:$E416), FALSE)</f>
        <v>always</v>
      </c>
      <c r="BX309" s="226">
        <v>100</v>
      </c>
      <c r="BY309" s="226" t="s">
        <v>1693</v>
      </c>
      <c r="BZ309" s="84" t="s">
        <v>850</v>
      </c>
      <c r="CA309" s="100" t="str">
        <f ca="1">IFERROR(__xludf.DUMMYFUNCTION("IF(REGEXMATCH(Catalog_RewardType,""reward""), VLOOKUP($E309, {'TitleData rewards.items'!$J$9:$J416,'TitleData rewards.items'!$B$9:$B416}, 2, FALSE), """")"),"")</f>
        <v/>
      </c>
    </row>
    <row r="310" spans="1:79" ht="56" x14ac:dyDescent="0.15">
      <c r="A310" s="82" t="s">
        <v>269</v>
      </c>
      <c r="B310" s="83"/>
      <c r="C310" s="82" t="s">
        <v>1549</v>
      </c>
      <c r="D310" s="85" t="b">
        <f>VLOOKUP($C310, '_REF Catalog Classes'!$C$6:$D416, COLUMNS('_REF Catalog Classes'!$C$6:$D416), FALSE)</f>
        <v>1</v>
      </c>
      <c r="E310" s="82" t="s">
        <v>1908</v>
      </c>
      <c r="F310" s="82" t="str">
        <f t="shared" si="21"/>
        <v>lootVCShirt:</v>
      </c>
      <c r="G310" s="86" t="s">
        <v>1909</v>
      </c>
      <c r="H310" s="217" t="s">
        <v>1910</v>
      </c>
      <c r="I310" s="82" t="s">
        <v>847</v>
      </c>
      <c r="J310" s="82" t="s">
        <v>1677</v>
      </c>
      <c r="K310" s="86"/>
      <c r="L310" s="82" t="s">
        <v>857</v>
      </c>
      <c r="M310" s="86"/>
      <c r="N310" s="101" t="s">
        <v>1678</v>
      </c>
      <c r="O310" s="82"/>
      <c r="P310" s="82">
        <v>21</v>
      </c>
      <c r="Q310" s="88"/>
      <c r="R310" s="82"/>
      <c r="S310" s="82"/>
      <c r="T310" s="82"/>
      <c r="U310" s="82"/>
      <c r="V310" s="82"/>
      <c r="W310" s="89">
        <v>0</v>
      </c>
      <c r="X310" s="90" t="s">
        <v>37</v>
      </c>
      <c r="Y310" s="90" t="s">
        <v>1911</v>
      </c>
      <c r="Z310" s="90"/>
      <c r="AA310" s="91" t="s">
        <v>283</v>
      </c>
      <c r="AB310" s="90" t="s">
        <v>1912</v>
      </c>
      <c r="AC310" s="90"/>
      <c r="AD310" s="90" t="s">
        <v>1913</v>
      </c>
      <c r="AE310" s="90" t="s">
        <v>1691</v>
      </c>
      <c r="AF310" s="90" t="s">
        <v>448</v>
      </c>
      <c r="AG310" s="92"/>
      <c r="AH310" s="93"/>
      <c r="AI310" s="93"/>
      <c r="AJ310" s="93"/>
      <c r="AK310" s="93"/>
      <c r="AL310" s="93"/>
      <c r="AM310" s="93"/>
      <c r="AN310" s="94"/>
      <c r="AO310" s="95"/>
      <c r="AP310" s="95"/>
      <c r="AQ310" s="95"/>
      <c r="AR310" s="94"/>
      <c r="AS310" s="95"/>
      <c r="AT310" s="95"/>
      <c r="AU310" s="95"/>
      <c r="AV310" s="95"/>
      <c r="AW310" s="92"/>
      <c r="AX310" s="93"/>
      <c r="AY310" s="93"/>
      <c r="AZ310" s="93"/>
      <c r="BA310" s="93"/>
      <c r="BB310" s="93"/>
      <c r="BC310" s="93"/>
      <c r="BD310" s="96">
        <v>2</v>
      </c>
      <c r="BE310" s="97" t="s">
        <v>38</v>
      </c>
      <c r="BF310" s="98" t="s">
        <v>1911</v>
      </c>
      <c r="BG310" s="97"/>
      <c r="BH310" s="97" t="s">
        <v>283</v>
      </c>
      <c r="BI310" s="97" t="s">
        <v>1912</v>
      </c>
      <c r="BJ310" s="93"/>
      <c r="BK310" s="93"/>
      <c r="BL310" s="97" t="s">
        <v>1914</v>
      </c>
      <c r="BM310" s="97" t="s">
        <v>1691</v>
      </c>
      <c r="BN310" s="97" t="s">
        <v>448</v>
      </c>
      <c r="BO310" s="93"/>
      <c r="BP310" s="93"/>
      <c r="BQ310" s="93"/>
      <c r="BR310" s="93"/>
      <c r="BS310" s="93"/>
      <c r="BT310" s="93"/>
      <c r="BU310" s="93"/>
      <c r="BV310" s="99"/>
      <c r="BW310" s="86" t="str">
        <f>VLOOKUP($C310, '_REF Catalog Classes'!$C$6:$E416, COLUMNS('_REF Catalog Classes'!$C$6:$E416), FALSE)</f>
        <v>always</v>
      </c>
      <c r="BX310" s="226">
        <v>100</v>
      </c>
      <c r="BY310" s="226" t="s">
        <v>1693</v>
      </c>
      <c r="BZ310" s="84" t="s">
        <v>850</v>
      </c>
      <c r="CA310" s="100" t="str">
        <f ca="1">IFERROR(__xludf.DUMMYFUNCTION("IF(REGEXMATCH(Catalog_RewardType,""reward""), VLOOKUP($E310, {'TitleData rewards.items'!$J$9:$J416,'TitleData rewards.items'!$B$9:$B416}, 2, FALSE), """")"),"")</f>
        <v/>
      </c>
    </row>
    <row r="311" spans="1:79" ht="42" x14ac:dyDescent="0.15">
      <c r="A311" s="82" t="s">
        <v>269</v>
      </c>
      <c r="B311" s="83"/>
      <c r="C311" s="82" t="s">
        <v>1549</v>
      </c>
      <c r="D311" s="85" t="b">
        <f>VLOOKUP($C311, '_REF Catalog Classes'!$C$6:$D416, COLUMNS('_REF Catalog Classes'!$C$6:$D416), FALSE)</f>
        <v>1</v>
      </c>
      <c r="E311" s="82" t="s">
        <v>1915</v>
      </c>
      <c r="F311" s="82" t="str">
        <f t="shared" si="21"/>
        <v>lootGrusScarf:</v>
      </c>
      <c r="G311" s="86" t="s">
        <v>1916</v>
      </c>
      <c r="H311" s="86" t="s">
        <v>1916</v>
      </c>
      <c r="I311" s="82" t="s">
        <v>847</v>
      </c>
      <c r="J311" s="82" t="s">
        <v>1677</v>
      </c>
      <c r="K311" s="86"/>
      <c r="L311" s="82" t="s">
        <v>857</v>
      </c>
      <c r="M311" s="86"/>
      <c r="N311" s="101" t="s">
        <v>1678</v>
      </c>
      <c r="O311" s="82"/>
      <c r="P311" s="82">
        <v>22</v>
      </c>
      <c r="Q311" s="88"/>
      <c r="R311" s="82"/>
      <c r="S311" s="82"/>
      <c r="T311" s="82"/>
      <c r="U311" s="82"/>
      <c r="V311" s="82"/>
      <c r="W311" s="89">
        <v>0</v>
      </c>
      <c r="X311" s="90" t="s">
        <v>37</v>
      </c>
      <c r="Y311" s="90" t="s">
        <v>1917</v>
      </c>
      <c r="Z311" s="90"/>
      <c r="AA311" s="91" t="s">
        <v>283</v>
      </c>
      <c r="AB311" s="90" t="s">
        <v>1918</v>
      </c>
      <c r="AC311" s="90"/>
      <c r="AD311" s="90" t="s">
        <v>1919</v>
      </c>
      <c r="AE311" s="90" t="s">
        <v>1691</v>
      </c>
      <c r="AF311" s="90" t="s">
        <v>448</v>
      </c>
      <c r="AG311" s="92"/>
      <c r="AH311" s="93"/>
      <c r="AI311" s="93"/>
      <c r="AJ311" s="93"/>
      <c r="AK311" s="93"/>
      <c r="AL311" s="93"/>
      <c r="AM311" s="93"/>
      <c r="AN311" s="94"/>
      <c r="AO311" s="95"/>
      <c r="AP311" s="95"/>
      <c r="AQ311" s="95"/>
      <c r="AR311" s="94"/>
      <c r="AS311" s="95"/>
      <c r="AT311" s="95"/>
      <c r="AU311" s="95"/>
      <c r="AV311" s="95"/>
      <c r="AW311" s="92"/>
      <c r="AX311" s="93"/>
      <c r="AY311" s="93"/>
      <c r="AZ311" s="93"/>
      <c r="BA311" s="93"/>
      <c r="BB311" s="93"/>
      <c r="BC311" s="93"/>
      <c r="BD311" s="96">
        <v>2</v>
      </c>
      <c r="BE311" s="97" t="s">
        <v>38</v>
      </c>
      <c r="BF311" s="98" t="s">
        <v>1917</v>
      </c>
      <c r="BG311" s="97"/>
      <c r="BH311" s="97" t="s">
        <v>283</v>
      </c>
      <c r="BI311" s="97" t="s">
        <v>1918</v>
      </c>
      <c r="BJ311" s="93"/>
      <c r="BK311" s="93"/>
      <c r="BL311" s="97" t="s">
        <v>1920</v>
      </c>
      <c r="BM311" s="97" t="s">
        <v>1691</v>
      </c>
      <c r="BN311" s="97" t="s">
        <v>448</v>
      </c>
      <c r="BO311" s="93"/>
      <c r="BP311" s="93"/>
      <c r="BQ311" s="93"/>
      <c r="BR311" s="93"/>
      <c r="BS311" s="93"/>
      <c r="BT311" s="93"/>
      <c r="BU311" s="93"/>
      <c r="BV311" s="99"/>
      <c r="BW311" s="86" t="str">
        <f>VLOOKUP($C311, '_REF Catalog Classes'!$C$6:$E416, COLUMNS('_REF Catalog Classes'!$C$6:$E416), FALSE)</f>
        <v>always</v>
      </c>
      <c r="BX311" s="226">
        <v>100</v>
      </c>
      <c r="BY311" s="226" t="s">
        <v>1693</v>
      </c>
      <c r="BZ311" s="84" t="s">
        <v>850</v>
      </c>
      <c r="CA311" s="100" t="str">
        <f ca="1">IFERROR(__xludf.DUMMYFUNCTION("IF(REGEXMATCH(Catalog_RewardType,""reward""), VLOOKUP($E311, {'TitleData rewards.items'!$J$9:$J416,'TitleData rewards.items'!$B$9:$B416}, 2, FALSE), """")"),"")</f>
        <v/>
      </c>
    </row>
    <row r="312" spans="1:79" ht="42" x14ac:dyDescent="0.15">
      <c r="A312" s="82" t="s">
        <v>269</v>
      </c>
      <c r="B312" s="83"/>
      <c r="C312" s="82" t="s">
        <v>1549</v>
      </c>
      <c r="D312" s="85" t="b">
        <f>VLOOKUP($C312, '_REF Catalog Classes'!$C$6:$D416, COLUMNS('_REF Catalog Classes'!$C$6:$D416), FALSE)</f>
        <v>1</v>
      </c>
      <c r="E312" s="82" t="s">
        <v>1921</v>
      </c>
      <c r="F312" s="82" t="str">
        <f t="shared" si="21"/>
        <v>lootManicEnergy:</v>
      </c>
      <c r="G312" s="86" t="s">
        <v>1922</v>
      </c>
      <c r="H312" s="217" t="s">
        <v>1923</v>
      </c>
      <c r="I312" s="82" t="s">
        <v>847</v>
      </c>
      <c r="J312" s="82" t="s">
        <v>1677</v>
      </c>
      <c r="K312" s="86"/>
      <c r="L312" s="82" t="s">
        <v>857</v>
      </c>
      <c r="M312" s="86"/>
      <c r="N312" s="101" t="s">
        <v>1678</v>
      </c>
      <c r="O312" s="82"/>
      <c r="P312" s="82">
        <v>23</v>
      </c>
      <c r="Q312" s="88"/>
      <c r="R312" s="82"/>
      <c r="S312" s="82"/>
      <c r="T312" s="82"/>
      <c r="U312" s="82"/>
      <c r="V312" s="82"/>
      <c r="W312" s="89">
        <v>0</v>
      </c>
      <c r="X312" s="90" t="s">
        <v>37</v>
      </c>
      <c r="Y312" s="90" t="s">
        <v>1924</v>
      </c>
      <c r="Z312" s="90"/>
      <c r="AA312" s="91" t="s">
        <v>283</v>
      </c>
      <c r="AB312" s="90" t="s">
        <v>1925</v>
      </c>
      <c r="AC312" s="90"/>
      <c r="AD312" s="90" t="s">
        <v>1926</v>
      </c>
      <c r="AE312" s="90" t="s">
        <v>1691</v>
      </c>
      <c r="AF312" s="90" t="s">
        <v>448</v>
      </c>
      <c r="AG312" s="92"/>
      <c r="AH312" s="93"/>
      <c r="AI312" s="93"/>
      <c r="AJ312" s="93"/>
      <c r="AK312" s="93"/>
      <c r="AL312" s="93"/>
      <c r="AM312" s="93"/>
      <c r="AN312" s="94"/>
      <c r="AO312" s="95"/>
      <c r="AP312" s="95"/>
      <c r="AQ312" s="95"/>
      <c r="AR312" s="94"/>
      <c r="AS312" s="95"/>
      <c r="AT312" s="95"/>
      <c r="AU312" s="95"/>
      <c r="AV312" s="95"/>
      <c r="AW312" s="92"/>
      <c r="AX312" s="93"/>
      <c r="AY312" s="93"/>
      <c r="AZ312" s="93"/>
      <c r="BA312" s="93"/>
      <c r="BB312" s="93"/>
      <c r="BC312" s="93"/>
      <c r="BD312" s="96">
        <v>2</v>
      </c>
      <c r="BE312" s="97" t="s">
        <v>38</v>
      </c>
      <c r="BF312" s="98" t="s">
        <v>1924</v>
      </c>
      <c r="BG312" s="97"/>
      <c r="BH312" s="97" t="s">
        <v>283</v>
      </c>
      <c r="BI312" s="97" t="s">
        <v>1925</v>
      </c>
      <c r="BJ312" s="93"/>
      <c r="BK312" s="93"/>
      <c r="BL312" s="97" t="s">
        <v>1927</v>
      </c>
      <c r="BM312" s="97" t="s">
        <v>1691</v>
      </c>
      <c r="BN312" s="97" t="s">
        <v>448</v>
      </c>
      <c r="BO312" s="93"/>
      <c r="BP312" s="93"/>
      <c r="BQ312" s="93"/>
      <c r="BR312" s="93"/>
      <c r="BS312" s="93"/>
      <c r="BT312" s="93"/>
      <c r="BU312" s="93"/>
      <c r="BV312" s="99"/>
      <c r="BW312" s="86" t="str">
        <f>VLOOKUP($C312, '_REF Catalog Classes'!$C$6:$E416, COLUMNS('_REF Catalog Classes'!$C$6:$E416), FALSE)</f>
        <v>always</v>
      </c>
      <c r="BX312" s="226">
        <v>100</v>
      </c>
      <c r="BY312" s="226" t="s">
        <v>1693</v>
      </c>
      <c r="BZ312" s="84" t="s">
        <v>850</v>
      </c>
      <c r="CA312" s="100" t="str">
        <f ca="1">IFERROR(__xludf.DUMMYFUNCTION("IF(REGEXMATCH(Catalog_RewardType,""reward""), VLOOKUP($E312, {'TitleData rewards.items'!$J$9:$J416,'TitleData rewards.items'!$B$9:$B416}, 2, FALSE), """")"),"")</f>
        <v/>
      </c>
    </row>
    <row r="313" spans="1:79" ht="28" x14ac:dyDescent="0.15">
      <c r="A313" s="82" t="s">
        <v>269</v>
      </c>
      <c r="B313" s="83"/>
      <c r="C313" s="82" t="s">
        <v>1549</v>
      </c>
      <c r="D313" s="85" t="b">
        <f>VLOOKUP($C313, '_REF Catalog Classes'!$C$6:$D416, COLUMNS('_REF Catalog Classes'!$C$6:$D416), FALSE)</f>
        <v>1</v>
      </c>
      <c r="E313" s="82" t="s">
        <v>1928</v>
      </c>
      <c r="F313" s="82" t="str">
        <f t="shared" si="21"/>
        <v>lootStretchArm:</v>
      </c>
      <c r="G313" s="86" t="s">
        <v>1929</v>
      </c>
      <c r="H313" s="86" t="s">
        <v>1929</v>
      </c>
      <c r="I313" s="82" t="s">
        <v>847</v>
      </c>
      <c r="J313" s="82" t="s">
        <v>1677</v>
      </c>
      <c r="K313" s="86"/>
      <c r="L313" s="82" t="s">
        <v>857</v>
      </c>
      <c r="M313" s="86"/>
      <c r="N313" s="101" t="s">
        <v>1678</v>
      </c>
      <c r="O313" s="82"/>
      <c r="P313" s="82">
        <v>24</v>
      </c>
      <c r="Q313" s="88"/>
      <c r="R313" s="82"/>
      <c r="S313" s="82"/>
      <c r="T313" s="82"/>
      <c r="U313" s="82"/>
      <c r="V313" s="82"/>
      <c r="W313" s="89">
        <v>0</v>
      </c>
      <c r="X313" s="90" t="s">
        <v>37</v>
      </c>
      <c r="Y313" s="90" t="s">
        <v>1930</v>
      </c>
      <c r="Z313" s="90"/>
      <c r="AA313" s="91" t="s">
        <v>283</v>
      </c>
      <c r="AB313" s="90" t="s">
        <v>1931</v>
      </c>
      <c r="AC313" s="90"/>
      <c r="AD313" s="90" t="s">
        <v>1932</v>
      </c>
      <c r="AE313" s="90" t="s">
        <v>1691</v>
      </c>
      <c r="AF313" s="90" t="s">
        <v>448</v>
      </c>
      <c r="AG313" s="92"/>
      <c r="AH313" s="93"/>
      <c r="AI313" s="93"/>
      <c r="AJ313" s="93"/>
      <c r="AK313" s="93"/>
      <c r="AL313" s="93"/>
      <c r="AM313" s="93"/>
      <c r="AN313" s="94"/>
      <c r="AO313" s="95"/>
      <c r="AP313" s="95"/>
      <c r="AQ313" s="95"/>
      <c r="AR313" s="94"/>
      <c r="AS313" s="95"/>
      <c r="AT313" s="95"/>
      <c r="AU313" s="95"/>
      <c r="AV313" s="95"/>
      <c r="AW313" s="92"/>
      <c r="AX313" s="93"/>
      <c r="AY313" s="93"/>
      <c r="AZ313" s="93"/>
      <c r="BA313" s="93"/>
      <c r="BB313" s="93"/>
      <c r="BC313" s="93"/>
      <c r="BD313" s="96">
        <v>2</v>
      </c>
      <c r="BE313" s="97" t="s">
        <v>38</v>
      </c>
      <c r="BF313" s="98" t="s">
        <v>1930</v>
      </c>
      <c r="BG313" s="97"/>
      <c r="BH313" s="97" t="s">
        <v>283</v>
      </c>
      <c r="BI313" s="97" t="s">
        <v>1931</v>
      </c>
      <c r="BJ313" s="93"/>
      <c r="BK313" s="93"/>
      <c r="BL313" s="97" t="s">
        <v>1933</v>
      </c>
      <c r="BM313" s="97" t="s">
        <v>1691</v>
      </c>
      <c r="BN313" s="97" t="s">
        <v>448</v>
      </c>
      <c r="BO313" s="93"/>
      <c r="BP313" s="93"/>
      <c r="BQ313" s="93"/>
      <c r="BR313" s="93"/>
      <c r="BS313" s="93"/>
      <c r="BT313" s="93"/>
      <c r="BU313" s="93"/>
      <c r="BV313" s="99"/>
      <c r="BW313" s="86" t="str">
        <f>VLOOKUP($C313, '_REF Catalog Classes'!$C$6:$E416, COLUMNS('_REF Catalog Classes'!$C$6:$E416), FALSE)</f>
        <v>always</v>
      </c>
      <c r="BX313" s="226">
        <v>100</v>
      </c>
      <c r="BY313" s="226" t="s">
        <v>1693</v>
      </c>
      <c r="BZ313" s="84" t="s">
        <v>850</v>
      </c>
      <c r="CA313" s="100" t="str">
        <f ca="1">IFERROR(__xludf.DUMMYFUNCTION("IF(REGEXMATCH(Catalog_RewardType,""reward""), VLOOKUP($E313, {'TitleData rewards.items'!$J$9:$J416,'TitleData rewards.items'!$B$9:$B416}, 2, FALSE), """")"),"")</f>
        <v/>
      </c>
    </row>
    <row r="314" spans="1:79" ht="42" x14ac:dyDescent="0.15">
      <c r="A314" s="82" t="s">
        <v>269</v>
      </c>
      <c r="B314" s="83"/>
      <c r="C314" s="82" t="s">
        <v>1549</v>
      </c>
      <c r="D314" s="85" t="b">
        <f>VLOOKUP($C314, '_REF Catalog Classes'!$C$6:$D416, COLUMNS('_REF Catalog Classes'!$C$6:$D416), FALSE)</f>
        <v>1</v>
      </c>
      <c r="E314" s="82" t="s">
        <v>1934</v>
      </c>
      <c r="F314" s="82" t="str">
        <f t="shared" si="21"/>
        <v>lootV6Figures:</v>
      </c>
      <c r="G314" s="86" t="s">
        <v>1935</v>
      </c>
      <c r="H314" s="217" t="s">
        <v>1936</v>
      </c>
      <c r="I314" s="82" t="s">
        <v>847</v>
      </c>
      <c r="J314" s="82" t="s">
        <v>1677</v>
      </c>
      <c r="K314" s="86"/>
      <c r="L314" s="82" t="s">
        <v>857</v>
      </c>
      <c r="M314" s="86"/>
      <c r="N314" s="101" t="s">
        <v>1678</v>
      </c>
      <c r="O314" s="82"/>
      <c r="P314" s="82">
        <v>25</v>
      </c>
      <c r="Q314" s="88"/>
      <c r="R314" s="82"/>
      <c r="S314" s="82"/>
      <c r="T314" s="82"/>
      <c r="U314" s="82"/>
      <c r="V314" s="82"/>
      <c r="W314" s="89">
        <v>0</v>
      </c>
      <c r="X314" s="90" t="s">
        <v>37</v>
      </c>
      <c r="Y314" s="90" t="s">
        <v>1937</v>
      </c>
      <c r="Z314" s="90"/>
      <c r="AA314" s="91" t="s">
        <v>283</v>
      </c>
      <c r="AB314" s="90" t="s">
        <v>1938</v>
      </c>
      <c r="AC314" s="90"/>
      <c r="AD314" s="90" t="s">
        <v>1939</v>
      </c>
      <c r="AE314" s="90" t="s">
        <v>1691</v>
      </c>
      <c r="AF314" s="90" t="s">
        <v>448</v>
      </c>
      <c r="AG314" s="92"/>
      <c r="AH314" s="93"/>
      <c r="AI314" s="93"/>
      <c r="AJ314" s="93"/>
      <c r="AK314" s="93"/>
      <c r="AL314" s="93"/>
      <c r="AM314" s="93"/>
      <c r="AN314" s="94"/>
      <c r="AO314" s="95"/>
      <c r="AP314" s="95"/>
      <c r="AQ314" s="95"/>
      <c r="AR314" s="94"/>
      <c r="AS314" s="95"/>
      <c r="AT314" s="95"/>
      <c r="AU314" s="95"/>
      <c r="AV314" s="95"/>
      <c r="AW314" s="92"/>
      <c r="AX314" s="93"/>
      <c r="AY314" s="93"/>
      <c r="AZ314" s="93"/>
      <c r="BA314" s="93"/>
      <c r="BB314" s="93"/>
      <c r="BC314" s="93"/>
      <c r="BD314" s="96">
        <v>2</v>
      </c>
      <c r="BE314" s="97" t="s">
        <v>38</v>
      </c>
      <c r="BF314" s="98" t="s">
        <v>1937</v>
      </c>
      <c r="BG314" s="97"/>
      <c r="BH314" s="97" t="s">
        <v>283</v>
      </c>
      <c r="BI314" s="97" t="s">
        <v>1938</v>
      </c>
      <c r="BJ314" s="93"/>
      <c r="BK314" s="93"/>
      <c r="BL314" s="97" t="s">
        <v>1940</v>
      </c>
      <c r="BM314" s="97" t="s">
        <v>1691</v>
      </c>
      <c r="BN314" s="97" t="s">
        <v>448</v>
      </c>
      <c r="BO314" s="93"/>
      <c r="BP314" s="93"/>
      <c r="BQ314" s="93"/>
      <c r="BR314" s="93"/>
      <c r="BS314" s="93"/>
      <c r="BT314" s="93"/>
      <c r="BU314" s="93"/>
      <c r="BV314" s="99"/>
      <c r="BW314" s="86" t="str">
        <f>VLOOKUP($C314, '_REF Catalog Classes'!$C$6:$E416, COLUMNS('_REF Catalog Classes'!$C$6:$E416), FALSE)</f>
        <v>always</v>
      </c>
      <c r="BX314" s="226">
        <v>100</v>
      </c>
      <c r="BY314" s="226" t="s">
        <v>1693</v>
      </c>
      <c r="BZ314" s="84" t="s">
        <v>850</v>
      </c>
      <c r="CA314" s="100" t="str">
        <f ca="1">IFERROR(__xludf.DUMMYFUNCTION("IF(REGEXMATCH(Catalog_RewardType,""reward""), VLOOKUP($E314, {'TitleData rewards.items'!$J$9:$J416,'TitleData rewards.items'!$B$9:$B416}, 2, FALSE), """")"),"")</f>
        <v/>
      </c>
    </row>
    <row r="315" spans="1:79" ht="56" x14ac:dyDescent="0.15">
      <c r="A315" s="82" t="s">
        <v>269</v>
      </c>
      <c r="B315" s="83"/>
      <c r="C315" s="82" t="s">
        <v>1549</v>
      </c>
      <c r="D315" s="85" t="b">
        <f>VLOOKUP($C315, '_REF Catalog Classes'!$C$6:$D416, COLUMNS('_REF Catalog Classes'!$C$6:$D416), FALSE)</f>
        <v>1</v>
      </c>
      <c r="E315" s="82" t="s">
        <v>1941</v>
      </c>
      <c r="F315" s="82" t="str">
        <f t="shared" si="21"/>
        <v>lootGoldenGuardianRobot:</v>
      </c>
      <c r="G315" s="86" t="s">
        <v>1942</v>
      </c>
      <c r="H315" s="217" t="s">
        <v>1943</v>
      </c>
      <c r="I315" s="82" t="s">
        <v>847</v>
      </c>
      <c r="J315" s="82" t="s">
        <v>1677</v>
      </c>
      <c r="K315" s="86"/>
      <c r="L315" s="82" t="s">
        <v>857</v>
      </c>
      <c r="M315" s="86"/>
      <c r="N315" s="101" t="s">
        <v>1678</v>
      </c>
      <c r="O315" s="82"/>
      <c r="P315" s="82">
        <v>26</v>
      </c>
      <c r="Q315" s="88"/>
      <c r="R315" s="82"/>
      <c r="S315" s="82"/>
      <c r="T315" s="82"/>
      <c r="U315" s="82"/>
      <c r="V315" s="82"/>
      <c r="W315" s="89">
        <v>0</v>
      </c>
      <c r="X315" s="90" t="s">
        <v>37</v>
      </c>
      <c r="Y315" s="90" t="s">
        <v>1944</v>
      </c>
      <c r="Z315" s="90"/>
      <c r="AA315" s="91" t="s">
        <v>283</v>
      </c>
      <c r="AB315" s="90" t="s">
        <v>1945</v>
      </c>
      <c r="AC315" s="90"/>
      <c r="AD315" s="90" t="s">
        <v>1946</v>
      </c>
      <c r="AE315" s="90" t="s">
        <v>1718</v>
      </c>
      <c r="AF315" s="90" t="s">
        <v>497</v>
      </c>
      <c r="AG315" s="92"/>
      <c r="AH315" s="93"/>
      <c r="AI315" s="93"/>
      <c r="AJ315" s="93"/>
      <c r="AK315" s="93"/>
      <c r="AL315" s="93"/>
      <c r="AM315" s="93"/>
      <c r="AN315" s="94"/>
      <c r="AO315" s="95"/>
      <c r="AP315" s="95"/>
      <c r="AQ315" s="95"/>
      <c r="AR315" s="94"/>
      <c r="AS315" s="95"/>
      <c r="AT315" s="95"/>
      <c r="AU315" s="95"/>
      <c r="AV315" s="95"/>
      <c r="AW315" s="92"/>
      <c r="AX315" s="93"/>
      <c r="AY315" s="93"/>
      <c r="AZ315" s="93"/>
      <c r="BA315" s="93"/>
      <c r="BB315" s="93"/>
      <c r="BC315" s="93"/>
      <c r="BD315" s="96">
        <v>2</v>
      </c>
      <c r="BE315" s="97" t="s">
        <v>38</v>
      </c>
      <c r="BF315" s="98" t="s">
        <v>1944</v>
      </c>
      <c r="BG315" s="97"/>
      <c r="BH315" s="97" t="s">
        <v>283</v>
      </c>
      <c r="BI315" s="97" t="s">
        <v>1945</v>
      </c>
      <c r="BJ315" s="93"/>
      <c r="BK315" s="93"/>
      <c r="BL315" s="97" t="s">
        <v>1947</v>
      </c>
      <c r="BM315" s="97" t="s">
        <v>1718</v>
      </c>
      <c r="BN315" s="97" t="s">
        <v>497</v>
      </c>
      <c r="BO315" s="93"/>
      <c r="BP315" s="93"/>
      <c r="BQ315" s="93"/>
      <c r="BR315" s="93"/>
      <c r="BS315" s="93"/>
      <c r="BT315" s="93"/>
      <c r="BU315" s="93"/>
      <c r="BV315" s="99"/>
      <c r="BW315" s="86" t="str">
        <f>VLOOKUP($C315, '_REF Catalog Classes'!$C$6:$E416, COLUMNS('_REF Catalog Classes'!$C$6:$E416), FALSE)</f>
        <v>always</v>
      </c>
      <c r="BX315" s="226">
        <v>1000</v>
      </c>
      <c r="BY315" s="226" t="s">
        <v>1693</v>
      </c>
      <c r="BZ315" s="84" t="s">
        <v>850</v>
      </c>
      <c r="CA315" s="100" t="str">
        <f ca="1">IFERROR(__xludf.DUMMYFUNCTION("IF(REGEXMATCH(Catalog_RewardType,""reward""), VLOOKUP($E315, {'TitleData rewards.items'!$J$9:$J416,'TitleData rewards.items'!$B$9:$B416}, 2, FALSE), """")"),"")</f>
        <v/>
      </c>
    </row>
    <row r="316" spans="1:79" ht="42" x14ac:dyDescent="0.15">
      <c r="A316" s="82" t="s">
        <v>269</v>
      </c>
      <c r="B316" s="83"/>
      <c r="C316" s="82" t="s">
        <v>1549</v>
      </c>
      <c r="D316" s="85" t="b">
        <f>VLOOKUP($C316, '_REF Catalog Classes'!$C$6:$D416, COLUMNS('_REF Catalog Classes'!$C$6:$D416), FALSE)</f>
        <v>1</v>
      </c>
      <c r="E316" s="82" t="s">
        <v>1948</v>
      </c>
      <c r="F316" s="82" t="str">
        <f t="shared" si="21"/>
        <v>lootBeeDoh:</v>
      </c>
      <c r="G316" s="86" t="s">
        <v>1949</v>
      </c>
      <c r="H316" s="86" t="s">
        <v>1950</v>
      </c>
      <c r="I316" s="82" t="s">
        <v>847</v>
      </c>
      <c r="J316" s="82" t="s">
        <v>1677</v>
      </c>
      <c r="K316" s="86"/>
      <c r="L316" s="82" t="s">
        <v>857</v>
      </c>
      <c r="M316" s="86"/>
      <c r="N316" s="101" t="s">
        <v>1678</v>
      </c>
      <c r="O316" s="82"/>
      <c r="P316" s="82">
        <v>27</v>
      </c>
      <c r="Q316" s="88"/>
      <c r="R316" s="82"/>
      <c r="S316" s="82"/>
      <c r="T316" s="82"/>
      <c r="U316" s="82"/>
      <c r="V316" s="82"/>
      <c r="W316" s="89">
        <v>0</v>
      </c>
      <c r="X316" s="90" t="s">
        <v>37</v>
      </c>
      <c r="Y316" s="90" t="s">
        <v>1951</v>
      </c>
      <c r="Z316" s="90"/>
      <c r="AA316" s="91" t="s">
        <v>283</v>
      </c>
      <c r="AB316" s="90" t="s">
        <v>1952</v>
      </c>
      <c r="AC316" s="90"/>
      <c r="AD316" s="90" t="s">
        <v>1953</v>
      </c>
      <c r="AE316" s="90" t="s">
        <v>1691</v>
      </c>
      <c r="AF316" s="90" t="s">
        <v>448</v>
      </c>
      <c r="AG316" s="92"/>
      <c r="AH316" s="93"/>
      <c r="AI316" s="93"/>
      <c r="AJ316" s="93"/>
      <c r="AK316" s="93"/>
      <c r="AL316" s="93"/>
      <c r="AM316" s="93"/>
      <c r="AN316" s="94"/>
      <c r="AO316" s="95"/>
      <c r="AP316" s="95"/>
      <c r="AQ316" s="95"/>
      <c r="AR316" s="94"/>
      <c r="AS316" s="95"/>
      <c r="AT316" s="95"/>
      <c r="AU316" s="95"/>
      <c r="AV316" s="95"/>
      <c r="AW316" s="92"/>
      <c r="AX316" s="93"/>
      <c r="AY316" s="93"/>
      <c r="AZ316" s="93"/>
      <c r="BA316" s="93"/>
      <c r="BB316" s="93"/>
      <c r="BC316" s="93"/>
      <c r="BD316" s="96">
        <v>2</v>
      </c>
      <c r="BE316" s="97" t="s">
        <v>38</v>
      </c>
      <c r="BF316" s="98" t="s">
        <v>1951</v>
      </c>
      <c r="BG316" s="97"/>
      <c r="BH316" s="97" t="s">
        <v>283</v>
      </c>
      <c r="BI316" s="97" t="s">
        <v>1952</v>
      </c>
      <c r="BJ316" s="93"/>
      <c r="BK316" s="93"/>
      <c r="BL316" s="97" t="s">
        <v>1954</v>
      </c>
      <c r="BM316" s="97" t="s">
        <v>1691</v>
      </c>
      <c r="BN316" s="97" t="s">
        <v>448</v>
      </c>
      <c r="BO316" s="93"/>
      <c r="BP316" s="93"/>
      <c r="BQ316" s="93"/>
      <c r="BR316" s="93"/>
      <c r="BS316" s="93"/>
      <c r="BT316" s="93"/>
      <c r="BU316" s="93"/>
      <c r="BV316" s="99"/>
      <c r="BW316" s="86" t="str">
        <f>VLOOKUP($C316, '_REF Catalog Classes'!$C$6:$E416, COLUMNS('_REF Catalog Classes'!$C$6:$E416), FALSE)</f>
        <v>always</v>
      </c>
      <c r="BX316" s="226">
        <v>100</v>
      </c>
      <c r="BY316" s="226" t="s">
        <v>1693</v>
      </c>
      <c r="BZ316" s="84" t="s">
        <v>850</v>
      </c>
      <c r="CA316" s="100" t="str">
        <f ca="1">IFERROR(__xludf.DUMMYFUNCTION("IF(REGEXMATCH(Catalog_RewardType,""reward""), VLOOKUP($E316, {'TitleData rewards.items'!$J$9:$J416,'TitleData rewards.items'!$B$9:$B416}, 2, FALSE), """")"),"")</f>
        <v/>
      </c>
    </row>
    <row r="317" spans="1:79" ht="56" x14ac:dyDescent="0.15">
      <c r="A317" s="82" t="s">
        <v>269</v>
      </c>
      <c r="B317" s="83"/>
      <c r="C317" s="82" t="s">
        <v>1549</v>
      </c>
      <c r="D317" s="85" t="b">
        <f>VLOOKUP($C317, '_REF Catalog Classes'!$C$6:$D416, COLUMNS('_REF Catalog Classes'!$C$6:$D416), FALSE)</f>
        <v>1</v>
      </c>
      <c r="E317" s="82" t="s">
        <v>1955</v>
      </c>
      <c r="F317" s="82" t="str">
        <f t="shared" si="21"/>
        <v>lootClive:</v>
      </c>
      <c r="G317" s="86" t="s">
        <v>1956</v>
      </c>
      <c r="H317" s="86" t="s">
        <v>1956</v>
      </c>
      <c r="I317" s="82" t="s">
        <v>847</v>
      </c>
      <c r="J317" s="82" t="s">
        <v>1677</v>
      </c>
      <c r="K317" s="86"/>
      <c r="L317" s="82" t="s">
        <v>857</v>
      </c>
      <c r="M317" s="86"/>
      <c r="N317" s="101" t="s">
        <v>1678</v>
      </c>
      <c r="O317" s="82"/>
      <c r="P317" s="82">
        <v>28</v>
      </c>
      <c r="Q317" s="88"/>
      <c r="R317" s="82"/>
      <c r="S317" s="82"/>
      <c r="T317" s="82"/>
      <c r="U317" s="82"/>
      <c r="V317" s="82"/>
      <c r="W317" s="89">
        <v>0</v>
      </c>
      <c r="X317" s="90" t="s">
        <v>37</v>
      </c>
      <c r="Y317" s="90" t="s">
        <v>1957</v>
      </c>
      <c r="Z317" s="90"/>
      <c r="AA317" s="91" t="s">
        <v>283</v>
      </c>
      <c r="AB317" s="90" t="s">
        <v>1958</v>
      </c>
      <c r="AC317" s="90"/>
      <c r="AD317" s="90" t="s">
        <v>1959</v>
      </c>
      <c r="AE317" s="90" t="s">
        <v>1718</v>
      </c>
      <c r="AF317" s="90" t="s">
        <v>497</v>
      </c>
      <c r="AG317" s="92"/>
      <c r="AH317" s="93"/>
      <c r="AI317" s="93"/>
      <c r="AJ317" s="93"/>
      <c r="AK317" s="93"/>
      <c r="AL317" s="93"/>
      <c r="AM317" s="93"/>
      <c r="AN317" s="94"/>
      <c r="AO317" s="95"/>
      <c r="AP317" s="95"/>
      <c r="AQ317" s="95"/>
      <c r="AR317" s="94"/>
      <c r="AS317" s="95"/>
      <c r="AT317" s="95"/>
      <c r="AU317" s="95"/>
      <c r="AV317" s="95"/>
      <c r="AW317" s="92"/>
      <c r="AX317" s="93"/>
      <c r="AY317" s="93"/>
      <c r="AZ317" s="93"/>
      <c r="BA317" s="93"/>
      <c r="BB317" s="93"/>
      <c r="BC317" s="93"/>
      <c r="BD317" s="96">
        <v>2</v>
      </c>
      <c r="BE317" s="97" t="s">
        <v>38</v>
      </c>
      <c r="BF317" s="98" t="s">
        <v>1957</v>
      </c>
      <c r="BG317" s="97"/>
      <c r="BH317" s="97" t="s">
        <v>283</v>
      </c>
      <c r="BI317" s="97" t="s">
        <v>1958</v>
      </c>
      <c r="BJ317" s="93"/>
      <c r="BK317" s="93"/>
      <c r="BL317" s="97" t="s">
        <v>1960</v>
      </c>
      <c r="BM317" s="97" t="s">
        <v>1718</v>
      </c>
      <c r="BN317" s="97" t="s">
        <v>497</v>
      </c>
      <c r="BO317" s="93"/>
      <c r="BP317" s="93"/>
      <c r="BQ317" s="93"/>
      <c r="BR317" s="93"/>
      <c r="BS317" s="93"/>
      <c r="BT317" s="93"/>
      <c r="BU317" s="93"/>
      <c r="BV317" s="99"/>
      <c r="BW317" s="86" t="str">
        <f>VLOOKUP($C317, '_REF Catalog Classes'!$C$6:$E416, COLUMNS('_REF Catalog Classes'!$C$6:$E416), FALSE)</f>
        <v>always</v>
      </c>
      <c r="BX317" s="226">
        <v>1000</v>
      </c>
      <c r="BY317" s="226" t="s">
        <v>1693</v>
      </c>
      <c r="BZ317" s="84" t="s">
        <v>850</v>
      </c>
      <c r="CA317" s="100" t="str">
        <f ca="1">IFERROR(__xludf.DUMMYFUNCTION("IF(REGEXMATCH(Catalog_RewardType,""reward""), VLOOKUP($E317, {'TitleData rewards.items'!$J$9:$J416,'TitleData rewards.items'!$B$9:$B416}, 2, FALSE), """")"),"")</f>
        <v/>
      </c>
    </row>
    <row r="318" spans="1:79" ht="42" x14ac:dyDescent="0.15">
      <c r="A318" s="82" t="s">
        <v>269</v>
      </c>
      <c r="B318" s="83"/>
      <c r="C318" s="82" t="s">
        <v>1549</v>
      </c>
      <c r="D318" s="85" t="b">
        <f>VLOOKUP($C318, '_REF Catalog Classes'!$C$6:$D416, COLUMNS('_REF Catalog Classes'!$C$6:$D416), FALSE)</f>
        <v>1</v>
      </c>
      <c r="E318" s="82" t="s">
        <v>1675</v>
      </c>
      <c r="F318" s="82" t="str">
        <f t="shared" si="21"/>
        <v>lootUnicornReplacement:</v>
      </c>
      <c r="G318" s="86" t="s">
        <v>1961</v>
      </c>
      <c r="H318" s="18" t="s">
        <v>1962</v>
      </c>
      <c r="I318" s="82" t="s">
        <v>847</v>
      </c>
      <c r="J318" s="82" t="s">
        <v>1677</v>
      </c>
      <c r="K318" s="86"/>
      <c r="L318" s="82" t="s">
        <v>857</v>
      </c>
      <c r="M318" s="86"/>
      <c r="N318" s="101" t="s">
        <v>1678</v>
      </c>
      <c r="O318" s="82"/>
      <c r="P318" s="82">
        <v>29</v>
      </c>
      <c r="Q318" s="88"/>
      <c r="R318" s="82"/>
      <c r="S318" s="82"/>
      <c r="T318" s="82"/>
      <c r="U318" s="82"/>
      <c r="V318" s="82"/>
      <c r="W318" s="89">
        <v>0</v>
      </c>
      <c r="X318" s="90" t="s">
        <v>37</v>
      </c>
      <c r="Y318" s="90" t="s">
        <v>1963</v>
      </c>
      <c r="Z318" s="90"/>
      <c r="AA318" s="91" t="s">
        <v>283</v>
      </c>
      <c r="AB318" s="90" t="s">
        <v>1964</v>
      </c>
      <c r="AC318" s="90"/>
      <c r="AD318" s="90" t="s">
        <v>1965</v>
      </c>
      <c r="AE318" s="90" t="s">
        <v>1718</v>
      </c>
      <c r="AF318" s="90" t="s">
        <v>497</v>
      </c>
      <c r="AG318" s="92"/>
      <c r="AH318" s="93"/>
      <c r="AI318" s="93"/>
      <c r="AJ318" s="93"/>
      <c r="AK318" s="93"/>
      <c r="AL318" s="93"/>
      <c r="AM318" s="93"/>
      <c r="AN318" s="94"/>
      <c r="AO318" s="95"/>
      <c r="AP318" s="95"/>
      <c r="AQ318" s="95"/>
      <c r="AR318" s="94"/>
      <c r="AS318" s="95"/>
      <c r="AT318" s="95"/>
      <c r="AU318" s="95"/>
      <c r="AV318" s="95"/>
      <c r="AW318" s="92"/>
      <c r="AX318" s="93"/>
      <c r="AY318" s="93"/>
      <c r="AZ318" s="93"/>
      <c r="BA318" s="93"/>
      <c r="BB318" s="93"/>
      <c r="BC318" s="93"/>
      <c r="BD318" s="96">
        <v>2</v>
      </c>
      <c r="BE318" s="97" t="s">
        <v>38</v>
      </c>
      <c r="BF318" s="98" t="s">
        <v>1963</v>
      </c>
      <c r="BG318" s="97"/>
      <c r="BH318" s="97" t="s">
        <v>283</v>
      </c>
      <c r="BI318" s="97" t="s">
        <v>1964</v>
      </c>
      <c r="BJ318" s="93"/>
      <c r="BK318" s="93"/>
      <c r="BL318" s="97" t="s">
        <v>1966</v>
      </c>
      <c r="BM318" s="97" t="s">
        <v>1718</v>
      </c>
      <c r="BN318" s="97" t="s">
        <v>497</v>
      </c>
      <c r="BO318" s="93"/>
      <c r="BP318" s="93"/>
      <c r="BQ318" s="93"/>
      <c r="BR318" s="93"/>
      <c r="BS318" s="93"/>
      <c r="BT318" s="93"/>
      <c r="BU318" s="93"/>
      <c r="BV318" s="99"/>
      <c r="BW318" s="86" t="str">
        <f>VLOOKUP($C318, '_REF Catalog Classes'!$C$6:$E416, COLUMNS('_REF Catalog Classes'!$C$6:$E416), FALSE)</f>
        <v>always</v>
      </c>
      <c r="BX318" s="226">
        <v>1000</v>
      </c>
      <c r="BY318" s="226" t="s">
        <v>1693</v>
      </c>
      <c r="BZ318" s="84" t="s">
        <v>850</v>
      </c>
      <c r="CA318" s="100" t="str">
        <f ca="1">IFERROR(__xludf.DUMMYFUNCTION("IF(REGEXMATCH(Catalog_RewardType,""reward""), VLOOKUP($E318, {'TitleData rewards.items'!$J$9:$J416,'TitleData rewards.items'!$B$9:$B416}, 2, FALSE), """")"),"")</f>
        <v/>
      </c>
    </row>
    <row r="319" spans="1:79" ht="28" x14ac:dyDescent="0.15">
      <c r="A319" s="82" t="s">
        <v>269</v>
      </c>
      <c r="B319" s="83"/>
      <c r="C319" s="82" t="s">
        <v>1549</v>
      </c>
      <c r="D319" s="85" t="b">
        <f>VLOOKUP($C319, '_REF Catalog Classes'!$C$6:$D416, COLUMNS('_REF Catalog Classes'!$C$6:$D416), FALSE)</f>
        <v>1</v>
      </c>
      <c r="E319" s="82" t="s">
        <v>1967</v>
      </c>
      <c r="F319" s="82" t="str">
        <f t="shared" si="21"/>
        <v>lootPetRock:</v>
      </c>
      <c r="G319" s="217" t="s">
        <v>1968</v>
      </c>
      <c r="H319" s="217" t="s">
        <v>1968</v>
      </c>
      <c r="I319" s="82" t="s">
        <v>847</v>
      </c>
      <c r="J319" s="82" t="s">
        <v>1677</v>
      </c>
      <c r="K319" s="82"/>
      <c r="L319" s="82" t="s">
        <v>857</v>
      </c>
      <c r="M319" s="82"/>
      <c r="N319" s="101" t="s">
        <v>1678</v>
      </c>
      <c r="O319" s="82"/>
      <c r="P319" s="82">
        <v>30</v>
      </c>
      <c r="Q319" s="88"/>
      <c r="R319" s="82"/>
      <c r="S319" s="82"/>
      <c r="T319" s="82"/>
      <c r="U319" s="82"/>
      <c r="V319" s="82"/>
      <c r="W319" s="89">
        <v>0</v>
      </c>
      <c r="X319" s="90" t="s">
        <v>37</v>
      </c>
      <c r="Y319" s="90" t="s">
        <v>1969</v>
      </c>
      <c r="Z319" s="162"/>
      <c r="AA319" s="91" t="s">
        <v>283</v>
      </c>
      <c r="AB319" s="162" t="s">
        <v>1970</v>
      </c>
      <c r="AC319" s="162"/>
      <c r="AD319" s="162" t="s">
        <v>1971</v>
      </c>
      <c r="AE319" s="90" t="s">
        <v>1691</v>
      </c>
      <c r="AF319" s="162" t="s">
        <v>448</v>
      </c>
      <c r="AG319" s="164"/>
      <c r="AH319" s="108"/>
      <c r="AI319" s="108"/>
      <c r="AJ319" s="108"/>
      <c r="AK319" s="108"/>
      <c r="AL319" s="108"/>
      <c r="AM319" s="108"/>
      <c r="AN319" s="94"/>
      <c r="AO319" s="95"/>
      <c r="AP319" s="95"/>
      <c r="AQ319" s="95"/>
      <c r="AR319" s="94"/>
      <c r="AS319" s="95"/>
      <c r="AT319" s="206"/>
      <c r="AU319" s="206"/>
      <c r="AV319" s="206"/>
      <c r="AW319" s="164"/>
      <c r="AX319" s="108"/>
      <c r="AY319" s="108"/>
      <c r="AZ319" s="108"/>
      <c r="BA319" s="108"/>
      <c r="BB319" s="108"/>
      <c r="BC319" s="108"/>
      <c r="BD319" s="96">
        <v>2</v>
      </c>
      <c r="BE319" s="97" t="s">
        <v>38</v>
      </c>
      <c r="BF319" s="98" t="s">
        <v>1969</v>
      </c>
      <c r="BG319" s="97"/>
      <c r="BH319" s="97" t="s">
        <v>283</v>
      </c>
      <c r="BI319" s="97" t="s">
        <v>1970</v>
      </c>
      <c r="BJ319" s="108"/>
      <c r="BK319" s="93"/>
      <c r="BL319" s="167" t="s">
        <v>1972</v>
      </c>
      <c r="BM319" s="97" t="s">
        <v>1691</v>
      </c>
      <c r="BN319" s="167" t="s">
        <v>448</v>
      </c>
      <c r="BO319" s="108"/>
      <c r="BP319" s="108"/>
      <c r="BQ319" s="108"/>
      <c r="BR319" s="108"/>
      <c r="BS319" s="108"/>
      <c r="BT319" s="108"/>
      <c r="BU319" s="108"/>
      <c r="BV319" s="113"/>
      <c r="BW319" s="86" t="str">
        <f>VLOOKUP($C319, '_REF Catalog Classes'!$C$6:$E416, COLUMNS('_REF Catalog Classes'!$C$6:$E416), FALSE)</f>
        <v>always</v>
      </c>
      <c r="BX319" s="226">
        <v>100</v>
      </c>
      <c r="BY319" s="226" t="s">
        <v>1693</v>
      </c>
      <c r="BZ319" s="84" t="s">
        <v>850</v>
      </c>
      <c r="CA319" s="100" t="str">
        <f ca="1">IFERROR(__xludf.DUMMYFUNCTION("IF(REGEXMATCH(Catalog_RewardType,""reward""), VLOOKUP($E319, {'TitleData rewards.items'!$J$9:$J416,'TitleData rewards.items'!$B$9:$B416}, 2, FALSE), """")"),"")</f>
        <v/>
      </c>
    </row>
    <row r="320" spans="1:79" ht="42" x14ac:dyDescent="0.15">
      <c r="A320" s="82" t="s">
        <v>269</v>
      </c>
      <c r="B320" s="83"/>
      <c r="C320" s="82" t="s">
        <v>1549</v>
      </c>
      <c r="D320" s="85" t="b">
        <f>VLOOKUP($C320, '_REF Catalog Classes'!$C$6:$D416, COLUMNS('_REF Catalog Classes'!$C$6:$D416), FALSE)</f>
        <v>1</v>
      </c>
      <c r="E320" s="82" t="s">
        <v>1973</v>
      </c>
      <c r="F320" s="82" t="str">
        <f t="shared" si="21"/>
        <v>lootTeddyBear:</v>
      </c>
      <c r="G320" s="217" t="s">
        <v>1974</v>
      </c>
      <c r="H320" s="217" t="s">
        <v>1974</v>
      </c>
      <c r="I320" s="82" t="s">
        <v>847</v>
      </c>
      <c r="J320" s="82" t="s">
        <v>1677</v>
      </c>
      <c r="K320" s="82"/>
      <c r="L320" s="82" t="s">
        <v>857</v>
      </c>
      <c r="M320" s="82"/>
      <c r="N320" s="101" t="s">
        <v>1678</v>
      </c>
      <c r="O320" s="82"/>
      <c r="P320" s="82">
        <v>31</v>
      </c>
      <c r="Q320" s="88"/>
      <c r="R320" s="82"/>
      <c r="S320" s="82"/>
      <c r="T320" s="82"/>
      <c r="U320" s="82"/>
      <c r="V320" s="82"/>
      <c r="W320" s="89">
        <v>0</v>
      </c>
      <c r="X320" s="90" t="s">
        <v>37</v>
      </c>
      <c r="Y320" s="90" t="s">
        <v>1975</v>
      </c>
      <c r="Z320" s="162"/>
      <c r="AA320" s="91" t="s">
        <v>283</v>
      </c>
      <c r="AB320" s="162" t="s">
        <v>1976</v>
      </c>
      <c r="AC320" s="162"/>
      <c r="AD320" s="162" t="s">
        <v>1977</v>
      </c>
      <c r="AE320" s="90" t="s">
        <v>1718</v>
      </c>
      <c r="AF320" s="90" t="s">
        <v>497</v>
      </c>
      <c r="AG320" s="164"/>
      <c r="AH320" s="108"/>
      <c r="AI320" s="108"/>
      <c r="AJ320" s="108"/>
      <c r="AK320" s="108"/>
      <c r="AL320" s="108"/>
      <c r="AM320" s="108"/>
      <c r="AN320" s="94"/>
      <c r="AO320" s="95"/>
      <c r="AP320" s="95"/>
      <c r="AQ320" s="95"/>
      <c r="AR320" s="94"/>
      <c r="AS320" s="95"/>
      <c r="AT320" s="206"/>
      <c r="AU320" s="206"/>
      <c r="AV320" s="206"/>
      <c r="AW320" s="164"/>
      <c r="AX320" s="108"/>
      <c r="AY320" s="108"/>
      <c r="AZ320" s="108"/>
      <c r="BA320" s="108"/>
      <c r="BB320" s="108"/>
      <c r="BC320" s="108"/>
      <c r="BD320" s="96">
        <v>2</v>
      </c>
      <c r="BE320" s="97" t="s">
        <v>38</v>
      </c>
      <c r="BF320" s="98" t="s">
        <v>1975</v>
      </c>
      <c r="BG320" s="97"/>
      <c r="BH320" s="97" t="s">
        <v>283</v>
      </c>
      <c r="BI320" s="97" t="s">
        <v>1976</v>
      </c>
      <c r="BJ320" s="108"/>
      <c r="BK320" s="93"/>
      <c r="BL320" s="167" t="s">
        <v>1978</v>
      </c>
      <c r="BM320" s="97" t="s">
        <v>1718</v>
      </c>
      <c r="BN320" s="97" t="s">
        <v>497</v>
      </c>
      <c r="BO320" s="108"/>
      <c r="BP320" s="108"/>
      <c r="BQ320" s="108"/>
      <c r="BR320" s="108"/>
      <c r="BS320" s="108"/>
      <c r="BT320" s="108"/>
      <c r="BU320" s="108"/>
      <c r="BV320" s="113"/>
      <c r="BW320" s="86" t="str">
        <f>VLOOKUP($C320, '_REF Catalog Classes'!$C$6:$E416, COLUMNS('_REF Catalog Classes'!$C$6:$E416), FALSE)</f>
        <v>always</v>
      </c>
      <c r="BX320" s="226">
        <v>1000</v>
      </c>
      <c r="BY320" s="226" t="s">
        <v>1693</v>
      </c>
      <c r="BZ320" s="84" t="s">
        <v>850</v>
      </c>
      <c r="CA320" s="100" t="str">
        <f ca="1">IFERROR(__xludf.DUMMYFUNCTION("IF(REGEXMATCH(Catalog_RewardType,""reward""), VLOOKUP($E320, {'TitleData rewards.items'!$J$9:$J416,'TitleData rewards.items'!$B$9:$B416}, 2, FALSE), """")"),"")</f>
        <v/>
      </c>
    </row>
    <row r="321" spans="1:79" ht="42" x14ac:dyDescent="0.15">
      <c r="A321" s="82" t="s">
        <v>269</v>
      </c>
      <c r="B321" s="83"/>
      <c r="C321" s="82" t="s">
        <v>1549</v>
      </c>
      <c r="D321" s="85" t="b">
        <f>VLOOKUP($C321, '_REF Catalog Classes'!$C$6:$D416, COLUMNS('_REF Catalog Classes'!$C$6:$D416), FALSE)</f>
        <v>1</v>
      </c>
      <c r="E321" s="82" t="s">
        <v>1979</v>
      </c>
      <c r="F321" s="82" t="str">
        <f t="shared" si="21"/>
        <v>lootTinyMoon:</v>
      </c>
      <c r="G321" s="86" t="s">
        <v>1980</v>
      </c>
      <c r="H321" s="86" t="s">
        <v>1980</v>
      </c>
      <c r="I321" s="82" t="s">
        <v>847</v>
      </c>
      <c r="J321" s="82" t="s">
        <v>1677</v>
      </c>
      <c r="K321" s="86"/>
      <c r="L321" s="82" t="s">
        <v>857</v>
      </c>
      <c r="M321" s="86"/>
      <c r="N321" s="101" t="s">
        <v>1678</v>
      </c>
      <c r="O321" s="82"/>
      <c r="P321" s="82">
        <v>32</v>
      </c>
      <c r="Q321" s="88"/>
      <c r="R321" s="82"/>
      <c r="S321" s="82"/>
      <c r="T321" s="82"/>
      <c r="U321" s="82"/>
      <c r="V321" s="82"/>
      <c r="W321" s="89">
        <v>0</v>
      </c>
      <c r="X321" s="90" t="s">
        <v>37</v>
      </c>
      <c r="Y321" s="90" t="s">
        <v>1981</v>
      </c>
      <c r="Z321" s="90"/>
      <c r="AA321" s="91" t="s">
        <v>283</v>
      </c>
      <c r="AB321" s="90" t="s">
        <v>1982</v>
      </c>
      <c r="AC321" s="90"/>
      <c r="AD321" s="90" t="s">
        <v>1983</v>
      </c>
      <c r="AE321" s="90" t="s">
        <v>1725</v>
      </c>
      <c r="AF321" s="90" t="s">
        <v>1681</v>
      </c>
      <c r="AG321" s="92"/>
      <c r="AH321" s="93"/>
      <c r="AI321" s="93"/>
      <c r="AJ321" s="93"/>
      <c r="AK321" s="93"/>
      <c r="AL321" s="93"/>
      <c r="AM321" s="93"/>
      <c r="AN321" s="94"/>
      <c r="AO321" s="95"/>
      <c r="AP321" s="95"/>
      <c r="AQ321" s="95"/>
      <c r="AR321" s="94"/>
      <c r="AS321" s="95"/>
      <c r="AT321" s="95"/>
      <c r="AU321" s="95"/>
      <c r="AV321" s="95"/>
      <c r="AW321" s="92"/>
      <c r="AX321" s="93"/>
      <c r="AY321" s="93"/>
      <c r="AZ321" s="93"/>
      <c r="BA321" s="93"/>
      <c r="BB321" s="93"/>
      <c r="BC321" s="93"/>
      <c r="BD321" s="96">
        <v>2</v>
      </c>
      <c r="BE321" s="97" t="s">
        <v>38</v>
      </c>
      <c r="BF321" s="98" t="s">
        <v>1981</v>
      </c>
      <c r="BG321" s="97"/>
      <c r="BH321" s="97" t="s">
        <v>283</v>
      </c>
      <c r="BI321" s="97" t="s">
        <v>1982</v>
      </c>
      <c r="BJ321" s="93"/>
      <c r="BK321" s="93"/>
      <c r="BL321" s="97" t="s">
        <v>1984</v>
      </c>
      <c r="BM321" s="97" t="s">
        <v>1725</v>
      </c>
      <c r="BN321" s="97" t="s">
        <v>1681</v>
      </c>
      <c r="BO321" s="93"/>
      <c r="BP321" s="93"/>
      <c r="BQ321" s="93"/>
      <c r="BR321" s="93"/>
      <c r="BS321" s="93"/>
      <c r="BT321" s="93"/>
      <c r="BU321" s="93"/>
      <c r="BV321" s="99"/>
      <c r="BW321" s="86" t="str">
        <f>VLOOKUP($C321, '_REF Catalog Classes'!$C$6:$E416, COLUMNS('_REF Catalog Classes'!$C$6:$E416), FALSE)</f>
        <v>always</v>
      </c>
      <c r="BX321" s="226">
        <v>3000</v>
      </c>
      <c r="BY321" s="226" t="s">
        <v>1693</v>
      </c>
      <c r="BZ321" s="84" t="s">
        <v>850</v>
      </c>
      <c r="CA321" s="100" t="str">
        <f ca="1">IFERROR(__xludf.DUMMYFUNCTION("IF(REGEXMATCH(Catalog_RewardType,""reward""), VLOOKUP($E321, {'TitleData rewards.items'!$J$9:$J416,'TitleData rewards.items'!$B$9:$B416}, 2, FALSE), """")"),"")</f>
        <v/>
      </c>
    </row>
    <row r="322" spans="1:79" ht="42" x14ac:dyDescent="0.15">
      <c r="A322" s="82" t="s">
        <v>269</v>
      </c>
      <c r="B322" s="83"/>
      <c r="C322" s="82" t="s">
        <v>1549</v>
      </c>
      <c r="D322" s="85" t="b">
        <f>VLOOKUP($C322, '_REF Catalog Classes'!$C$6:$D416, COLUMNS('_REF Catalog Classes'!$C$6:$D416), FALSE)</f>
        <v>1</v>
      </c>
      <c r="E322" s="82" t="s">
        <v>1985</v>
      </c>
      <c r="F322" s="82" t="str">
        <f t="shared" si="21"/>
        <v>lootGrusV6Drawing:</v>
      </c>
      <c r="G322" s="86" t="s">
        <v>1986</v>
      </c>
      <c r="H322" s="86" t="s">
        <v>1987</v>
      </c>
      <c r="I322" s="82" t="s">
        <v>847</v>
      </c>
      <c r="J322" s="82" t="s">
        <v>1677</v>
      </c>
      <c r="K322" s="86"/>
      <c r="L322" s="82" t="s">
        <v>857</v>
      </c>
      <c r="M322" s="86"/>
      <c r="N322" s="101" t="s">
        <v>1678</v>
      </c>
      <c r="O322" s="82"/>
      <c r="P322" s="82">
        <v>33</v>
      </c>
      <c r="Q322" s="88"/>
      <c r="R322" s="82"/>
      <c r="S322" s="82"/>
      <c r="T322" s="82"/>
      <c r="U322" s="82"/>
      <c r="V322" s="82"/>
      <c r="W322" s="89">
        <v>0</v>
      </c>
      <c r="X322" s="90" t="s">
        <v>37</v>
      </c>
      <c r="Y322" s="90" t="s">
        <v>1988</v>
      </c>
      <c r="Z322" s="90"/>
      <c r="AA322" s="91" t="s">
        <v>283</v>
      </c>
      <c r="AB322" s="90" t="s">
        <v>1989</v>
      </c>
      <c r="AC322" s="90"/>
      <c r="AD322" s="90" t="s">
        <v>1990</v>
      </c>
      <c r="AE322" s="90" t="s">
        <v>1718</v>
      </c>
      <c r="AF322" s="90" t="s">
        <v>497</v>
      </c>
      <c r="AG322" s="92"/>
      <c r="AH322" s="93"/>
      <c r="AI322" s="93"/>
      <c r="AJ322" s="93"/>
      <c r="AK322" s="93"/>
      <c r="AL322" s="93"/>
      <c r="AM322" s="93"/>
      <c r="AN322" s="94"/>
      <c r="AO322" s="95"/>
      <c r="AP322" s="95"/>
      <c r="AQ322" s="95"/>
      <c r="AR322" s="94"/>
      <c r="AS322" s="95"/>
      <c r="AT322" s="95"/>
      <c r="AU322" s="95"/>
      <c r="AV322" s="95"/>
      <c r="AW322" s="92"/>
      <c r="AX322" s="93"/>
      <c r="AY322" s="93"/>
      <c r="AZ322" s="93"/>
      <c r="BA322" s="93"/>
      <c r="BB322" s="93"/>
      <c r="BC322" s="93"/>
      <c r="BD322" s="96">
        <v>2</v>
      </c>
      <c r="BE322" s="97" t="s">
        <v>38</v>
      </c>
      <c r="BF322" s="98" t="s">
        <v>1988</v>
      </c>
      <c r="BG322" s="97"/>
      <c r="BH322" s="97" t="s">
        <v>283</v>
      </c>
      <c r="BI322" s="97" t="s">
        <v>1989</v>
      </c>
      <c r="BJ322" s="93"/>
      <c r="BK322" s="93"/>
      <c r="BL322" s="97" t="s">
        <v>1991</v>
      </c>
      <c r="BM322" s="97" t="s">
        <v>1718</v>
      </c>
      <c r="BN322" s="97" t="s">
        <v>497</v>
      </c>
      <c r="BO322" s="93"/>
      <c r="BP322" s="93"/>
      <c r="BQ322" s="93"/>
      <c r="BR322" s="93"/>
      <c r="BS322" s="93"/>
      <c r="BT322" s="93"/>
      <c r="BU322" s="93"/>
      <c r="BV322" s="99"/>
      <c r="BW322" s="86" t="str">
        <f>VLOOKUP($C322, '_REF Catalog Classes'!$C$6:$E416, COLUMNS('_REF Catalog Classes'!$C$6:$E416), FALSE)</f>
        <v>always</v>
      </c>
      <c r="BX322" s="226">
        <v>1000</v>
      </c>
      <c r="BY322" s="226" t="s">
        <v>1693</v>
      </c>
      <c r="BZ322" s="84" t="s">
        <v>850</v>
      </c>
      <c r="CA322" s="100" t="str">
        <f ca="1">IFERROR(__xludf.DUMMYFUNCTION("IF(REGEXMATCH(Catalog_RewardType,""reward""), VLOOKUP($E322, {'TitleData rewards.items'!$J$9:$J416,'TitleData rewards.items'!$B$9:$B416}, 2, FALSE), """")"),"")</f>
        <v/>
      </c>
    </row>
    <row r="323" spans="1:79" ht="42" x14ac:dyDescent="0.15">
      <c r="A323" s="82" t="s">
        <v>269</v>
      </c>
      <c r="B323" s="83"/>
      <c r="C323" s="82" t="s">
        <v>1549</v>
      </c>
      <c r="D323" s="85" t="b">
        <f>VLOOKUP($C323, '_REF Catalog Classes'!$C$6:$D416, COLUMNS('_REF Catalog Classes'!$C$6:$D416), FALSE)</f>
        <v>1</v>
      </c>
      <c r="E323" s="82" t="s">
        <v>1992</v>
      </c>
      <c r="F323" s="82" t="str">
        <f t="shared" si="21"/>
        <v>lootBrattMixtape:</v>
      </c>
      <c r="G323" s="86" t="s">
        <v>1993</v>
      </c>
      <c r="H323" s="86" t="s">
        <v>1994</v>
      </c>
      <c r="I323" s="82" t="s">
        <v>847</v>
      </c>
      <c r="J323" s="82" t="s">
        <v>1677</v>
      </c>
      <c r="K323" s="86"/>
      <c r="L323" s="82" t="s">
        <v>857</v>
      </c>
      <c r="M323" s="86"/>
      <c r="N323" s="101" t="s">
        <v>1678</v>
      </c>
      <c r="O323" s="82"/>
      <c r="P323" s="82">
        <v>34</v>
      </c>
      <c r="Q323" s="88"/>
      <c r="R323" s="82"/>
      <c r="S323" s="82"/>
      <c r="T323" s="82"/>
      <c r="U323" s="82"/>
      <c r="V323" s="82"/>
      <c r="W323" s="89">
        <v>0</v>
      </c>
      <c r="X323" s="90" t="s">
        <v>37</v>
      </c>
      <c r="Y323" s="90" t="s">
        <v>1995</v>
      </c>
      <c r="Z323" s="90"/>
      <c r="AA323" s="91" t="s">
        <v>283</v>
      </c>
      <c r="AB323" s="90" t="s">
        <v>1996</v>
      </c>
      <c r="AC323" s="90"/>
      <c r="AD323" s="90" t="s">
        <v>1997</v>
      </c>
      <c r="AE323" s="90" t="s">
        <v>1718</v>
      </c>
      <c r="AF323" s="90" t="s">
        <v>497</v>
      </c>
      <c r="AG323" s="92"/>
      <c r="AH323" s="93"/>
      <c r="AI323" s="93"/>
      <c r="AJ323" s="93"/>
      <c r="AK323" s="93"/>
      <c r="AL323" s="93"/>
      <c r="AM323" s="93"/>
      <c r="AN323" s="94"/>
      <c r="AO323" s="95"/>
      <c r="AP323" s="95"/>
      <c r="AQ323" s="95"/>
      <c r="AR323" s="94"/>
      <c r="AS323" s="95"/>
      <c r="AT323" s="95"/>
      <c r="AU323" s="95"/>
      <c r="AV323" s="95"/>
      <c r="AW323" s="92"/>
      <c r="AX323" s="93"/>
      <c r="AY323" s="93"/>
      <c r="AZ323" s="93"/>
      <c r="BA323" s="93"/>
      <c r="BB323" s="93"/>
      <c r="BC323" s="93"/>
      <c r="BD323" s="96">
        <v>2</v>
      </c>
      <c r="BE323" s="97" t="s">
        <v>38</v>
      </c>
      <c r="BF323" s="98" t="s">
        <v>1995</v>
      </c>
      <c r="BG323" s="97"/>
      <c r="BH323" s="97" t="s">
        <v>283</v>
      </c>
      <c r="BI323" s="97" t="s">
        <v>1996</v>
      </c>
      <c r="BJ323" s="93"/>
      <c r="BK323" s="93"/>
      <c r="BL323" s="97" t="s">
        <v>1998</v>
      </c>
      <c r="BM323" s="97" t="s">
        <v>1718</v>
      </c>
      <c r="BN323" s="97" t="s">
        <v>497</v>
      </c>
      <c r="BO323" s="93"/>
      <c r="BP323" s="93"/>
      <c r="BQ323" s="93"/>
      <c r="BR323" s="93"/>
      <c r="BS323" s="93"/>
      <c r="BT323" s="93"/>
      <c r="BU323" s="93"/>
      <c r="BV323" s="99"/>
      <c r="BW323" s="86" t="str">
        <f>VLOOKUP($C323, '_REF Catalog Classes'!$C$6:$E416, COLUMNS('_REF Catalog Classes'!$C$6:$E416), FALSE)</f>
        <v>always</v>
      </c>
      <c r="BX323" s="226">
        <v>1000</v>
      </c>
      <c r="BY323" s="226" t="s">
        <v>1693</v>
      </c>
      <c r="BZ323" s="84" t="s">
        <v>850</v>
      </c>
      <c r="CA323" s="100" t="str">
        <f ca="1">IFERROR(__xludf.DUMMYFUNCTION("IF(REGEXMATCH(Catalog_RewardType,""reward""), VLOOKUP($E323, {'TitleData rewards.items'!$J$9:$J416,'TitleData rewards.items'!$B$9:$B416}, 2, FALSE), """")"),"")</f>
        <v/>
      </c>
    </row>
    <row r="324" spans="1:79" ht="56" x14ac:dyDescent="0.15">
      <c r="A324" s="82" t="s">
        <v>269</v>
      </c>
      <c r="B324" s="83"/>
      <c r="C324" s="82" t="s">
        <v>1549</v>
      </c>
      <c r="D324" s="85" t="b">
        <f>VLOOKUP($C324, '_REF Catalog Classes'!$C$6:$D416, COLUMNS('_REF Catalog Classes'!$C$6:$D416), FALSE)</f>
        <v>1</v>
      </c>
      <c r="E324" s="82" t="s">
        <v>1999</v>
      </c>
      <c r="F324" s="82" t="str">
        <f t="shared" si="21"/>
        <v>lootGirlsDrawing:</v>
      </c>
      <c r="G324" s="217" t="s">
        <v>2000</v>
      </c>
      <c r="H324" s="86" t="s">
        <v>2001</v>
      </c>
      <c r="I324" s="82" t="s">
        <v>847</v>
      </c>
      <c r="J324" s="82" t="s">
        <v>1677</v>
      </c>
      <c r="K324" s="82"/>
      <c r="L324" s="82" t="s">
        <v>857</v>
      </c>
      <c r="M324" s="86"/>
      <c r="N324" s="101" t="s">
        <v>1678</v>
      </c>
      <c r="O324" s="82"/>
      <c r="P324" s="82">
        <v>35</v>
      </c>
      <c r="Q324" s="88"/>
      <c r="R324" s="82"/>
      <c r="S324" s="82"/>
      <c r="T324" s="82"/>
      <c r="U324" s="82"/>
      <c r="V324" s="82"/>
      <c r="W324" s="89">
        <v>0</v>
      </c>
      <c r="X324" s="90" t="s">
        <v>37</v>
      </c>
      <c r="Y324" s="90" t="s">
        <v>2002</v>
      </c>
      <c r="Z324" s="162"/>
      <c r="AA324" s="91" t="s">
        <v>283</v>
      </c>
      <c r="AB324" s="162" t="s">
        <v>2003</v>
      </c>
      <c r="AC324" s="162"/>
      <c r="AD324" s="162" t="s">
        <v>2004</v>
      </c>
      <c r="AE324" s="90" t="s">
        <v>1725</v>
      </c>
      <c r="AF324" s="162" t="s">
        <v>1681</v>
      </c>
      <c r="AG324" s="164"/>
      <c r="AH324" s="108"/>
      <c r="AI324" s="108"/>
      <c r="AJ324" s="108"/>
      <c r="AK324" s="108"/>
      <c r="AL324" s="108"/>
      <c r="AM324" s="108"/>
      <c r="AN324" s="94"/>
      <c r="AO324" s="95"/>
      <c r="AP324" s="95"/>
      <c r="AQ324" s="95"/>
      <c r="AR324" s="94"/>
      <c r="AS324" s="95"/>
      <c r="AT324" s="95"/>
      <c r="AU324" s="95"/>
      <c r="AV324" s="95"/>
      <c r="AW324" s="164"/>
      <c r="AX324" s="108"/>
      <c r="AY324" s="108"/>
      <c r="AZ324" s="108"/>
      <c r="BA324" s="108"/>
      <c r="BB324" s="108"/>
      <c r="BC324" s="108"/>
      <c r="BD324" s="96">
        <v>2</v>
      </c>
      <c r="BE324" s="97" t="s">
        <v>38</v>
      </c>
      <c r="BF324" s="98" t="s">
        <v>2002</v>
      </c>
      <c r="BG324" s="97"/>
      <c r="BH324" s="97" t="s">
        <v>283</v>
      </c>
      <c r="BI324" s="97" t="s">
        <v>2003</v>
      </c>
      <c r="BJ324" s="108"/>
      <c r="BK324" s="93"/>
      <c r="BL324" s="167" t="s">
        <v>2005</v>
      </c>
      <c r="BM324" s="97" t="s">
        <v>1725</v>
      </c>
      <c r="BN324" s="167" t="s">
        <v>1681</v>
      </c>
      <c r="BO324" s="108"/>
      <c r="BP324" s="108"/>
      <c r="BQ324" s="108"/>
      <c r="BR324" s="108"/>
      <c r="BS324" s="108"/>
      <c r="BT324" s="108"/>
      <c r="BU324" s="108"/>
      <c r="BV324" s="113"/>
      <c r="BW324" s="86" t="str">
        <f>VLOOKUP($C324, '_REF Catalog Classes'!$C$6:$E416, COLUMNS('_REF Catalog Classes'!$C$6:$E416), FALSE)</f>
        <v>always</v>
      </c>
      <c r="BX324" s="226">
        <v>3000</v>
      </c>
      <c r="BY324" s="226" t="s">
        <v>1693</v>
      </c>
      <c r="BZ324" s="84" t="s">
        <v>850</v>
      </c>
      <c r="CA324" s="100" t="str">
        <f ca="1">IFERROR(__xludf.DUMMYFUNCTION("IF(REGEXMATCH(Catalog_RewardType,""reward""), VLOOKUP($E324, {'TitleData rewards.items'!$J$9:$J416,'TitleData rewards.items'!$B$9:$B416}, 2, FALSE), """")"),"")</f>
        <v/>
      </c>
    </row>
    <row r="325" spans="1:79" ht="28" x14ac:dyDescent="0.15">
      <c r="A325" s="82" t="s">
        <v>269</v>
      </c>
      <c r="B325" s="83"/>
      <c r="C325" s="82" t="s">
        <v>1549</v>
      </c>
      <c r="D325" s="85" t="b">
        <f>VLOOKUP($C325, '_REF Catalog Classes'!$C$6:$D416, COLUMNS('_REF Catalog Classes'!$C$6:$D416), FALSE)</f>
        <v>1</v>
      </c>
      <c r="E325" s="82" t="s">
        <v>2006</v>
      </c>
      <c r="F325" s="82" t="str">
        <f t="shared" si="21"/>
        <v>lootTricycle:</v>
      </c>
      <c r="G325" s="86" t="s">
        <v>2007</v>
      </c>
      <c r="H325" s="217" t="s">
        <v>2008</v>
      </c>
      <c r="I325" s="82" t="s">
        <v>847</v>
      </c>
      <c r="J325" s="82" t="s">
        <v>1677</v>
      </c>
      <c r="K325" s="82"/>
      <c r="L325" s="82" t="s">
        <v>857</v>
      </c>
      <c r="M325" s="86"/>
      <c r="N325" s="101" t="s">
        <v>1678</v>
      </c>
      <c r="O325" s="82"/>
      <c r="P325" s="82">
        <v>36</v>
      </c>
      <c r="Q325" s="88"/>
      <c r="R325" s="82"/>
      <c r="S325" s="82"/>
      <c r="T325" s="82"/>
      <c r="U325" s="82"/>
      <c r="V325" s="82"/>
      <c r="W325" s="89">
        <v>0</v>
      </c>
      <c r="X325" s="90" t="s">
        <v>37</v>
      </c>
      <c r="Y325" s="90" t="s">
        <v>2009</v>
      </c>
      <c r="Z325" s="162"/>
      <c r="AA325" s="91" t="s">
        <v>283</v>
      </c>
      <c r="AB325" s="90" t="s">
        <v>2010</v>
      </c>
      <c r="AC325" s="162"/>
      <c r="AD325" s="90" t="s">
        <v>2011</v>
      </c>
      <c r="AE325" s="90" t="s">
        <v>1691</v>
      </c>
      <c r="AF325" s="90" t="s">
        <v>448</v>
      </c>
      <c r="AG325" s="164"/>
      <c r="AH325" s="108"/>
      <c r="AI325" s="108"/>
      <c r="AJ325" s="108"/>
      <c r="AK325" s="108"/>
      <c r="AL325" s="108"/>
      <c r="AM325" s="108"/>
      <c r="AN325" s="94"/>
      <c r="AO325" s="95"/>
      <c r="AP325" s="95"/>
      <c r="AQ325" s="95"/>
      <c r="AR325" s="94"/>
      <c r="AS325" s="95"/>
      <c r="AT325" s="95"/>
      <c r="AU325" s="95"/>
      <c r="AV325" s="95"/>
      <c r="AW325" s="164"/>
      <c r="AX325" s="108"/>
      <c r="AY325" s="108"/>
      <c r="AZ325" s="108"/>
      <c r="BA325" s="108"/>
      <c r="BB325" s="108"/>
      <c r="BC325" s="108"/>
      <c r="BD325" s="96">
        <v>2</v>
      </c>
      <c r="BE325" s="97" t="s">
        <v>38</v>
      </c>
      <c r="BF325" s="98" t="s">
        <v>2009</v>
      </c>
      <c r="BG325" s="97"/>
      <c r="BH325" s="97" t="s">
        <v>283</v>
      </c>
      <c r="BI325" s="97" t="s">
        <v>2010</v>
      </c>
      <c r="BJ325" s="108"/>
      <c r="BK325" s="108"/>
      <c r="BL325" s="97" t="s">
        <v>2012</v>
      </c>
      <c r="BM325" s="97" t="s">
        <v>1691</v>
      </c>
      <c r="BN325" s="167" t="s">
        <v>448</v>
      </c>
      <c r="BO325" s="108"/>
      <c r="BP325" s="108"/>
      <c r="BQ325" s="108"/>
      <c r="BR325" s="108"/>
      <c r="BS325" s="108"/>
      <c r="BT325" s="108"/>
      <c r="BU325" s="108"/>
      <c r="BV325" s="113"/>
      <c r="BW325" s="86" t="str">
        <f>VLOOKUP($C325, '_REF Catalog Classes'!$C$6:$E416, COLUMNS('_REF Catalog Classes'!$C$6:$E416), FALSE)</f>
        <v>always</v>
      </c>
      <c r="BX325" s="226">
        <v>100</v>
      </c>
      <c r="BY325" s="226" t="s">
        <v>1693</v>
      </c>
      <c r="BZ325" s="84" t="s">
        <v>850</v>
      </c>
      <c r="CA325" s="100" t="str">
        <f ca="1">IFERROR(__xludf.DUMMYFUNCTION("IF(REGEXMATCH(Catalog_RewardType,""reward""), VLOOKUP($E325, {'TitleData rewards.items'!$J$9:$J416,'TitleData rewards.items'!$B$9:$B416}, 2, FALSE), """")"),"")</f>
        <v/>
      </c>
    </row>
    <row r="326" spans="1:79" ht="28" x14ac:dyDescent="0.15">
      <c r="A326" s="82" t="s">
        <v>269</v>
      </c>
      <c r="B326" s="83"/>
      <c r="C326" s="82" t="s">
        <v>1549</v>
      </c>
      <c r="D326" s="85" t="b">
        <f>VLOOKUP($C326, '_REF Catalog Classes'!$C$6:$D416, COLUMNS('_REF Catalog Classes'!$C$6:$D416), FALSE)</f>
        <v>1</v>
      </c>
      <c r="E326" s="82" t="s">
        <v>2013</v>
      </c>
      <c r="F326" s="82" t="str">
        <f t="shared" si="21"/>
        <v>lootDrusScarf:</v>
      </c>
      <c r="G326" s="86" t="s">
        <v>2014</v>
      </c>
      <c r="H326" s="86" t="s">
        <v>2014</v>
      </c>
      <c r="I326" s="82" t="s">
        <v>847</v>
      </c>
      <c r="J326" s="82" t="s">
        <v>1677</v>
      </c>
      <c r="K326" s="86"/>
      <c r="L326" s="82" t="s">
        <v>857</v>
      </c>
      <c r="M326" s="86"/>
      <c r="N326" s="101" t="s">
        <v>1678</v>
      </c>
      <c r="O326" s="82"/>
      <c r="P326" s="82">
        <v>37</v>
      </c>
      <c r="Q326" s="88"/>
      <c r="R326" s="82"/>
      <c r="S326" s="82"/>
      <c r="T326" s="82"/>
      <c r="U326" s="82"/>
      <c r="V326" s="82"/>
      <c r="W326" s="89">
        <v>0</v>
      </c>
      <c r="X326" s="90" t="s">
        <v>37</v>
      </c>
      <c r="Y326" s="90" t="s">
        <v>2015</v>
      </c>
      <c r="Z326" s="90"/>
      <c r="AA326" s="91" t="s">
        <v>283</v>
      </c>
      <c r="AB326" s="90" t="s">
        <v>2016</v>
      </c>
      <c r="AC326" s="90"/>
      <c r="AD326" s="90" t="s">
        <v>2017</v>
      </c>
      <c r="AE326" s="90" t="s">
        <v>1691</v>
      </c>
      <c r="AF326" s="90" t="s">
        <v>448</v>
      </c>
      <c r="AG326" s="92"/>
      <c r="AH326" s="93"/>
      <c r="AI326" s="93"/>
      <c r="AJ326" s="93"/>
      <c r="AK326" s="93"/>
      <c r="AL326" s="93"/>
      <c r="AM326" s="93"/>
      <c r="AN326" s="94"/>
      <c r="AO326" s="95"/>
      <c r="AP326" s="95"/>
      <c r="AQ326" s="95"/>
      <c r="AR326" s="94"/>
      <c r="AS326" s="95"/>
      <c r="AT326" s="95"/>
      <c r="AU326" s="95"/>
      <c r="AV326" s="95"/>
      <c r="AW326" s="92"/>
      <c r="AX326" s="93"/>
      <c r="AY326" s="93"/>
      <c r="AZ326" s="93"/>
      <c r="BA326" s="93"/>
      <c r="BB326" s="93"/>
      <c r="BC326" s="93"/>
      <c r="BD326" s="96">
        <v>2</v>
      </c>
      <c r="BE326" s="97" t="s">
        <v>38</v>
      </c>
      <c r="BF326" s="98" t="s">
        <v>2015</v>
      </c>
      <c r="BG326" s="97"/>
      <c r="BH326" s="97" t="s">
        <v>283</v>
      </c>
      <c r="BI326" s="97" t="s">
        <v>2016</v>
      </c>
      <c r="BJ326" s="93"/>
      <c r="BK326" s="93"/>
      <c r="BL326" s="97" t="s">
        <v>2018</v>
      </c>
      <c r="BM326" s="97" t="s">
        <v>1691</v>
      </c>
      <c r="BN326" s="167" t="s">
        <v>448</v>
      </c>
      <c r="BO326" s="93"/>
      <c r="BP326" s="93"/>
      <c r="BQ326" s="93"/>
      <c r="BR326" s="93"/>
      <c r="BS326" s="93"/>
      <c r="BT326" s="93"/>
      <c r="BU326" s="93"/>
      <c r="BV326" s="99"/>
      <c r="BW326" s="86" t="str">
        <f>VLOOKUP($C326, '_REF Catalog Classes'!$C$6:$E416, COLUMNS('_REF Catalog Classes'!$C$6:$E416), FALSE)</f>
        <v>always</v>
      </c>
      <c r="BX326" s="226">
        <v>100</v>
      </c>
      <c r="BY326" s="226" t="s">
        <v>1693</v>
      </c>
      <c r="BZ326" s="84" t="s">
        <v>850</v>
      </c>
      <c r="CA326" s="100" t="str">
        <f ca="1">IFERROR(__xludf.DUMMYFUNCTION("IF(REGEXMATCH(Catalog_RewardType,""reward""), VLOOKUP($E326, {'TitleData rewards.items'!$J$9:$J416,'TitleData rewards.items'!$B$9:$B416}, 2, FALSE), """")"),"")</f>
        <v/>
      </c>
    </row>
    <row r="327" spans="1:79" ht="28" x14ac:dyDescent="0.15">
      <c r="A327" s="82" t="s">
        <v>269</v>
      </c>
      <c r="B327" s="83"/>
      <c r="C327" s="82" t="s">
        <v>1549</v>
      </c>
      <c r="D327" s="85" t="b">
        <f>VLOOKUP($C327, '_REF Catalog Classes'!$C$6:$D416, COLUMNS('_REF Catalog Classes'!$C$6:$D416), FALSE)</f>
        <v>1</v>
      </c>
      <c r="E327" s="82" t="s">
        <v>2019</v>
      </c>
      <c r="F327" s="82" t="str">
        <f t="shared" si="21"/>
        <v>lootQueensCrown:</v>
      </c>
      <c r="G327" s="217" t="s">
        <v>2020</v>
      </c>
      <c r="H327" s="217" t="s">
        <v>2020</v>
      </c>
      <c r="I327" s="82" t="s">
        <v>847</v>
      </c>
      <c r="J327" s="82" t="s">
        <v>1677</v>
      </c>
      <c r="K327" s="82"/>
      <c r="L327" s="82" t="s">
        <v>857</v>
      </c>
      <c r="M327" s="82"/>
      <c r="N327" s="101" t="s">
        <v>1678</v>
      </c>
      <c r="O327" s="82"/>
      <c r="P327" s="82">
        <v>38</v>
      </c>
      <c r="Q327" s="88"/>
      <c r="R327" s="82"/>
      <c r="S327" s="82"/>
      <c r="T327" s="82"/>
      <c r="U327" s="82"/>
      <c r="V327" s="82"/>
      <c r="W327" s="89">
        <v>0</v>
      </c>
      <c r="X327" s="90" t="s">
        <v>37</v>
      </c>
      <c r="Y327" s="90" t="s">
        <v>2021</v>
      </c>
      <c r="Z327" s="162"/>
      <c r="AA327" s="91" t="s">
        <v>283</v>
      </c>
      <c r="AB327" s="162" t="s">
        <v>2022</v>
      </c>
      <c r="AC327" s="162"/>
      <c r="AD327" s="162" t="s">
        <v>2023</v>
      </c>
      <c r="AE327" s="90" t="s">
        <v>1725</v>
      </c>
      <c r="AF327" s="162" t="s">
        <v>1681</v>
      </c>
      <c r="AG327" s="164"/>
      <c r="AH327" s="108"/>
      <c r="AI327" s="108"/>
      <c r="AJ327" s="108"/>
      <c r="AK327" s="108"/>
      <c r="AL327" s="108"/>
      <c r="AM327" s="108"/>
      <c r="AN327" s="94"/>
      <c r="AO327" s="95"/>
      <c r="AP327" s="95"/>
      <c r="AQ327" s="95"/>
      <c r="AR327" s="94"/>
      <c r="AS327" s="95"/>
      <c r="AT327" s="206"/>
      <c r="AU327" s="206"/>
      <c r="AV327" s="206"/>
      <c r="AW327" s="164"/>
      <c r="AX327" s="108"/>
      <c r="AY327" s="108"/>
      <c r="AZ327" s="108"/>
      <c r="BA327" s="108"/>
      <c r="BB327" s="108"/>
      <c r="BC327" s="108"/>
      <c r="BD327" s="96">
        <v>2</v>
      </c>
      <c r="BE327" s="97" t="s">
        <v>38</v>
      </c>
      <c r="BF327" s="98" t="s">
        <v>2021</v>
      </c>
      <c r="BG327" s="97"/>
      <c r="BH327" s="97" t="s">
        <v>283</v>
      </c>
      <c r="BI327" s="97" t="s">
        <v>2022</v>
      </c>
      <c r="BJ327" s="108"/>
      <c r="BK327" s="93"/>
      <c r="BL327" s="167" t="s">
        <v>2024</v>
      </c>
      <c r="BM327" s="97" t="s">
        <v>1725</v>
      </c>
      <c r="BN327" s="167" t="s">
        <v>1681</v>
      </c>
      <c r="BO327" s="108"/>
      <c r="BP327" s="108"/>
      <c r="BQ327" s="108"/>
      <c r="BR327" s="108"/>
      <c r="BS327" s="108"/>
      <c r="BT327" s="108"/>
      <c r="BU327" s="108"/>
      <c r="BV327" s="113"/>
      <c r="BW327" s="86" t="str">
        <f>VLOOKUP($C327, '_REF Catalog Classes'!$C$6:$E416, COLUMNS('_REF Catalog Classes'!$C$6:$E416), FALSE)</f>
        <v>always</v>
      </c>
      <c r="BX327" s="226">
        <v>3000</v>
      </c>
      <c r="BY327" s="226" t="s">
        <v>1693</v>
      </c>
      <c r="BZ327" s="84" t="s">
        <v>850</v>
      </c>
      <c r="CA327" s="100" t="str">
        <f ca="1">IFERROR(__xludf.DUMMYFUNCTION("IF(REGEXMATCH(Catalog_RewardType,""reward""), VLOOKUP($E327, {'TitleData rewards.items'!$J$9:$J416,'TitleData rewards.items'!$B$9:$B416}, 2, FALSE), """")"),"")</f>
        <v/>
      </c>
    </row>
    <row r="328" spans="1:79" ht="42" x14ac:dyDescent="0.15">
      <c r="A328" s="82" t="s">
        <v>269</v>
      </c>
      <c r="B328" s="83"/>
      <c r="C328" s="82" t="s">
        <v>1549</v>
      </c>
      <c r="D328" s="85" t="b">
        <f>VLOOKUP($C328, '_REF Catalog Classes'!$C$6:$D416, COLUMNS('_REF Catalog Classes'!$C$6:$D416), FALSE)</f>
        <v>1</v>
      </c>
      <c r="E328" s="82" t="s">
        <v>2025</v>
      </c>
      <c r="F328" s="82" t="str">
        <f t="shared" si="21"/>
        <v>lootZodiacStone:</v>
      </c>
      <c r="G328" s="217" t="s">
        <v>2026</v>
      </c>
      <c r="H328" s="217" t="s">
        <v>2026</v>
      </c>
      <c r="I328" s="82" t="s">
        <v>847</v>
      </c>
      <c r="J328" s="82" t="s">
        <v>1677</v>
      </c>
      <c r="K328" s="82"/>
      <c r="L328" s="82" t="s">
        <v>857</v>
      </c>
      <c r="M328" s="82"/>
      <c r="N328" s="101" t="s">
        <v>1678</v>
      </c>
      <c r="O328" s="82"/>
      <c r="P328" s="82">
        <v>39</v>
      </c>
      <c r="Q328" s="88"/>
      <c r="R328" s="82"/>
      <c r="S328" s="82"/>
      <c r="T328" s="82"/>
      <c r="U328" s="82"/>
      <c r="V328" s="82"/>
      <c r="W328" s="89">
        <v>0</v>
      </c>
      <c r="X328" s="90" t="s">
        <v>37</v>
      </c>
      <c r="Y328" s="90" t="s">
        <v>2027</v>
      </c>
      <c r="Z328" s="162"/>
      <c r="AA328" s="91" t="s">
        <v>283</v>
      </c>
      <c r="AB328" s="162" t="s">
        <v>2028</v>
      </c>
      <c r="AC328" s="162"/>
      <c r="AD328" s="162" t="s">
        <v>2029</v>
      </c>
      <c r="AE328" s="90" t="s">
        <v>1725</v>
      </c>
      <c r="AF328" s="162" t="s">
        <v>1681</v>
      </c>
      <c r="AG328" s="164"/>
      <c r="AH328" s="108"/>
      <c r="AI328" s="108"/>
      <c r="AJ328" s="108"/>
      <c r="AK328" s="108"/>
      <c r="AL328" s="108"/>
      <c r="AM328" s="108"/>
      <c r="AN328" s="94"/>
      <c r="AO328" s="95"/>
      <c r="AP328" s="95"/>
      <c r="AQ328" s="95"/>
      <c r="AR328" s="94"/>
      <c r="AS328" s="95"/>
      <c r="AT328" s="206"/>
      <c r="AU328" s="206"/>
      <c r="AV328" s="206"/>
      <c r="AW328" s="164"/>
      <c r="AX328" s="108"/>
      <c r="AY328" s="108"/>
      <c r="AZ328" s="108"/>
      <c r="BA328" s="108"/>
      <c r="BB328" s="108"/>
      <c r="BC328" s="108"/>
      <c r="BD328" s="96">
        <v>2</v>
      </c>
      <c r="BE328" s="97" t="s">
        <v>38</v>
      </c>
      <c r="BF328" s="98" t="s">
        <v>2027</v>
      </c>
      <c r="BG328" s="97"/>
      <c r="BH328" s="97" t="s">
        <v>283</v>
      </c>
      <c r="BI328" s="97" t="s">
        <v>2028</v>
      </c>
      <c r="BJ328" s="108"/>
      <c r="BK328" s="93"/>
      <c r="BL328" s="167" t="s">
        <v>2030</v>
      </c>
      <c r="BM328" s="97" t="s">
        <v>1725</v>
      </c>
      <c r="BN328" s="167" t="s">
        <v>1681</v>
      </c>
      <c r="BO328" s="108"/>
      <c r="BP328" s="108"/>
      <c r="BQ328" s="108"/>
      <c r="BR328" s="108"/>
      <c r="BS328" s="108"/>
      <c r="BT328" s="108"/>
      <c r="BU328" s="108"/>
      <c r="BV328" s="113"/>
      <c r="BW328" s="86" t="str">
        <f>VLOOKUP($C328, '_REF Catalog Classes'!$C$6:$E416, COLUMNS('_REF Catalog Classes'!$C$6:$E416), FALSE)</f>
        <v>always</v>
      </c>
      <c r="BX328" s="226">
        <v>3000</v>
      </c>
      <c r="BY328" s="226" t="s">
        <v>1693</v>
      </c>
      <c r="BZ328" s="84" t="s">
        <v>850</v>
      </c>
      <c r="CA328" s="100" t="str">
        <f ca="1">IFERROR(__xludf.DUMMYFUNCTION("IF(REGEXMATCH(Catalog_RewardType,""reward""), VLOOKUP($E328, {'TitleData rewards.items'!$J$9:$J416,'TitleData rewards.items'!$B$9:$B416}, 2, FALSE), """")"),"")</f>
        <v/>
      </c>
    </row>
    <row r="329" spans="1:79" ht="70" x14ac:dyDescent="0.15">
      <c r="A329" s="82" t="s">
        <v>269</v>
      </c>
      <c r="B329" s="83"/>
      <c r="C329" s="82" t="s">
        <v>1549</v>
      </c>
      <c r="D329" s="85" t="b">
        <f>VLOOKUP($C329, '_REF Catalog Classes'!$C$6:$D416, COLUMNS('_REF Catalog Classes'!$C$6:$D416), FALSE)</f>
        <v>1</v>
      </c>
      <c r="E329" s="82" t="s">
        <v>2031</v>
      </c>
      <c r="F329" s="82" t="str">
        <f t="shared" si="21"/>
        <v>lootUnicornOriginal:</v>
      </c>
      <c r="G329" s="217" t="s">
        <v>2032</v>
      </c>
      <c r="H329" s="86" t="s">
        <v>2033</v>
      </c>
      <c r="I329" s="82" t="s">
        <v>847</v>
      </c>
      <c r="J329" s="82" t="s">
        <v>1677</v>
      </c>
      <c r="K329" s="82"/>
      <c r="L329" s="82" t="s">
        <v>857</v>
      </c>
      <c r="M329" s="86"/>
      <c r="N329" s="101" t="s">
        <v>1678</v>
      </c>
      <c r="O329" s="82"/>
      <c r="P329" s="82">
        <v>40</v>
      </c>
      <c r="Q329" s="88"/>
      <c r="R329" s="82"/>
      <c r="S329" s="82"/>
      <c r="T329" s="82"/>
      <c r="U329" s="82"/>
      <c r="V329" s="82"/>
      <c r="W329" s="89">
        <v>0</v>
      </c>
      <c r="X329" s="90" t="s">
        <v>37</v>
      </c>
      <c r="Y329" s="90" t="s">
        <v>2034</v>
      </c>
      <c r="Z329" s="162"/>
      <c r="AA329" s="91" t="s">
        <v>283</v>
      </c>
      <c r="AB329" s="162" t="s">
        <v>2035</v>
      </c>
      <c r="AC329" s="162"/>
      <c r="AD329" s="162" t="s">
        <v>2036</v>
      </c>
      <c r="AE329" s="90" t="s">
        <v>1725</v>
      </c>
      <c r="AF329" s="162" t="s">
        <v>1681</v>
      </c>
      <c r="AG329" s="164"/>
      <c r="AH329" s="108"/>
      <c r="AI329" s="108"/>
      <c r="AJ329" s="108"/>
      <c r="AK329" s="108"/>
      <c r="AL329" s="108"/>
      <c r="AM329" s="108"/>
      <c r="AN329" s="94"/>
      <c r="AO329" s="95"/>
      <c r="AP329" s="95"/>
      <c r="AQ329" s="95"/>
      <c r="AR329" s="94"/>
      <c r="AS329" s="95"/>
      <c r="AT329" s="95"/>
      <c r="AU329" s="95"/>
      <c r="AV329" s="95"/>
      <c r="AW329" s="164"/>
      <c r="AX329" s="108"/>
      <c r="AY329" s="108"/>
      <c r="AZ329" s="108"/>
      <c r="BA329" s="108"/>
      <c r="BB329" s="108"/>
      <c r="BC329" s="108"/>
      <c r="BD329" s="96">
        <v>2</v>
      </c>
      <c r="BE329" s="97" t="s">
        <v>38</v>
      </c>
      <c r="BF329" s="98" t="s">
        <v>2034</v>
      </c>
      <c r="BG329" s="97"/>
      <c r="BH329" s="97" t="s">
        <v>283</v>
      </c>
      <c r="BI329" s="97" t="s">
        <v>2035</v>
      </c>
      <c r="BJ329" s="108"/>
      <c r="BK329" s="93"/>
      <c r="BL329" s="167" t="s">
        <v>2037</v>
      </c>
      <c r="BM329" s="97" t="s">
        <v>1725</v>
      </c>
      <c r="BN329" s="167" t="s">
        <v>1681</v>
      </c>
      <c r="BO329" s="108"/>
      <c r="BP329" s="108"/>
      <c r="BQ329" s="108"/>
      <c r="BR329" s="108"/>
      <c r="BS329" s="108"/>
      <c r="BT329" s="108"/>
      <c r="BU329" s="108"/>
      <c r="BV329" s="113"/>
      <c r="BW329" s="86" t="str">
        <f>VLOOKUP($C329, '_REF Catalog Classes'!$C$6:$E416, COLUMNS('_REF Catalog Classes'!$C$6:$E416), FALSE)</f>
        <v>always</v>
      </c>
      <c r="BX329" s="226">
        <v>3000</v>
      </c>
      <c r="BY329" s="226" t="s">
        <v>1693</v>
      </c>
      <c r="BZ329" s="84" t="s">
        <v>850</v>
      </c>
      <c r="CA329" s="100" t="str">
        <f ca="1">IFERROR(__xludf.DUMMYFUNCTION("IF(REGEXMATCH(Catalog_RewardType,""reward""), VLOOKUP($E329, {'TitleData rewards.items'!$J$9:$J416,'TitleData rewards.items'!$B$9:$B416}, 2, FALSE), """")"),"")</f>
        <v/>
      </c>
    </row>
    <row r="330" spans="1:79" ht="42" x14ac:dyDescent="0.15">
      <c r="A330" s="82" t="s">
        <v>269</v>
      </c>
      <c r="B330" s="83"/>
      <c r="C330" s="82" t="s">
        <v>1549</v>
      </c>
      <c r="D330" s="85" t="b">
        <f>VLOOKUP($C330, '_REF Catalog Classes'!$C$6:$D416, COLUMNS('_REF Catalog Classes'!$C$6:$D416), FALSE)</f>
        <v>1</v>
      </c>
      <c r="E330" s="82" t="s">
        <v>2038</v>
      </c>
      <c r="F330" s="82" t="str">
        <f t="shared" si="21"/>
        <v>lootDiamond:</v>
      </c>
      <c r="G330" s="217" t="s">
        <v>2039</v>
      </c>
      <c r="H330" s="86" t="s">
        <v>2039</v>
      </c>
      <c r="I330" s="82" t="s">
        <v>847</v>
      </c>
      <c r="J330" s="82" t="s">
        <v>1677</v>
      </c>
      <c r="K330" s="82"/>
      <c r="L330" s="82" t="s">
        <v>857</v>
      </c>
      <c r="M330" s="86"/>
      <c r="N330" s="101" t="s">
        <v>1678</v>
      </c>
      <c r="O330" s="82"/>
      <c r="P330" s="82">
        <v>41</v>
      </c>
      <c r="Q330" s="88"/>
      <c r="R330" s="82"/>
      <c r="S330" s="82"/>
      <c r="T330" s="82"/>
      <c r="U330" s="82"/>
      <c r="V330" s="82"/>
      <c r="W330" s="89">
        <v>0</v>
      </c>
      <c r="X330" s="90" t="s">
        <v>37</v>
      </c>
      <c r="Y330" s="90" t="s">
        <v>2040</v>
      </c>
      <c r="Z330" s="162"/>
      <c r="AA330" s="91" t="s">
        <v>283</v>
      </c>
      <c r="AB330" s="162" t="s">
        <v>2041</v>
      </c>
      <c r="AC330" s="162"/>
      <c r="AD330" s="162" t="s">
        <v>2042</v>
      </c>
      <c r="AE330" s="90" t="s">
        <v>1725</v>
      </c>
      <c r="AF330" s="162" t="s">
        <v>1681</v>
      </c>
      <c r="AG330" s="164"/>
      <c r="AH330" s="108"/>
      <c r="AI330" s="108"/>
      <c r="AJ330" s="108"/>
      <c r="AK330" s="108"/>
      <c r="AL330" s="108"/>
      <c r="AM330" s="108"/>
      <c r="AN330" s="94"/>
      <c r="AO330" s="95"/>
      <c r="AP330" s="95"/>
      <c r="AQ330" s="95"/>
      <c r="AR330" s="94"/>
      <c r="AS330" s="95"/>
      <c r="AT330" s="95"/>
      <c r="AU330" s="95"/>
      <c r="AV330" s="95"/>
      <c r="AW330" s="164"/>
      <c r="AX330" s="108"/>
      <c r="AY330" s="108"/>
      <c r="AZ330" s="108"/>
      <c r="BA330" s="108"/>
      <c r="BB330" s="108"/>
      <c r="BC330" s="108"/>
      <c r="BD330" s="96">
        <v>2</v>
      </c>
      <c r="BE330" s="97" t="s">
        <v>38</v>
      </c>
      <c r="BF330" s="98" t="s">
        <v>2040</v>
      </c>
      <c r="BG330" s="97"/>
      <c r="BH330" s="97" t="s">
        <v>283</v>
      </c>
      <c r="BI330" s="97" t="s">
        <v>2041</v>
      </c>
      <c r="BJ330" s="108"/>
      <c r="BK330" s="93"/>
      <c r="BL330" s="167" t="s">
        <v>2043</v>
      </c>
      <c r="BM330" s="97" t="s">
        <v>1725</v>
      </c>
      <c r="BN330" s="167" t="s">
        <v>1681</v>
      </c>
      <c r="BO330" s="108"/>
      <c r="BP330" s="108"/>
      <c r="BQ330" s="108"/>
      <c r="BR330" s="108"/>
      <c r="BS330" s="108"/>
      <c r="BT330" s="108"/>
      <c r="BU330" s="108"/>
      <c r="BV330" s="113"/>
      <c r="BW330" s="86" t="str">
        <f>VLOOKUP($C330, '_REF Catalog Classes'!$C$6:$E416, COLUMNS('_REF Catalog Classes'!$C$6:$E416), FALSE)</f>
        <v>always</v>
      </c>
      <c r="BX330" s="226">
        <v>3000</v>
      </c>
      <c r="BY330" s="226" t="s">
        <v>1693</v>
      </c>
      <c r="BZ330" s="84" t="s">
        <v>850</v>
      </c>
      <c r="CA330" s="100" t="str">
        <f ca="1">IFERROR(__xludf.DUMMYFUNCTION("IF(REGEXMATCH(Catalog_RewardType,""reward""), VLOOKUP($E330, {'TitleData rewards.items'!$J$9:$J416,'TitleData rewards.items'!$B$9:$B416}, 2, FALSE), """")"),"")</f>
        <v/>
      </c>
    </row>
    <row r="331" spans="1:79" ht="42" x14ac:dyDescent="0.15">
      <c r="A331" s="82" t="s">
        <v>269</v>
      </c>
      <c r="B331" s="83"/>
      <c r="C331" s="82" t="s">
        <v>1549</v>
      </c>
      <c r="D331" s="85" t="b">
        <f>VLOOKUP($C331, '_REF Catalog Classes'!$C$6:$D416, COLUMNS('_REF Catalog Classes'!$C$6:$D416), FALSE)</f>
        <v>1</v>
      </c>
      <c r="E331" s="82" t="s">
        <v>2044</v>
      </c>
      <c r="F331" s="82" t="str">
        <f t="shared" si="21"/>
        <v>lootKungFuBadge:</v>
      </c>
      <c r="G331" s="217" t="s">
        <v>2045</v>
      </c>
      <c r="H331" s="86" t="s">
        <v>2046</v>
      </c>
      <c r="I331" s="82" t="s">
        <v>847</v>
      </c>
      <c r="J331" s="82" t="s">
        <v>1677</v>
      </c>
      <c r="K331" s="82"/>
      <c r="L331" s="82" t="s">
        <v>857</v>
      </c>
      <c r="M331" s="86"/>
      <c r="N331" s="101" t="s">
        <v>1678</v>
      </c>
      <c r="O331" s="82"/>
      <c r="P331" s="82">
        <v>42</v>
      </c>
      <c r="Q331" s="88"/>
      <c r="R331" s="82"/>
      <c r="S331" s="82"/>
      <c r="T331" s="82"/>
      <c r="U331" s="82"/>
      <c r="V331" s="82"/>
      <c r="W331" s="89">
        <v>0</v>
      </c>
      <c r="X331" s="90" t="s">
        <v>37</v>
      </c>
      <c r="Y331" s="90" t="s">
        <v>2047</v>
      </c>
      <c r="Z331" s="162"/>
      <c r="AA331" s="91" t="s">
        <v>283</v>
      </c>
      <c r="AB331" s="162" t="s">
        <v>2048</v>
      </c>
      <c r="AC331" s="162"/>
      <c r="AD331" s="162" t="s">
        <v>2049</v>
      </c>
      <c r="AE331" s="90" t="s">
        <v>1691</v>
      </c>
      <c r="AF331" s="90" t="s">
        <v>448</v>
      </c>
      <c r="AG331" s="164"/>
      <c r="AH331" s="108"/>
      <c r="AI331" s="108"/>
      <c r="AJ331" s="108"/>
      <c r="AK331" s="108"/>
      <c r="AL331" s="108"/>
      <c r="AM331" s="108"/>
      <c r="AN331" s="94"/>
      <c r="AO331" s="95"/>
      <c r="AP331" s="95"/>
      <c r="AQ331" s="95"/>
      <c r="AR331" s="94"/>
      <c r="AS331" s="95"/>
      <c r="AT331" s="95"/>
      <c r="AU331" s="95"/>
      <c r="AV331" s="95"/>
      <c r="AW331" s="164"/>
      <c r="AX331" s="108"/>
      <c r="AY331" s="108"/>
      <c r="AZ331" s="108"/>
      <c r="BA331" s="108"/>
      <c r="BB331" s="108"/>
      <c r="BC331" s="108"/>
      <c r="BD331" s="96">
        <v>2</v>
      </c>
      <c r="BE331" s="97" t="s">
        <v>38</v>
      </c>
      <c r="BF331" s="98" t="s">
        <v>2047</v>
      </c>
      <c r="BG331" s="97"/>
      <c r="BH331" s="97" t="s">
        <v>283</v>
      </c>
      <c r="BI331" s="97" t="s">
        <v>2048</v>
      </c>
      <c r="BJ331" s="108"/>
      <c r="BK331" s="93"/>
      <c r="BL331" s="167" t="s">
        <v>2050</v>
      </c>
      <c r="BM331" s="97" t="s">
        <v>1691</v>
      </c>
      <c r="BN331" s="167" t="s">
        <v>448</v>
      </c>
      <c r="BO331" s="108"/>
      <c r="BP331" s="108"/>
      <c r="BQ331" s="108"/>
      <c r="BR331" s="108"/>
      <c r="BS331" s="108"/>
      <c r="BT331" s="108"/>
      <c r="BU331" s="108"/>
      <c r="BV331" s="113"/>
      <c r="BW331" s="86" t="str">
        <f>VLOOKUP($C331, '_REF Catalog Classes'!$C$6:$E416, COLUMNS('_REF Catalog Classes'!$C$6:$E416), FALSE)</f>
        <v>always</v>
      </c>
      <c r="BX331" s="226">
        <v>100</v>
      </c>
      <c r="BY331" s="226" t="s">
        <v>1693</v>
      </c>
      <c r="BZ331" s="84" t="s">
        <v>850</v>
      </c>
      <c r="CA331" s="100" t="str">
        <f ca="1">IFERROR(__xludf.DUMMYFUNCTION("IF(REGEXMATCH(Catalog_RewardType,""reward""), VLOOKUP($E331, {'TitleData rewards.items'!$J$9:$J416,'TitleData rewards.items'!$B$9:$B416}, 2, FALSE), """")"),"")</f>
        <v/>
      </c>
    </row>
    <row r="332" spans="1:79" ht="28" hidden="1" x14ac:dyDescent="0.15">
      <c r="A332" s="82" t="s">
        <v>491</v>
      </c>
      <c r="B332" s="83" t="b">
        <v>1</v>
      </c>
      <c r="C332" s="82" t="s">
        <v>811</v>
      </c>
      <c r="D332" s="85" t="b">
        <f>VLOOKUP($C332, '_REF Catalog Classes'!$C$6:$D416, COLUMNS('_REF Catalog Classes'!$C$6:$D416), FALSE)</f>
        <v>1</v>
      </c>
      <c r="E332" s="82" t="s">
        <v>2051</v>
      </c>
      <c r="F332" s="82" t="str">
        <f t="shared" si="21"/>
        <v>actionLootLocation13:TRUE</v>
      </c>
      <c r="G332" s="106" t="s">
        <v>904</v>
      </c>
      <c r="H332" s="86" t="s">
        <v>1115</v>
      </c>
      <c r="I332" s="82" t="s">
        <v>815</v>
      </c>
      <c r="J332" s="82" t="s">
        <v>275</v>
      </c>
      <c r="K332" s="82" t="s">
        <v>275</v>
      </c>
      <c r="L332" s="82"/>
      <c r="M332" s="82"/>
      <c r="N332" s="101"/>
      <c r="O332" s="82"/>
      <c r="P332" s="82"/>
      <c r="Q332" s="88"/>
      <c r="R332" s="82"/>
      <c r="S332" s="82"/>
      <c r="T332" s="82"/>
      <c r="U332" s="82"/>
      <c r="V332" s="82"/>
      <c r="W332" s="89"/>
      <c r="X332" s="90"/>
      <c r="Y332" s="90" t="str">
        <f t="shared" ref="Y332:Y360" si="32">"file://"&amp;$E332&amp;"-state0-image0"</f>
        <v>file://actionLootLocation13-state0-image0</v>
      </c>
      <c r="Z332" s="90"/>
      <c r="AA332" s="89"/>
      <c r="AB332" s="90"/>
      <c r="AC332" s="90"/>
      <c r="AD332" s="90"/>
      <c r="AE332" s="90"/>
      <c r="AF332" s="90"/>
      <c r="AG332" s="92"/>
      <c r="AH332" s="93"/>
      <c r="AI332" s="93"/>
      <c r="AJ332" s="93"/>
      <c r="AK332" s="93"/>
      <c r="AL332" s="93"/>
      <c r="AM332" s="93"/>
      <c r="AN332" s="94"/>
      <c r="AO332" s="95"/>
      <c r="AP332" s="95" t="str">
        <f t="shared" ref="AP332:AP360" si="33">"file://"&amp;$E332&amp;"-state1-image0"</f>
        <v>file://actionLootLocation13-state1-image0</v>
      </c>
      <c r="AQ332" s="95"/>
      <c r="AR332" s="94"/>
      <c r="AS332" s="95"/>
      <c r="AT332" s="95"/>
      <c r="AU332" s="95"/>
      <c r="AV332" s="95"/>
      <c r="AW332" s="92"/>
      <c r="AX332" s="93"/>
      <c r="AY332" s="93"/>
      <c r="AZ332" s="93"/>
      <c r="BA332" s="93"/>
      <c r="BB332" s="93"/>
      <c r="BC332" s="93"/>
      <c r="BD332" s="168"/>
      <c r="BE332" s="97"/>
      <c r="BF332" s="98"/>
      <c r="BG332" s="97"/>
      <c r="BH332" s="168"/>
      <c r="BI332" s="97"/>
      <c r="BJ332" s="97"/>
      <c r="BK332" s="97"/>
      <c r="BL332" s="97"/>
      <c r="BM332" s="97"/>
      <c r="BN332" s="97"/>
      <c r="BO332" s="93"/>
      <c r="BP332" s="93"/>
      <c r="BQ332" s="93"/>
      <c r="BR332" s="93"/>
      <c r="BS332" s="93"/>
      <c r="BT332" s="93"/>
      <c r="BU332" s="93"/>
      <c r="BV332" s="113"/>
      <c r="BW332" s="82"/>
      <c r="BX332" s="82"/>
      <c r="BY332" s="82"/>
      <c r="BZ332" s="82"/>
      <c r="CA332" s="100" t="str">
        <f ca="1">IFERROR(__xludf.DUMMYFUNCTION("IF(REGEXMATCH(Catalog_RewardType,""reward""), VLOOKUP($E332, {'TitleData rewards.items'!$J$9:$J416,'TitleData rewards.items'!$B$9:$B416}, 2, FALSE), """")"),"")</f>
        <v/>
      </c>
    </row>
    <row r="333" spans="1:79" ht="28" hidden="1" x14ac:dyDescent="0.15">
      <c r="A333" s="82" t="s">
        <v>491</v>
      </c>
      <c r="B333" s="83" t="b">
        <v>1</v>
      </c>
      <c r="C333" s="82" t="s">
        <v>811</v>
      </c>
      <c r="D333" s="85" t="b">
        <f>VLOOKUP($C333, '_REF Catalog Classes'!$C$6:$D416, COLUMNS('_REF Catalog Classes'!$C$6:$D416), FALSE)</f>
        <v>1</v>
      </c>
      <c r="E333" s="82" t="s">
        <v>2052</v>
      </c>
      <c r="F333" s="82" t="str">
        <f t="shared" si="21"/>
        <v>actionLootLocation14:TRUE</v>
      </c>
      <c r="G333" s="106" t="s">
        <v>904</v>
      </c>
      <c r="H333" s="86" t="s">
        <v>1115</v>
      </c>
      <c r="I333" s="82" t="s">
        <v>815</v>
      </c>
      <c r="J333" s="82" t="s">
        <v>275</v>
      </c>
      <c r="K333" s="82" t="s">
        <v>275</v>
      </c>
      <c r="L333" s="82"/>
      <c r="M333" s="82"/>
      <c r="N333" s="101"/>
      <c r="O333" s="82"/>
      <c r="P333" s="82"/>
      <c r="Q333" s="88"/>
      <c r="R333" s="82"/>
      <c r="S333" s="82"/>
      <c r="T333" s="82"/>
      <c r="U333" s="82"/>
      <c r="V333" s="82"/>
      <c r="W333" s="89"/>
      <c r="X333" s="90"/>
      <c r="Y333" s="90" t="str">
        <f t="shared" si="32"/>
        <v>file://actionLootLocation14-state0-image0</v>
      </c>
      <c r="Z333" s="90"/>
      <c r="AA333" s="89"/>
      <c r="AB333" s="90"/>
      <c r="AC333" s="90"/>
      <c r="AD333" s="90"/>
      <c r="AE333" s="90"/>
      <c r="AF333" s="90"/>
      <c r="AG333" s="92"/>
      <c r="AH333" s="93"/>
      <c r="AI333" s="93"/>
      <c r="AJ333" s="93"/>
      <c r="AK333" s="93"/>
      <c r="AL333" s="93"/>
      <c r="AM333" s="93"/>
      <c r="AN333" s="94"/>
      <c r="AO333" s="95"/>
      <c r="AP333" s="95" t="str">
        <f t="shared" si="33"/>
        <v>file://actionLootLocation14-state1-image0</v>
      </c>
      <c r="AQ333" s="95"/>
      <c r="AR333" s="94"/>
      <c r="AS333" s="95"/>
      <c r="AT333" s="95"/>
      <c r="AU333" s="95"/>
      <c r="AV333" s="95"/>
      <c r="AW333" s="92"/>
      <c r="AX333" s="93"/>
      <c r="AY333" s="93"/>
      <c r="AZ333" s="93"/>
      <c r="BA333" s="93"/>
      <c r="BB333" s="93"/>
      <c r="BC333" s="93"/>
      <c r="BD333" s="168"/>
      <c r="BE333" s="97"/>
      <c r="BF333" s="98"/>
      <c r="BG333" s="97"/>
      <c r="BH333" s="168"/>
      <c r="BI333" s="97"/>
      <c r="BJ333" s="97"/>
      <c r="BK333" s="97"/>
      <c r="BL333" s="97"/>
      <c r="BM333" s="97"/>
      <c r="BN333" s="97"/>
      <c r="BO333" s="93"/>
      <c r="BP333" s="93"/>
      <c r="BQ333" s="93"/>
      <c r="BR333" s="93"/>
      <c r="BS333" s="93"/>
      <c r="BT333" s="93"/>
      <c r="BU333" s="93"/>
      <c r="BV333" s="113"/>
      <c r="BW333" s="82"/>
      <c r="BX333" s="82"/>
      <c r="BY333" s="82"/>
      <c r="BZ333" s="82"/>
      <c r="CA333" s="100" t="str">
        <f ca="1">IFERROR(__xludf.DUMMYFUNCTION("IF(REGEXMATCH(Catalog_RewardType,""reward""), VLOOKUP($E333, {'TitleData rewards.items'!$J$9:$J416,'TitleData rewards.items'!$B$9:$B416}, 2, FALSE), """")"),"")</f>
        <v/>
      </c>
    </row>
    <row r="334" spans="1:79" ht="28" hidden="1" x14ac:dyDescent="0.15">
      <c r="A334" s="82" t="s">
        <v>491</v>
      </c>
      <c r="B334" s="83" t="b">
        <v>1</v>
      </c>
      <c r="C334" s="82" t="s">
        <v>811</v>
      </c>
      <c r="D334" s="85" t="b">
        <f>VLOOKUP($C334, '_REF Catalog Classes'!$C$6:$D416, COLUMNS('_REF Catalog Classes'!$C$6:$D416), FALSE)</f>
        <v>1</v>
      </c>
      <c r="E334" s="82" t="s">
        <v>2053</v>
      </c>
      <c r="F334" s="82" t="str">
        <f t="shared" si="21"/>
        <v>actionLootLocation15:TRUE</v>
      </c>
      <c r="G334" s="106" t="s">
        <v>904</v>
      </c>
      <c r="H334" s="86" t="s">
        <v>1115</v>
      </c>
      <c r="I334" s="82" t="s">
        <v>815</v>
      </c>
      <c r="J334" s="82" t="s">
        <v>275</v>
      </c>
      <c r="K334" s="82" t="s">
        <v>275</v>
      </c>
      <c r="L334" s="82"/>
      <c r="M334" s="82"/>
      <c r="N334" s="101"/>
      <c r="O334" s="82"/>
      <c r="P334" s="82"/>
      <c r="Q334" s="88"/>
      <c r="R334" s="82"/>
      <c r="S334" s="82"/>
      <c r="T334" s="82"/>
      <c r="U334" s="82"/>
      <c r="V334" s="82"/>
      <c r="W334" s="89"/>
      <c r="X334" s="90"/>
      <c r="Y334" s="90" t="str">
        <f t="shared" si="32"/>
        <v>file://actionLootLocation15-state0-image0</v>
      </c>
      <c r="Z334" s="90"/>
      <c r="AA334" s="89"/>
      <c r="AB334" s="90"/>
      <c r="AC334" s="90"/>
      <c r="AD334" s="90"/>
      <c r="AE334" s="90"/>
      <c r="AF334" s="90"/>
      <c r="AG334" s="92"/>
      <c r="AH334" s="93"/>
      <c r="AI334" s="93"/>
      <c r="AJ334" s="93"/>
      <c r="AK334" s="93"/>
      <c r="AL334" s="93"/>
      <c r="AM334" s="93"/>
      <c r="AN334" s="94"/>
      <c r="AO334" s="95"/>
      <c r="AP334" s="95" t="str">
        <f t="shared" si="33"/>
        <v>file://actionLootLocation15-state1-image0</v>
      </c>
      <c r="AQ334" s="95"/>
      <c r="AR334" s="94"/>
      <c r="AS334" s="95"/>
      <c r="AT334" s="95"/>
      <c r="AU334" s="95"/>
      <c r="AV334" s="95"/>
      <c r="AW334" s="92"/>
      <c r="AX334" s="93"/>
      <c r="AY334" s="93"/>
      <c r="AZ334" s="93"/>
      <c r="BA334" s="93"/>
      <c r="BB334" s="93"/>
      <c r="BC334" s="93"/>
      <c r="BD334" s="168"/>
      <c r="BE334" s="97"/>
      <c r="BF334" s="98"/>
      <c r="BG334" s="97"/>
      <c r="BH334" s="168"/>
      <c r="BI334" s="97"/>
      <c r="BJ334" s="97"/>
      <c r="BK334" s="97"/>
      <c r="BL334" s="97"/>
      <c r="BM334" s="97"/>
      <c r="BN334" s="97"/>
      <c r="BO334" s="93"/>
      <c r="BP334" s="93"/>
      <c r="BQ334" s="93"/>
      <c r="BR334" s="93"/>
      <c r="BS334" s="93"/>
      <c r="BT334" s="93"/>
      <c r="BU334" s="93"/>
      <c r="BV334" s="113"/>
      <c r="BW334" s="82"/>
      <c r="BX334" s="82"/>
      <c r="BY334" s="82"/>
      <c r="BZ334" s="82"/>
      <c r="CA334" s="100" t="str">
        <f ca="1">IFERROR(__xludf.DUMMYFUNCTION("IF(REGEXMATCH(Catalog_RewardType,""reward""), VLOOKUP($E334, {'TitleData rewards.items'!$J$9:$J416,'TitleData rewards.items'!$B$9:$B416}, 2, FALSE), """")"),"")</f>
        <v/>
      </c>
    </row>
    <row r="335" spans="1:79" ht="28" hidden="1" x14ac:dyDescent="0.15">
      <c r="A335" s="82" t="s">
        <v>491</v>
      </c>
      <c r="B335" s="83" t="b">
        <v>1</v>
      </c>
      <c r="C335" s="82" t="s">
        <v>811</v>
      </c>
      <c r="D335" s="85" t="b">
        <f>VLOOKUP($C335, '_REF Catalog Classes'!$C$6:$D416, COLUMNS('_REF Catalog Classes'!$C$6:$D416), FALSE)</f>
        <v>1</v>
      </c>
      <c r="E335" s="82" t="s">
        <v>2054</v>
      </c>
      <c r="F335" s="82" t="str">
        <f t="shared" si="21"/>
        <v>actionLootLocation16:TRUE</v>
      </c>
      <c r="G335" s="106" t="s">
        <v>904</v>
      </c>
      <c r="H335" s="86" t="s">
        <v>1115</v>
      </c>
      <c r="I335" s="82" t="s">
        <v>815</v>
      </c>
      <c r="J335" s="82" t="s">
        <v>275</v>
      </c>
      <c r="K335" s="82" t="s">
        <v>275</v>
      </c>
      <c r="L335" s="82"/>
      <c r="M335" s="82"/>
      <c r="N335" s="101"/>
      <c r="O335" s="82"/>
      <c r="P335" s="82"/>
      <c r="Q335" s="88"/>
      <c r="R335" s="82"/>
      <c r="S335" s="82"/>
      <c r="T335" s="82"/>
      <c r="U335" s="82"/>
      <c r="V335" s="82"/>
      <c r="W335" s="89"/>
      <c r="X335" s="90"/>
      <c r="Y335" s="90" t="str">
        <f t="shared" si="32"/>
        <v>file://actionLootLocation16-state0-image0</v>
      </c>
      <c r="Z335" s="90"/>
      <c r="AA335" s="89"/>
      <c r="AB335" s="90"/>
      <c r="AC335" s="90"/>
      <c r="AD335" s="90"/>
      <c r="AE335" s="90"/>
      <c r="AF335" s="90"/>
      <c r="AG335" s="92"/>
      <c r="AH335" s="93"/>
      <c r="AI335" s="93"/>
      <c r="AJ335" s="93"/>
      <c r="AK335" s="93"/>
      <c r="AL335" s="93"/>
      <c r="AM335" s="93"/>
      <c r="AN335" s="94"/>
      <c r="AO335" s="95"/>
      <c r="AP335" s="95" t="str">
        <f t="shared" si="33"/>
        <v>file://actionLootLocation16-state1-image0</v>
      </c>
      <c r="AQ335" s="95"/>
      <c r="AR335" s="94"/>
      <c r="AS335" s="95"/>
      <c r="AT335" s="95"/>
      <c r="AU335" s="95"/>
      <c r="AV335" s="95"/>
      <c r="AW335" s="92"/>
      <c r="AX335" s="93"/>
      <c r="AY335" s="93"/>
      <c r="AZ335" s="93"/>
      <c r="BA335" s="93"/>
      <c r="BB335" s="93"/>
      <c r="BC335" s="93"/>
      <c r="BD335" s="168"/>
      <c r="BE335" s="97"/>
      <c r="BF335" s="98"/>
      <c r="BG335" s="97"/>
      <c r="BH335" s="168"/>
      <c r="BI335" s="97"/>
      <c r="BJ335" s="97"/>
      <c r="BK335" s="97"/>
      <c r="BL335" s="97"/>
      <c r="BM335" s="97"/>
      <c r="BN335" s="97"/>
      <c r="BO335" s="93"/>
      <c r="BP335" s="93"/>
      <c r="BQ335" s="93"/>
      <c r="BR335" s="93"/>
      <c r="BS335" s="93"/>
      <c r="BT335" s="93"/>
      <c r="BU335" s="93"/>
      <c r="BV335" s="113"/>
      <c r="BW335" s="82"/>
      <c r="BX335" s="82"/>
      <c r="BY335" s="82"/>
      <c r="BZ335" s="82"/>
      <c r="CA335" s="100" t="str">
        <f ca="1">IFERROR(__xludf.DUMMYFUNCTION("IF(REGEXMATCH(Catalog_RewardType,""reward""), VLOOKUP($E335, {'TitleData rewards.items'!$J$9:$J416,'TitleData rewards.items'!$B$9:$B416}, 2, FALSE), """")"),"")</f>
        <v/>
      </c>
    </row>
    <row r="336" spans="1:79" ht="28" hidden="1" x14ac:dyDescent="0.15">
      <c r="A336" s="82" t="s">
        <v>491</v>
      </c>
      <c r="B336" s="83" t="b">
        <v>1</v>
      </c>
      <c r="C336" s="82" t="s">
        <v>811</v>
      </c>
      <c r="D336" s="85" t="b">
        <f>VLOOKUP($C336, '_REF Catalog Classes'!$C$6:$D416, COLUMNS('_REF Catalog Classes'!$C$6:$D416), FALSE)</f>
        <v>1</v>
      </c>
      <c r="E336" s="82" t="s">
        <v>2055</v>
      </c>
      <c r="F336" s="82" t="str">
        <f t="shared" si="21"/>
        <v>actionLootLocation17:TRUE</v>
      </c>
      <c r="G336" s="106" t="s">
        <v>904</v>
      </c>
      <c r="H336" s="86" t="s">
        <v>1115</v>
      </c>
      <c r="I336" s="82" t="s">
        <v>815</v>
      </c>
      <c r="J336" s="82" t="s">
        <v>275</v>
      </c>
      <c r="K336" s="82" t="s">
        <v>275</v>
      </c>
      <c r="L336" s="82"/>
      <c r="M336" s="82"/>
      <c r="N336" s="101"/>
      <c r="O336" s="82"/>
      <c r="P336" s="82"/>
      <c r="Q336" s="88"/>
      <c r="R336" s="82"/>
      <c r="S336" s="82"/>
      <c r="T336" s="82"/>
      <c r="U336" s="82"/>
      <c r="V336" s="82"/>
      <c r="W336" s="89"/>
      <c r="X336" s="90"/>
      <c r="Y336" s="90" t="str">
        <f t="shared" si="32"/>
        <v>file://actionLootLocation17-state0-image0</v>
      </c>
      <c r="Z336" s="90"/>
      <c r="AA336" s="89"/>
      <c r="AB336" s="90"/>
      <c r="AC336" s="90"/>
      <c r="AD336" s="90"/>
      <c r="AE336" s="90"/>
      <c r="AF336" s="90"/>
      <c r="AG336" s="92"/>
      <c r="AH336" s="93"/>
      <c r="AI336" s="93"/>
      <c r="AJ336" s="93"/>
      <c r="AK336" s="93"/>
      <c r="AL336" s="93"/>
      <c r="AM336" s="93"/>
      <c r="AN336" s="94"/>
      <c r="AO336" s="95"/>
      <c r="AP336" s="95" t="str">
        <f t="shared" si="33"/>
        <v>file://actionLootLocation17-state1-image0</v>
      </c>
      <c r="AQ336" s="95"/>
      <c r="AR336" s="94"/>
      <c r="AS336" s="95"/>
      <c r="AT336" s="95"/>
      <c r="AU336" s="95"/>
      <c r="AV336" s="95"/>
      <c r="AW336" s="92"/>
      <c r="AX336" s="93"/>
      <c r="AY336" s="93"/>
      <c r="AZ336" s="93"/>
      <c r="BA336" s="93"/>
      <c r="BB336" s="93"/>
      <c r="BC336" s="93"/>
      <c r="BD336" s="168"/>
      <c r="BE336" s="97"/>
      <c r="BF336" s="98"/>
      <c r="BG336" s="97"/>
      <c r="BH336" s="168"/>
      <c r="BI336" s="97"/>
      <c r="BJ336" s="97"/>
      <c r="BK336" s="97"/>
      <c r="BL336" s="97"/>
      <c r="BM336" s="97"/>
      <c r="BN336" s="97"/>
      <c r="BO336" s="93"/>
      <c r="BP336" s="93"/>
      <c r="BQ336" s="93"/>
      <c r="BR336" s="93"/>
      <c r="BS336" s="93"/>
      <c r="BT336" s="93"/>
      <c r="BU336" s="93"/>
      <c r="BV336" s="113"/>
      <c r="BW336" s="82"/>
      <c r="BX336" s="82"/>
      <c r="BY336" s="82"/>
      <c r="BZ336" s="82"/>
      <c r="CA336" s="100" t="str">
        <f ca="1">IFERROR(__xludf.DUMMYFUNCTION("IF(REGEXMATCH(Catalog_RewardType,""reward""), VLOOKUP($E336, {'TitleData rewards.items'!$J$9:$J416,'TitleData rewards.items'!$B$9:$B416}, 2, FALSE), """")"),"")</f>
        <v/>
      </c>
    </row>
    <row r="337" spans="1:79" ht="28" hidden="1" x14ac:dyDescent="0.15">
      <c r="A337" s="82" t="s">
        <v>491</v>
      </c>
      <c r="B337" s="83" t="b">
        <v>1</v>
      </c>
      <c r="C337" s="82" t="s">
        <v>811</v>
      </c>
      <c r="D337" s="85" t="b">
        <f>VLOOKUP($C337, '_REF Catalog Classes'!$C$6:$D416, COLUMNS('_REF Catalog Classes'!$C$6:$D416), FALSE)</f>
        <v>1</v>
      </c>
      <c r="E337" s="82" t="s">
        <v>2056</v>
      </c>
      <c r="F337" s="82" t="str">
        <f t="shared" si="21"/>
        <v>actionLootLocation18:TRUE</v>
      </c>
      <c r="G337" s="106" t="s">
        <v>904</v>
      </c>
      <c r="H337" s="86" t="s">
        <v>1115</v>
      </c>
      <c r="I337" s="82" t="s">
        <v>815</v>
      </c>
      <c r="J337" s="82" t="s">
        <v>275</v>
      </c>
      <c r="K337" s="82" t="s">
        <v>275</v>
      </c>
      <c r="L337" s="82"/>
      <c r="M337" s="82"/>
      <c r="N337" s="101"/>
      <c r="O337" s="82"/>
      <c r="P337" s="82"/>
      <c r="Q337" s="88"/>
      <c r="R337" s="82"/>
      <c r="S337" s="82"/>
      <c r="T337" s="82"/>
      <c r="U337" s="82"/>
      <c r="V337" s="82"/>
      <c r="W337" s="89"/>
      <c r="X337" s="90"/>
      <c r="Y337" s="90" t="str">
        <f t="shared" si="32"/>
        <v>file://actionLootLocation18-state0-image0</v>
      </c>
      <c r="Z337" s="90"/>
      <c r="AA337" s="89"/>
      <c r="AB337" s="90"/>
      <c r="AC337" s="90"/>
      <c r="AD337" s="90"/>
      <c r="AE337" s="90"/>
      <c r="AF337" s="90"/>
      <c r="AG337" s="92"/>
      <c r="AH337" s="93"/>
      <c r="AI337" s="93"/>
      <c r="AJ337" s="93"/>
      <c r="AK337" s="93"/>
      <c r="AL337" s="93"/>
      <c r="AM337" s="93"/>
      <c r="AN337" s="94"/>
      <c r="AO337" s="95"/>
      <c r="AP337" s="95" t="str">
        <f t="shared" si="33"/>
        <v>file://actionLootLocation18-state1-image0</v>
      </c>
      <c r="AQ337" s="95"/>
      <c r="AR337" s="94"/>
      <c r="AS337" s="95"/>
      <c r="AT337" s="95"/>
      <c r="AU337" s="95"/>
      <c r="AV337" s="95"/>
      <c r="AW337" s="92"/>
      <c r="AX337" s="93"/>
      <c r="AY337" s="93"/>
      <c r="AZ337" s="93"/>
      <c r="BA337" s="93"/>
      <c r="BB337" s="93"/>
      <c r="BC337" s="93"/>
      <c r="BD337" s="168"/>
      <c r="BE337" s="97"/>
      <c r="BF337" s="98"/>
      <c r="BG337" s="97"/>
      <c r="BH337" s="168"/>
      <c r="BI337" s="97"/>
      <c r="BJ337" s="97"/>
      <c r="BK337" s="97"/>
      <c r="BL337" s="97"/>
      <c r="BM337" s="97"/>
      <c r="BN337" s="97"/>
      <c r="BO337" s="93"/>
      <c r="BP337" s="93"/>
      <c r="BQ337" s="93"/>
      <c r="BR337" s="93"/>
      <c r="BS337" s="93"/>
      <c r="BT337" s="93"/>
      <c r="BU337" s="93"/>
      <c r="BV337" s="113"/>
      <c r="BW337" s="82"/>
      <c r="BX337" s="82"/>
      <c r="BY337" s="82"/>
      <c r="BZ337" s="82"/>
      <c r="CA337" s="100" t="str">
        <f ca="1">IFERROR(__xludf.DUMMYFUNCTION("IF(REGEXMATCH(Catalog_RewardType,""reward""), VLOOKUP($E337, {'TitleData rewards.items'!$J$9:$J416,'TitleData rewards.items'!$B$9:$B416}, 2, FALSE), """")"),"")</f>
        <v/>
      </c>
    </row>
    <row r="338" spans="1:79" ht="28" hidden="1" x14ac:dyDescent="0.15">
      <c r="A338" s="82" t="s">
        <v>491</v>
      </c>
      <c r="B338" s="83" t="b">
        <v>1</v>
      </c>
      <c r="C338" s="82" t="s">
        <v>811</v>
      </c>
      <c r="D338" s="85" t="b">
        <f>VLOOKUP($C338, '_REF Catalog Classes'!$C$6:$D416, COLUMNS('_REF Catalog Classes'!$C$6:$D416), FALSE)</f>
        <v>1</v>
      </c>
      <c r="E338" s="82" t="s">
        <v>2057</v>
      </c>
      <c r="F338" s="82" t="str">
        <f t="shared" si="21"/>
        <v>actionLootLocation20:TRUE</v>
      </c>
      <c r="G338" s="217" t="s">
        <v>2058</v>
      </c>
      <c r="H338" s="217" t="s">
        <v>2059</v>
      </c>
      <c r="I338" s="82" t="s">
        <v>815</v>
      </c>
      <c r="J338" s="82" t="s">
        <v>275</v>
      </c>
      <c r="K338" s="82" t="s">
        <v>275</v>
      </c>
      <c r="L338" s="82"/>
      <c r="M338" s="82"/>
      <c r="N338" s="101"/>
      <c r="O338" s="82"/>
      <c r="P338" s="82"/>
      <c r="Q338" s="88"/>
      <c r="R338" s="82"/>
      <c r="S338" s="82"/>
      <c r="T338" s="82"/>
      <c r="U338" s="82"/>
      <c r="V338" s="82"/>
      <c r="W338" s="89"/>
      <c r="X338" s="90"/>
      <c r="Y338" s="90" t="str">
        <f t="shared" si="32"/>
        <v>file://actionLootLocation20-state0-image0</v>
      </c>
      <c r="Z338" s="90"/>
      <c r="AA338" s="89"/>
      <c r="AB338" s="90"/>
      <c r="AC338" s="90"/>
      <c r="AD338" s="90"/>
      <c r="AE338" s="90"/>
      <c r="AF338" s="90"/>
      <c r="AG338" s="92"/>
      <c r="AH338" s="93"/>
      <c r="AI338" s="93"/>
      <c r="AJ338" s="93"/>
      <c r="AK338" s="93"/>
      <c r="AL338" s="93"/>
      <c r="AM338" s="93"/>
      <c r="AN338" s="94"/>
      <c r="AO338" s="95"/>
      <c r="AP338" s="95" t="str">
        <f t="shared" si="33"/>
        <v>file://actionLootLocation20-state1-image0</v>
      </c>
      <c r="AQ338" s="95"/>
      <c r="AR338" s="94"/>
      <c r="AS338" s="95"/>
      <c r="AT338" s="95"/>
      <c r="AU338" s="95"/>
      <c r="AV338" s="95"/>
      <c r="AW338" s="92"/>
      <c r="AX338" s="93"/>
      <c r="AY338" s="93"/>
      <c r="AZ338" s="93"/>
      <c r="BA338" s="93"/>
      <c r="BB338" s="93"/>
      <c r="BC338" s="93"/>
      <c r="BD338" s="168"/>
      <c r="BE338" s="97"/>
      <c r="BF338" s="98"/>
      <c r="BG338" s="97"/>
      <c r="BH338" s="168"/>
      <c r="BI338" s="97"/>
      <c r="BJ338" s="97"/>
      <c r="BK338" s="97"/>
      <c r="BL338" s="97"/>
      <c r="BM338" s="97"/>
      <c r="BN338" s="97"/>
      <c r="BO338" s="93"/>
      <c r="BP338" s="93"/>
      <c r="BQ338" s="93"/>
      <c r="BR338" s="93"/>
      <c r="BS338" s="93"/>
      <c r="BT338" s="93"/>
      <c r="BU338" s="93"/>
      <c r="BV338" s="113"/>
      <c r="BW338" s="82"/>
      <c r="BX338" s="82"/>
      <c r="BY338" s="82"/>
      <c r="BZ338" s="82"/>
      <c r="CA338" s="100" t="str">
        <f ca="1">IFERROR(__xludf.DUMMYFUNCTION("IF(REGEXMATCH(Catalog_RewardType,""reward""), VLOOKUP($E338, {'TitleData rewards.items'!$J$9:$J416,'TitleData rewards.items'!$B$9:$B416}, 2, FALSE), """")"),"")</f>
        <v/>
      </c>
    </row>
    <row r="339" spans="1:79" ht="28" hidden="1" x14ac:dyDescent="0.15">
      <c r="A339" s="82" t="s">
        <v>491</v>
      </c>
      <c r="B339" s="83" t="b">
        <v>1</v>
      </c>
      <c r="C339" s="82" t="s">
        <v>1549</v>
      </c>
      <c r="D339" s="85" t="b">
        <f>VLOOKUP($C339, '_REF Catalog Classes'!$C$6:$D416, COLUMNS('_REF Catalog Classes'!$C$6:$D416), FALSE)</f>
        <v>1</v>
      </c>
      <c r="E339" s="82" t="s">
        <v>2060</v>
      </c>
      <c r="F339" s="82" t="str">
        <f t="shared" si="21"/>
        <v>lootJanuary:TRUE</v>
      </c>
      <c r="G339" s="86" t="s">
        <v>2061</v>
      </c>
      <c r="H339" s="217" t="s">
        <v>2062</v>
      </c>
      <c r="I339" s="82" t="s">
        <v>274</v>
      </c>
      <c r="J339" s="86"/>
      <c r="K339" s="86"/>
      <c r="L339" s="86"/>
      <c r="M339" s="86"/>
      <c r="N339" s="101" t="s">
        <v>1553</v>
      </c>
      <c r="O339" s="82"/>
      <c r="P339" s="82">
        <v>20</v>
      </c>
      <c r="Q339" s="88"/>
      <c r="R339" s="82"/>
      <c r="S339" s="82"/>
      <c r="T339" s="82"/>
      <c r="U339" s="82"/>
      <c r="V339" s="82"/>
      <c r="W339" s="89">
        <v>0</v>
      </c>
      <c r="X339" s="90" t="s">
        <v>37</v>
      </c>
      <c r="Y339" s="90" t="str">
        <f t="shared" si="32"/>
        <v>file://lootJanuary-state0-image0</v>
      </c>
      <c r="Z339" s="90"/>
      <c r="AA339" s="91" t="s">
        <v>283</v>
      </c>
      <c r="AB339" s="90" t="s">
        <v>2063</v>
      </c>
      <c r="AC339" s="90"/>
      <c r="AD339" s="90" t="s">
        <v>2064</v>
      </c>
      <c r="AE339" s="90" t="s">
        <v>1680</v>
      </c>
      <c r="AF339" s="90" t="s">
        <v>652</v>
      </c>
      <c r="AG339" s="92"/>
      <c r="AH339" s="93"/>
      <c r="AI339" s="93"/>
      <c r="AJ339" s="93"/>
      <c r="AK339" s="93"/>
      <c r="AL339" s="93"/>
      <c r="AM339" s="93"/>
      <c r="AN339" s="94"/>
      <c r="AO339" s="95"/>
      <c r="AP339" s="95" t="str">
        <f t="shared" si="33"/>
        <v>file://lootJanuary-state1-image0</v>
      </c>
      <c r="AQ339" s="95"/>
      <c r="AR339" s="94"/>
      <c r="AS339" s="95"/>
      <c r="AT339" s="95"/>
      <c r="AU339" s="95"/>
      <c r="AV339" s="95"/>
      <c r="AW339" s="92"/>
      <c r="AX339" s="93"/>
      <c r="AY339" s="93"/>
      <c r="AZ339" s="93"/>
      <c r="BA339" s="93"/>
      <c r="BB339" s="93"/>
      <c r="BC339" s="93"/>
      <c r="BD339" s="96">
        <v>2</v>
      </c>
      <c r="BE339" s="97" t="s">
        <v>38</v>
      </c>
      <c r="BF339" s="98"/>
      <c r="BG339" s="97"/>
      <c r="BH339" s="97" t="s">
        <v>283</v>
      </c>
      <c r="BI339" s="97" t="s">
        <v>2063</v>
      </c>
      <c r="BJ339" s="97"/>
      <c r="BK339" s="97"/>
      <c r="BL339" s="97" t="s">
        <v>2065</v>
      </c>
      <c r="BM339" s="97" t="s">
        <v>1684</v>
      </c>
      <c r="BN339" s="97" t="s">
        <v>652</v>
      </c>
      <c r="BO339" s="93"/>
      <c r="BP339" s="93"/>
      <c r="BQ339" s="93"/>
      <c r="BR339" s="93"/>
      <c r="BS339" s="93"/>
      <c r="BT339" s="93"/>
      <c r="BU339" s="93"/>
      <c r="BV339" s="99" t="s">
        <v>2066</v>
      </c>
      <c r="BW339" s="86" t="str">
        <f>VLOOKUP($C339, '_REF Catalog Classes'!$C$6:$E416, COLUMNS('_REF Catalog Classes'!$C$6:$E416), FALSE)</f>
        <v>always</v>
      </c>
      <c r="BX339" s="86"/>
      <c r="BY339" s="86"/>
      <c r="BZ339" s="95" t="s">
        <v>322</v>
      </c>
      <c r="CA339" s="100" t="str">
        <f ca="1">IFERROR(__xludf.DUMMYFUNCTION("IF(REGEXMATCH(Catalog_RewardType,""reward""), VLOOKUP($E339, {'TitleData rewards.items'!$J$9:$J416,'TitleData rewards.items'!$B$9:$B416}, 2, FALSE), """")"),"#N/A")</f>
        <v>#N/A</v>
      </c>
    </row>
    <row r="340" spans="1:79" ht="28" hidden="1" x14ac:dyDescent="0.15">
      <c r="A340" s="82" t="s">
        <v>491</v>
      </c>
      <c r="B340" s="83" t="b">
        <v>1</v>
      </c>
      <c r="C340" s="82" t="s">
        <v>1549</v>
      </c>
      <c r="D340" s="85" t="b">
        <f>VLOOKUP($C340, '_REF Catalog Classes'!$C$6:$D416, COLUMNS('_REF Catalog Classes'!$C$6:$D416), FALSE)</f>
        <v>1</v>
      </c>
      <c r="E340" s="82" t="s">
        <v>2067</v>
      </c>
      <c r="F340" s="82" t="str">
        <f t="shared" si="21"/>
        <v>lootFebruary:TRUE</v>
      </c>
      <c r="G340" s="86" t="s">
        <v>2061</v>
      </c>
      <c r="H340" s="217" t="s">
        <v>2062</v>
      </c>
      <c r="I340" s="82" t="s">
        <v>274</v>
      </c>
      <c r="J340" s="86"/>
      <c r="K340" s="86"/>
      <c r="L340" s="86"/>
      <c r="M340" s="86"/>
      <c r="N340" s="101" t="s">
        <v>1553</v>
      </c>
      <c r="O340" s="82"/>
      <c r="P340" s="82">
        <v>21</v>
      </c>
      <c r="Q340" s="88"/>
      <c r="R340" s="82"/>
      <c r="S340" s="82"/>
      <c r="T340" s="82"/>
      <c r="U340" s="82"/>
      <c r="V340" s="82"/>
      <c r="W340" s="89">
        <v>0</v>
      </c>
      <c r="X340" s="90" t="s">
        <v>37</v>
      </c>
      <c r="Y340" s="90" t="str">
        <f t="shared" si="32"/>
        <v>file://lootFebruary-state0-image0</v>
      </c>
      <c r="Z340" s="90"/>
      <c r="AA340" s="91" t="s">
        <v>283</v>
      </c>
      <c r="AB340" s="90" t="s">
        <v>2068</v>
      </c>
      <c r="AC340" s="90"/>
      <c r="AD340" s="90" t="s">
        <v>2064</v>
      </c>
      <c r="AE340" s="90" t="s">
        <v>1680</v>
      </c>
      <c r="AF340" s="90" t="s">
        <v>652</v>
      </c>
      <c r="AG340" s="92"/>
      <c r="AH340" s="93"/>
      <c r="AI340" s="93"/>
      <c r="AJ340" s="93"/>
      <c r="AK340" s="93"/>
      <c r="AL340" s="93"/>
      <c r="AM340" s="93"/>
      <c r="AN340" s="94"/>
      <c r="AO340" s="95"/>
      <c r="AP340" s="95" t="str">
        <f t="shared" si="33"/>
        <v>file://lootFebruary-state1-image0</v>
      </c>
      <c r="AQ340" s="95"/>
      <c r="AR340" s="94"/>
      <c r="AS340" s="95"/>
      <c r="AT340" s="95"/>
      <c r="AU340" s="95"/>
      <c r="AV340" s="95"/>
      <c r="AW340" s="92"/>
      <c r="AX340" s="93"/>
      <c r="AY340" s="93"/>
      <c r="AZ340" s="93"/>
      <c r="BA340" s="93"/>
      <c r="BB340" s="93"/>
      <c r="BC340" s="93"/>
      <c r="BD340" s="96">
        <v>2</v>
      </c>
      <c r="BE340" s="97" t="s">
        <v>38</v>
      </c>
      <c r="BF340" s="98"/>
      <c r="BG340" s="97"/>
      <c r="BH340" s="97" t="s">
        <v>283</v>
      </c>
      <c r="BI340" s="97" t="s">
        <v>2068</v>
      </c>
      <c r="BJ340" s="97"/>
      <c r="BK340" s="97"/>
      <c r="BL340" s="97" t="s">
        <v>2065</v>
      </c>
      <c r="BM340" s="97" t="s">
        <v>1684</v>
      </c>
      <c r="BN340" s="97" t="s">
        <v>652</v>
      </c>
      <c r="BO340" s="93"/>
      <c r="BP340" s="93"/>
      <c r="BQ340" s="93"/>
      <c r="BR340" s="93"/>
      <c r="BS340" s="93"/>
      <c r="BT340" s="93"/>
      <c r="BU340" s="93"/>
      <c r="BV340" s="99" t="s">
        <v>2069</v>
      </c>
      <c r="BW340" s="86" t="str">
        <f>VLOOKUP($C340, '_REF Catalog Classes'!$C$6:$E416, COLUMNS('_REF Catalog Classes'!$C$6:$E416), FALSE)</f>
        <v>always</v>
      </c>
      <c r="BX340" s="86"/>
      <c r="BY340" s="86"/>
      <c r="BZ340" s="95" t="s">
        <v>322</v>
      </c>
      <c r="CA340" s="100" t="str">
        <f ca="1">IFERROR(__xludf.DUMMYFUNCTION("IF(REGEXMATCH(Catalog_RewardType,""reward""), VLOOKUP($E340, {'TitleData rewards.items'!$J$9:$J416,'TitleData rewards.items'!$B$9:$B416}, 2, FALSE), """")"),"#N/A")</f>
        <v>#N/A</v>
      </c>
    </row>
    <row r="341" spans="1:79" ht="28" hidden="1" x14ac:dyDescent="0.15">
      <c r="A341" s="82" t="s">
        <v>491</v>
      </c>
      <c r="B341" s="83" t="b">
        <v>1</v>
      </c>
      <c r="C341" s="82" t="s">
        <v>1549</v>
      </c>
      <c r="D341" s="85" t="b">
        <f>VLOOKUP($C341, '_REF Catalog Classes'!$C$6:$D416, COLUMNS('_REF Catalog Classes'!$C$6:$D416), FALSE)</f>
        <v>1</v>
      </c>
      <c r="E341" s="82" t="s">
        <v>2070</v>
      </c>
      <c r="F341" s="82" t="str">
        <f t="shared" si="21"/>
        <v>lootMarch:TRUE</v>
      </c>
      <c r="G341" s="86" t="s">
        <v>2061</v>
      </c>
      <c r="H341" s="217" t="s">
        <v>2062</v>
      </c>
      <c r="I341" s="82" t="s">
        <v>274</v>
      </c>
      <c r="J341" s="86"/>
      <c r="K341" s="86"/>
      <c r="L341" s="86"/>
      <c r="M341" s="86"/>
      <c r="N341" s="101" t="s">
        <v>1553</v>
      </c>
      <c r="O341" s="82"/>
      <c r="P341" s="82">
        <v>22</v>
      </c>
      <c r="Q341" s="88"/>
      <c r="R341" s="82"/>
      <c r="S341" s="82"/>
      <c r="T341" s="82"/>
      <c r="U341" s="82"/>
      <c r="V341" s="82"/>
      <c r="W341" s="89">
        <v>0</v>
      </c>
      <c r="X341" s="90" t="s">
        <v>37</v>
      </c>
      <c r="Y341" s="90" t="str">
        <f t="shared" si="32"/>
        <v>file://lootMarch-state0-image0</v>
      </c>
      <c r="Z341" s="90"/>
      <c r="AA341" s="91" t="s">
        <v>283</v>
      </c>
      <c r="AB341" s="90" t="s">
        <v>2071</v>
      </c>
      <c r="AC341" s="90"/>
      <c r="AD341" s="90" t="s">
        <v>2064</v>
      </c>
      <c r="AE341" s="90" t="s">
        <v>1680</v>
      </c>
      <c r="AF341" s="90" t="s">
        <v>652</v>
      </c>
      <c r="AG341" s="92"/>
      <c r="AH341" s="93"/>
      <c r="AI341" s="93"/>
      <c r="AJ341" s="93"/>
      <c r="AK341" s="93"/>
      <c r="AL341" s="93"/>
      <c r="AM341" s="93"/>
      <c r="AN341" s="94"/>
      <c r="AO341" s="95"/>
      <c r="AP341" s="95" t="str">
        <f t="shared" si="33"/>
        <v>file://lootMarch-state1-image0</v>
      </c>
      <c r="AQ341" s="95"/>
      <c r="AR341" s="94"/>
      <c r="AS341" s="95"/>
      <c r="AT341" s="95"/>
      <c r="AU341" s="95"/>
      <c r="AV341" s="95"/>
      <c r="AW341" s="92"/>
      <c r="AX341" s="93"/>
      <c r="AY341" s="93"/>
      <c r="AZ341" s="93"/>
      <c r="BA341" s="93"/>
      <c r="BB341" s="93"/>
      <c r="BC341" s="93"/>
      <c r="BD341" s="96">
        <v>2</v>
      </c>
      <c r="BE341" s="97" t="s">
        <v>38</v>
      </c>
      <c r="BF341" s="98"/>
      <c r="BG341" s="97"/>
      <c r="BH341" s="97" t="s">
        <v>283</v>
      </c>
      <c r="BI341" s="97" t="s">
        <v>2071</v>
      </c>
      <c r="BJ341" s="97"/>
      <c r="BK341" s="97"/>
      <c r="BL341" s="97" t="s">
        <v>2065</v>
      </c>
      <c r="BM341" s="97" t="s">
        <v>1684</v>
      </c>
      <c r="BN341" s="97" t="s">
        <v>652</v>
      </c>
      <c r="BO341" s="93"/>
      <c r="BP341" s="93"/>
      <c r="BQ341" s="93"/>
      <c r="BR341" s="93"/>
      <c r="BS341" s="93"/>
      <c r="BT341" s="93"/>
      <c r="BU341" s="93"/>
      <c r="BV341" s="99" t="s">
        <v>2072</v>
      </c>
      <c r="BW341" s="86" t="str">
        <f>VLOOKUP($C341, '_REF Catalog Classes'!$C$6:$E416, COLUMNS('_REF Catalog Classes'!$C$6:$E416), FALSE)</f>
        <v>always</v>
      </c>
      <c r="BX341" s="86"/>
      <c r="BY341" s="86"/>
      <c r="BZ341" s="95" t="s">
        <v>322</v>
      </c>
      <c r="CA341" s="100" t="str">
        <f ca="1">IFERROR(__xludf.DUMMYFUNCTION("IF(REGEXMATCH(Catalog_RewardType,""reward""), VLOOKUP($E341, {'TitleData rewards.items'!$J$9:$J416,'TitleData rewards.items'!$B$9:$B416}, 2, FALSE), """")"),"#N/A")</f>
        <v>#N/A</v>
      </c>
    </row>
    <row r="342" spans="1:79" ht="28" hidden="1" x14ac:dyDescent="0.15">
      <c r="A342" s="82" t="s">
        <v>491</v>
      </c>
      <c r="B342" s="83" t="b">
        <v>1</v>
      </c>
      <c r="C342" s="82" t="s">
        <v>1549</v>
      </c>
      <c r="D342" s="85" t="b">
        <f>VLOOKUP($C342, '_REF Catalog Classes'!$C$6:$D416, COLUMNS('_REF Catalog Classes'!$C$6:$D416), FALSE)</f>
        <v>1</v>
      </c>
      <c r="E342" s="82" t="s">
        <v>2073</v>
      </c>
      <c r="F342" s="82" t="str">
        <f t="shared" si="21"/>
        <v>lootApril:TRUE</v>
      </c>
      <c r="G342" s="86" t="s">
        <v>2061</v>
      </c>
      <c r="H342" s="217" t="s">
        <v>2062</v>
      </c>
      <c r="I342" s="82" t="s">
        <v>274</v>
      </c>
      <c r="J342" s="86"/>
      <c r="K342" s="86"/>
      <c r="L342" s="86"/>
      <c r="M342" s="86"/>
      <c r="N342" s="101" t="s">
        <v>1553</v>
      </c>
      <c r="O342" s="82"/>
      <c r="P342" s="82">
        <v>23</v>
      </c>
      <c r="Q342" s="88"/>
      <c r="R342" s="82"/>
      <c r="S342" s="82"/>
      <c r="T342" s="82"/>
      <c r="U342" s="82"/>
      <c r="V342" s="82"/>
      <c r="W342" s="89">
        <v>0</v>
      </c>
      <c r="X342" s="90" t="s">
        <v>37</v>
      </c>
      <c r="Y342" s="90" t="str">
        <f t="shared" si="32"/>
        <v>file://lootApril-state0-image0</v>
      </c>
      <c r="Z342" s="90"/>
      <c r="AA342" s="91" t="s">
        <v>283</v>
      </c>
      <c r="AB342" s="90" t="s">
        <v>2074</v>
      </c>
      <c r="AC342" s="90"/>
      <c r="AD342" s="90" t="s">
        <v>2064</v>
      </c>
      <c r="AE342" s="90" t="s">
        <v>1680</v>
      </c>
      <c r="AF342" s="90" t="s">
        <v>652</v>
      </c>
      <c r="AG342" s="92"/>
      <c r="AH342" s="93"/>
      <c r="AI342" s="93"/>
      <c r="AJ342" s="93"/>
      <c r="AK342" s="93"/>
      <c r="AL342" s="93"/>
      <c r="AM342" s="93"/>
      <c r="AN342" s="94"/>
      <c r="AO342" s="95"/>
      <c r="AP342" s="95" t="str">
        <f t="shared" si="33"/>
        <v>file://lootApril-state1-image0</v>
      </c>
      <c r="AQ342" s="95"/>
      <c r="AR342" s="94"/>
      <c r="AS342" s="95"/>
      <c r="AT342" s="95"/>
      <c r="AU342" s="95"/>
      <c r="AV342" s="95"/>
      <c r="AW342" s="92"/>
      <c r="AX342" s="93"/>
      <c r="AY342" s="93"/>
      <c r="AZ342" s="93"/>
      <c r="BA342" s="93"/>
      <c r="BB342" s="93"/>
      <c r="BC342" s="93"/>
      <c r="BD342" s="96">
        <v>2</v>
      </c>
      <c r="BE342" s="97" t="s">
        <v>38</v>
      </c>
      <c r="BF342" s="98"/>
      <c r="BG342" s="97"/>
      <c r="BH342" s="97" t="s">
        <v>283</v>
      </c>
      <c r="BI342" s="97" t="s">
        <v>2074</v>
      </c>
      <c r="BJ342" s="97"/>
      <c r="BK342" s="97"/>
      <c r="BL342" s="97" t="s">
        <v>2065</v>
      </c>
      <c r="BM342" s="97" t="s">
        <v>1684</v>
      </c>
      <c r="BN342" s="97" t="s">
        <v>652</v>
      </c>
      <c r="BO342" s="93"/>
      <c r="BP342" s="93"/>
      <c r="BQ342" s="93"/>
      <c r="BR342" s="93"/>
      <c r="BS342" s="93"/>
      <c r="BT342" s="93"/>
      <c r="BU342" s="93"/>
      <c r="BV342" s="99" t="s">
        <v>2075</v>
      </c>
      <c r="BW342" s="86" t="str">
        <f>VLOOKUP($C342, '_REF Catalog Classes'!$C$6:$E416, COLUMNS('_REF Catalog Classes'!$C$6:$E416), FALSE)</f>
        <v>always</v>
      </c>
      <c r="BX342" s="86"/>
      <c r="BY342" s="86"/>
      <c r="BZ342" s="95" t="s">
        <v>322</v>
      </c>
      <c r="CA342" s="100" t="str">
        <f ca="1">IFERROR(__xludf.DUMMYFUNCTION("IF(REGEXMATCH(Catalog_RewardType,""reward""), VLOOKUP($E342, {'TitleData rewards.items'!$J$9:$J416,'TitleData rewards.items'!$B$9:$B416}, 2, FALSE), """")"),"#N/A")</f>
        <v>#N/A</v>
      </c>
    </row>
    <row r="343" spans="1:79" ht="28" hidden="1" x14ac:dyDescent="0.15">
      <c r="A343" s="82" t="s">
        <v>491</v>
      </c>
      <c r="B343" s="83" t="b">
        <v>1</v>
      </c>
      <c r="C343" s="82" t="s">
        <v>1549</v>
      </c>
      <c r="D343" s="85" t="b">
        <f>VLOOKUP($C343, '_REF Catalog Classes'!$C$6:$D416, COLUMNS('_REF Catalog Classes'!$C$6:$D416), FALSE)</f>
        <v>1</v>
      </c>
      <c r="E343" s="82" t="s">
        <v>2076</v>
      </c>
      <c r="F343" s="82" t="str">
        <f t="shared" si="21"/>
        <v>lootMay:TRUE</v>
      </c>
      <c r="G343" s="86" t="s">
        <v>2061</v>
      </c>
      <c r="H343" s="217" t="s">
        <v>2062</v>
      </c>
      <c r="I343" s="82" t="s">
        <v>274</v>
      </c>
      <c r="J343" s="86"/>
      <c r="K343" s="86"/>
      <c r="L343" s="86"/>
      <c r="M343" s="86"/>
      <c r="N343" s="101" t="s">
        <v>1553</v>
      </c>
      <c r="O343" s="82"/>
      <c r="P343" s="82">
        <v>24</v>
      </c>
      <c r="Q343" s="88"/>
      <c r="R343" s="82"/>
      <c r="S343" s="82"/>
      <c r="T343" s="82"/>
      <c r="U343" s="82"/>
      <c r="V343" s="82"/>
      <c r="W343" s="89">
        <v>0</v>
      </c>
      <c r="X343" s="90" t="s">
        <v>37</v>
      </c>
      <c r="Y343" s="90" t="str">
        <f t="shared" si="32"/>
        <v>file://lootMay-state0-image0</v>
      </c>
      <c r="Z343" s="90"/>
      <c r="AA343" s="91" t="s">
        <v>283</v>
      </c>
      <c r="AB343" s="90" t="s">
        <v>2077</v>
      </c>
      <c r="AC343" s="90"/>
      <c r="AD343" s="90" t="s">
        <v>2064</v>
      </c>
      <c r="AE343" s="90" t="s">
        <v>1680</v>
      </c>
      <c r="AF343" s="90" t="s">
        <v>652</v>
      </c>
      <c r="AG343" s="92"/>
      <c r="AH343" s="93"/>
      <c r="AI343" s="93"/>
      <c r="AJ343" s="93"/>
      <c r="AK343" s="93"/>
      <c r="AL343" s="93"/>
      <c r="AM343" s="93"/>
      <c r="AN343" s="94"/>
      <c r="AO343" s="95"/>
      <c r="AP343" s="95" t="str">
        <f t="shared" si="33"/>
        <v>file://lootMay-state1-image0</v>
      </c>
      <c r="AQ343" s="95"/>
      <c r="AR343" s="94"/>
      <c r="AS343" s="95"/>
      <c r="AT343" s="95"/>
      <c r="AU343" s="95"/>
      <c r="AV343" s="95"/>
      <c r="AW343" s="92"/>
      <c r="AX343" s="93"/>
      <c r="AY343" s="93"/>
      <c r="AZ343" s="93"/>
      <c r="BA343" s="93"/>
      <c r="BB343" s="93"/>
      <c r="BC343" s="93"/>
      <c r="BD343" s="96">
        <v>2</v>
      </c>
      <c r="BE343" s="97" t="s">
        <v>38</v>
      </c>
      <c r="BF343" s="98"/>
      <c r="BG343" s="97"/>
      <c r="BH343" s="97" t="s">
        <v>283</v>
      </c>
      <c r="BI343" s="97" t="s">
        <v>2077</v>
      </c>
      <c r="BJ343" s="97"/>
      <c r="BK343" s="97"/>
      <c r="BL343" s="97" t="s">
        <v>2065</v>
      </c>
      <c r="BM343" s="97" t="s">
        <v>1684</v>
      </c>
      <c r="BN343" s="97" t="s">
        <v>652</v>
      </c>
      <c r="BO343" s="93"/>
      <c r="BP343" s="93"/>
      <c r="BQ343" s="93"/>
      <c r="BR343" s="93"/>
      <c r="BS343" s="93"/>
      <c r="BT343" s="93"/>
      <c r="BU343" s="93"/>
      <c r="BV343" s="99" t="s">
        <v>2078</v>
      </c>
      <c r="BW343" s="86" t="str">
        <f>VLOOKUP($C343, '_REF Catalog Classes'!$C$6:$E416, COLUMNS('_REF Catalog Classes'!$C$6:$E416), FALSE)</f>
        <v>always</v>
      </c>
      <c r="BX343" s="86"/>
      <c r="BY343" s="86"/>
      <c r="BZ343" s="95" t="s">
        <v>322</v>
      </c>
      <c r="CA343" s="100" t="str">
        <f ca="1">IFERROR(__xludf.DUMMYFUNCTION("IF(REGEXMATCH(Catalog_RewardType,""reward""), VLOOKUP($E343, {'TitleData rewards.items'!$J$9:$J416,'TitleData rewards.items'!$B$9:$B416}, 2, FALSE), """")"),"#N/A")</f>
        <v>#N/A</v>
      </c>
    </row>
    <row r="344" spans="1:79" ht="28" hidden="1" x14ac:dyDescent="0.15">
      <c r="A344" s="82" t="s">
        <v>491</v>
      </c>
      <c r="B344" s="83" t="b">
        <v>1</v>
      </c>
      <c r="C344" s="82" t="s">
        <v>1549</v>
      </c>
      <c r="D344" s="85" t="b">
        <f>VLOOKUP($C344, '_REF Catalog Classes'!$C$6:$D416, COLUMNS('_REF Catalog Classes'!$C$6:$D416), FALSE)</f>
        <v>1</v>
      </c>
      <c r="E344" s="82" t="s">
        <v>2079</v>
      </c>
      <c r="F344" s="82" t="str">
        <f t="shared" si="21"/>
        <v>lootJune:TRUE</v>
      </c>
      <c r="G344" s="86" t="s">
        <v>2061</v>
      </c>
      <c r="H344" s="217" t="s">
        <v>2062</v>
      </c>
      <c r="I344" s="82" t="s">
        <v>274</v>
      </c>
      <c r="J344" s="86"/>
      <c r="K344" s="86"/>
      <c r="L344" s="86"/>
      <c r="M344" s="86"/>
      <c r="N344" s="101" t="s">
        <v>1553</v>
      </c>
      <c r="O344" s="82"/>
      <c r="P344" s="82">
        <v>25</v>
      </c>
      <c r="Q344" s="88"/>
      <c r="R344" s="82"/>
      <c r="S344" s="82"/>
      <c r="T344" s="82"/>
      <c r="U344" s="82"/>
      <c r="V344" s="82"/>
      <c r="W344" s="89">
        <v>0</v>
      </c>
      <c r="X344" s="90" t="s">
        <v>37</v>
      </c>
      <c r="Y344" s="90" t="str">
        <f t="shared" si="32"/>
        <v>file://lootJune-state0-image0</v>
      </c>
      <c r="Z344" s="90"/>
      <c r="AA344" s="91" t="s">
        <v>283</v>
      </c>
      <c r="AB344" s="90" t="s">
        <v>2080</v>
      </c>
      <c r="AC344" s="90"/>
      <c r="AD344" s="90" t="s">
        <v>2064</v>
      </c>
      <c r="AE344" s="90" t="s">
        <v>1680</v>
      </c>
      <c r="AF344" s="90" t="s">
        <v>652</v>
      </c>
      <c r="AG344" s="92"/>
      <c r="AH344" s="93"/>
      <c r="AI344" s="93"/>
      <c r="AJ344" s="93"/>
      <c r="AK344" s="93"/>
      <c r="AL344" s="93"/>
      <c r="AM344" s="93"/>
      <c r="AN344" s="94"/>
      <c r="AO344" s="95"/>
      <c r="AP344" s="95" t="str">
        <f t="shared" si="33"/>
        <v>file://lootJune-state1-image0</v>
      </c>
      <c r="AQ344" s="95"/>
      <c r="AR344" s="94"/>
      <c r="AS344" s="95"/>
      <c r="AT344" s="95"/>
      <c r="AU344" s="95"/>
      <c r="AV344" s="95"/>
      <c r="AW344" s="92"/>
      <c r="AX344" s="93"/>
      <c r="AY344" s="93"/>
      <c r="AZ344" s="93"/>
      <c r="BA344" s="93"/>
      <c r="BB344" s="93"/>
      <c r="BC344" s="93"/>
      <c r="BD344" s="96">
        <v>2</v>
      </c>
      <c r="BE344" s="97" t="s">
        <v>38</v>
      </c>
      <c r="BF344" s="98"/>
      <c r="BG344" s="97"/>
      <c r="BH344" s="97" t="s">
        <v>283</v>
      </c>
      <c r="BI344" s="97" t="s">
        <v>2080</v>
      </c>
      <c r="BJ344" s="97"/>
      <c r="BK344" s="97"/>
      <c r="BL344" s="97" t="s">
        <v>2065</v>
      </c>
      <c r="BM344" s="97" t="s">
        <v>1684</v>
      </c>
      <c r="BN344" s="97" t="s">
        <v>652</v>
      </c>
      <c r="BO344" s="93"/>
      <c r="BP344" s="93"/>
      <c r="BQ344" s="93"/>
      <c r="BR344" s="93"/>
      <c r="BS344" s="93"/>
      <c r="BT344" s="93"/>
      <c r="BU344" s="93"/>
      <c r="BV344" s="99" t="s">
        <v>2081</v>
      </c>
      <c r="BW344" s="86" t="str">
        <f>VLOOKUP($C344, '_REF Catalog Classes'!$C$6:$E416, COLUMNS('_REF Catalog Classes'!$C$6:$E416), FALSE)</f>
        <v>always</v>
      </c>
      <c r="BX344" s="86"/>
      <c r="BY344" s="86"/>
      <c r="BZ344" s="95" t="s">
        <v>322</v>
      </c>
      <c r="CA344" s="100" t="str">
        <f ca="1">IFERROR(__xludf.DUMMYFUNCTION("IF(REGEXMATCH(Catalog_RewardType,""reward""), VLOOKUP($E344, {'TitleData rewards.items'!$J$9:$J416,'TitleData rewards.items'!$B$9:$B416}, 2, FALSE), """")"),"#N/A")</f>
        <v>#N/A</v>
      </c>
    </row>
    <row r="345" spans="1:79" ht="28" hidden="1" x14ac:dyDescent="0.15">
      <c r="A345" s="82" t="s">
        <v>491</v>
      </c>
      <c r="B345" s="83" t="b">
        <v>1</v>
      </c>
      <c r="C345" s="82" t="s">
        <v>1549</v>
      </c>
      <c r="D345" s="85" t="b">
        <f>VLOOKUP($C345, '_REF Catalog Classes'!$C$6:$D416, COLUMNS('_REF Catalog Classes'!$C$6:$D416), FALSE)</f>
        <v>1</v>
      </c>
      <c r="E345" s="82" t="s">
        <v>2082</v>
      </c>
      <c r="F345" s="82" t="str">
        <f t="shared" si="21"/>
        <v>lootJuly:TRUE</v>
      </c>
      <c r="G345" s="86" t="s">
        <v>2061</v>
      </c>
      <c r="H345" s="217" t="s">
        <v>2062</v>
      </c>
      <c r="I345" s="82" t="s">
        <v>274</v>
      </c>
      <c r="J345" s="86"/>
      <c r="K345" s="86"/>
      <c r="L345" s="86"/>
      <c r="M345" s="86"/>
      <c r="N345" s="101" t="s">
        <v>1553</v>
      </c>
      <c r="O345" s="82"/>
      <c r="P345" s="82">
        <v>26</v>
      </c>
      <c r="Q345" s="88"/>
      <c r="R345" s="82"/>
      <c r="S345" s="82"/>
      <c r="T345" s="82"/>
      <c r="U345" s="82"/>
      <c r="V345" s="82"/>
      <c r="W345" s="89">
        <v>0</v>
      </c>
      <c r="X345" s="90" t="s">
        <v>37</v>
      </c>
      <c r="Y345" s="90" t="str">
        <f t="shared" si="32"/>
        <v>file://lootJuly-state0-image0</v>
      </c>
      <c r="Z345" s="90"/>
      <c r="AA345" s="91" t="s">
        <v>283</v>
      </c>
      <c r="AB345" s="90" t="s">
        <v>2083</v>
      </c>
      <c r="AC345" s="90"/>
      <c r="AD345" s="90" t="s">
        <v>2064</v>
      </c>
      <c r="AE345" s="90" t="s">
        <v>1680</v>
      </c>
      <c r="AF345" s="90" t="s">
        <v>652</v>
      </c>
      <c r="AG345" s="92"/>
      <c r="AH345" s="93"/>
      <c r="AI345" s="93"/>
      <c r="AJ345" s="93"/>
      <c r="AK345" s="93"/>
      <c r="AL345" s="93"/>
      <c r="AM345" s="93"/>
      <c r="AN345" s="94"/>
      <c r="AO345" s="95"/>
      <c r="AP345" s="95" t="str">
        <f t="shared" si="33"/>
        <v>file://lootJuly-state1-image0</v>
      </c>
      <c r="AQ345" s="95"/>
      <c r="AR345" s="94"/>
      <c r="AS345" s="95"/>
      <c r="AT345" s="95"/>
      <c r="AU345" s="95"/>
      <c r="AV345" s="95"/>
      <c r="AW345" s="92"/>
      <c r="AX345" s="93"/>
      <c r="AY345" s="93"/>
      <c r="AZ345" s="93"/>
      <c r="BA345" s="93"/>
      <c r="BB345" s="93"/>
      <c r="BC345" s="93"/>
      <c r="BD345" s="96">
        <v>2</v>
      </c>
      <c r="BE345" s="97" t="s">
        <v>38</v>
      </c>
      <c r="BF345" s="98"/>
      <c r="BG345" s="97"/>
      <c r="BH345" s="97" t="s">
        <v>283</v>
      </c>
      <c r="BI345" s="97" t="s">
        <v>2083</v>
      </c>
      <c r="BJ345" s="97"/>
      <c r="BK345" s="97"/>
      <c r="BL345" s="97" t="s">
        <v>2065</v>
      </c>
      <c r="BM345" s="97" t="s">
        <v>1684</v>
      </c>
      <c r="BN345" s="97" t="s">
        <v>652</v>
      </c>
      <c r="BO345" s="93"/>
      <c r="BP345" s="93"/>
      <c r="BQ345" s="93"/>
      <c r="BR345" s="93"/>
      <c r="BS345" s="93"/>
      <c r="BT345" s="93"/>
      <c r="BU345" s="93"/>
      <c r="BV345" s="99" t="s">
        <v>2084</v>
      </c>
      <c r="BW345" s="86" t="str">
        <f>VLOOKUP($C345, '_REF Catalog Classes'!$C$6:$E416, COLUMNS('_REF Catalog Classes'!$C$6:$E416), FALSE)</f>
        <v>always</v>
      </c>
      <c r="BX345" s="86"/>
      <c r="BY345" s="86"/>
      <c r="BZ345" s="95" t="s">
        <v>322</v>
      </c>
      <c r="CA345" s="100" t="str">
        <f ca="1">IFERROR(__xludf.DUMMYFUNCTION("IF(REGEXMATCH(Catalog_RewardType,""reward""), VLOOKUP($E345, {'TitleData rewards.items'!$J$9:$J416,'TitleData rewards.items'!$B$9:$B416}, 2, FALSE), """")"),"#N/A")</f>
        <v>#N/A</v>
      </c>
    </row>
    <row r="346" spans="1:79" ht="28" hidden="1" x14ac:dyDescent="0.15">
      <c r="A346" s="82" t="s">
        <v>491</v>
      </c>
      <c r="B346" s="83" t="b">
        <v>1</v>
      </c>
      <c r="C346" s="82" t="s">
        <v>1549</v>
      </c>
      <c r="D346" s="85" t="b">
        <f>VLOOKUP($C346, '_REF Catalog Classes'!$C$6:$D416, COLUMNS('_REF Catalog Classes'!$C$6:$D416), FALSE)</f>
        <v>1</v>
      </c>
      <c r="E346" s="82" t="s">
        <v>2085</v>
      </c>
      <c r="F346" s="82" t="str">
        <f t="shared" si="21"/>
        <v>lootAugust:TRUE</v>
      </c>
      <c r="G346" s="86" t="s">
        <v>2061</v>
      </c>
      <c r="H346" s="217" t="s">
        <v>2062</v>
      </c>
      <c r="I346" s="82" t="s">
        <v>274</v>
      </c>
      <c r="J346" s="86"/>
      <c r="K346" s="86"/>
      <c r="L346" s="86"/>
      <c r="M346" s="86"/>
      <c r="N346" s="101" t="s">
        <v>1553</v>
      </c>
      <c r="O346" s="82"/>
      <c r="P346" s="82">
        <v>27</v>
      </c>
      <c r="Q346" s="88"/>
      <c r="R346" s="82"/>
      <c r="S346" s="82"/>
      <c r="T346" s="82"/>
      <c r="U346" s="82"/>
      <c r="V346" s="82"/>
      <c r="W346" s="89">
        <v>0</v>
      </c>
      <c r="X346" s="90" t="s">
        <v>37</v>
      </c>
      <c r="Y346" s="90" t="str">
        <f t="shared" si="32"/>
        <v>file://lootAugust-state0-image0</v>
      </c>
      <c r="Z346" s="90"/>
      <c r="AA346" s="91" t="s">
        <v>283</v>
      </c>
      <c r="AB346" s="90" t="s">
        <v>2086</v>
      </c>
      <c r="AC346" s="90"/>
      <c r="AD346" s="90" t="s">
        <v>2064</v>
      </c>
      <c r="AE346" s="90" t="s">
        <v>1680</v>
      </c>
      <c r="AF346" s="90" t="s">
        <v>652</v>
      </c>
      <c r="AG346" s="92"/>
      <c r="AH346" s="93"/>
      <c r="AI346" s="93"/>
      <c r="AJ346" s="93"/>
      <c r="AK346" s="93"/>
      <c r="AL346" s="93"/>
      <c r="AM346" s="93"/>
      <c r="AN346" s="94"/>
      <c r="AO346" s="95"/>
      <c r="AP346" s="95" t="str">
        <f t="shared" si="33"/>
        <v>file://lootAugust-state1-image0</v>
      </c>
      <c r="AQ346" s="95"/>
      <c r="AR346" s="94"/>
      <c r="AS346" s="95"/>
      <c r="AT346" s="95"/>
      <c r="AU346" s="95"/>
      <c r="AV346" s="95"/>
      <c r="AW346" s="92"/>
      <c r="AX346" s="93"/>
      <c r="AY346" s="93"/>
      <c r="AZ346" s="93"/>
      <c r="BA346" s="93"/>
      <c r="BB346" s="93"/>
      <c r="BC346" s="93"/>
      <c r="BD346" s="96">
        <v>2</v>
      </c>
      <c r="BE346" s="97" t="s">
        <v>38</v>
      </c>
      <c r="BF346" s="98"/>
      <c r="BG346" s="97"/>
      <c r="BH346" s="97" t="s">
        <v>283</v>
      </c>
      <c r="BI346" s="97" t="s">
        <v>2086</v>
      </c>
      <c r="BJ346" s="97"/>
      <c r="BK346" s="97"/>
      <c r="BL346" s="97" t="s">
        <v>2065</v>
      </c>
      <c r="BM346" s="97" t="s">
        <v>1684</v>
      </c>
      <c r="BN346" s="97" t="s">
        <v>652</v>
      </c>
      <c r="BO346" s="93"/>
      <c r="BP346" s="93"/>
      <c r="BQ346" s="93"/>
      <c r="BR346" s="93"/>
      <c r="BS346" s="93"/>
      <c r="BT346" s="93"/>
      <c r="BU346" s="93"/>
      <c r="BV346" s="99" t="s">
        <v>2087</v>
      </c>
      <c r="BW346" s="86" t="str">
        <f>VLOOKUP($C346, '_REF Catalog Classes'!$C$6:$E416, COLUMNS('_REF Catalog Classes'!$C$6:$E416), FALSE)</f>
        <v>always</v>
      </c>
      <c r="BX346" s="86"/>
      <c r="BY346" s="86"/>
      <c r="BZ346" s="95" t="s">
        <v>322</v>
      </c>
      <c r="CA346" s="100" t="str">
        <f ca="1">IFERROR(__xludf.DUMMYFUNCTION("IF(REGEXMATCH(Catalog_RewardType,""reward""), VLOOKUP($E346, {'TitleData rewards.items'!$J$9:$J416,'TitleData rewards.items'!$B$9:$B416}, 2, FALSE), """")"),"#N/A")</f>
        <v>#N/A</v>
      </c>
    </row>
    <row r="347" spans="1:79" ht="28" hidden="1" x14ac:dyDescent="0.15">
      <c r="A347" s="82" t="s">
        <v>491</v>
      </c>
      <c r="B347" s="83" t="b">
        <v>1</v>
      </c>
      <c r="C347" s="82" t="s">
        <v>1549</v>
      </c>
      <c r="D347" s="85" t="b">
        <f>VLOOKUP($C347, '_REF Catalog Classes'!$C$6:$D416, COLUMNS('_REF Catalog Classes'!$C$6:$D416), FALSE)</f>
        <v>1</v>
      </c>
      <c r="E347" s="82" t="s">
        <v>2088</v>
      </c>
      <c r="F347" s="82" t="str">
        <f t="shared" si="21"/>
        <v>lootSeptember:TRUE</v>
      </c>
      <c r="G347" s="86" t="s">
        <v>2061</v>
      </c>
      <c r="H347" s="217" t="s">
        <v>2062</v>
      </c>
      <c r="I347" s="82" t="s">
        <v>274</v>
      </c>
      <c r="J347" s="86"/>
      <c r="K347" s="86"/>
      <c r="L347" s="86"/>
      <c r="M347" s="86"/>
      <c r="N347" s="101" t="s">
        <v>1553</v>
      </c>
      <c r="O347" s="82"/>
      <c r="P347" s="82">
        <v>28</v>
      </c>
      <c r="Q347" s="88"/>
      <c r="R347" s="82"/>
      <c r="S347" s="82"/>
      <c r="T347" s="82"/>
      <c r="U347" s="82"/>
      <c r="V347" s="82"/>
      <c r="W347" s="89">
        <v>0</v>
      </c>
      <c r="X347" s="90" t="s">
        <v>37</v>
      </c>
      <c r="Y347" s="90" t="str">
        <f t="shared" si="32"/>
        <v>file://lootSeptember-state0-image0</v>
      </c>
      <c r="Z347" s="90"/>
      <c r="AA347" s="91" t="s">
        <v>283</v>
      </c>
      <c r="AB347" s="90" t="s">
        <v>2089</v>
      </c>
      <c r="AC347" s="90"/>
      <c r="AD347" s="90" t="s">
        <v>2064</v>
      </c>
      <c r="AE347" s="90" t="s">
        <v>1680</v>
      </c>
      <c r="AF347" s="90" t="s">
        <v>652</v>
      </c>
      <c r="AG347" s="92"/>
      <c r="AH347" s="93"/>
      <c r="AI347" s="93"/>
      <c r="AJ347" s="93"/>
      <c r="AK347" s="93"/>
      <c r="AL347" s="93"/>
      <c r="AM347" s="93"/>
      <c r="AN347" s="94"/>
      <c r="AO347" s="95"/>
      <c r="AP347" s="95" t="str">
        <f t="shared" si="33"/>
        <v>file://lootSeptember-state1-image0</v>
      </c>
      <c r="AQ347" s="95"/>
      <c r="AR347" s="94"/>
      <c r="AS347" s="95"/>
      <c r="AT347" s="95"/>
      <c r="AU347" s="95"/>
      <c r="AV347" s="95"/>
      <c r="AW347" s="92"/>
      <c r="AX347" s="93"/>
      <c r="AY347" s="93"/>
      <c r="AZ347" s="93"/>
      <c r="BA347" s="93"/>
      <c r="BB347" s="93"/>
      <c r="BC347" s="93"/>
      <c r="BD347" s="96">
        <v>2</v>
      </c>
      <c r="BE347" s="97" t="s">
        <v>38</v>
      </c>
      <c r="BF347" s="98"/>
      <c r="BG347" s="97"/>
      <c r="BH347" s="97" t="s">
        <v>283</v>
      </c>
      <c r="BI347" s="97" t="s">
        <v>2089</v>
      </c>
      <c r="BJ347" s="97"/>
      <c r="BK347" s="97"/>
      <c r="BL347" s="97" t="s">
        <v>2065</v>
      </c>
      <c r="BM347" s="97" t="s">
        <v>1684</v>
      </c>
      <c r="BN347" s="97" t="s">
        <v>652</v>
      </c>
      <c r="BO347" s="93"/>
      <c r="BP347" s="93"/>
      <c r="BQ347" s="93"/>
      <c r="BR347" s="93"/>
      <c r="BS347" s="93"/>
      <c r="BT347" s="93"/>
      <c r="BU347" s="93"/>
      <c r="BV347" s="99" t="s">
        <v>2090</v>
      </c>
      <c r="BW347" s="86" t="str">
        <f>VLOOKUP($C347, '_REF Catalog Classes'!$C$6:$E416, COLUMNS('_REF Catalog Classes'!$C$6:$E416), FALSE)</f>
        <v>always</v>
      </c>
      <c r="BX347" s="86"/>
      <c r="BY347" s="86"/>
      <c r="BZ347" s="95" t="s">
        <v>322</v>
      </c>
      <c r="CA347" s="100" t="str">
        <f ca="1">IFERROR(__xludf.DUMMYFUNCTION("IF(REGEXMATCH(Catalog_RewardType,""reward""), VLOOKUP($E347, {'TitleData rewards.items'!$J$9:$J416,'TitleData rewards.items'!$B$9:$B416}, 2, FALSE), """")"),"#N/A")</f>
        <v>#N/A</v>
      </c>
    </row>
    <row r="348" spans="1:79" ht="28" hidden="1" x14ac:dyDescent="0.15">
      <c r="A348" s="82" t="s">
        <v>491</v>
      </c>
      <c r="B348" s="83" t="b">
        <v>1</v>
      </c>
      <c r="C348" s="82" t="s">
        <v>1549</v>
      </c>
      <c r="D348" s="85" t="b">
        <f>VLOOKUP($C348, '_REF Catalog Classes'!$C$6:$D416, COLUMNS('_REF Catalog Classes'!$C$6:$D416), FALSE)</f>
        <v>1</v>
      </c>
      <c r="E348" s="82" t="s">
        <v>2091</v>
      </c>
      <c r="F348" s="82" t="str">
        <f t="shared" si="21"/>
        <v>lootOctober:TRUE</v>
      </c>
      <c r="G348" s="86" t="s">
        <v>2061</v>
      </c>
      <c r="H348" s="217" t="s">
        <v>2062</v>
      </c>
      <c r="I348" s="82" t="s">
        <v>274</v>
      </c>
      <c r="J348" s="86"/>
      <c r="K348" s="86"/>
      <c r="L348" s="86"/>
      <c r="M348" s="86"/>
      <c r="N348" s="101" t="s">
        <v>1553</v>
      </c>
      <c r="O348" s="82"/>
      <c r="P348" s="82">
        <v>29</v>
      </c>
      <c r="Q348" s="88"/>
      <c r="R348" s="82"/>
      <c r="S348" s="82"/>
      <c r="T348" s="82"/>
      <c r="U348" s="82"/>
      <c r="V348" s="82"/>
      <c r="W348" s="89">
        <v>0</v>
      </c>
      <c r="X348" s="90" t="s">
        <v>37</v>
      </c>
      <c r="Y348" s="90" t="str">
        <f t="shared" si="32"/>
        <v>file://lootOctober-state0-image0</v>
      </c>
      <c r="Z348" s="90"/>
      <c r="AA348" s="91" t="s">
        <v>283</v>
      </c>
      <c r="AB348" s="90" t="s">
        <v>2092</v>
      </c>
      <c r="AC348" s="90"/>
      <c r="AD348" s="90" t="s">
        <v>2064</v>
      </c>
      <c r="AE348" s="90" t="s">
        <v>1680</v>
      </c>
      <c r="AF348" s="90" t="s">
        <v>652</v>
      </c>
      <c r="AG348" s="92"/>
      <c r="AH348" s="93"/>
      <c r="AI348" s="93"/>
      <c r="AJ348" s="93"/>
      <c r="AK348" s="93"/>
      <c r="AL348" s="93"/>
      <c r="AM348" s="93"/>
      <c r="AN348" s="94"/>
      <c r="AO348" s="95"/>
      <c r="AP348" s="95" t="str">
        <f t="shared" si="33"/>
        <v>file://lootOctober-state1-image0</v>
      </c>
      <c r="AQ348" s="95"/>
      <c r="AR348" s="94"/>
      <c r="AS348" s="95"/>
      <c r="AT348" s="95"/>
      <c r="AU348" s="95"/>
      <c r="AV348" s="95"/>
      <c r="AW348" s="92"/>
      <c r="AX348" s="93"/>
      <c r="AY348" s="93"/>
      <c r="AZ348" s="93"/>
      <c r="BA348" s="93"/>
      <c r="BB348" s="93"/>
      <c r="BC348" s="93"/>
      <c r="BD348" s="96">
        <v>2</v>
      </c>
      <c r="BE348" s="97" t="s">
        <v>38</v>
      </c>
      <c r="BF348" s="98"/>
      <c r="BG348" s="97"/>
      <c r="BH348" s="97" t="s">
        <v>283</v>
      </c>
      <c r="BI348" s="97" t="s">
        <v>2092</v>
      </c>
      <c r="BJ348" s="97"/>
      <c r="BK348" s="97"/>
      <c r="BL348" s="97" t="s">
        <v>2065</v>
      </c>
      <c r="BM348" s="97" t="s">
        <v>1684</v>
      </c>
      <c r="BN348" s="97" t="s">
        <v>652</v>
      </c>
      <c r="BO348" s="93"/>
      <c r="BP348" s="93"/>
      <c r="BQ348" s="93"/>
      <c r="BR348" s="93"/>
      <c r="BS348" s="93"/>
      <c r="BT348" s="93"/>
      <c r="BU348" s="93"/>
      <c r="BV348" s="99" t="s">
        <v>2093</v>
      </c>
      <c r="BW348" s="86" t="str">
        <f>VLOOKUP($C348, '_REF Catalog Classes'!$C$6:$E416, COLUMNS('_REF Catalog Classes'!$C$6:$E416), FALSE)</f>
        <v>always</v>
      </c>
      <c r="BX348" s="86"/>
      <c r="BY348" s="86"/>
      <c r="BZ348" s="95" t="s">
        <v>322</v>
      </c>
      <c r="CA348" s="100" t="str">
        <f ca="1">IFERROR(__xludf.DUMMYFUNCTION("IF(REGEXMATCH(Catalog_RewardType,""reward""), VLOOKUP($E348, {'TitleData rewards.items'!$J$9:$J416,'TitleData rewards.items'!$B$9:$B416}, 2, FALSE), """")"),"#N/A")</f>
        <v>#N/A</v>
      </c>
    </row>
    <row r="349" spans="1:79" ht="28" hidden="1" x14ac:dyDescent="0.15">
      <c r="A349" s="82" t="s">
        <v>491</v>
      </c>
      <c r="B349" s="83" t="b">
        <v>1</v>
      </c>
      <c r="C349" s="82" t="s">
        <v>1549</v>
      </c>
      <c r="D349" s="85" t="b">
        <f>VLOOKUP($C349, '_REF Catalog Classes'!$C$6:$D416, COLUMNS('_REF Catalog Classes'!$C$6:$D416), FALSE)</f>
        <v>1</v>
      </c>
      <c r="E349" s="82" t="s">
        <v>2094</v>
      </c>
      <c r="F349" s="82" t="str">
        <f t="shared" si="21"/>
        <v>lootNovember:TRUE</v>
      </c>
      <c r="G349" s="86" t="s">
        <v>2061</v>
      </c>
      <c r="H349" s="217" t="s">
        <v>2062</v>
      </c>
      <c r="I349" s="82" t="s">
        <v>274</v>
      </c>
      <c r="J349" s="86"/>
      <c r="K349" s="86"/>
      <c r="L349" s="86"/>
      <c r="M349" s="86"/>
      <c r="N349" s="101" t="s">
        <v>1553</v>
      </c>
      <c r="O349" s="82"/>
      <c r="P349" s="82">
        <v>30</v>
      </c>
      <c r="Q349" s="88"/>
      <c r="R349" s="82"/>
      <c r="S349" s="82"/>
      <c r="T349" s="82"/>
      <c r="U349" s="82"/>
      <c r="V349" s="82"/>
      <c r="W349" s="89">
        <v>0</v>
      </c>
      <c r="X349" s="90" t="s">
        <v>37</v>
      </c>
      <c r="Y349" s="90" t="str">
        <f t="shared" si="32"/>
        <v>file://lootNovember-state0-image0</v>
      </c>
      <c r="Z349" s="90"/>
      <c r="AA349" s="91" t="s">
        <v>283</v>
      </c>
      <c r="AB349" s="90" t="s">
        <v>2095</v>
      </c>
      <c r="AC349" s="90"/>
      <c r="AD349" s="90" t="s">
        <v>2064</v>
      </c>
      <c r="AE349" s="90" t="s">
        <v>1680</v>
      </c>
      <c r="AF349" s="90" t="s">
        <v>652</v>
      </c>
      <c r="AG349" s="92"/>
      <c r="AH349" s="93"/>
      <c r="AI349" s="93"/>
      <c r="AJ349" s="93"/>
      <c r="AK349" s="93"/>
      <c r="AL349" s="93"/>
      <c r="AM349" s="93"/>
      <c r="AN349" s="94"/>
      <c r="AO349" s="95"/>
      <c r="AP349" s="95" t="str">
        <f t="shared" si="33"/>
        <v>file://lootNovember-state1-image0</v>
      </c>
      <c r="AQ349" s="95"/>
      <c r="AR349" s="94"/>
      <c r="AS349" s="95"/>
      <c r="AT349" s="95"/>
      <c r="AU349" s="95"/>
      <c r="AV349" s="95"/>
      <c r="AW349" s="92"/>
      <c r="AX349" s="93"/>
      <c r="AY349" s="93"/>
      <c r="AZ349" s="93"/>
      <c r="BA349" s="93"/>
      <c r="BB349" s="93"/>
      <c r="BC349" s="93"/>
      <c r="BD349" s="96">
        <v>2</v>
      </c>
      <c r="BE349" s="97" t="s">
        <v>38</v>
      </c>
      <c r="BF349" s="98"/>
      <c r="BG349" s="97"/>
      <c r="BH349" s="97" t="s">
        <v>283</v>
      </c>
      <c r="BI349" s="97" t="s">
        <v>2095</v>
      </c>
      <c r="BJ349" s="97"/>
      <c r="BK349" s="97"/>
      <c r="BL349" s="97" t="s">
        <v>2065</v>
      </c>
      <c r="BM349" s="97" t="s">
        <v>1684</v>
      </c>
      <c r="BN349" s="97" t="s">
        <v>652</v>
      </c>
      <c r="BO349" s="93"/>
      <c r="BP349" s="93"/>
      <c r="BQ349" s="93"/>
      <c r="BR349" s="93"/>
      <c r="BS349" s="93"/>
      <c r="BT349" s="93"/>
      <c r="BU349" s="93"/>
      <c r="BV349" s="99" t="s">
        <v>2096</v>
      </c>
      <c r="BW349" s="86" t="str">
        <f>VLOOKUP($C349, '_REF Catalog Classes'!$C$6:$E416, COLUMNS('_REF Catalog Classes'!$C$6:$E416), FALSE)</f>
        <v>always</v>
      </c>
      <c r="BX349" s="86"/>
      <c r="BY349" s="86"/>
      <c r="BZ349" s="95" t="s">
        <v>322</v>
      </c>
      <c r="CA349" s="100" t="str">
        <f ca="1">IFERROR(__xludf.DUMMYFUNCTION("IF(REGEXMATCH(Catalog_RewardType,""reward""), VLOOKUP($E349, {'TitleData rewards.items'!$J$9:$J416,'TitleData rewards.items'!$B$9:$B416}, 2, FALSE), """")"),"#N/A")</f>
        <v>#N/A</v>
      </c>
    </row>
    <row r="350" spans="1:79" ht="28" hidden="1" x14ac:dyDescent="0.15">
      <c r="A350" s="82" t="s">
        <v>491</v>
      </c>
      <c r="B350" s="83" t="b">
        <v>1</v>
      </c>
      <c r="C350" s="82" t="s">
        <v>1549</v>
      </c>
      <c r="D350" s="85" t="b">
        <f>VLOOKUP($C350, '_REF Catalog Classes'!$C$6:$D416, COLUMNS('_REF Catalog Classes'!$C$6:$D416), FALSE)</f>
        <v>1</v>
      </c>
      <c r="E350" s="82" t="s">
        <v>2097</v>
      </c>
      <c r="F350" s="82" t="str">
        <f t="shared" si="21"/>
        <v>lootDecember:TRUE</v>
      </c>
      <c r="G350" s="86" t="s">
        <v>2061</v>
      </c>
      <c r="H350" s="217" t="s">
        <v>2062</v>
      </c>
      <c r="I350" s="82" t="s">
        <v>274</v>
      </c>
      <c r="J350" s="86"/>
      <c r="K350" s="86"/>
      <c r="L350" s="86"/>
      <c r="M350" s="86"/>
      <c r="N350" s="101" t="s">
        <v>1553</v>
      </c>
      <c r="O350" s="82"/>
      <c r="P350" s="82">
        <v>31</v>
      </c>
      <c r="Q350" s="88"/>
      <c r="R350" s="82"/>
      <c r="S350" s="82"/>
      <c r="T350" s="82"/>
      <c r="U350" s="82"/>
      <c r="V350" s="82"/>
      <c r="W350" s="89">
        <v>0</v>
      </c>
      <c r="X350" s="90" t="s">
        <v>37</v>
      </c>
      <c r="Y350" s="90" t="str">
        <f t="shared" si="32"/>
        <v>file://lootDecember-state0-image0</v>
      </c>
      <c r="Z350" s="90"/>
      <c r="AA350" s="91" t="s">
        <v>283</v>
      </c>
      <c r="AB350" s="90" t="s">
        <v>2098</v>
      </c>
      <c r="AC350" s="90"/>
      <c r="AD350" s="90" t="s">
        <v>2064</v>
      </c>
      <c r="AE350" s="90" t="s">
        <v>1680</v>
      </c>
      <c r="AF350" s="90" t="s">
        <v>652</v>
      </c>
      <c r="AG350" s="92"/>
      <c r="AH350" s="93"/>
      <c r="AI350" s="93"/>
      <c r="AJ350" s="93"/>
      <c r="AK350" s="93"/>
      <c r="AL350" s="93"/>
      <c r="AM350" s="93"/>
      <c r="AN350" s="94"/>
      <c r="AO350" s="95"/>
      <c r="AP350" s="95" t="str">
        <f t="shared" si="33"/>
        <v>file://lootDecember-state1-image0</v>
      </c>
      <c r="AQ350" s="95"/>
      <c r="AR350" s="94"/>
      <c r="AS350" s="95"/>
      <c r="AT350" s="95"/>
      <c r="AU350" s="95"/>
      <c r="AV350" s="95"/>
      <c r="AW350" s="92"/>
      <c r="AX350" s="93"/>
      <c r="AY350" s="93"/>
      <c r="AZ350" s="93"/>
      <c r="BA350" s="93"/>
      <c r="BB350" s="93"/>
      <c r="BC350" s="93"/>
      <c r="BD350" s="96">
        <v>2</v>
      </c>
      <c r="BE350" s="97" t="s">
        <v>38</v>
      </c>
      <c r="BF350" s="98"/>
      <c r="BG350" s="97"/>
      <c r="BH350" s="97" t="s">
        <v>283</v>
      </c>
      <c r="BI350" s="97" t="s">
        <v>2098</v>
      </c>
      <c r="BJ350" s="97"/>
      <c r="BK350" s="97"/>
      <c r="BL350" s="97" t="s">
        <v>2065</v>
      </c>
      <c r="BM350" s="97" t="s">
        <v>1684</v>
      </c>
      <c r="BN350" s="97" t="s">
        <v>652</v>
      </c>
      <c r="BO350" s="93"/>
      <c r="BP350" s="93"/>
      <c r="BQ350" s="93"/>
      <c r="BR350" s="93"/>
      <c r="BS350" s="93"/>
      <c r="BT350" s="93"/>
      <c r="BU350" s="93"/>
      <c r="BV350" s="99" t="s">
        <v>2099</v>
      </c>
      <c r="BW350" s="86" t="str">
        <f>VLOOKUP($C350, '_REF Catalog Classes'!$C$6:$E416, COLUMNS('_REF Catalog Classes'!$C$6:$E416), FALSE)</f>
        <v>always</v>
      </c>
      <c r="BX350" s="86"/>
      <c r="BY350" s="86"/>
      <c r="BZ350" s="95" t="s">
        <v>322</v>
      </c>
      <c r="CA350" s="100" t="str">
        <f ca="1">IFERROR(__xludf.DUMMYFUNCTION("IF(REGEXMATCH(Catalog_RewardType,""reward""), VLOOKUP($E350, {'TitleData rewards.items'!$J$9:$J416,'TitleData rewards.items'!$B$9:$B416}, 2, FALSE), """")"),"#N/A")</f>
        <v>#N/A</v>
      </c>
    </row>
    <row r="351" spans="1:79" ht="42" hidden="1" x14ac:dyDescent="0.15">
      <c r="A351" s="82" t="s">
        <v>491</v>
      </c>
      <c r="B351" s="83" t="b">
        <v>1</v>
      </c>
      <c r="C351" s="82" t="s">
        <v>811</v>
      </c>
      <c r="D351" s="85" t="b">
        <f>VLOOKUP($C351, '_REF Catalog Classes'!$C$6:$D416, COLUMNS('_REF Catalog Classes'!$C$6:$D416), FALSE)</f>
        <v>1</v>
      </c>
      <c r="E351" s="82" t="s">
        <v>2100</v>
      </c>
      <c r="F351" s="82" t="str">
        <f t="shared" si="21"/>
        <v>actionLootLocation21:TRUE</v>
      </c>
      <c r="G351" s="106" t="s">
        <v>904</v>
      </c>
      <c r="H351" s="217" t="s">
        <v>1670</v>
      </c>
      <c r="I351" s="82" t="s">
        <v>815</v>
      </c>
      <c r="J351" s="82" t="s">
        <v>275</v>
      </c>
      <c r="K351" s="82" t="s">
        <v>275</v>
      </c>
      <c r="L351" s="82"/>
      <c r="M351" s="82"/>
      <c r="N351" s="101"/>
      <c r="O351" s="82"/>
      <c r="P351" s="82"/>
      <c r="Q351" s="88"/>
      <c r="R351" s="82"/>
      <c r="S351" s="82"/>
      <c r="T351" s="82"/>
      <c r="U351" s="82"/>
      <c r="V351" s="82"/>
      <c r="W351" s="89"/>
      <c r="X351" s="90"/>
      <c r="Y351" s="90" t="str">
        <f t="shared" si="32"/>
        <v>file://actionLootLocation21-state0-image0</v>
      </c>
      <c r="Z351" s="90"/>
      <c r="AA351" s="89"/>
      <c r="AB351" s="90"/>
      <c r="AC351" s="90"/>
      <c r="AD351" s="90"/>
      <c r="AE351" s="90"/>
      <c r="AF351" s="90"/>
      <c r="AG351" s="92"/>
      <c r="AH351" s="93"/>
      <c r="AI351" s="93"/>
      <c r="AJ351" s="93"/>
      <c r="AK351" s="93"/>
      <c r="AL351" s="93"/>
      <c r="AM351" s="93"/>
      <c r="AN351" s="94"/>
      <c r="AO351" s="95"/>
      <c r="AP351" s="95" t="str">
        <f t="shared" si="33"/>
        <v>file://actionLootLocation21-state1-image0</v>
      </c>
      <c r="AQ351" s="95"/>
      <c r="AR351" s="94"/>
      <c r="AS351" s="95"/>
      <c r="AT351" s="95"/>
      <c r="AU351" s="95"/>
      <c r="AV351" s="95"/>
      <c r="AW351" s="92"/>
      <c r="AX351" s="93"/>
      <c r="AY351" s="93"/>
      <c r="AZ351" s="93"/>
      <c r="BA351" s="93"/>
      <c r="BB351" s="93"/>
      <c r="BC351" s="93"/>
      <c r="BD351" s="168"/>
      <c r="BE351" s="97"/>
      <c r="BF351" s="98"/>
      <c r="BG351" s="97"/>
      <c r="BH351" s="168"/>
      <c r="BI351" s="97"/>
      <c r="BJ351" s="97"/>
      <c r="BK351" s="97"/>
      <c r="BL351" s="97"/>
      <c r="BM351" s="97"/>
      <c r="BN351" s="97"/>
      <c r="BO351" s="93"/>
      <c r="BP351" s="93"/>
      <c r="BQ351" s="93"/>
      <c r="BR351" s="93"/>
      <c r="BS351" s="93"/>
      <c r="BT351" s="93"/>
      <c r="BU351" s="93"/>
      <c r="BV351" s="113"/>
      <c r="BW351" s="82"/>
      <c r="BX351" s="82"/>
      <c r="BY351" s="82"/>
      <c r="BZ351" s="82"/>
      <c r="CA351" s="100" t="str">
        <f ca="1">IFERROR(__xludf.DUMMYFUNCTION("IF(REGEXMATCH(Catalog_RewardType,""reward""), VLOOKUP($E351, {'TitleData rewards.items'!$J$9:$J416,'TitleData rewards.items'!$B$9:$B416}, 2, FALSE), """")"),"")</f>
        <v/>
      </c>
    </row>
    <row r="352" spans="1:79" ht="28" hidden="1" x14ac:dyDescent="0.15">
      <c r="A352" s="82" t="s">
        <v>491</v>
      </c>
      <c r="B352" s="83" t="b">
        <v>1</v>
      </c>
      <c r="C352" s="82" t="s">
        <v>2101</v>
      </c>
      <c r="D352" s="85" t="e">
        <f>VLOOKUP($C352, '_REF Catalog Classes'!$C$6:$D416, COLUMNS('_REF Catalog Classes'!$C$6:$D416), FALSE)</f>
        <v>#N/A</v>
      </c>
      <c r="E352" s="82" t="s">
        <v>2102</v>
      </c>
      <c r="F352" s="82" t="str">
        <f t="shared" si="21"/>
        <v>lootSomething21:TRUE</v>
      </c>
      <c r="G352" s="86" t="s">
        <v>2103</v>
      </c>
      <c r="H352" s="217" t="s">
        <v>2104</v>
      </c>
      <c r="I352" s="82" t="s">
        <v>847</v>
      </c>
      <c r="J352" s="86"/>
      <c r="K352" s="86"/>
      <c r="L352" s="86"/>
      <c r="M352" s="86"/>
      <c r="N352" s="101" t="s">
        <v>1678</v>
      </c>
      <c r="O352" s="82"/>
      <c r="P352" s="82">
        <v>21</v>
      </c>
      <c r="Q352" s="88"/>
      <c r="R352" s="82"/>
      <c r="S352" s="82"/>
      <c r="T352" s="82"/>
      <c r="U352" s="82"/>
      <c r="V352" s="82"/>
      <c r="W352" s="89">
        <v>0</v>
      </c>
      <c r="X352" s="90" t="s">
        <v>37</v>
      </c>
      <c r="Y352" s="90" t="str">
        <f t="shared" si="32"/>
        <v>file://lootSomething21-state0-image0</v>
      </c>
      <c r="Z352" s="90"/>
      <c r="AA352" s="91" t="s">
        <v>283</v>
      </c>
      <c r="AB352" s="90" t="s">
        <v>2105</v>
      </c>
      <c r="AC352" s="90"/>
      <c r="AD352" s="90" t="s">
        <v>2064</v>
      </c>
      <c r="AE352" s="93"/>
      <c r="AF352" s="90" t="s">
        <v>551</v>
      </c>
      <c r="AG352" s="92"/>
      <c r="AH352" s="93"/>
      <c r="AI352" s="93"/>
      <c r="AJ352" s="93"/>
      <c r="AK352" s="93"/>
      <c r="AL352" s="93"/>
      <c r="AM352" s="93"/>
      <c r="AN352" s="94"/>
      <c r="AO352" s="95"/>
      <c r="AP352" s="95" t="str">
        <f t="shared" si="33"/>
        <v>file://lootSomething21-state1-image0</v>
      </c>
      <c r="AQ352" s="95"/>
      <c r="AR352" s="94"/>
      <c r="AS352" s="95"/>
      <c r="AT352" s="95"/>
      <c r="AU352" s="95"/>
      <c r="AV352" s="95"/>
      <c r="AW352" s="92"/>
      <c r="AX352" s="93"/>
      <c r="AY352" s="93"/>
      <c r="AZ352" s="93"/>
      <c r="BA352" s="93"/>
      <c r="BB352" s="93"/>
      <c r="BC352" s="93"/>
      <c r="BD352" s="96">
        <v>2</v>
      </c>
      <c r="BE352" s="97" t="s">
        <v>38</v>
      </c>
      <c r="BF352" s="98"/>
      <c r="BG352" s="97"/>
      <c r="BH352" s="97" t="s">
        <v>283</v>
      </c>
      <c r="BI352" s="97" t="s">
        <v>2105</v>
      </c>
      <c r="BJ352" s="93"/>
      <c r="BK352" s="93"/>
      <c r="BL352" s="97" t="s">
        <v>2065</v>
      </c>
      <c r="BM352" s="93"/>
      <c r="BN352" s="97" t="s">
        <v>551</v>
      </c>
      <c r="BO352" s="93"/>
      <c r="BP352" s="93"/>
      <c r="BQ352" s="93"/>
      <c r="BR352" s="93"/>
      <c r="BS352" s="93"/>
      <c r="BT352" s="93"/>
      <c r="BU352" s="93"/>
      <c r="BV352" s="99" t="s">
        <v>2100</v>
      </c>
      <c r="BW352" s="86" t="e">
        <f>VLOOKUP($C352, '_REF Catalog Classes'!$C$6:$E416, COLUMNS('_REF Catalog Classes'!$C$6:$E416), FALSE)</f>
        <v>#N/A</v>
      </c>
      <c r="BX352" s="86"/>
      <c r="BY352" s="86"/>
      <c r="BZ352" s="86" t="s">
        <v>322</v>
      </c>
      <c r="CA352" s="100" t="str">
        <f ca="1">IFERROR(__xludf.DUMMYFUNCTION("IF(REGEXMATCH(Catalog_RewardType,""reward""), VLOOKUP($E352, {'TitleData rewards.items'!$J$9:$J416,'TitleData rewards.items'!$B$9:$B416}, 2, FALSE), """")"),"#N/A")</f>
        <v>#N/A</v>
      </c>
    </row>
    <row r="353" spans="1:79" ht="42" hidden="1" x14ac:dyDescent="0.15">
      <c r="A353" s="82" t="s">
        <v>491</v>
      </c>
      <c r="B353" s="83" t="b">
        <v>1</v>
      </c>
      <c r="C353" s="82" t="s">
        <v>811</v>
      </c>
      <c r="D353" s="85" t="b">
        <f>VLOOKUP($C353, '_REF Catalog Classes'!$C$6:$D416, COLUMNS('_REF Catalog Classes'!$C$6:$D416), FALSE)</f>
        <v>1</v>
      </c>
      <c r="E353" s="82" t="s">
        <v>2106</v>
      </c>
      <c r="F353" s="82" t="str">
        <f t="shared" si="21"/>
        <v>actionLootLocation22:TRUE</v>
      </c>
      <c r="G353" s="106" t="s">
        <v>904</v>
      </c>
      <c r="H353" s="217" t="s">
        <v>1670</v>
      </c>
      <c r="I353" s="82" t="s">
        <v>815</v>
      </c>
      <c r="J353" s="82" t="s">
        <v>275</v>
      </c>
      <c r="K353" s="82" t="s">
        <v>275</v>
      </c>
      <c r="L353" s="82"/>
      <c r="M353" s="82"/>
      <c r="N353" s="101"/>
      <c r="O353" s="82"/>
      <c r="P353" s="82"/>
      <c r="Q353" s="88"/>
      <c r="R353" s="82"/>
      <c r="S353" s="82"/>
      <c r="T353" s="82"/>
      <c r="U353" s="82"/>
      <c r="V353" s="82"/>
      <c r="W353" s="89"/>
      <c r="X353" s="90"/>
      <c r="Y353" s="90" t="str">
        <f t="shared" si="32"/>
        <v>file://actionLootLocation22-state0-image0</v>
      </c>
      <c r="Z353" s="90"/>
      <c r="AA353" s="89"/>
      <c r="AB353" s="90"/>
      <c r="AC353" s="90"/>
      <c r="AD353" s="90"/>
      <c r="AE353" s="90"/>
      <c r="AF353" s="90"/>
      <c r="AG353" s="92"/>
      <c r="AH353" s="93"/>
      <c r="AI353" s="93"/>
      <c r="AJ353" s="93"/>
      <c r="AK353" s="93"/>
      <c r="AL353" s="93"/>
      <c r="AM353" s="93"/>
      <c r="AN353" s="94"/>
      <c r="AO353" s="95"/>
      <c r="AP353" s="95" t="str">
        <f t="shared" si="33"/>
        <v>file://actionLootLocation22-state1-image0</v>
      </c>
      <c r="AQ353" s="95"/>
      <c r="AR353" s="94"/>
      <c r="AS353" s="95"/>
      <c r="AT353" s="95"/>
      <c r="AU353" s="95"/>
      <c r="AV353" s="95"/>
      <c r="AW353" s="92"/>
      <c r="AX353" s="93"/>
      <c r="AY353" s="93"/>
      <c r="AZ353" s="93"/>
      <c r="BA353" s="93"/>
      <c r="BB353" s="93"/>
      <c r="BC353" s="93"/>
      <c r="BD353" s="168"/>
      <c r="BE353" s="97"/>
      <c r="BF353" s="98"/>
      <c r="BG353" s="97"/>
      <c r="BH353" s="168"/>
      <c r="BI353" s="97"/>
      <c r="BJ353" s="97"/>
      <c r="BK353" s="97"/>
      <c r="BL353" s="97"/>
      <c r="BM353" s="97"/>
      <c r="BN353" s="97"/>
      <c r="BO353" s="93"/>
      <c r="BP353" s="93"/>
      <c r="BQ353" s="93"/>
      <c r="BR353" s="93"/>
      <c r="BS353" s="93"/>
      <c r="BT353" s="93"/>
      <c r="BU353" s="93"/>
      <c r="BV353" s="113"/>
      <c r="BW353" s="82"/>
      <c r="BX353" s="82"/>
      <c r="BY353" s="82"/>
      <c r="BZ353" s="82"/>
      <c r="CA353" s="100" t="str">
        <f ca="1">IFERROR(__xludf.DUMMYFUNCTION("IF(REGEXMATCH(Catalog_RewardType,""reward""), VLOOKUP($E353, {'TitleData rewards.items'!$J$9:$J416,'TitleData rewards.items'!$B$9:$B416}, 2, FALSE), """")"),"")</f>
        <v/>
      </c>
    </row>
    <row r="354" spans="1:79" ht="42" hidden="1" x14ac:dyDescent="0.15">
      <c r="A354" s="82" t="s">
        <v>491</v>
      </c>
      <c r="B354" s="83" t="b">
        <v>1</v>
      </c>
      <c r="C354" s="82" t="s">
        <v>811</v>
      </c>
      <c r="D354" s="85" t="b">
        <f>VLOOKUP($C354, '_REF Catalog Classes'!$C$6:$D416, COLUMNS('_REF Catalog Classes'!$C$6:$D416), FALSE)</f>
        <v>1</v>
      </c>
      <c r="E354" s="82" t="s">
        <v>2107</v>
      </c>
      <c r="F354" s="82" t="str">
        <f t="shared" si="21"/>
        <v>actionLootLocation23:TRUE</v>
      </c>
      <c r="G354" s="106" t="s">
        <v>904</v>
      </c>
      <c r="H354" s="217" t="s">
        <v>1670</v>
      </c>
      <c r="I354" s="82" t="s">
        <v>815</v>
      </c>
      <c r="J354" s="82" t="s">
        <v>275</v>
      </c>
      <c r="K354" s="82" t="s">
        <v>275</v>
      </c>
      <c r="L354" s="82"/>
      <c r="M354" s="82"/>
      <c r="N354" s="101"/>
      <c r="O354" s="82"/>
      <c r="P354" s="82"/>
      <c r="Q354" s="88"/>
      <c r="R354" s="82"/>
      <c r="S354" s="82"/>
      <c r="T354" s="82"/>
      <c r="U354" s="82"/>
      <c r="V354" s="82"/>
      <c r="W354" s="89"/>
      <c r="X354" s="90"/>
      <c r="Y354" s="90" t="str">
        <f t="shared" si="32"/>
        <v>file://actionLootLocation23-state0-image0</v>
      </c>
      <c r="Z354" s="90"/>
      <c r="AA354" s="89"/>
      <c r="AB354" s="90"/>
      <c r="AC354" s="90"/>
      <c r="AD354" s="90"/>
      <c r="AE354" s="90"/>
      <c r="AF354" s="90"/>
      <c r="AG354" s="92"/>
      <c r="AH354" s="93"/>
      <c r="AI354" s="93"/>
      <c r="AJ354" s="93"/>
      <c r="AK354" s="93"/>
      <c r="AL354" s="93"/>
      <c r="AM354" s="93"/>
      <c r="AN354" s="94"/>
      <c r="AO354" s="95"/>
      <c r="AP354" s="95" t="str">
        <f t="shared" si="33"/>
        <v>file://actionLootLocation23-state1-image0</v>
      </c>
      <c r="AQ354" s="95"/>
      <c r="AR354" s="94"/>
      <c r="AS354" s="95"/>
      <c r="AT354" s="95"/>
      <c r="AU354" s="95"/>
      <c r="AV354" s="95"/>
      <c r="AW354" s="92"/>
      <c r="AX354" s="93"/>
      <c r="AY354" s="93"/>
      <c r="AZ354" s="93"/>
      <c r="BA354" s="93"/>
      <c r="BB354" s="93"/>
      <c r="BC354" s="93"/>
      <c r="BD354" s="168"/>
      <c r="BE354" s="97"/>
      <c r="BF354" s="98"/>
      <c r="BG354" s="97"/>
      <c r="BH354" s="168"/>
      <c r="BI354" s="97"/>
      <c r="BJ354" s="97"/>
      <c r="BK354" s="97"/>
      <c r="BL354" s="97"/>
      <c r="BM354" s="97"/>
      <c r="BN354" s="97"/>
      <c r="BO354" s="93"/>
      <c r="BP354" s="93"/>
      <c r="BQ354" s="93"/>
      <c r="BR354" s="93"/>
      <c r="BS354" s="93"/>
      <c r="BT354" s="93"/>
      <c r="BU354" s="93"/>
      <c r="BV354" s="113"/>
      <c r="BW354" s="82"/>
      <c r="BX354" s="82"/>
      <c r="BY354" s="82"/>
      <c r="BZ354" s="82"/>
      <c r="CA354" s="100" t="str">
        <f ca="1">IFERROR(__xludf.DUMMYFUNCTION("IF(REGEXMATCH(Catalog_RewardType,""reward""), VLOOKUP($E354, {'TitleData rewards.items'!$J$9:$J416,'TitleData rewards.items'!$B$9:$B416}, 2, FALSE), """")"),"")</f>
        <v/>
      </c>
    </row>
    <row r="355" spans="1:79" ht="42" hidden="1" x14ac:dyDescent="0.15">
      <c r="A355" s="82" t="s">
        <v>491</v>
      </c>
      <c r="B355" s="83" t="b">
        <v>1</v>
      </c>
      <c r="C355" s="82" t="s">
        <v>811</v>
      </c>
      <c r="D355" s="85" t="b">
        <f>VLOOKUP($C355, '_REF Catalog Classes'!$C$6:$D416, COLUMNS('_REF Catalog Classes'!$C$6:$D416), FALSE)</f>
        <v>1</v>
      </c>
      <c r="E355" s="82" t="s">
        <v>2108</v>
      </c>
      <c r="F355" s="82" t="str">
        <f t="shared" si="21"/>
        <v>actionLootLocation24:TRUE</v>
      </c>
      <c r="G355" s="106" t="s">
        <v>904</v>
      </c>
      <c r="H355" s="217" t="s">
        <v>1670</v>
      </c>
      <c r="I355" s="82" t="s">
        <v>815</v>
      </c>
      <c r="J355" s="82" t="s">
        <v>275</v>
      </c>
      <c r="K355" s="82" t="s">
        <v>275</v>
      </c>
      <c r="L355" s="82"/>
      <c r="M355" s="82"/>
      <c r="N355" s="101"/>
      <c r="O355" s="82"/>
      <c r="P355" s="82"/>
      <c r="Q355" s="88"/>
      <c r="R355" s="82"/>
      <c r="S355" s="82"/>
      <c r="T355" s="82"/>
      <c r="U355" s="82"/>
      <c r="V355" s="82"/>
      <c r="W355" s="89"/>
      <c r="X355" s="90"/>
      <c r="Y355" s="90" t="str">
        <f t="shared" si="32"/>
        <v>file://actionLootLocation24-state0-image0</v>
      </c>
      <c r="Z355" s="90"/>
      <c r="AA355" s="89"/>
      <c r="AB355" s="90"/>
      <c r="AC355" s="90"/>
      <c r="AD355" s="90"/>
      <c r="AE355" s="90"/>
      <c r="AF355" s="90"/>
      <c r="AG355" s="92"/>
      <c r="AH355" s="93"/>
      <c r="AI355" s="93"/>
      <c r="AJ355" s="93"/>
      <c r="AK355" s="93"/>
      <c r="AL355" s="93"/>
      <c r="AM355" s="93"/>
      <c r="AN355" s="94"/>
      <c r="AO355" s="95"/>
      <c r="AP355" s="95" t="str">
        <f t="shared" si="33"/>
        <v>file://actionLootLocation24-state1-image0</v>
      </c>
      <c r="AQ355" s="95"/>
      <c r="AR355" s="94"/>
      <c r="AS355" s="95"/>
      <c r="AT355" s="95"/>
      <c r="AU355" s="95"/>
      <c r="AV355" s="95"/>
      <c r="AW355" s="92"/>
      <c r="AX355" s="93"/>
      <c r="AY355" s="93"/>
      <c r="AZ355" s="93"/>
      <c r="BA355" s="93"/>
      <c r="BB355" s="93"/>
      <c r="BC355" s="93"/>
      <c r="BD355" s="168"/>
      <c r="BE355" s="97"/>
      <c r="BF355" s="98"/>
      <c r="BG355" s="97"/>
      <c r="BH355" s="168"/>
      <c r="BI355" s="97"/>
      <c r="BJ355" s="97"/>
      <c r="BK355" s="97"/>
      <c r="BL355" s="97"/>
      <c r="BM355" s="97"/>
      <c r="BN355" s="97"/>
      <c r="BO355" s="93"/>
      <c r="BP355" s="93"/>
      <c r="BQ355" s="93"/>
      <c r="BR355" s="93"/>
      <c r="BS355" s="93"/>
      <c r="BT355" s="93"/>
      <c r="BU355" s="93"/>
      <c r="BV355" s="113"/>
      <c r="BW355" s="82"/>
      <c r="BX355" s="82"/>
      <c r="BY355" s="82"/>
      <c r="BZ355" s="82"/>
      <c r="CA355" s="100" t="str">
        <f ca="1">IFERROR(__xludf.DUMMYFUNCTION("IF(REGEXMATCH(Catalog_RewardType,""reward""), VLOOKUP($E355, {'TitleData rewards.items'!$J$9:$J416,'TitleData rewards.items'!$B$9:$B416}, 2, FALSE), """")"),"")</f>
        <v/>
      </c>
    </row>
    <row r="356" spans="1:79" ht="42" hidden="1" x14ac:dyDescent="0.15">
      <c r="A356" s="82" t="s">
        <v>491</v>
      </c>
      <c r="B356" s="83" t="b">
        <v>1</v>
      </c>
      <c r="C356" s="82" t="s">
        <v>811</v>
      </c>
      <c r="D356" s="85" t="b">
        <f>VLOOKUP($C356, '_REF Catalog Classes'!$C$6:$D416, COLUMNS('_REF Catalog Classes'!$C$6:$D416), FALSE)</f>
        <v>1</v>
      </c>
      <c r="E356" s="82" t="s">
        <v>2109</v>
      </c>
      <c r="F356" s="82" t="str">
        <f t="shared" si="21"/>
        <v>actionLootLocation25:TRUE</v>
      </c>
      <c r="G356" s="106" t="s">
        <v>904</v>
      </c>
      <c r="H356" s="217" t="s">
        <v>1670</v>
      </c>
      <c r="I356" s="82" t="s">
        <v>815</v>
      </c>
      <c r="J356" s="82" t="s">
        <v>275</v>
      </c>
      <c r="K356" s="82" t="s">
        <v>275</v>
      </c>
      <c r="L356" s="82"/>
      <c r="M356" s="82"/>
      <c r="N356" s="101"/>
      <c r="O356" s="82"/>
      <c r="P356" s="82"/>
      <c r="Q356" s="88"/>
      <c r="R356" s="82"/>
      <c r="S356" s="82"/>
      <c r="T356" s="82"/>
      <c r="U356" s="82"/>
      <c r="V356" s="82"/>
      <c r="W356" s="89"/>
      <c r="X356" s="90"/>
      <c r="Y356" s="90" t="str">
        <f t="shared" si="32"/>
        <v>file://actionLootLocation25-state0-image0</v>
      </c>
      <c r="Z356" s="90"/>
      <c r="AA356" s="89"/>
      <c r="AB356" s="90"/>
      <c r="AC356" s="90"/>
      <c r="AD356" s="90"/>
      <c r="AE356" s="90"/>
      <c r="AF356" s="90"/>
      <c r="AG356" s="92"/>
      <c r="AH356" s="93"/>
      <c r="AI356" s="93"/>
      <c r="AJ356" s="93"/>
      <c r="AK356" s="93"/>
      <c r="AL356" s="93"/>
      <c r="AM356" s="93"/>
      <c r="AN356" s="94"/>
      <c r="AO356" s="95"/>
      <c r="AP356" s="95" t="str">
        <f t="shared" si="33"/>
        <v>file://actionLootLocation25-state1-image0</v>
      </c>
      <c r="AQ356" s="95"/>
      <c r="AR356" s="94"/>
      <c r="AS356" s="95"/>
      <c r="AT356" s="95"/>
      <c r="AU356" s="95"/>
      <c r="AV356" s="95"/>
      <c r="AW356" s="92"/>
      <c r="AX356" s="93"/>
      <c r="AY356" s="93"/>
      <c r="AZ356" s="93"/>
      <c r="BA356" s="93"/>
      <c r="BB356" s="93"/>
      <c r="BC356" s="93"/>
      <c r="BD356" s="168"/>
      <c r="BE356" s="97"/>
      <c r="BF356" s="98"/>
      <c r="BG356" s="97"/>
      <c r="BH356" s="168"/>
      <c r="BI356" s="97"/>
      <c r="BJ356" s="97"/>
      <c r="BK356" s="97"/>
      <c r="BL356" s="97"/>
      <c r="BM356" s="97"/>
      <c r="BN356" s="97"/>
      <c r="BO356" s="93"/>
      <c r="BP356" s="93"/>
      <c r="BQ356" s="93"/>
      <c r="BR356" s="93"/>
      <c r="BS356" s="93"/>
      <c r="BT356" s="93"/>
      <c r="BU356" s="93"/>
      <c r="BV356" s="113"/>
      <c r="BW356" s="82"/>
      <c r="BX356" s="82"/>
      <c r="BY356" s="82"/>
      <c r="BZ356" s="82"/>
      <c r="CA356" s="100" t="str">
        <f ca="1">IFERROR(__xludf.DUMMYFUNCTION("IF(REGEXMATCH(Catalog_RewardType,""reward""), VLOOKUP($E356, {'TitleData rewards.items'!$J$9:$J416,'TitleData rewards.items'!$B$9:$B416}, 2, FALSE), """")"),"")</f>
        <v/>
      </c>
    </row>
    <row r="357" spans="1:79" ht="42" hidden="1" x14ac:dyDescent="0.15">
      <c r="A357" s="82" t="s">
        <v>491</v>
      </c>
      <c r="B357" s="83" t="b">
        <v>1</v>
      </c>
      <c r="C357" s="82" t="s">
        <v>811</v>
      </c>
      <c r="D357" s="85" t="b">
        <f>VLOOKUP($C357, '_REF Catalog Classes'!$C$6:$D416, COLUMNS('_REF Catalog Classes'!$C$6:$D416), FALSE)</f>
        <v>1</v>
      </c>
      <c r="E357" s="82" t="s">
        <v>2110</v>
      </c>
      <c r="F357" s="82" t="str">
        <f t="shared" si="21"/>
        <v>actionLootLocation26:TRUE</v>
      </c>
      <c r="G357" s="106" t="s">
        <v>904</v>
      </c>
      <c r="H357" s="217" t="s">
        <v>1670</v>
      </c>
      <c r="I357" s="82" t="s">
        <v>815</v>
      </c>
      <c r="J357" s="82" t="s">
        <v>275</v>
      </c>
      <c r="K357" s="82" t="s">
        <v>275</v>
      </c>
      <c r="L357" s="82"/>
      <c r="M357" s="82"/>
      <c r="N357" s="101"/>
      <c r="O357" s="82"/>
      <c r="P357" s="82"/>
      <c r="Q357" s="88"/>
      <c r="R357" s="82"/>
      <c r="S357" s="82"/>
      <c r="T357" s="82"/>
      <c r="U357" s="82"/>
      <c r="V357" s="82"/>
      <c r="W357" s="89"/>
      <c r="X357" s="90"/>
      <c r="Y357" s="90" t="str">
        <f t="shared" si="32"/>
        <v>file://actionLootLocation26-state0-image0</v>
      </c>
      <c r="Z357" s="90"/>
      <c r="AA357" s="89"/>
      <c r="AB357" s="90"/>
      <c r="AC357" s="90"/>
      <c r="AD357" s="90"/>
      <c r="AE357" s="90"/>
      <c r="AF357" s="90"/>
      <c r="AG357" s="92"/>
      <c r="AH357" s="93"/>
      <c r="AI357" s="93"/>
      <c r="AJ357" s="93"/>
      <c r="AK357" s="93"/>
      <c r="AL357" s="93"/>
      <c r="AM357" s="93"/>
      <c r="AN357" s="94"/>
      <c r="AO357" s="95"/>
      <c r="AP357" s="95" t="str">
        <f t="shared" si="33"/>
        <v>file://actionLootLocation26-state1-image0</v>
      </c>
      <c r="AQ357" s="95"/>
      <c r="AR357" s="94"/>
      <c r="AS357" s="95"/>
      <c r="AT357" s="95"/>
      <c r="AU357" s="95"/>
      <c r="AV357" s="95"/>
      <c r="AW357" s="92"/>
      <c r="AX357" s="93"/>
      <c r="AY357" s="93"/>
      <c r="AZ357" s="93"/>
      <c r="BA357" s="93"/>
      <c r="BB357" s="93"/>
      <c r="BC357" s="93"/>
      <c r="BD357" s="168"/>
      <c r="BE357" s="97"/>
      <c r="BF357" s="98"/>
      <c r="BG357" s="97"/>
      <c r="BH357" s="168"/>
      <c r="BI357" s="97"/>
      <c r="BJ357" s="97"/>
      <c r="BK357" s="97"/>
      <c r="BL357" s="97"/>
      <c r="BM357" s="97"/>
      <c r="BN357" s="97"/>
      <c r="BO357" s="93"/>
      <c r="BP357" s="93"/>
      <c r="BQ357" s="93"/>
      <c r="BR357" s="93"/>
      <c r="BS357" s="93"/>
      <c r="BT357" s="93"/>
      <c r="BU357" s="93"/>
      <c r="BV357" s="113"/>
      <c r="BW357" s="82"/>
      <c r="BX357" s="82"/>
      <c r="BY357" s="82"/>
      <c r="BZ357" s="82"/>
      <c r="CA357" s="100" t="str">
        <f ca="1">IFERROR(__xludf.DUMMYFUNCTION("IF(REGEXMATCH(Catalog_RewardType,""reward""), VLOOKUP($E357, {'TitleData rewards.items'!$J$9:$J416,'TitleData rewards.items'!$B$9:$B416}, 2, FALSE), """")"),"")</f>
        <v/>
      </c>
    </row>
    <row r="358" spans="1:79" ht="42" hidden="1" x14ac:dyDescent="0.15">
      <c r="A358" s="82" t="s">
        <v>491</v>
      </c>
      <c r="B358" s="83" t="b">
        <v>1</v>
      </c>
      <c r="C358" s="82" t="s">
        <v>811</v>
      </c>
      <c r="D358" s="85" t="b">
        <f>VLOOKUP($C358, '_REF Catalog Classes'!$C$6:$D416, COLUMNS('_REF Catalog Classes'!$C$6:$D416), FALSE)</f>
        <v>1</v>
      </c>
      <c r="E358" s="82" t="s">
        <v>2111</v>
      </c>
      <c r="F358" s="82" t="str">
        <f t="shared" si="21"/>
        <v>actionLootLocation27:TRUE</v>
      </c>
      <c r="G358" s="106" t="s">
        <v>904</v>
      </c>
      <c r="H358" s="217" t="s">
        <v>1670</v>
      </c>
      <c r="I358" s="82" t="s">
        <v>815</v>
      </c>
      <c r="J358" s="82" t="s">
        <v>275</v>
      </c>
      <c r="K358" s="82" t="s">
        <v>275</v>
      </c>
      <c r="L358" s="82"/>
      <c r="M358" s="82"/>
      <c r="N358" s="101"/>
      <c r="O358" s="82"/>
      <c r="P358" s="82"/>
      <c r="Q358" s="88"/>
      <c r="R358" s="82"/>
      <c r="S358" s="82"/>
      <c r="T358" s="82"/>
      <c r="U358" s="82"/>
      <c r="V358" s="82"/>
      <c r="W358" s="89"/>
      <c r="X358" s="90"/>
      <c r="Y358" s="90" t="str">
        <f t="shared" si="32"/>
        <v>file://actionLootLocation27-state0-image0</v>
      </c>
      <c r="Z358" s="90"/>
      <c r="AA358" s="89"/>
      <c r="AB358" s="90"/>
      <c r="AC358" s="90"/>
      <c r="AD358" s="90"/>
      <c r="AE358" s="90"/>
      <c r="AF358" s="90"/>
      <c r="AG358" s="92"/>
      <c r="AH358" s="93"/>
      <c r="AI358" s="93"/>
      <c r="AJ358" s="93"/>
      <c r="AK358" s="93"/>
      <c r="AL358" s="93"/>
      <c r="AM358" s="93"/>
      <c r="AN358" s="94"/>
      <c r="AO358" s="95"/>
      <c r="AP358" s="95" t="str">
        <f t="shared" si="33"/>
        <v>file://actionLootLocation27-state1-image0</v>
      </c>
      <c r="AQ358" s="95"/>
      <c r="AR358" s="94"/>
      <c r="AS358" s="95"/>
      <c r="AT358" s="95"/>
      <c r="AU358" s="95"/>
      <c r="AV358" s="95"/>
      <c r="AW358" s="92"/>
      <c r="AX358" s="93"/>
      <c r="AY358" s="93"/>
      <c r="AZ358" s="93"/>
      <c r="BA358" s="93"/>
      <c r="BB358" s="93"/>
      <c r="BC358" s="93"/>
      <c r="BD358" s="168"/>
      <c r="BE358" s="97"/>
      <c r="BF358" s="98"/>
      <c r="BG358" s="97"/>
      <c r="BH358" s="168"/>
      <c r="BI358" s="97"/>
      <c r="BJ358" s="97"/>
      <c r="BK358" s="97"/>
      <c r="BL358" s="97"/>
      <c r="BM358" s="97"/>
      <c r="BN358" s="97"/>
      <c r="BO358" s="93"/>
      <c r="BP358" s="93"/>
      <c r="BQ358" s="93"/>
      <c r="BR358" s="93"/>
      <c r="BS358" s="93"/>
      <c r="BT358" s="93"/>
      <c r="BU358" s="93"/>
      <c r="BV358" s="113"/>
      <c r="BW358" s="82"/>
      <c r="BX358" s="82"/>
      <c r="BY358" s="82"/>
      <c r="BZ358" s="82"/>
      <c r="CA358" s="100" t="str">
        <f ca="1">IFERROR(__xludf.DUMMYFUNCTION("IF(REGEXMATCH(Catalog_RewardType,""reward""), VLOOKUP($E358, {'TitleData rewards.items'!$J$9:$J416,'TitleData rewards.items'!$B$9:$B416}, 2, FALSE), """")"),"")</f>
        <v/>
      </c>
    </row>
    <row r="359" spans="1:79" ht="42" hidden="1" x14ac:dyDescent="0.15">
      <c r="A359" s="82" t="s">
        <v>491</v>
      </c>
      <c r="B359" s="83" t="b">
        <v>1</v>
      </c>
      <c r="C359" s="82" t="s">
        <v>811</v>
      </c>
      <c r="D359" s="85" t="b">
        <f>VLOOKUP($C359, '_REF Catalog Classes'!$C$6:$D416, COLUMNS('_REF Catalog Classes'!$C$6:$D416), FALSE)</f>
        <v>1</v>
      </c>
      <c r="E359" s="82" t="s">
        <v>2112</v>
      </c>
      <c r="F359" s="82" t="str">
        <f t="shared" si="21"/>
        <v>actionLootLocation28:TRUE</v>
      </c>
      <c r="G359" s="106" t="s">
        <v>904</v>
      </c>
      <c r="H359" s="217" t="s">
        <v>1670</v>
      </c>
      <c r="I359" s="82" t="s">
        <v>815</v>
      </c>
      <c r="J359" s="82" t="s">
        <v>275</v>
      </c>
      <c r="K359" s="82" t="s">
        <v>275</v>
      </c>
      <c r="L359" s="82"/>
      <c r="M359" s="82"/>
      <c r="N359" s="101"/>
      <c r="O359" s="82"/>
      <c r="P359" s="82"/>
      <c r="Q359" s="88"/>
      <c r="R359" s="82"/>
      <c r="S359" s="82"/>
      <c r="T359" s="82"/>
      <c r="U359" s="82"/>
      <c r="V359" s="82"/>
      <c r="W359" s="89"/>
      <c r="X359" s="90"/>
      <c r="Y359" s="90" t="str">
        <f t="shared" si="32"/>
        <v>file://actionLootLocation28-state0-image0</v>
      </c>
      <c r="Z359" s="90"/>
      <c r="AA359" s="89"/>
      <c r="AB359" s="90"/>
      <c r="AC359" s="90"/>
      <c r="AD359" s="90"/>
      <c r="AE359" s="90"/>
      <c r="AF359" s="90"/>
      <c r="AG359" s="92"/>
      <c r="AH359" s="93"/>
      <c r="AI359" s="93"/>
      <c r="AJ359" s="93"/>
      <c r="AK359" s="93"/>
      <c r="AL359" s="93"/>
      <c r="AM359" s="93"/>
      <c r="AN359" s="94"/>
      <c r="AO359" s="95"/>
      <c r="AP359" s="95" t="str">
        <f t="shared" si="33"/>
        <v>file://actionLootLocation28-state1-image0</v>
      </c>
      <c r="AQ359" s="95"/>
      <c r="AR359" s="94"/>
      <c r="AS359" s="95"/>
      <c r="AT359" s="95"/>
      <c r="AU359" s="95"/>
      <c r="AV359" s="95"/>
      <c r="AW359" s="92"/>
      <c r="AX359" s="93"/>
      <c r="AY359" s="93"/>
      <c r="AZ359" s="93"/>
      <c r="BA359" s="93"/>
      <c r="BB359" s="93"/>
      <c r="BC359" s="93"/>
      <c r="BD359" s="168"/>
      <c r="BE359" s="97"/>
      <c r="BF359" s="98"/>
      <c r="BG359" s="97"/>
      <c r="BH359" s="168"/>
      <c r="BI359" s="97"/>
      <c r="BJ359" s="97"/>
      <c r="BK359" s="97"/>
      <c r="BL359" s="97"/>
      <c r="BM359" s="97"/>
      <c r="BN359" s="97"/>
      <c r="BO359" s="93"/>
      <c r="BP359" s="93"/>
      <c r="BQ359" s="93"/>
      <c r="BR359" s="93"/>
      <c r="BS359" s="93"/>
      <c r="BT359" s="93"/>
      <c r="BU359" s="93"/>
      <c r="BV359" s="113"/>
      <c r="BW359" s="82"/>
      <c r="BX359" s="82"/>
      <c r="BY359" s="82"/>
      <c r="BZ359" s="82"/>
      <c r="CA359" s="100" t="str">
        <f ca="1">IFERROR(__xludf.DUMMYFUNCTION("IF(REGEXMATCH(Catalog_RewardType,""reward""), VLOOKUP($E359, {'TitleData rewards.items'!$J$9:$J416,'TitleData rewards.items'!$B$9:$B416}, 2, FALSE), """")"),"")</f>
        <v/>
      </c>
    </row>
    <row r="360" spans="1:79" ht="42" hidden="1" x14ac:dyDescent="0.15">
      <c r="A360" s="82" t="s">
        <v>491</v>
      </c>
      <c r="B360" s="83" t="b">
        <v>1</v>
      </c>
      <c r="C360" s="82" t="s">
        <v>811</v>
      </c>
      <c r="D360" s="85" t="b">
        <f>VLOOKUP($C360, '_REF Catalog Classes'!$C$6:$D416, COLUMNS('_REF Catalog Classes'!$C$6:$D416), FALSE)</f>
        <v>1</v>
      </c>
      <c r="E360" s="82" t="s">
        <v>2113</v>
      </c>
      <c r="F360" s="82" t="str">
        <f t="shared" si="21"/>
        <v>actionLootLocation29:TRUE</v>
      </c>
      <c r="G360" s="106" t="s">
        <v>904</v>
      </c>
      <c r="H360" s="217" t="s">
        <v>1670</v>
      </c>
      <c r="I360" s="82" t="s">
        <v>815</v>
      </c>
      <c r="J360" s="82" t="s">
        <v>275</v>
      </c>
      <c r="K360" s="82" t="s">
        <v>275</v>
      </c>
      <c r="L360" s="82"/>
      <c r="M360" s="82"/>
      <c r="N360" s="101"/>
      <c r="O360" s="82"/>
      <c r="P360" s="82"/>
      <c r="Q360" s="88"/>
      <c r="R360" s="82"/>
      <c r="S360" s="82"/>
      <c r="T360" s="82"/>
      <c r="U360" s="82"/>
      <c r="V360" s="82"/>
      <c r="W360" s="89"/>
      <c r="X360" s="90"/>
      <c r="Y360" s="90" t="str">
        <f t="shared" si="32"/>
        <v>file://actionLootLocation29-state0-image0</v>
      </c>
      <c r="Z360" s="90"/>
      <c r="AA360" s="89"/>
      <c r="AB360" s="90"/>
      <c r="AC360" s="90"/>
      <c r="AD360" s="90"/>
      <c r="AE360" s="90"/>
      <c r="AF360" s="90"/>
      <c r="AG360" s="92"/>
      <c r="AH360" s="93"/>
      <c r="AI360" s="93"/>
      <c r="AJ360" s="93"/>
      <c r="AK360" s="93"/>
      <c r="AL360" s="93"/>
      <c r="AM360" s="93"/>
      <c r="AN360" s="94"/>
      <c r="AO360" s="95"/>
      <c r="AP360" s="95" t="str">
        <f t="shared" si="33"/>
        <v>file://actionLootLocation29-state1-image0</v>
      </c>
      <c r="AQ360" s="95"/>
      <c r="AR360" s="94"/>
      <c r="AS360" s="95"/>
      <c r="AT360" s="95"/>
      <c r="AU360" s="95"/>
      <c r="AV360" s="95"/>
      <c r="AW360" s="92"/>
      <c r="AX360" s="93"/>
      <c r="AY360" s="93"/>
      <c r="AZ360" s="93"/>
      <c r="BA360" s="93"/>
      <c r="BB360" s="93"/>
      <c r="BC360" s="93"/>
      <c r="BD360" s="168"/>
      <c r="BE360" s="97"/>
      <c r="BF360" s="98"/>
      <c r="BG360" s="97"/>
      <c r="BH360" s="168"/>
      <c r="BI360" s="97"/>
      <c r="BJ360" s="97"/>
      <c r="BK360" s="97"/>
      <c r="BL360" s="97"/>
      <c r="BM360" s="97"/>
      <c r="BN360" s="97"/>
      <c r="BO360" s="93"/>
      <c r="BP360" s="93"/>
      <c r="BQ360" s="93"/>
      <c r="BR360" s="93"/>
      <c r="BS360" s="93"/>
      <c r="BT360" s="93"/>
      <c r="BU360" s="93"/>
      <c r="BV360" s="113"/>
      <c r="BW360" s="82"/>
      <c r="BX360" s="82"/>
      <c r="BY360" s="82"/>
      <c r="BZ360" s="82"/>
      <c r="CA360" s="100" t="str">
        <f ca="1">IFERROR(__xludf.DUMMYFUNCTION("IF(REGEXMATCH(Catalog_RewardType,""reward""), VLOOKUP($E360, {'TitleData rewards.items'!$J$9:$J416,'TitleData rewards.items'!$B$9:$B416}, 2, FALSE), """")"),"")</f>
        <v/>
      </c>
    </row>
    <row r="361" spans="1:79" ht="28" x14ac:dyDescent="0.15">
      <c r="A361" s="82" t="s">
        <v>269</v>
      </c>
      <c r="B361" s="83"/>
      <c r="C361" s="82" t="s">
        <v>1549</v>
      </c>
      <c r="D361" s="85" t="b">
        <f>VLOOKUP($C361, '_REF Catalog Classes'!$C$6:$D416, COLUMNS('_REF Catalog Classes'!$C$6:$D416), FALSE)</f>
        <v>1</v>
      </c>
      <c r="E361" s="82" t="s">
        <v>2114</v>
      </c>
      <c r="F361" s="82" t="str">
        <f t="shared" si="21"/>
        <v>lootExcalibur:</v>
      </c>
      <c r="G361" s="86" t="s">
        <v>2115</v>
      </c>
      <c r="H361" s="86" t="s">
        <v>2116</v>
      </c>
      <c r="I361" s="82" t="s">
        <v>847</v>
      </c>
      <c r="J361" s="82" t="s">
        <v>1677</v>
      </c>
      <c r="K361" s="86"/>
      <c r="L361" s="82" t="s">
        <v>857</v>
      </c>
      <c r="M361" s="86"/>
      <c r="N361" s="101" t="s">
        <v>1678</v>
      </c>
      <c r="O361" s="82"/>
      <c r="P361" s="82">
        <v>43</v>
      </c>
      <c r="Q361" s="88"/>
      <c r="R361" s="82"/>
      <c r="S361" s="82"/>
      <c r="T361" s="82"/>
      <c r="U361" s="82"/>
      <c r="V361" s="82"/>
      <c r="W361" s="89">
        <v>0</v>
      </c>
      <c r="X361" s="90" t="s">
        <v>37</v>
      </c>
      <c r="Y361" s="90" t="s">
        <v>2117</v>
      </c>
      <c r="Z361" s="90"/>
      <c r="AA361" s="91" t="s">
        <v>283</v>
      </c>
      <c r="AB361" s="90" t="s">
        <v>2118</v>
      </c>
      <c r="AC361" s="90"/>
      <c r="AD361" s="90" t="s">
        <v>2119</v>
      </c>
      <c r="AE361" s="90" t="s">
        <v>1725</v>
      </c>
      <c r="AF361" s="90" t="s">
        <v>1681</v>
      </c>
      <c r="AG361" s="92"/>
      <c r="AH361" s="93"/>
      <c r="AI361" s="93"/>
      <c r="AJ361" s="93"/>
      <c r="AK361" s="93"/>
      <c r="AL361" s="93"/>
      <c r="AM361" s="93"/>
      <c r="AN361" s="94"/>
      <c r="AO361" s="95"/>
      <c r="AP361" s="95"/>
      <c r="AQ361" s="95"/>
      <c r="AR361" s="94"/>
      <c r="AS361" s="95"/>
      <c r="AT361" s="95"/>
      <c r="AU361" s="95"/>
      <c r="AV361" s="95"/>
      <c r="AW361" s="92"/>
      <c r="AX361" s="93"/>
      <c r="AY361" s="93"/>
      <c r="AZ361" s="93"/>
      <c r="BA361" s="93"/>
      <c r="BB361" s="93"/>
      <c r="BC361" s="93"/>
      <c r="BD361" s="96">
        <v>2</v>
      </c>
      <c r="BE361" s="97" t="s">
        <v>38</v>
      </c>
      <c r="BF361" s="98" t="s">
        <v>2117</v>
      </c>
      <c r="BG361" s="97"/>
      <c r="BH361" s="97" t="s">
        <v>283</v>
      </c>
      <c r="BI361" s="97" t="s">
        <v>2118</v>
      </c>
      <c r="BJ361" s="93"/>
      <c r="BK361" s="93"/>
      <c r="BL361" s="97" t="s">
        <v>2120</v>
      </c>
      <c r="BM361" s="97" t="s">
        <v>1725</v>
      </c>
      <c r="BN361" s="97" t="s">
        <v>1681</v>
      </c>
      <c r="BO361" s="93"/>
      <c r="BP361" s="93"/>
      <c r="BQ361" s="93"/>
      <c r="BR361" s="93"/>
      <c r="BS361" s="93"/>
      <c r="BT361" s="93"/>
      <c r="BU361" s="93"/>
      <c r="BV361" s="99"/>
      <c r="BW361" s="86" t="str">
        <f>VLOOKUP($C361, '_REF Catalog Classes'!$C$6:$E416, COLUMNS('_REF Catalog Classes'!$C$6:$E416), FALSE)</f>
        <v>always</v>
      </c>
      <c r="BX361" s="226">
        <v>3000</v>
      </c>
      <c r="BY361" s="226" t="s">
        <v>1693</v>
      </c>
      <c r="BZ361" s="84" t="s">
        <v>850</v>
      </c>
      <c r="CA361" s="100" t="str">
        <f ca="1">IFERROR(__xludf.DUMMYFUNCTION("IF(REGEXMATCH(Catalog_RewardType,""reward""), VLOOKUP($E361, {'TitleData rewards.items'!$J$9:$J416,'TitleData rewards.items'!$B$9:$B416}, 2, FALSE), """")"),"")</f>
        <v/>
      </c>
    </row>
    <row r="362" spans="1:79" ht="28" hidden="1" x14ac:dyDescent="0.15">
      <c r="A362" s="82" t="s">
        <v>491</v>
      </c>
      <c r="B362" s="83"/>
      <c r="C362" s="82" t="s">
        <v>811</v>
      </c>
      <c r="D362" s="85" t="b">
        <f>VLOOKUP($C362, '_REF Catalog Classes'!$C$6:$D416, COLUMNS('_REF Catalog Classes'!$C$6:$D416), FALSE)</f>
        <v>1</v>
      </c>
      <c r="E362" s="82" t="s">
        <v>2121</v>
      </c>
      <c r="F362" s="82" t="str">
        <f t="shared" si="21"/>
        <v>actionPlayAttractionEnter:</v>
      </c>
      <c r="G362" s="82" t="s">
        <v>2122</v>
      </c>
      <c r="H362" s="82" t="s">
        <v>2123</v>
      </c>
      <c r="I362" s="82" t="s">
        <v>847</v>
      </c>
      <c r="J362" s="82" t="s">
        <v>275</v>
      </c>
      <c r="K362" s="82" t="s">
        <v>275</v>
      </c>
      <c r="L362" s="82" t="s">
        <v>857</v>
      </c>
      <c r="M362" s="82"/>
      <c r="N362" s="107"/>
      <c r="O362" s="108"/>
      <c r="P362" s="82"/>
      <c r="Q362" s="88"/>
      <c r="R362" s="82"/>
      <c r="S362" s="82"/>
      <c r="T362" s="82"/>
      <c r="U362" s="82"/>
      <c r="V362" s="82"/>
      <c r="W362" s="89"/>
      <c r="X362" s="90"/>
      <c r="Y362" s="90"/>
      <c r="Z362" s="90"/>
      <c r="AA362" s="89"/>
      <c r="AB362" s="90"/>
      <c r="AC362" s="90"/>
      <c r="AD362" s="90"/>
      <c r="AE362" s="90"/>
      <c r="AF362" s="90"/>
      <c r="AG362" s="92"/>
      <c r="AH362" s="93"/>
      <c r="AI362" s="93"/>
      <c r="AJ362" s="93"/>
      <c r="AK362" s="93"/>
      <c r="AL362" s="93"/>
      <c r="AM362" s="93"/>
      <c r="AN362" s="94"/>
      <c r="AO362" s="95"/>
      <c r="AP362" s="95"/>
      <c r="AQ362" s="95"/>
      <c r="AR362" s="94"/>
      <c r="AS362" s="95"/>
      <c r="AT362" s="95"/>
      <c r="AU362" s="95"/>
      <c r="AV362" s="95"/>
      <c r="AW362" s="92"/>
      <c r="AX362" s="93"/>
      <c r="AY362" s="93"/>
      <c r="AZ362" s="93"/>
      <c r="BA362" s="93"/>
      <c r="BB362" s="93"/>
      <c r="BC362" s="93"/>
      <c r="BD362" s="168"/>
      <c r="BE362" s="97"/>
      <c r="BF362" s="98"/>
      <c r="BG362" s="97"/>
      <c r="BH362" s="168"/>
      <c r="BI362" s="97"/>
      <c r="BJ362" s="97"/>
      <c r="BK362" s="97"/>
      <c r="BL362" s="97"/>
      <c r="BM362" s="97"/>
      <c r="BN362" s="97"/>
      <c r="BO362" s="93"/>
      <c r="BP362" s="93"/>
      <c r="BQ362" s="93"/>
      <c r="BR362" s="93"/>
      <c r="BS362" s="93"/>
      <c r="BT362" s="93"/>
      <c r="BU362" s="93"/>
      <c r="BV362" s="113"/>
      <c r="BW362" s="82"/>
      <c r="BX362" s="82"/>
      <c r="BY362" s="82"/>
      <c r="BZ362" s="84" t="s">
        <v>1309</v>
      </c>
      <c r="CA362" s="100" t="str">
        <f ca="1">IFERROR(__xludf.DUMMYFUNCTION("IF(REGEXMATCH(Catalog_RewardType,""reward""), VLOOKUP($E362, {'TitleData rewards.items'!$J$9:$J416,'TitleData rewards.items'!$B$9:$B416}, 2, FALSE), """")"),"")</f>
        <v/>
      </c>
    </row>
    <row r="363" spans="1:79" ht="28" hidden="1" x14ac:dyDescent="0.15">
      <c r="A363" s="82" t="s">
        <v>491</v>
      </c>
      <c r="B363" s="83"/>
      <c r="C363" s="82" t="s">
        <v>811</v>
      </c>
      <c r="D363" s="85" t="b">
        <f>VLOOKUP($C363, '_REF Catalog Classes'!$C$6:$D416, COLUMNS('_REF Catalog Classes'!$C$6:$D416), FALSE)</f>
        <v>1</v>
      </c>
      <c r="E363" s="82" t="s">
        <v>2124</v>
      </c>
      <c r="F363" s="82" t="str">
        <f t="shared" si="21"/>
        <v>actionPlaySC01Enter:</v>
      </c>
      <c r="G363" s="82" t="s">
        <v>2125</v>
      </c>
      <c r="H363" s="82" t="s">
        <v>2126</v>
      </c>
      <c r="I363" s="82" t="s">
        <v>847</v>
      </c>
      <c r="J363" s="82" t="s">
        <v>275</v>
      </c>
      <c r="K363" s="82" t="s">
        <v>275</v>
      </c>
      <c r="L363" s="82" t="s">
        <v>857</v>
      </c>
      <c r="M363" s="82"/>
      <c r="N363" s="107"/>
      <c r="O363" s="108"/>
      <c r="P363" s="82"/>
      <c r="Q363" s="88"/>
      <c r="R363" s="82"/>
      <c r="S363" s="82"/>
      <c r="T363" s="82"/>
      <c r="U363" s="82"/>
      <c r="V363" s="82"/>
      <c r="W363" s="89"/>
      <c r="X363" s="90"/>
      <c r="Y363" s="90"/>
      <c r="Z363" s="90"/>
      <c r="AA363" s="89"/>
      <c r="AB363" s="90"/>
      <c r="AC363" s="90"/>
      <c r="AD363" s="90"/>
      <c r="AE363" s="90"/>
      <c r="AF363" s="90"/>
      <c r="AG363" s="92"/>
      <c r="AH363" s="93"/>
      <c r="AI363" s="93"/>
      <c r="AJ363" s="93"/>
      <c r="AK363" s="93"/>
      <c r="AL363" s="93"/>
      <c r="AM363" s="93"/>
      <c r="AN363" s="94"/>
      <c r="AO363" s="95"/>
      <c r="AP363" s="95"/>
      <c r="AQ363" s="95"/>
      <c r="AR363" s="94"/>
      <c r="AS363" s="95"/>
      <c r="AT363" s="95"/>
      <c r="AU363" s="95"/>
      <c r="AV363" s="95"/>
      <c r="AW363" s="92"/>
      <c r="AX363" s="93"/>
      <c r="AY363" s="93"/>
      <c r="AZ363" s="93"/>
      <c r="BA363" s="93"/>
      <c r="BB363" s="93"/>
      <c r="BC363" s="93"/>
      <c r="BD363" s="168"/>
      <c r="BE363" s="97"/>
      <c r="BF363" s="98"/>
      <c r="BG363" s="97"/>
      <c r="BH363" s="168"/>
      <c r="BI363" s="97"/>
      <c r="BJ363" s="97"/>
      <c r="BK363" s="97"/>
      <c r="BL363" s="97"/>
      <c r="BM363" s="97"/>
      <c r="BN363" s="97"/>
      <c r="BO363" s="93"/>
      <c r="BP363" s="93"/>
      <c r="BQ363" s="93"/>
      <c r="BR363" s="93"/>
      <c r="BS363" s="93"/>
      <c r="BT363" s="93"/>
      <c r="BU363" s="93"/>
      <c r="BV363" s="113"/>
      <c r="BW363" s="82"/>
      <c r="BX363" s="82"/>
      <c r="BY363" s="82"/>
      <c r="BZ363" s="84" t="s">
        <v>1309</v>
      </c>
      <c r="CA363" s="100" t="str">
        <f ca="1">IFERROR(__xludf.DUMMYFUNCTION("IF(REGEXMATCH(Catalog_RewardType,""reward""), VLOOKUP($E363, {'TitleData rewards.items'!$J$9:$J416,'TitleData rewards.items'!$B$9:$B416}, 2, FALSE), """")"),"")</f>
        <v/>
      </c>
    </row>
    <row r="364" spans="1:79" ht="28" hidden="1" x14ac:dyDescent="0.15">
      <c r="A364" s="82" t="s">
        <v>491</v>
      </c>
      <c r="B364" s="83"/>
      <c r="C364" s="82" t="s">
        <v>811</v>
      </c>
      <c r="D364" s="85" t="b">
        <f>VLOOKUP($C364, '_REF Catalog Classes'!$C$6:$D416, COLUMNS('_REF Catalog Classes'!$C$6:$D416), FALSE)</f>
        <v>1</v>
      </c>
      <c r="E364" s="82" t="s">
        <v>2127</v>
      </c>
      <c r="F364" s="82" t="str">
        <f t="shared" si="21"/>
        <v>actionPlaySC01Exit:</v>
      </c>
      <c r="G364" s="82" t="s">
        <v>2128</v>
      </c>
      <c r="H364" s="82" t="s">
        <v>2129</v>
      </c>
      <c r="I364" s="82" t="s">
        <v>847</v>
      </c>
      <c r="J364" s="82" t="s">
        <v>275</v>
      </c>
      <c r="K364" s="82" t="s">
        <v>275</v>
      </c>
      <c r="L364" s="82" t="s">
        <v>857</v>
      </c>
      <c r="M364" s="82"/>
      <c r="N364" s="107"/>
      <c r="O364" s="108"/>
      <c r="P364" s="82"/>
      <c r="Q364" s="88"/>
      <c r="R364" s="82"/>
      <c r="S364" s="82"/>
      <c r="T364" s="82"/>
      <c r="U364" s="82"/>
      <c r="V364" s="82"/>
      <c r="W364" s="89"/>
      <c r="X364" s="90"/>
      <c r="Y364" s="90"/>
      <c r="Z364" s="90"/>
      <c r="AA364" s="89"/>
      <c r="AB364" s="90"/>
      <c r="AC364" s="90"/>
      <c r="AD364" s="90"/>
      <c r="AE364" s="90"/>
      <c r="AF364" s="90"/>
      <c r="AG364" s="92"/>
      <c r="AH364" s="93"/>
      <c r="AI364" s="93"/>
      <c r="AJ364" s="93"/>
      <c r="AK364" s="93"/>
      <c r="AL364" s="93"/>
      <c r="AM364" s="93"/>
      <c r="AN364" s="94"/>
      <c r="AO364" s="95"/>
      <c r="AP364" s="95"/>
      <c r="AQ364" s="95"/>
      <c r="AR364" s="94"/>
      <c r="AS364" s="95"/>
      <c r="AT364" s="95"/>
      <c r="AU364" s="95"/>
      <c r="AV364" s="95"/>
      <c r="AW364" s="92"/>
      <c r="AX364" s="93"/>
      <c r="AY364" s="93"/>
      <c r="AZ364" s="93"/>
      <c r="BA364" s="93"/>
      <c r="BB364" s="93"/>
      <c r="BC364" s="93"/>
      <c r="BD364" s="168"/>
      <c r="BE364" s="97"/>
      <c r="BF364" s="98"/>
      <c r="BG364" s="97"/>
      <c r="BH364" s="168"/>
      <c r="BI364" s="97"/>
      <c r="BJ364" s="97"/>
      <c r="BK364" s="97"/>
      <c r="BL364" s="97"/>
      <c r="BM364" s="97"/>
      <c r="BN364" s="97"/>
      <c r="BO364" s="93"/>
      <c r="BP364" s="93"/>
      <c r="BQ364" s="93"/>
      <c r="BR364" s="93"/>
      <c r="BS364" s="93"/>
      <c r="BT364" s="93"/>
      <c r="BU364" s="93"/>
      <c r="BV364" s="113"/>
      <c r="BW364" s="82"/>
      <c r="BX364" s="82"/>
      <c r="BY364" s="82"/>
      <c r="BZ364" s="84" t="s">
        <v>1309</v>
      </c>
      <c r="CA364" s="100" t="str">
        <f ca="1">IFERROR(__xludf.DUMMYFUNCTION("IF(REGEXMATCH(Catalog_RewardType,""reward""), VLOOKUP($E364, {'TitleData rewards.items'!$J$9:$J416,'TitleData rewards.items'!$B$9:$B416}, 2, FALSE), """")"),"")</f>
        <v/>
      </c>
    </row>
    <row r="365" spans="1:79" ht="28" hidden="1" x14ac:dyDescent="0.15">
      <c r="A365" s="82" t="s">
        <v>491</v>
      </c>
      <c r="B365" s="83"/>
      <c r="C365" s="82" t="s">
        <v>811</v>
      </c>
      <c r="D365" s="85" t="b">
        <f>VLOOKUP($C365, '_REF Catalog Classes'!$C$6:$D416, COLUMNS('_REF Catalog Classes'!$C$6:$D416), FALSE)</f>
        <v>1</v>
      </c>
      <c r="E365" s="82" t="s">
        <v>2130</v>
      </c>
      <c r="F365" s="82" t="str">
        <f t="shared" si="21"/>
        <v>actionPlaySC02Enter:</v>
      </c>
      <c r="G365" s="82" t="s">
        <v>2131</v>
      </c>
      <c r="H365" s="82" t="s">
        <v>2132</v>
      </c>
      <c r="I365" s="82" t="s">
        <v>847</v>
      </c>
      <c r="J365" s="82" t="s">
        <v>275</v>
      </c>
      <c r="K365" s="82" t="s">
        <v>275</v>
      </c>
      <c r="L365" s="82" t="s">
        <v>857</v>
      </c>
      <c r="M365" s="82"/>
      <c r="N365" s="107"/>
      <c r="O365" s="108"/>
      <c r="P365" s="82"/>
      <c r="Q365" s="88"/>
      <c r="R365" s="82"/>
      <c r="S365" s="82"/>
      <c r="T365" s="82"/>
      <c r="U365" s="82"/>
      <c r="V365" s="82"/>
      <c r="W365" s="89"/>
      <c r="X365" s="90"/>
      <c r="Y365" s="90"/>
      <c r="Z365" s="90"/>
      <c r="AA365" s="89"/>
      <c r="AB365" s="90"/>
      <c r="AC365" s="90"/>
      <c r="AD365" s="90"/>
      <c r="AE365" s="90"/>
      <c r="AF365" s="90"/>
      <c r="AG365" s="92"/>
      <c r="AH365" s="93"/>
      <c r="AI365" s="93"/>
      <c r="AJ365" s="93"/>
      <c r="AK365" s="93"/>
      <c r="AL365" s="93"/>
      <c r="AM365" s="93"/>
      <c r="AN365" s="94"/>
      <c r="AO365" s="95"/>
      <c r="AP365" s="95"/>
      <c r="AQ365" s="95"/>
      <c r="AR365" s="94"/>
      <c r="AS365" s="95"/>
      <c r="AT365" s="95"/>
      <c r="AU365" s="95"/>
      <c r="AV365" s="95"/>
      <c r="AW365" s="92"/>
      <c r="AX365" s="93"/>
      <c r="AY365" s="93"/>
      <c r="AZ365" s="93"/>
      <c r="BA365" s="93"/>
      <c r="BB365" s="93"/>
      <c r="BC365" s="93"/>
      <c r="BD365" s="168"/>
      <c r="BE365" s="97"/>
      <c r="BF365" s="98"/>
      <c r="BG365" s="97"/>
      <c r="BH365" s="168"/>
      <c r="BI365" s="97"/>
      <c r="BJ365" s="97"/>
      <c r="BK365" s="97"/>
      <c r="BL365" s="97"/>
      <c r="BM365" s="97"/>
      <c r="BN365" s="97"/>
      <c r="BO365" s="93"/>
      <c r="BP365" s="93"/>
      <c r="BQ365" s="93"/>
      <c r="BR365" s="93"/>
      <c r="BS365" s="93"/>
      <c r="BT365" s="93"/>
      <c r="BU365" s="93"/>
      <c r="BV365" s="113"/>
      <c r="BW365" s="82"/>
      <c r="BX365" s="82"/>
      <c r="BY365" s="82"/>
      <c r="BZ365" s="84" t="s">
        <v>1309</v>
      </c>
      <c r="CA365" s="100" t="str">
        <f ca="1">IFERROR(__xludf.DUMMYFUNCTION("IF(REGEXMATCH(Catalog_RewardType,""reward""), VLOOKUP($E365, {'TitleData rewards.items'!$J$9:$J416,'TitleData rewards.items'!$B$9:$B416}, 2, FALSE), """")"),"")</f>
        <v/>
      </c>
    </row>
    <row r="366" spans="1:79" ht="28" hidden="1" x14ac:dyDescent="0.15">
      <c r="A366" s="82" t="s">
        <v>491</v>
      </c>
      <c r="B366" s="83"/>
      <c r="C366" s="82" t="s">
        <v>811</v>
      </c>
      <c r="D366" s="85" t="b">
        <f>VLOOKUP($C366, '_REF Catalog Classes'!$C$6:$D416, COLUMNS('_REF Catalog Classes'!$C$6:$D416), FALSE)</f>
        <v>1</v>
      </c>
      <c r="E366" s="82" t="s">
        <v>2133</v>
      </c>
      <c r="F366" s="82" t="str">
        <f t="shared" si="21"/>
        <v>actionPlaySC02Exit:</v>
      </c>
      <c r="G366" s="82" t="s">
        <v>2134</v>
      </c>
      <c r="H366" s="82" t="s">
        <v>2135</v>
      </c>
      <c r="I366" s="82" t="s">
        <v>847</v>
      </c>
      <c r="J366" s="82" t="s">
        <v>275</v>
      </c>
      <c r="K366" s="82" t="s">
        <v>275</v>
      </c>
      <c r="L366" s="82" t="s">
        <v>857</v>
      </c>
      <c r="M366" s="82"/>
      <c r="N366" s="107"/>
      <c r="O366" s="108"/>
      <c r="P366" s="82"/>
      <c r="Q366" s="88"/>
      <c r="R366" s="82"/>
      <c r="S366" s="82"/>
      <c r="T366" s="82"/>
      <c r="U366" s="82"/>
      <c r="V366" s="82"/>
      <c r="W366" s="89"/>
      <c r="X366" s="90"/>
      <c r="Y366" s="90"/>
      <c r="Z366" s="90"/>
      <c r="AA366" s="89"/>
      <c r="AB366" s="90"/>
      <c r="AC366" s="90"/>
      <c r="AD366" s="90"/>
      <c r="AE366" s="90"/>
      <c r="AF366" s="90"/>
      <c r="AG366" s="92"/>
      <c r="AH366" s="93"/>
      <c r="AI366" s="93"/>
      <c r="AJ366" s="93"/>
      <c r="AK366" s="93"/>
      <c r="AL366" s="93"/>
      <c r="AM366" s="93"/>
      <c r="AN366" s="94"/>
      <c r="AO366" s="95"/>
      <c r="AP366" s="95"/>
      <c r="AQ366" s="95"/>
      <c r="AR366" s="94"/>
      <c r="AS366" s="95"/>
      <c r="AT366" s="95"/>
      <c r="AU366" s="95"/>
      <c r="AV366" s="95"/>
      <c r="AW366" s="92"/>
      <c r="AX366" s="93"/>
      <c r="AY366" s="93"/>
      <c r="AZ366" s="93"/>
      <c r="BA366" s="93"/>
      <c r="BB366" s="93"/>
      <c r="BC366" s="93"/>
      <c r="BD366" s="168"/>
      <c r="BE366" s="97"/>
      <c r="BF366" s="98"/>
      <c r="BG366" s="97"/>
      <c r="BH366" s="168"/>
      <c r="BI366" s="97"/>
      <c r="BJ366" s="97"/>
      <c r="BK366" s="97"/>
      <c r="BL366" s="97"/>
      <c r="BM366" s="97"/>
      <c r="BN366" s="97"/>
      <c r="BO366" s="93"/>
      <c r="BP366" s="93"/>
      <c r="BQ366" s="93"/>
      <c r="BR366" s="93"/>
      <c r="BS366" s="93"/>
      <c r="BT366" s="93"/>
      <c r="BU366" s="93"/>
      <c r="BV366" s="113"/>
      <c r="BW366" s="82"/>
      <c r="BX366" s="82"/>
      <c r="BY366" s="82"/>
      <c r="BZ366" s="84" t="s">
        <v>1309</v>
      </c>
      <c r="CA366" s="100" t="str">
        <f ca="1">IFERROR(__xludf.DUMMYFUNCTION("IF(REGEXMATCH(Catalog_RewardType,""reward""), VLOOKUP($E366, {'TitleData rewards.items'!$J$9:$J416,'TitleData rewards.items'!$B$9:$B416}, 2, FALSE), """")"),"")</f>
        <v/>
      </c>
    </row>
    <row r="367" spans="1:79" ht="28" hidden="1" x14ac:dyDescent="0.15">
      <c r="A367" s="82" t="s">
        <v>491</v>
      </c>
      <c r="B367" s="83"/>
      <c r="C367" s="82" t="s">
        <v>811</v>
      </c>
      <c r="D367" s="85" t="b">
        <f>VLOOKUP($C367, '_REF Catalog Classes'!$C$6:$D416, COLUMNS('_REF Catalog Classes'!$C$6:$D416), FALSE)</f>
        <v>1</v>
      </c>
      <c r="E367" s="82" t="s">
        <v>2136</v>
      </c>
      <c r="F367" s="82" t="str">
        <f t="shared" si="21"/>
        <v>actionPlaySC03Enter:</v>
      </c>
      <c r="G367" s="82" t="s">
        <v>2137</v>
      </c>
      <c r="H367" s="82" t="s">
        <v>2138</v>
      </c>
      <c r="I367" s="82" t="s">
        <v>847</v>
      </c>
      <c r="J367" s="82" t="s">
        <v>275</v>
      </c>
      <c r="K367" s="82" t="s">
        <v>275</v>
      </c>
      <c r="L367" s="82" t="s">
        <v>857</v>
      </c>
      <c r="M367" s="82"/>
      <c r="N367" s="107"/>
      <c r="O367" s="108"/>
      <c r="P367" s="82"/>
      <c r="Q367" s="88"/>
      <c r="R367" s="82"/>
      <c r="S367" s="82"/>
      <c r="T367" s="82"/>
      <c r="U367" s="82"/>
      <c r="V367" s="82"/>
      <c r="W367" s="89"/>
      <c r="X367" s="90"/>
      <c r="Y367" s="90"/>
      <c r="Z367" s="90"/>
      <c r="AA367" s="89"/>
      <c r="AB367" s="90"/>
      <c r="AC367" s="90"/>
      <c r="AD367" s="90"/>
      <c r="AE367" s="90"/>
      <c r="AF367" s="90"/>
      <c r="AG367" s="92"/>
      <c r="AH367" s="93"/>
      <c r="AI367" s="93"/>
      <c r="AJ367" s="93"/>
      <c r="AK367" s="93"/>
      <c r="AL367" s="93"/>
      <c r="AM367" s="93"/>
      <c r="AN367" s="94"/>
      <c r="AO367" s="95"/>
      <c r="AP367" s="95"/>
      <c r="AQ367" s="95"/>
      <c r="AR367" s="94"/>
      <c r="AS367" s="95"/>
      <c r="AT367" s="95"/>
      <c r="AU367" s="95"/>
      <c r="AV367" s="95"/>
      <c r="AW367" s="92"/>
      <c r="AX367" s="93"/>
      <c r="AY367" s="93"/>
      <c r="AZ367" s="93"/>
      <c r="BA367" s="93"/>
      <c r="BB367" s="93"/>
      <c r="BC367" s="93"/>
      <c r="BD367" s="168"/>
      <c r="BE367" s="97"/>
      <c r="BF367" s="98"/>
      <c r="BG367" s="97"/>
      <c r="BH367" s="168"/>
      <c r="BI367" s="97"/>
      <c r="BJ367" s="97"/>
      <c r="BK367" s="97"/>
      <c r="BL367" s="97"/>
      <c r="BM367" s="97"/>
      <c r="BN367" s="97"/>
      <c r="BO367" s="93"/>
      <c r="BP367" s="93"/>
      <c r="BQ367" s="93"/>
      <c r="BR367" s="93"/>
      <c r="BS367" s="93"/>
      <c r="BT367" s="93"/>
      <c r="BU367" s="93"/>
      <c r="BV367" s="113"/>
      <c r="BW367" s="82"/>
      <c r="BX367" s="82"/>
      <c r="BY367" s="82"/>
      <c r="BZ367" s="84" t="s">
        <v>1309</v>
      </c>
      <c r="CA367" s="100" t="str">
        <f ca="1">IFERROR(__xludf.DUMMYFUNCTION("IF(REGEXMATCH(Catalog_RewardType,""reward""), VLOOKUP($E367, {'TitleData rewards.items'!$J$9:$J416,'TitleData rewards.items'!$B$9:$B416}, 2, FALSE), """")"),"")</f>
        <v/>
      </c>
    </row>
    <row r="368" spans="1:79" ht="28" hidden="1" x14ac:dyDescent="0.15">
      <c r="A368" s="82" t="s">
        <v>491</v>
      </c>
      <c r="B368" s="83"/>
      <c r="C368" s="82" t="s">
        <v>811</v>
      </c>
      <c r="D368" s="85" t="b">
        <f>VLOOKUP($C368, '_REF Catalog Classes'!$C$6:$D416, COLUMNS('_REF Catalog Classes'!$C$6:$D416), FALSE)</f>
        <v>1</v>
      </c>
      <c r="E368" s="82" t="s">
        <v>2139</v>
      </c>
      <c r="F368" s="82" t="str">
        <f t="shared" si="21"/>
        <v>actionPlaySC03Exit:</v>
      </c>
      <c r="G368" s="82" t="s">
        <v>2140</v>
      </c>
      <c r="H368" s="82" t="s">
        <v>2141</v>
      </c>
      <c r="I368" s="82" t="s">
        <v>847</v>
      </c>
      <c r="J368" s="82" t="s">
        <v>275</v>
      </c>
      <c r="K368" s="82" t="s">
        <v>275</v>
      </c>
      <c r="L368" s="82" t="s">
        <v>857</v>
      </c>
      <c r="M368" s="82"/>
      <c r="N368" s="107"/>
      <c r="O368" s="108"/>
      <c r="P368" s="82"/>
      <c r="Q368" s="88"/>
      <c r="R368" s="82"/>
      <c r="S368" s="82"/>
      <c r="T368" s="82"/>
      <c r="U368" s="82"/>
      <c r="V368" s="82"/>
      <c r="W368" s="89"/>
      <c r="X368" s="90"/>
      <c r="Y368" s="90"/>
      <c r="Z368" s="90"/>
      <c r="AA368" s="89"/>
      <c r="AB368" s="90"/>
      <c r="AC368" s="90"/>
      <c r="AD368" s="90"/>
      <c r="AE368" s="90"/>
      <c r="AF368" s="90"/>
      <c r="AG368" s="92"/>
      <c r="AH368" s="93"/>
      <c r="AI368" s="93"/>
      <c r="AJ368" s="93"/>
      <c r="AK368" s="93"/>
      <c r="AL368" s="93"/>
      <c r="AM368" s="93"/>
      <c r="AN368" s="94"/>
      <c r="AO368" s="95"/>
      <c r="AP368" s="95"/>
      <c r="AQ368" s="95"/>
      <c r="AR368" s="94"/>
      <c r="AS368" s="95"/>
      <c r="AT368" s="95"/>
      <c r="AU368" s="95"/>
      <c r="AV368" s="95"/>
      <c r="AW368" s="92"/>
      <c r="AX368" s="93"/>
      <c r="AY368" s="93"/>
      <c r="AZ368" s="93"/>
      <c r="BA368" s="93"/>
      <c r="BB368" s="93"/>
      <c r="BC368" s="93"/>
      <c r="BD368" s="168"/>
      <c r="BE368" s="97"/>
      <c r="BF368" s="98"/>
      <c r="BG368" s="97"/>
      <c r="BH368" s="168"/>
      <c r="BI368" s="97"/>
      <c r="BJ368" s="97"/>
      <c r="BK368" s="97"/>
      <c r="BL368" s="97"/>
      <c r="BM368" s="97"/>
      <c r="BN368" s="97"/>
      <c r="BO368" s="93"/>
      <c r="BP368" s="93"/>
      <c r="BQ368" s="93"/>
      <c r="BR368" s="93"/>
      <c r="BS368" s="93"/>
      <c r="BT368" s="93"/>
      <c r="BU368" s="93"/>
      <c r="BV368" s="113"/>
      <c r="BW368" s="82"/>
      <c r="BX368" s="82"/>
      <c r="BY368" s="82"/>
      <c r="BZ368" s="84" t="s">
        <v>1309</v>
      </c>
      <c r="CA368" s="100" t="str">
        <f ca="1">IFERROR(__xludf.DUMMYFUNCTION("IF(REGEXMATCH(Catalog_RewardType,""reward""), VLOOKUP($E368, {'TitleData rewards.items'!$J$9:$J416,'TitleData rewards.items'!$B$9:$B416}, 2, FALSE), """")"),"")</f>
        <v/>
      </c>
    </row>
    <row r="369" spans="1:79" ht="28" hidden="1" x14ac:dyDescent="0.15">
      <c r="A369" s="82" t="s">
        <v>491</v>
      </c>
      <c r="B369" s="83"/>
      <c r="C369" s="82" t="s">
        <v>811</v>
      </c>
      <c r="D369" s="85" t="b">
        <f>VLOOKUP($C369, '_REF Catalog Classes'!$C$6:$D416, COLUMNS('_REF Catalog Classes'!$C$6:$D416), FALSE)</f>
        <v>1</v>
      </c>
      <c r="E369" s="82" t="s">
        <v>2142</v>
      </c>
      <c r="F369" s="82" t="str">
        <f t="shared" si="21"/>
        <v>actionPlaySC04Enter:</v>
      </c>
      <c r="G369" s="82" t="s">
        <v>2143</v>
      </c>
      <c r="H369" s="82" t="s">
        <v>2144</v>
      </c>
      <c r="I369" s="82" t="s">
        <v>847</v>
      </c>
      <c r="J369" s="82" t="s">
        <v>275</v>
      </c>
      <c r="K369" s="82" t="s">
        <v>275</v>
      </c>
      <c r="L369" s="82" t="s">
        <v>857</v>
      </c>
      <c r="M369" s="82"/>
      <c r="N369" s="107"/>
      <c r="O369" s="108"/>
      <c r="P369" s="82"/>
      <c r="Q369" s="88"/>
      <c r="R369" s="82"/>
      <c r="S369" s="82"/>
      <c r="T369" s="82"/>
      <c r="U369" s="82"/>
      <c r="V369" s="82"/>
      <c r="W369" s="89"/>
      <c r="X369" s="90"/>
      <c r="Y369" s="90"/>
      <c r="Z369" s="90"/>
      <c r="AA369" s="89"/>
      <c r="AB369" s="90"/>
      <c r="AC369" s="90"/>
      <c r="AD369" s="90"/>
      <c r="AE369" s="90"/>
      <c r="AF369" s="90"/>
      <c r="AG369" s="92"/>
      <c r="AH369" s="93"/>
      <c r="AI369" s="93"/>
      <c r="AJ369" s="93"/>
      <c r="AK369" s="93"/>
      <c r="AL369" s="93"/>
      <c r="AM369" s="93"/>
      <c r="AN369" s="94"/>
      <c r="AO369" s="95"/>
      <c r="AP369" s="95"/>
      <c r="AQ369" s="95"/>
      <c r="AR369" s="94"/>
      <c r="AS369" s="95"/>
      <c r="AT369" s="95"/>
      <c r="AU369" s="95"/>
      <c r="AV369" s="95"/>
      <c r="AW369" s="92"/>
      <c r="AX369" s="93"/>
      <c r="AY369" s="93"/>
      <c r="AZ369" s="93"/>
      <c r="BA369" s="93"/>
      <c r="BB369" s="93"/>
      <c r="BC369" s="93"/>
      <c r="BD369" s="168"/>
      <c r="BE369" s="97"/>
      <c r="BF369" s="98"/>
      <c r="BG369" s="97"/>
      <c r="BH369" s="168"/>
      <c r="BI369" s="97"/>
      <c r="BJ369" s="97"/>
      <c r="BK369" s="97"/>
      <c r="BL369" s="97"/>
      <c r="BM369" s="97"/>
      <c r="BN369" s="97"/>
      <c r="BO369" s="93"/>
      <c r="BP369" s="93"/>
      <c r="BQ369" s="93"/>
      <c r="BR369" s="93"/>
      <c r="BS369" s="93"/>
      <c r="BT369" s="93"/>
      <c r="BU369" s="93"/>
      <c r="BV369" s="113"/>
      <c r="BW369" s="82"/>
      <c r="BX369" s="82"/>
      <c r="BY369" s="82"/>
      <c r="BZ369" s="84" t="s">
        <v>1309</v>
      </c>
      <c r="CA369" s="100" t="str">
        <f ca="1">IFERROR(__xludf.DUMMYFUNCTION("IF(REGEXMATCH(Catalog_RewardType,""reward""), VLOOKUP($E369, {'TitleData rewards.items'!$J$9:$J416,'TitleData rewards.items'!$B$9:$B416}, 2, FALSE), """")"),"")</f>
        <v/>
      </c>
    </row>
    <row r="370" spans="1:79" ht="28" hidden="1" x14ac:dyDescent="0.15">
      <c r="A370" s="82" t="s">
        <v>491</v>
      </c>
      <c r="B370" s="83"/>
      <c r="C370" s="82" t="s">
        <v>811</v>
      </c>
      <c r="D370" s="85" t="b">
        <f>VLOOKUP($C370, '_REF Catalog Classes'!$C$6:$D416, COLUMNS('_REF Catalog Classes'!$C$6:$D416), FALSE)</f>
        <v>1</v>
      </c>
      <c r="E370" s="82" t="s">
        <v>2145</v>
      </c>
      <c r="F370" s="82" t="str">
        <f t="shared" si="21"/>
        <v>actionPlaySC04Exit:</v>
      </c>
      <c r="G370" s="82" t="s">
        <v>2146</v>
      </c>
      <c r="H370" s="82" t="s">
        <v>2147</v>
      </c>
      <c r="I370" s="82" t="s">
        <v>847</v>
      </c>
      <c r="J370" s="82" t="s">
        <v>275</v>
      </c>
      <c r="K370" s="82" t="s">
        <v>275</v>
      </c>
      <c r="L370" s="82" t="s">
        <v>857</v>
      </c>
      <c r="M370" s="82"/>
      <c r="N370" s="107"/>
      <c r="O370" s="108"/>
      <c r="P370" s="82"/>
      <c r="Q370" s="88"/>
      <c r="R370" s="82"/>
      <c r="S370" s="82"/>
      <c r="T370" s="82"/>
      <c r="U370" s="82"/>
      <c r="V370" s="82"/>
      <c r="W370" s="89"/>
      <c r="X370" s="90"/>
      <c r="Y370" s="90"/>
      <c r="Z370" s="90"/>
      <c r="AA370" s="89"/>
      <c r="AB370" s="90"/>
      <c r="AC370" s="90"/>
      <c r="AD370" s="90"/>
      <c r="AE370" s="90"/>
      <c r="AF370" s="90"/>
      <c r="AG370" s="92"/>
      <c r="AH370" s="93"/>
      <c r="AI370" s="93"/>
      <c r="AJ370" s="93"/>
      <c r="AK370" s="93"/>
      <c r="AL370" s="93"/>
      <c r="AM370" s="93"/>
      <c r="AN370" s="94"/>
      <c r="AO370" s="95"/>
      <c r="AP370" s="95"/>
      <c r="AQ370" s="95"/>
      <c r="AR370" s="94"/>
      <c r="AS370" s="95"/>
      <c r="AT370" s="95"/>
      <c r="AU370" s="95"/>
      <c r="AV370" s="95"/>
      <c r="AW370" s="92"/>
      <c r="AX370" s="93"/>
      <c r="AY370" s="93"/>
      <c r="AZ370" s="93"/>
      <c r="BA370" s="93"/>
      <c r="BB370" s="93"/>
      <c r="BC370" s="93"/>
      <c r="BD370" s="168"/>
      <c r="BE370" s="97"/>
      <c r="BF370" s="98"/>
      <c r="BG370" s="97"/>
      <c r="BH370" s="168"/>
      <c r="BI370" s="97"/>
      <c r="BJ370" s="97"/>
      <c r="BK370" s="97"/>
      <c r="BL370" s="97"/>
      <c r="BM370" s="97"/>
      <c r="BN370" s="97"/>
      <c r="BO370" s="93"/>
      <c r="BP370" s="93"/>
      <c r="BQ370" s="93"/>
      <c r="BR370" s="93"/>
      <c r="BS370" s="93"/>
      <c r="BT370" s="93"/>
      <c r="BU370" s="93"/>
      <c r="BV370" s="113"/>
      <c r="BW370" s="82"/>
      <c r="BX370" s="82"/>
      <c r="BY370" s="82"/>
      <c r="BZ370" s="84" t="s">
        <v>1309</v>
      </c>
      <c r="CA370" s="100" t="str">
        <f ca="1">IFERROR(__xludf.DUMMYFUNCTION("IF(REGEXMATCH(Catalog_RewardType,""reward""), VLOOKUP($E370, {'TitleData rewards.items'!$J$9:$J416,'TitleData rewards.items'!$B$9:$B416}, 2, FALSE), """")"),"")</f>
        <v/>
      </c>
    </row>
    <row r="371" spans="1:79" ht="28" hidden="1" x14ac:dyDescent="0.15">
      <c r="A371" s="82" t="s">
        <v>491</v>
      </c>
      <c r="B371" s="83"/>
      <c r="C371" s="82" t="s">
        <v>811</v>
      </c>
      <c r="D371" s="85" t="b">
        <f>VLOOKUP($C371, '_REF Catalog Classes'!$C$6:$D416, COLUMNS('_REF Catalog Classes'!$C$6:$D416), FALSE)</f>
        <v>1</v>
      </c>
      <c r="E371" s="82" t="s">
        <v>2148</v>
      </c>
      <c r="F371" s="82" t="str">
        <f t="shared" si="21"/>
        <v>actionPlaySC05Enter:</v>
      </c>
      <c r="G371" s="82" t="s">
        <v>2149</v>
      </c>
      <c r="H371" s="82" t="s">
        <v>2150</v>
      </c>
      <c r="I371" s="82" t="s">
        <v>847</v>
      </c>
      <c r="J371" s="82" t="s">
        <v>275</v>
      </c>
      <c r="K371" s="82" t="s">
        <v>275</v>
      </c>
      <c r="L371" s="82" t="s">
        <v>857</v>
      </c>
      <c r="M371" s="82"/>
      <c r="N371" s="107"/>
      <c r="O371" s="108"/>
      <c r="P371" s="82"/>
      <c r="Q371" s="88"/>
      <c r="R371" s="82"/>
      <c r="S371" s="82"/>
      <c r="T371" s="82"/>
      <c r="U371" s="82"/>
      <c r="V371" s="82"/>
      <c r="W371" s="89"/>
      <c r="X371" s="90"/>
      <c r="Y371" s="90"/>
      <c r="Z371" s="90"/>
      <c r="AA371" s="89"/>
      <c r="AB371" s="90"/>
      <c r="AC371" s="90"/>
      <c r="AD371" s="90"/>
      <c r="AE371" s="90"/>
      <c r="AF371" s="90"/>
      <c r="AG371" s="92"/>
      <c r="AH371" s="93"/>
      <c r="AI371" s="93"/>
      <c r="AJ371" s="93"/>
      <c r="AK371" s="93"/>
      <c r="AL371" s="93"/>
      <c r="AM371" s="93"/>
      <c r="AN371" s="94"/>
      <c r="AO371" s="95"/>
      <c r="AP371" s="95"/>
      <c r="AQ371" s="95"/>
      <c r="AR371" s="94"/>
      <c r="AS371" s="95"/>
      <c r="AT371" s="95"/>
      <c r="AU371" s="95"/>
      <c r="AV371" s="95"/>
      <c r="AW371" s="92"/>
      <c r="AX371" s="93"/>
      <c r="AY371" s="93"/>
      <c r="AZ371" s="93"/>
      <c r="BA371" s="93"/>
      <c r="BB371" s="93"/>
      <c r="BC371" s="93"/>
      <c r="BD371" s="168"/>
      <c r="BE371" s="97"/>
      <c r="BF371" s="98"/>
      <c r="BG371" s="97"/>
      <c r="BH371" s="168"/>
      <c r="BI371" s="97"/>
      <c r="BJ371" s="97"/>
      <c r="BK371" s="97"/>
      <c r="BL371" s="97"/>
      <c r="BM371" s="97"/>
      <c r="BN371" s="97"/>
      <c r="BO371" s="93"/>
      <c r="BP371" s="93"/>
      <c r="BQ371" s="93"/>
      <c r="BR371" s="93"/>
      <c r="BS371" s="93"/>
      <c r="BT371" s="93"/>
      <c r="BU371" s="93"/>
      <c r="BV371" s="113"/>
      <c r="BW371" s="82"/>
      <c r="BX371" s="82"/>
      <c r="BY371" s="82"/>
      <c r="BZ371" s="84" t="s">
        <v>1309</v>
      </c>
      <c r="CA371" s="100" t="str">
        <f ca="1">IFERROR(__xludf.DUMMYFUNCTION("IF(REGEXMATCH(Catalog_RewardType,""reward""), VLOOKUP($E371, {'TitleData rewards.items'!$J$9:$J416,'TitleData rewards.items'!$B$9:$B416}, 2, FALSE), """")"),"")</f>
        <v/>
      </c>
    </row>
    <row r="372" spans="1:79" ht="28" hidden="1" x14ac:dyDescent="0.15">
      <c r="A372" s="82" t="s">
        <v>491</v>
      </c>
      <c r="B372" s="83"/>
      <c r="C372" s="82" t="s">
        <v>811</v>
      </c>
      <c r="D372" s="85" t="b">
        <f>VLOOKUP($C372, '_REF Catalog Classes'!$C$6:$D416, COLUMNS('_REF Catalog Classes'!$C$6:$D416), FALSE)</f>
        <v>1</v>
      </c>
      <c r="E372" s="82" t="s">
        <v>2151</v>
      </c>
      <c r="F372" s="82" t="str">
        <f t="shared" si="21"/>
        <v>actionPlaySC05Exit:</v>
      </c>
      <c r="G372" s="82" t="s">
        <v>2152</v>
      </c>
      <c r="H372" s="82" t="s">
        <v>2153</v>
      </c>
      <c r="I372" s="82" t="s">
        <v>847</v>
      </c>
      <c r="J372" s="82" t="s">
        <v>275</v>
      </c>
      <c r="K372" s="82" t="s">
        <v>275</v>
      </c>
      <c r="L372" s="82" t="s">
        <v>857</v>
      </c>
      <c r="M372" s="82"/>
      <c r="N372" s="107"/>
      <c r="O372" s="108"/>
      <c r="P372" s="82"/>
      <c r="Q372" s="88"/>
      <c r="R372" s="82"/>
      <c r="S372" s="82"/>
      <c r="T372" s="82"/>
      <c r="U372" s="82"/>
      <c r="V372" s="82"/>
      <c r="W372" s="89"/>
      <c r="X372" s="90"/>
      <c r="Y372" s="90"/>
      <c r="Z372" s="90"/>
      <c r="AA372" s="89"/>
      <c r="AB372" s="90"/>
      <c r="AC372" s="90"/>
      <c r="AD372" s="90"/>
      <c r="AE372" s="90"/>
      <c r="AF372" s="90"/>
      <c r="AG372" s="92"/>
      <c r="AH372" s="93"/>
      <c r="AI372" s="93"/>
      <c r="AJ372" s="93"/>
      <c r="AK372" s="93"/>
      <c r="AL372" s="93"/>
      <c r="AM372" s="93"/>
      <c r="AN372" s="94"/>
      <c r="AO372" s="95"/>
      <c r="AP372" s="95"/>
      <c r="AQ372" s="95"/>
      <c r="AR372" s="94"/>
      <c r="AS372" s="95"/>
      <c r="AT372" s="95"/>
      <c r="AU372" s="95"/>
      <c r="AV372" s="95"/>
      <c r="AW372" s="92"/>
      <c r="AX372" s="93"/>
      <c r="AY372" s="93"/>
      <c r="AZ372" s="93"/>
      <c r="BA372" s="93"/>
      <c r="BB372" s="93"/>
      <c r="BC372" s="93"/>
      <c r="BD372" s="168"/>
      <c r="BE372" s="97"/>
      <c r="BF372" s="98"/>
      <c r="BG372" s="97"/>
      <c r="BH372" s="168"/>
      <c r="BI372" s="97"/>
      <c r="BJ372" s="97"/>
      <c r="BK372" s="97"/>
      <c r="BL372" s="97"/>
      <c r="BM372" s="97"/>
      <c r="BN372" s="97"/>
      <c r="BO372" s="93"/>
      <c r="BP372" s="93"/>
      <c r="BQ372" s="93"/>
      <c r="BR372" s="93"/>
      <c r="BS372" s="93"/>
      <c r="BT372" s="93"/>
      <c r="BU372" s="93"/>
      <c r="BV372" s="113"/>
      <c r="BW372" s="82"/>
      <c r="BX372" s="82"/>
      <c r="BY372" s="82"/>
      <c r="BZ372" s="84" t="s">
        <v>1309</v>
      </c>
      <c r="CA372" s="100" t="str">
        <f ca="1">IFERROR(__xludf.DUMMYFUNCTION("IF(REGEXMATCH(Catalog_RewardType,""reward""), VLOOKUP($E372, {'TitleData rewards.items'!$J$9:$J416,'TitleData rewards.items'!$B$9:$B416}, 2, FALSE), """")"),"")</f>
        <v/>
      </c>
    </row>
    <row r="373" spans="1:79" ht="28" hidden="1" x14ac:dyDescent="0.15">
      <c r="A373" s="82" t="s">
        <v>491</v>
      </c>
      <c r="B373" s="83"/>
      <c r="C373" s="82" t="s">
        <v>811</v>
      </c>
      <c r="D373" s="85" t="b">
        <f>VLOOKUP($C373, '_REF Catalog Classes'!$C$6:$D416, COLUMNS('_REF Catalog Classes'!$C$6:$D416), FALSE)</f>
        <v>1</v>
      </c>
      <c r="E373" s="82" t="s">
        <v>2154</v>
      </c>
      <c r="F373" s="82" t="str">
        <f t="shared" si="21"/>
        <v>actionPlaySC06Enter:</v>
      </c>
      <c r="G373" s="82" t="s">
        <v>2155</v>
      </c>
      <c r="H373" s="82" t="s">
        <v>2156</v>
      </c>
      <c r="I373" s="82" t="s">
        <v>847</v>
      </c>
      <c r="J373" s="82" t="s">
        <v>275</v>
      </c>
      <c r="K373" s="82" t="s">
        <v>275</v>
      </c>
      <c r="L373" s="82" t="s">
        <v>857</v>
      </c>
      <c r="M373" s="82"/>
      <c r="N373" s="107"/>
      <c r="O373" s="108"/>
      <c r="P373" s="82"/>
      <c r="Q373" s="88"/>
      <c r="R373" s="82"/>
      <c r="S373" s="82"/>
      <c r="T373" s="82"/>
      <c r="U373" s="82"/>
      <c r="V373" s="82"/>
      <c r="W373" s="89"/>
      <c r="X373" s="90"/>
      <c r="Y373" s="90"/>
      <c r="Z373" s="90"/>
      <c r="AA373" s="89"/>
      <c r="AB373" s="90"/>
      <c r="AC373" s="90"/>
      <c r="AD373" s="90"/>
      <c r="AE373" s="90"/>
      <c r="AF373" s="90"/>
      <c r="AG373" s="92"/>
      <c r="AH373" s="93"/>
      <c r="AI373" s="93"/>
      <c r="AJ373" s="93"/>
      <c r="AK373" s="93"/>
      <c r="AL373" s="93"/>
      <c r="AM373" s="93"/>
      <c r="AN373" s="94"/>
      <c r="AO373" s="95"/>
      <c r="AP373" s="95"/>
      <c r="AQ373" s="95"/>
      <c r="AR373" s="94"/>
      <c r="AS373" s="95"/>
      <c r="AT373" s="95"/>
      <c r="AU373" s="95"/>
      <c r="AV373" s="95"/>
      <c r="AW373" s="92"/>
      <c r="AX373" s="93"/>
      <c r="AY373" s="93"/>
      <c r="AZ373" s="93"/>
      <c r="BA373" s="93"/>
      <c r="BB373" s="93"/>
      <c r="BC373" s="93"/>
      <c r="BD373" s="168"/>
      <c r="BE373" s="97"/>
      <c r="BF373" s="98"/>
      <c r="BG373" s="97"/>
      <c r="BH373" s="168"/>
      <c r="BI373" s="97"/>
      <c r="BJ373" s="97"/>
      <c r="BK373" s="97"/>
      <c r="BL373" s="97"/>
      <c r="BM373" s="97"/>
      <c r="BN373" s="97"/>
      <c r="BO373" s="93"/>
      <c r="BP373" s="93"/>
      <c r="BQ373" s="93"/>
      <c r="BR373" s="93"/>
      <c r="BS373" s="93"/>
      <c r="BT373" s="93"/>
      <c r="BU373" s="93"/>
      <c r="BV373" s="113"/>
      <c r="BW373" s="82"/>
      <c r="BX373" s="82"/>
      <c r="BY373" s="82"/>
      <c r="BZ373" s="84" t="s">
        <v>1309</v>
      </c>
      <c r="CA373" s="100" t="str">
        <f ca="1">IFERROR(__xludf.DUMMYFUNCTION("IF(REGEXMATCH(Catalog_RewardType,""reward""), VLOOKUP($E373, {'TitleData rewards.items'!$J$9:$J416,'TitleData rewards.items'!$B$9:$B416}, 2, FALSE), """")"),"")</f>
        <v/>
      </c>
    </row>
    <row r="374" spans="1:79" ht="28" hidden="1" x14ac:dyDescent="0.15">
      <c r="A374" s="82" t="s">
        <v>491</v>
      </c>
      <c r="B374" s="83"/>
      <c r="C374" s="82" t="s">
        <v>811</v>
      </c>
      <c r="D374" s="85" t="b">
        <f>VLOOKUP($C374, '_REF Catalog Classes'!$C$6:$D416, COLUMNS('_REF Catalog Classes'!$C$6:$D416), FALSE)</f>
        <v>1</v>
      </c>
      <c r="E374" s="82" t="s">
        <v>2157</v>
      </c>
      <c r="F374" s="82" t="str">
        <f t="shared" si="21"/>
        <v>actionPlaySC06Exit:</v>
      </c>
      <c r="G374" s="82" t="s">
        <v>2158</v>
      </c>
      <c r="H374" s="82" t="s">
        <v>2159</v>
      </c>
      <c r="I374" s="82" t="s">
        <v>847</v>
      </c>
      <c r="J374" s="82" t="s">
        <v>275</v>
      </c>
      <c r="K374" s="82" t="s">
        <v>275</v>
      </c>
      <c r="L374" s="82" t="s">
        <v>857</v>
      </c>
      <c r="M374" s="82"/>
      <c r="N374" s="107"/>
      <c r="O374" s="108"/>
      <c r="P374" s="82"/>
      <c r="Q374" s="88"/>
      <c r="R374" s="82"/>
      <c r="S374" s="82"/>
      <c r="T374" s="82"/>
      <c r="U374" s="82"/>
      <c r="V374" s="82"/>
      <c r="W374" s="89"/>
      <c r="X374" s="90"/>
      <c r="Y374" s="90"/>
      <c r="Z374" s="90"/>
      <c r="AA374" s="89"/>
      <c r="AB374" s="90"/>
      <c r="AC374" s="90"/>
      <c r="AD374" s="90"/>
      <c r="AE374" s="90"/>
      <c r="AF374" s="90"/>
      <c r="AG374" s="92"/>
      <c r="AH374" s="93"/>
      <c r="AI374" s="93"/>
      <c r="AJ374" s="93"/>
      <c r="AK374" s="93"/>
      <c r="AL374" s="93"/>
      <c r="AM374" s="93"/>
      <c r="AN374" s="94"/>
      <c r="AO374" s="95"/>
      <c r="AP374" s="95"/>
      <c r="AQ374" s="95"/>
      <c r="AR374" s="94"/>
      <c r="AS374" s="95"/>
      <c r="AT374" s="95"/>
      <c r="AU374" s="95"/>
      <c r="AV374" s="95"/>
      <c r="AW374" s="92"/>
      <c r="AX374" s="93"/>
      <c r="AY374" s="93"/>
      <c r="AZ374" s="93"/>
      <c r="BA374" s="93"/>
      <c r="BB374" s="93"/>
      <c r="BC374" s="93"/>
      <c r="BD374" s="168"/>
      <c r="BE374" s="97"/>
      <c r="BF374" s="98"/>
      <c r="BG374" s="97"/>
      <c r="BH374" s="168"/>
      <c r="BI374" s="97"/>
      <c r="BJ374" s="97"/>
      <c r="BK374" s="97"/>
      <c r="BL374" s="97"/>
      <c r="BM374" s="97"/>
      <c r="BN374" s="97"/>
      <c r="BO374" s="93"/>
      <c r="BP374" s="93"/>
      <c r="BQ374" s="93"/>
      <c r="BR374" s="93"/>
      <c r="BS374" s="93"/>
      <c r="BT374" s="93"/>
      <c r="BU374" s="93"/>
      <c r="BV374" s="113"/>
      <c r="BW374" s="82"/>
      <c r="BX374" s="82"/>
      <c r="BY374" s="82"/>
      <c r="BZ374" s="84" t="s">
        <v>1309</v>
      </c>
      <c r="CA374" s="100" t="str">
        <f ca="1">IFERROR(__xludf.DUMMYFUNCTION("IF(REGEXMATCH(Catalog_RewardType,""reward""), VLOOKUP($E374, {'TitleData rewards.items'!$J$9:$J416,'TitleData rewards.items'!$B$9:$B416}, 2, FALSE), """")"),"")</f>
        <v/>
      </c>
    </row>
    <row r="375" spans="1:79" ht="28" hidden="1" x14ac:dyDescent="0.15">
      <c r="A375" s="82" t="s">
        <v>491</v>
      </c>
      <c r="B375" s="83"/>
      <c r="C375" s="82" t="s">
        <v>811</v>
      </c>
      <c r="D375" s="85" t="b">
        <f>VLOOKUP($C375, '_REF Catalog Classes'!$C$6:$D416, COLUMNS('_REF Catalog Classes'!$C$6:$D416), FALSE)</f>
        <v>1</v>
      </c>
      <c r="E375" s="82" t="s">
        <v>2160</v>
      </c>
      <c r="F375" s="82" t="str">
        <f t="shared" si="21"/>
        <v>actionPlaySC07Enter:</v>
      </c>
      <c r="G375" s="82" t="s">
        <v>2161</v>
      </c>
      <c r="H375" s="82" t="s">
        <v>2162</v>
      </c>
      <c r="I375" s="82" t="s">
        <v>847</v>
      </c>
      <c r="J375" s="82" t="s">
        <v>275</v>
      </c>
      <c r="K375" s="82" t="s">
        <v>275</v>
      </c>
      <c r="L375" s="82" t="s">
        <v>857</v>
      </c>
      <c r="M375" s="82"/>
      <c r="N375" s="107"/>
      <c r="O375" s="108"/>
      <c r="P375" s="82"/>
      <c r="Q375" s="88"/>
      <c r="R375" s="82"/>
      <c r="S375" s="82"/>
      <c r="T375" s="82"/>
      <c r="U375" s="82"/>
      <c r="V375" s="82"/>
      <c r="W375" s="89"/>
      <c r="X375" s="90"/>
      <c r="Y375" s="90"/>
      <c r="Z375" s="90"/>
      <c r="AA375" s="89"/>
      <c r="AB375" s="90"/>
      <c r="AC375" s="90"/>
      <c r="AD375" s="90"/>
      <c r="AE375" s="90"/>
      <c r="AF375" s="90"/>
      <c r="AG375" s="92"/>
      <c r="AH375" s="93"/>
      <c r="AI375" s="93"/>
      <c r="AJ375" s="93"/>
      <c r="AK375" s="93"/>
      <c r="AL375" s="93"/>
      <c r="AM375" s="93"/>
      <c r="AN375" s="94"/>
      <c r="AO375" s="95"/>
      <c r="AP375" s="95"/>
      <c r="AQ375" s="95"/>
      <c r="AR375" s="94"/>
      <c r="AS375" s="95"/>
      <c r="AT375" s="95"/>
      <c r="AU375" s="95"/>
      <c r="AV375" s="95"/>
      <c r="AW375" s="92"/>
      <c r="AX375" s="93"/>
      <c r="AY375" s="93"/>
      <c r="AZ375" s="93"/>
      <c r="BA375" s="93"/>
      <c r="BB375" s="93"/>
      <c r="BC375" s="93"/>
      <c r="BD375" s="168"/>
      <c r="BE375" s="97"/>
      <c r="BF375" s="98"/>
      <c r="BG375" s="97"/>
      <c r="BH375" s="168"/>
      <c r="BI375" s="97"/>
      <c r="BJ375" s="97"/>
      <c r="BK375" s="97"/>
      <c r="BL375" s="97"/>
      <c r="BM375" s="97"/>
      <c r="BN375" s="97"/>
      <c r="BO375" s="93"/>
      <c r="BP375" s="93"/>
      <c r="BQ375" s="93"/>
      <c r="BR375" s="93"/>
      <c r="BS375" s="93"/>
      <c r="BT375" s="93"/>
      <c r="BU375" s="93"/>
      <c r="BV375" s="113"/>
      <c r="BW375" s="82"/>
      <c r="BX375" s="82"/>
      <c r="BY375" s="82"/>
      <c r="BZ375" s="84" t="s">
        <v>1309</v>
      </c>
      <c r="CA375" s="100" t="str">
        <f ca="1">IFERROR(__xludf.DUMMYFUNCTION("IF(REGEXMATCH(Catalog_RewardType,""reward""), VLOOKUP($E375, {'TitleData rewards.items'!$J$9:$J416,'TitleData rewards.items'!$B$9:$B416}, 2, FALSE), """")"),"")</f>
        <v/>
      </c>
    </row>
    <row r="376" spans="1:79" ht="28" hidden="1" x14ac:dyDescent="0.15">
      <c r="A376" s="82" t="s">
        <v>491</v>
      </c>
      <c r="B376" s="83"/>
      <c r="C376" s="82" t="s">
        <v>811</v>
      </c>
      <c r="D376" s="85" t="b">
        <f>VLOOKUP($C376, '_REF Catalog Classes'!$C$6:$D416, COLUMNS('_REF Catalog Classes'!$C$6:$D416), FALSE)</f>
        <v>1</v>
      </c>
      <c r="E376" s="82" t="s">
        <v>2163</v>
      </c>
      <c r="F376" s="82" t="str">
        <f t="shared" si="21"/>
        <v>actionPlaySC07Exit:</v>
      </c>
      <c r="G376" s="82" t="s">
        <v>2164</v>
      </c>
      <c r="H376" s="82" t="s">
        <v>2165</v>
      </c>
      <c r="I376" s="82" t="s">
        <v>847</v>
      </c>
      <c r="J376" s="82" t="s">
        <v>275</v>
      </c>
      <c r="K376" s="82" t="s">
        <v>275</v>
      </c>
      <c r="L376" s="82" t="s">
        <v>857</v>
      </c>
      <c r="M376" s="82"/>
      <c r="N376" s="107"/>
      <c r="O376" s="108"/>
      <c r="P376" s="82"/>
      <c r="Q376" s="88"/>
      <c r="R376" s="82"/>
      <c r="S376" s="82"/>
      <c r="T376" s="82"/>
      <c r="U376" s="82"/>
      <c r="V376" s="82"/>
      <c r="W376" s="89"/>
      <c r="X376" s="90"/>
      <c r="Y376" s="90"/>
      <c r="Z376" s="90"/>
      <c r="AA376" s="89"/>
      <c r="AB376" s="90"/>
      <c r="AC376" s="90"/>
      <c r="AD376" s="90"/>
      <c r="AE376" s="90"/>
      <c r="AF376" s="90"/>
      <c r="AG376" s="92"/>
      <c r="AH376" s="93"/>
      <c r="AI376" s="93"/>
      <c r="AJ376" s="93"/>
      <c r="AK376" s="93"/>
      <c r="AL376" s="93"/>
      <c r="AM376" s="93"/>
      <c r="AN376" s="94"/>
      <c r="AO376" s="95"/>
      <c r="AP376" s="95"/>
      <c r="AQ376" s="95"/>
      <c r="AR376" s="94"/>
      <c r="AS376" s="95"/>
      <c r="AT376" s="95"/>
      <c r="AU376" s="95"/>
      <c r="AV376" s="95"/>
      <c r="AW376" s="92"/>
      <c r="AX376" s="93"/>
      <c r="AY376" s="93"/>
      <c r="AZ376" s="93"/>
      <c r="BA376" s="93"/>
      <c r="BB376" s="93"/>
      <c r="BC376" s="93"/>
      <c r="BD376" s="168"/>
      <c r="BE376" s="97"/>
      <c r="BF376" s="98"/>
      <c r="BG376" s="97"/>
      <c r="BH376" s="168"/>
      <c r="BI376" s="97"/>
      <c r="BJ376" s="97"/>
      <c r="BK376" s="97"/>
      <c r="BL376" s="97"/>
      <c r="BM376" s="97"/>
      <c r="BN376" s="97"/>
      <c r="BO376" s="93"/>
      <c r="BP376" s="93"/>
      <c r="BQ376" s="93"/>
      <c r="BR376" s="93"/>
      <c r="BS376" s="93"/>
      <c r="BT376" s="93"/>
      <c r="BU376" s="93"/>
      <c r="BV376" s="113"/>
      <c r="BW376" s="82"/>
      <c r="BX376" s="82"/>
      <c r="BY376" s="82"/>
      <c r="BZ376" s="84" t="s">
        <v>1309</v>
      </c>
      <c r="CA376" s="100" t="str">
        <f ca="1">IFERROR(__xludf.DUMMYFUNCTION("IF(REGEXMATCH(Catalog_RewardType,""reward""), VLOOKUP($E376, {'TitleData rewards.items'!$J$9:$J416,'TitleData rewards.items'!$B$9:$B416}, 2, FALSE), """")"),"")</f>
        <v/>
      </c>
    </row>
    <row r="377" spans="1:79" ht="28" hidden="1" x14ac:dyDescent="0.15">
      <c r="A377" s="82" t="s">
        <v>491</v>
      </c>
      <c r="B377" s="83"/>
      <c r="C377" s="82" t="s">
        <v>811</v>
      </c>
      <c r="D377" s="85" t="b">
        <f>VLOOKUP($C377, '_REF Catalog Classes'!$C$6:$D416, COLUMNS('_REF Catalog Classes'!$C$6:$D416), FALSE)</f>
        <v>1</v>
      </c>
      <c r="E377" s="82" t="s">
        <v>2166</v>
      </c>
      <c r="F377" s="82" t="str">
        <f t="shared" si="21"/>
        <v>actionPlaySC08Enter:</v>
      </c>
      <c r="G377" s="82" t="s">
        <v>2167</v>
      </c>
      <c r="H377" s="82" t="s">
        <v>2168</v>
      </c>
      <c r="I377" s="82" t="s">
        <v>847</v>
      </c>
      <c r="J377" s="82" t="s">
        <v>275</v>
      </c>
      <c r="K377" s="82" t="s">
        <v>275</v>
      </c>
      <c r="L377" s="82" t="s">
        <v>857</v>
      </c>
      <c r="M377" s="82"/>
      <c r="N377" s="107"/>
      <c r="O377" s="108"/>
      <c r="P377" s="82"/>
      <c r="Q377" s="88"/>
      <c r="R377" s="82"/>
      <c r="S377" s="82"/>
      <c r="T377" s="82"/>
      <c r="U377" s="82"/>
      <c r="V377" s="82"/>
      <c r="W377" s="89"/>
      <c r="X377" s="90"/>
      <c r="Y377" s="90"/>
      <c r="Z377" s="90"/>
      <c r="AA377" s="89"/>
      <c r="AB377" s="90"/>
      <c r="AC377" s="90"/>
      <c r="AD377" s="90"/>
      <c r="AE377" s="90"/>
      <c r="AF377" s="90"/>
      <c r="AG377" s="92"/>
      <c r="AH377" s="93"/>
      <c r="AI377" s="93"/>
      <c r="AJ377" s="93"/>
      <c r="AK377" s="93"/>
      <c r="AL377" s="93"/>
      <c r="AM377" s="93"/>
      <c r="AN377" s="94"/>
      <c r="AO377" s="95"/>
      <c r="AP377" s="95"/>
      <c r="AQ377" s="95"/>
      <c r="AR377" s="94"/>
      <c r="AS377" s="95"/>
      <c r="AT377" s="95"/>
      <c r="AU377" s="95"/>
      <c r="AV377" s="95"/>
      <c r="AW377" s="92"/>
      <c r="AX377" s="93"/>
      <c r="AY377" s="93"/>
      <c r="AZ377" s="93"/>
      <c r="BA377" s="93"/>
      <c r="BB377" s="93"/>
      <c r="BC377" s="93"/>
      <c r="BD377" s="168"/>
      <c r="BE377" s="97"/>
      <c r="BF377" s="98"/>
      <c r="BG377" s="97"/>
      <c r="BH377" s="168"/>
      <c r="BI377" s="97"/>
      <c r="BJ377" s="97"/>
      <c r="BK377" s="97"/>
      <c r="BL377" s="97"/>
      <c r="BM377" s="97"/>
      <c r="BN377" s="97"/>
      <c r="BO377" s="93"/>
      <c r="BP377" s="93"/>
      <c r="BQ377" s="93"/>
      <c r="BR377" s="93"/>
      <c r="BS377" s="93"/>
      <c r="BT377" s="93"/>
      <c r="BU377" s="93"/>
      <c r="BV377" s="113"/>
      <c r="BW377" s="82"/>
      <c r="BX377" s="82"/>
      <c r="BY377" s="82"/>
      <c r="BZ377" s="84" t="s">
        <v>1309</v>
      </c>
      <c r="CA377" s="100" t="str">
        <f ca="1">IFERROR(__xludf.DUMMYFUNCTION("IF(REGEXMATCH(Catalog_RewardType,""reward""), VLOOKUP($E377, {'TitleData rewards.items'!$J$9:$J416,'TitleData rewards.items'!$B$9:$B416}, 2, FALSE), """")"),"")</f>
        <v/>
      </c>
    </row>
    <row r="378" spans="1:79" ht="28" hidden="1" x14ac:dyDescent="0.15">
      <c r="A378" s="82" t="s">
        <v>491</v>
      </c>
      <c r="B378" s="83"/>
      <c r="C378" s="82" t="s">
        <v>811</v>
      </c>
      <c r="D378" s="85" t="b">
        <f>VLOOKUP($C378, '_REF Catalog Classes'!$C$6:$D416, COLUMNS('_REF Catalog Classes'!$C$6:$D416), FALSE)</f>
        <v>1</v>
      </c>
      <c r="E378" s="82" t="s">
        <v>2169</v>
      </c>
      <c r="F378" s="82" t="str">
        <f t="shared" si="21"/>
        <v>actionPlaySC08Exit:</v>
      </c>
      <c r="G378" s="82" t="s">
        <v>2170</v>
      </c>
      <c r="H378" s="82" t="s">
        <v>2171</v>
      </c>
      <c r="I378" s="82" t="s">
        <v>847</v>
      </c>
      <c r="J378" s="82" t="s">
        <v>275</v>
      </c>
      <c r="K378" s="82" t="s">
        <v>275</v>
      </c>
      <c r="L378" s="82" t="s">
        <v>857</v>
      </c>
      <c r="M378" s="82"/>
      <c r="N378" s="107"/>
      <c r="O378" s="108"/>
      <c r="P378" s="82"/>
      <c r="Q378" s="88"/>
      <c r="R378" s="82"/>
      <c r="S378" s="82"/>
      <c r="T378" s="82"/>
      <c r="U378" s="82"/>
      <c r="V378" s="82"/>
      <c r="W378" s="89"/>
      <c r="X378" s="90"/>
      <c r="Y378" s="90"/>
      <c r="Z378" s="90"/>
      <c r="AA378" s="89"/>
      <c r="AB378" s="90"/>
      <c r="AC378" s="90"/>
      <c r="AD378" s="90"/>
      <c r="AE378" s="90"/>
      <c r="AF378" s="90"/>
      <c r="AG378" s="92"/>
      <c r="AH378" s="93"/>
      <c r="AI378" s="93"/>
      <c r="AJ378" s="93"/>
      <c r="AK378" s="93"/>
      <c r="AL378" s="93"/>
      <c r="AM378" s="93"/>
      <c r="AN378" s="94"/>
      <c r="AO378" s="95"/>
      <c r="AP378" s="95"/>
      <c r="AQ378" s="95"/>
      <c r="AR378" s="94"/>
      <c r="AS378" s="95"/>
      <c r="AT378" s="95"/>
      <c r="AU378" s="95"/>
      <c r="AV378" s="95"/>
      <c r="AW378" s="92"/>
      <c r="AX378" s="93"/>
      <c r="AY378" s="93"/>
      <c r="AZ378" s="93"/>
      <c r="BA378" s="93"/>
      <c r="BB378" s="93"/>
      <c r="BC378" s="93"/>
      <c r="BD378" s="168"/>
      <c r="BE378" s="97"/>
      <c r="BF378" s="98"/>
      <c r="BG378" s="97"/>
      <c r="BH378" s="168"/>
      <c r="BI378" s="97"/>
      <c r="BJ378" s="97"/>
      <c r="BK378" s="97"/>
      <c r="BL378" s="97"/>
      <c r="BM378" s="97"/>
      <c r="BN378" s="97"/>
      <c r="BO378" s="93"/>
      <c r="BP378" s="93"/>
      <c r="BQ378" s="93"/>
      <c r="BR378" s="93"/>
      <c r="BS378" s="93"/>
      <c r="BT378" s="93"/>
      <c r="BU378" s="93"/>
      <c r="BV378" s="113"/>
      <c r="BW378" s="82"/>
      <c r="BX378" s="82"/>
      <c r="BY378" s="82"/>
      <c r="BZ378" s="84" t="s">
        <v>1309</v>
      </c>
      <c r="CA378" s="100" t="str">
        <f ca="1">IFERROR(__xludf.DUMMYFUNCTION("IF(REGEXMATCH(Catalog_RewardType,""reward""), VLOOKUP($E378, {'TitleData rewards.items'!$J$9:$J416,'TitleData rewards.items'!$B$9:$B416}, 2, FALSE), """")"),"")</f>
        <v/>
      </c>
    </row>
    <row r="379" spans="1:79" ht="28" hidden="1" x14ac:dyDescent="0.15">
      <c r="A379" s="82" t="s">
        <v>491</v>
      </c>
      <c r="B379" s="83"/>
      <c r="C379" s="82" t="s">
        <v>811</v>
      </c>
      <c r="D379" s="85" t="b">
        <f>VLOOKUP($C379, '_REF Catalog Classes'!$C$6:$D416, COLUMNS('_REF Catalog Classes'!$C$6:$D416), FALSE)</f>
        <v>1</v>
      </c>
      <c r="E379" s="82" t="s">
        <v>2172</v>
      </c>
      <c r="F379" s="82" t="str">
        <f t="shared" si="21"/>
        <v>actionPlayAttractionExit:</v>
      </c>
      <c r="G379" s="82" t="s">
        <v>2173</v>
      </c>
      <c r="H379" s="82" t="s">
        <v>2174</v>
      </c>
      <c r="I379" s="82" t="s">
        <v>847</v>
      </c>
      <c r="J379" s="82" t="s">
        <v>275</v>
      </c>
      <c r="K379" s="82" t="s">
        <v>275</v>
      </c>
      <c r="L379" s="82" t="s">
        <v>857</v>
      </c>
      <c r="M379" s="82"/>
      <c r="N379" s="107"/>
      <c r="O379" s="108"/>
      <c r="P379" s="82"/>
      <c r="Q379" s="88"/>
      <c r="R379" s="82"/>
      <c r="S379" s="82"/>
      <c r="T379" s="82"/>
      <c r="U379" s="82"/>
      <c r="V379" s="82"/>
      <c r="W379" s="89"/>
      <c r="X379" s="90"/>
      <c r="Y379" s="90"/>
      <c r="Z379" s="90"/>
      <c r="AA379" s="89"/>
      <c r="AB379" s="90"/>
      <c r="AC379" s="90"/>
      <c r="AD379" s="90"/>
      <c r="AE379" s="90"/>
      <c r="AF379" s="90"/>
      <c r="AG379" s="92"/>
      <c r="AH379" s="93"/>
      <c r="AI379" s="93"/>
      <c r="AJ379" s="93"/>
      <c r="AK379" s="93"/>
      <c r="AL379" s="93"/>
      <c r="AM379" s="93"/>
      <c r="AN379" s="94"/>
      <c r="AO379" s="95"/>
      <c r="AP379" s="95"/>
      <c r="AQ379" s="95"/>
      <c r="AR379" s="94"/>
      <c r="AS379" s="95"/>
      <c r="AT379" s="95"/>
      <c r="AU379" s="95"/>
      <c r="AV379" s="95"/>
      <c r="AW379" s="92"/>
      <c r="AX379" s="93"/>
      <c r="AY379" s="93"/>
      <c r="AZ379" s="93"/>
      <c r="BA379" s="93"/>
      <c r="BB379" s="93"/>
      <c r="BC379" s="93"/>
      <c r="BD379" s="168"/>
      <c r="BE379" s="97"/>
      <c r="BF379" s="98"/>
      <c r="BG379" s="97"/>
      <c r="BH379" s="168"/>
      <c r="BI379" s="97"/>
      <c r="BJ379" s="97"/>
      <c r="BK379" s="97"/>
      <c r="BL379" s="97"/>
      <c r="BM379" s="97"/>
      <c r="BN379" s="97"/>
      <c r="BO379" s="93"/>
      <c r="BP379" s="93"/>
      <c r="BQ379" s="93"/>
      <c r="BR379" s="93"/>
      <c r="BS379" s="93"/>
      <c r="BT379" s="93"/>
      <c r="BU379" s="93"/>
      <c r="BV379" s="113"/>
      <c r="BW379" s="82"/>
      <c r="BX379" s="82"/>
      <c r="BY379" s="82"/>
      <c r="BZ379" s="84" t="s">
        <v>1309</v>
      </c>
      <c r="CA379" s="100" t="str">
        <f ca="1">IFERROR(__xludf.DUMMYFUNCTION("IF(REGEXMATCH(Catalog_RewardType,""reward""), VLOOKUP($E379, {'TitleData rewards.items'!$J$9:$J416,'TitleData rewards.items'!$B$9:$B416}, 2, FALSE), """")"),"")</f>
        <v/>
      </c>
    </row>
    <row r="380" spans="1:79" ht="28" hidden="1" x14ac:dyDescent="0.15">
      <c r="A380" s="82" t="s">
        <v>269</v>
      </c>
      <c r="B380" s="83" t="b">
        <v>1</v>
      </c>
      <c r="C380" s="82" t="s">
        <v>811</v>
      </c>
      <c r="D380" s="85" t="b">
        <f>VLOOKUP($C380, '_REF Catalog Classes'!$C$6:$D416, COLUMNS('_REF Catalog Classes'!$C$6:$D416), FALSE)</f>
        <v>1</v>
      </c>
      <c r="E380" s="82" t="s">
        <v>2175</v>
      </c>
      <c r="F380" s="82" t="str">
        <f t="shared" si="21"/>
        <v>actionBlastPainting01:TRUE</v>
      </c>
      <c r="G380" s="106" t="s">
        <v>904</v>
      </c>
      <c r="H380" s="86" t="s">
        <v>2176</v>
      </c>
      <c r="I380" s="82" t="s">
        <v>847</v>
      </c>
      <c r="J380" s="82" t="s">
        <v>2177</v>
      </c>
      <c r="K380" s="82"/>
      <c r="L380" s="82" t="s">
        <v>857</v>
      </c>
      <c r="M380" s="86"/>
      <c r="N380" s="107"/>
      <c r="O380" s="108"/>
      <c r="P380" s="82"/>
      <c r="Q380" s="88"/>
      <c r="R380" s="82"/>
      <c r="S380" s="82"/>
      <c r="T380" s="82"/>
      <c r="U380" s="82"/>
      <c r="V380" s="82"/>
      <c r="W380" s="230"/>
      <c r="X380" s="86"/>
      <c r="Y380" s="90" t="str">
        <f t="shared" ref="Y380:Y401" si="34">"file://"&amp;$E380&amp;"-state0-image0"</f>
        <v>file://actionBlastPainting01-state0-image0</v>
      </c>
      <c r="Z380" s="82"/>
      <c r="AA380" s="88"/>
      <c r="AB380" s="82"/>
      <c r="AC380" s="86"/>
      <c r="AD380" s="82"/>
      <c r="AE380" s="82"/>
      <c r="AF380" s="82"/>
      <c r="AG380" s="88"/>
      <c r="AH380" s="82"/>
      <c r="AI380" s="82"/>
      <c r="AJ380" s="82"/>
      <c r="AK380" s="82"/>
      <c r="AL380" s="82"/>
      <c r="AM380" s="82"/>
      <c r="AN380" s="230"/>
      <c r="AO380" s="86"/>
      <c r="AP380" s="95" t="str">
        <f t="shared" ref="AP380:AP401" si="35">"file://"&amp;$E380&amp;"-state1-image0"</f>
        <v>file://actionBlastPainting01-state1-image0</v>
      </c>
      <c r="AQ380" s="86"/>
      <c r="AR380" s="230"/>
      <c r="AS380" s="86"/>
      <c r="AT380" s="86"/>
      <c r="AU380" s="86"/>
      <c r="AV380" s="86"/>
      <c r="AW380" s="88"/>
      <c r="AX380" s="82"/>
      <c r="AY380" s="82"/>
      <c r="AZ380" s="82"/>
      <c r="BA380" s="82"/>
      <c r="BB380" s="82"/>
      <c r="BC380" s="82"/>
      <c r="BD380" s="82"/>
      <c r="BE380" s="82"/>
      <c r="BF380" s="98"/>
      <c r="BG380" s="82"/>
      <c r="BH380" s="82"/>
      <c r="BI380" s="82"/>
      <c r="BJ380" s="82"/>
      <c r="BK380" s="82"/>
      <c r="BL380" s="82"/>
      <c r="BM380" s="82"/>
      <c r="BN380" s="82"/>
      <c r="BO380" s="82"/>
      <c r="BP380" s="82"/>
      <c r="BQ380" s="82"/>
      <c r="BR380" s="82"/>
      <c r="BS380" s="82"/>
      <c r="BT380" s="82"/>
      <c r="BU380" s="82"/>
      <c r="BV380" s="99"/>
      <c r="BW380" s="86"/>
      <c r="BX380" s="86"/>
      <c r="BY380" s="86"/>
      <c r="BZ380" s="86"/>
      <c r="CA380" s="100" t="str">
        <f ca="1">IFERROR(__xludf.DUMMYFUNCTION("IF(REGEXMATCH(Catalog_RewardType,""reward""), VLOOKUP($E380, {'TitleData rewards.items'!$J$9:$J416,'TitleData rewards.items'!$B$9:$B416}, 2, FALSE), """")"),"")</f>
        <v/>
      </c>
    </row>
    <row r="381" spans="1:79" ht="28" hidden="1" x14ac:dyDescent="0.15">
      <c r="A381" s="82" t="s">
        <v>269</v>
      </c>
      <c r="B381" s="83" t="b">
        <v>1</v>
      </c>
      <c r="C381" s="82" t="s">
        <v>811</v>
      </c>
      <c r="D381" s="85" t="b">
        <f>VLOOKUP($C381, '_REF Catalog Classes'!$C$6:$D416, COLUMNS('_REF Catalog Classes'!$C$6:$D416), FALSE)</f>
        <v>1</v>
      </c>
      <c r="E381" s="82" t="s">
        <v>2178</v>
      </c>
      <c r="F381" s="82" t="str">
        <f t="shared" si="21"/>
        <v>actionBlastPainting02:TRUE</v>
      </c>
      <c r="G381" s="106" t="s">
        <v>904</v>
      </c>
      <c r="H381" s="86" t="s">
        <v>2179</v>
      </c>
      <c r="I381" s="82" t="s">
        <v>847</v>
      </c>
      <c r="J381" s="82" t="s">
        <v>2177</v>
      </c>
      <c r="K381" s="82"/>
      <c r="L381" s="82" t="s">
        <v>857</v>
      </c>
      <c r="M381" s="86"/>
      <c r="N381" s="107"/>
      <c r="O381" s="108"/>
      <c r="P381" s="82"/>
      <c r="Q381" s="88"/>
      <c r="R381" s="82"/>
      <c r="S381" s="82"/>
      <c r="T381" s="82"/>
      <c r="U381" s="82"/>
      <c r="V381" s="82"/>
      <c r="W381" s="230"/>
      <c r="X381" s="86"/>
      <c r="Y381" s="90" t="str">
        <f t="shared" si="34"/>
        <v>file://actionBlastPainting02-state0-image0</v>
      </c>
      <c r="Z381" s="82"/>
      <c r="AA381" s="88"/>
      <c r="AB381" s="82"/>
      <c r="AC381" s="86"/>
      <c r="AD381" s="82"/>
      <c r="AE381" s="82"/>
      <c r="AF381" s="82"/>
      <c r="AG381" s="88"/>
      <c r="AH381" s="82"/>
      <c r="AI381" s="82"/>
      <c r="AJ381" s="82"/>
      <c r="AK381" s="82"/>
      <c r="AL381" s="82"/>
      <c r="AM381" s="82"/>
      <c r="AN381" s="230"/>
      <c r="AO381" s="86"/>
      <c r="AP381" s="95" t="str">
        <f t="shared" si="35"/>
        <v>file://actionBlastPainting02-state1-image0</v>
      </c>
      <c r="AQ381" s="86"/>
      <c r="AR381" s="230"/>
      <c r="AS381" s="86"/>
      <c r="AT381" s="86"/>
      <c r="AU381" s="86"/>
      <c r="AV381" s="86"/>
      <c r="AW381" s="88"/>
      <c r="AX381" s="82"/>
      <c r="AY381" s="82"/>
      <c r="AZ381" s="82"/>
      <c r="BA381" s="82"/>
      <c r="BB381" s="82"/>
      <c r="BC381" s="82"/>
      <c r="BD381" s="82"/>
      <c r="BE381" s="82"/>
      <c r="BF381" s="98"/>
      <c r="BG381" s="82"/>
      <c r="BH381" s="82"/>
      <c r="BI381" s="82"/>
      <c r="BJ381" s="82"/>
      <c r="BK381" s="82"/>
      <c r="BL381" s="82"/>
      <c r="BM381" s="82"/>
      <c r="BN381" s="82"/>
      <c r="BO381" s="82"/>
      <c r="BP381" s="82"/>
      <c r="BQ381" s="82"/>
      <c r="BR381" s="82"/>
      <c r="BS381" s="82"/>
      <c r="BT381" s="82"/>
      <c r="BU381" s="82"/>
      <c r="BV381" s="99"/>
      <c r="BW381" s="86"/>
      <c r="BX381" s="86"/>
      <c r="BY381" s="86"/>
      <c r="BZ381" s="86"/>
      <c r="CA381" s="100" t="str">
        <f ca="1">IFERROR(__xludf.DUMMYFUNCTION("IF(REGEXMATCH(Catalog_RewardType,""reward""), VLOOKUP($E381, {'TitleData rewards.items'!$J$9:$J416,'TitleData rewards.items'!$B$9:$B416}, 2, FALSE), """")"),"")</f>
        <v/>
      </c>
    </row>
    <row r="382" spans="1:79" ht="28" hidden="1" x14ac:dyDescent="0.15">
      <c r="A382" s="82" t="s">
        <v>269</v>
      </c>
      <c r="B382" s="83" t="b">
        <v>1</v>
      </c>
      <c r="C382" s="82" t="s">
        <v>811</v>
      </c>
      <c r="D382" s="85" t="b">
        <f>VLOOKUP($C382, '_REF Catalog Classes'!$C$6:$D416, COLUMNS('_REF Catalog Classes'!$C$6:$D416), FALSE)</f>
        <v>1</v>
      </c>
      <c r="E382" s="82" t="s">
        <v>2180</v>
      </c>
      <c r="F382" s="82" t="str">
        <f t="shared" si="21"/>
        <v>actionBlastPainting03:TRUE</v>
      </c>
      <c r="G382" s="106" t="s">
        <v>904</v>
      </c>
      <c r="H382" s="86" t="s">
        <v>2181</v>
      </c>
      <c r="I382" s="82" t="s">
        <v>847</v>
      </c>
      <c r="J382" s="82" t="s">
        <v>2177</v>
      </c>
      <c r="K382" s="82"/>
      <c r="L382" s="82" t="s">
        <v>857</v>
      </c>
      <c r="M382" s="86"/>
      <c r="N382" s="107"/>
      <c r="O382" s="108"/>
      <c r="P382" s="82"/>
      <c r="Q382" s="88"/>
      <c r="R382" s="82"/>
      <c r="S382" s="82"/>
      <c r="T382" s="82"/>
      <c r="U382" s="82"/>
      <c r="V382" s="82"/>
      <c r="W382" s="230"/>
      <c r="X382" s="86"/>
      <c r="Y382" s="90" t="str">
        <f t="shared" si="34"/>
        <v>file://actionBlastPainting03-state0-image0</v>
      </c>
      <c r="Z382" s="82"/>
      <c r="AA382" s="88"/>
      <c r="AB382" s="82"/>
      <c r="AC382" s="86"/>
      <c r="AD382" s="82"/>
      <c r="AE382" s="82"/>
      <c r="AF382" s="82"/>
      <c r="AG382" s="88"/>
      <c r="AH382" s="82"/>
      <c r="AI382" s="82"/>
      <c r="AJ382" s="82"/>
      <c r="AK382" s="82"/>
      <c r="AL382" s="82"/>
      <c r="AM382" s="82"/>
      <c r="AN382" s="230"/>
      <c r="AO382" s="86"/>
      <c r="AP382" s="95" t="str">
        <f t="shared" si="35"/>
        <v>file://actionBlastPainting03-state1-image0</v>
      </c>
      <c r="AQ382" s="86"/>
      <c r="AR382" s="230"/>
      <c r="AS382" s="86"/>
      <c r="AT382" s="86"/>
      <c r="AU382" s="86"/>
      <c r="AV382" s="86"/>
      <c r="AW382" s="88"/>
      <c r="AX382" s="82"/>
      <c r="AY382" s="82"/>
      <c r="AZ382" s="82"/>
      <c r="BA382" s="82"/>
      <c r="BB382" s="82"/>
      <c r="BC382" s="82"/>
      <c r="BD382" s="82"/>
      <c r="BE382" s="82"/>
      <c r="BF382" s="98"/>
      <c r="BG382" s="82"/>
      <c r="BH382" s="82"/>
      <c r="BI382" s="82"/>
      <c r="BJ382" s="82"/>
      <c r="BK382" s="82"/>
      <c r="BL382" s="82"/>
      <c r="BM382" s="82"/>
      <c r="BN382" s="82"/>
      <c r="BO382" s="82"/>
      <c r="BP382" s="82"/>
      <c r="BQ382" s="82"/>
      <c r="BR382" s="82"/>
      <c r="BS382" s="82"/>
      <c r="BT382" s="82"/>
      <c r="BU382" s="82"/>
      <c r="BV382" s="99"/>
      <c r="BW382" s="86"/>
      <c r="BX382" s="86"/>
      <c r="BY382" s="86"/>
      <c r="BZ382" s="86"/>
      <c r="CA382" s="100" t="str">
        <f ca="1">IFERROR(__xludf.DUMMYFUNCTION("IF(REGEXMATCH(Catalog_RewardType,""reward""), VLOOKUP($E382, {'TitleData rewards.items'!$J$9:$J416,'TitleData rewards.items'!$B$9:$B416}, 2, FALSE), """")"),"")</f>
        <v/>
      </c>
    </row>
    <row r="383" spans="1:79" ht="28" hidden="1" x14ac:dyDescent="0.15">
      <c r="A383" s="82" t="s">
        <v>269</v>
      </c>
      <c r="B383" s="83" t="b">
        <v>1</v>
      </c>
      <c r="C383" s="82" t="s">
        <v>811</v>
      </c>
      <c r="D383" s="85" t="b">
        <f>VLOOKUP($C383, '_REF Catalog Classes'!$C$6:$D416, COLUMNS('_REF Catalog Classes'!$C$6:$D416), FALSE)</f>
        <v>1</v>
      </c>
      <c r="E383" s="82" t="s">
        <v>2182</v>
      </c>
      <c r="F383" s="82" t="str">
        <f t="shared" si="21"/>
        <v>actionBlastPainting04:TRUE</v>
      </c>
      <c r="G383" s="106" t="s">
        <v>904</v>
      </c>
      <c r="H383" s="86" t="s">
        <v>2183</v>
      </c>
      <c r="I383" s="82" t="s">
        <v>847</v>
      </c>
      <c r="J383" s="82" t="s">
        <v>2177</v>
      </c>
      <c r="K383" s="82"/>
      <c r="L383" s="82" t="s">
        <v>857</v>
      </c>
      <c r="M383" s="86"/>
      <c r="N383" s="107"/>
      <c r="O383" s="108"/>
      <c r="P383" s="82"/>
      <c r="Q383" s="88"/>
      <c r="R383" s="82"/>
      <c r="S383" s="82"/>
      <c r="T383" s="82"/>
      <c r="U383" s="82"/>
      <c r="V383" s="82"/>
      <c r="W383" s="230"/>
      <c r="X383" s="86"/>
      <c r="Y383" s="90" t="str">
        <f t="shared" si="34"/>
        <v>file://actionBlastPainting04-state0-image0</v>
      </c>
      <c r="Z383" s="82"/>
      <c r="AA383" s="88"/>
      <c r="AB383" s="82"/>
      <c r="AC383" s="86"/>
      <c r="AD383" s="82"/>
      <c r="AE383" s="82"/>
      <c r="AF383" s="82"/>
      <c r="AG383" s="88"/>
      <c r="AH383" s="82"/>
      <c r="AI383" s="82"/>
      <c r="AJ383" s="82"/>
      <c r="AK383" s="82"/>
      <c r="AL383" s="82"/>
      <c r="AM383" s="82"/>
      <c r="AN383" s="230"/>
      <c r="AO383" s="86"/>
      <c r="AP383" s="95" t="str">
        <f t="shared" si="35"/>
        <v>file://actionBlastPainting04-state1-image0</v>
      </c>
      <c r="AQ383" s="86"/>
      <c r="AR383" s="230"/>
      <c r="AS383" s="86"/>
      <c r="AT383" s="86"/>
      <c r="AU383" s="86"/>
      <c r="AV383" s="86"/>
      <c r="AW383" s="88"/>
      <c r="AX383" s="82"/>
      <c r="AY383" s="82"/>
      <c r="AZ383" s="82"/>
      <c r="BA383" s="82"/>
      <c r="BB383" s="82"/>
      <c r="BC383" s="82"/>
      <c r="BD383" s="82"/>
      <c r="BE383" s="82"/>
      <c r="BF383" s="98"/>
      <c r="BG383" s="82"/>
      <c r="BH383" s="82"/>
      <c r="BI383" s="82"/>
      <c r="BJ383" s="82"/>
      <c r="BK383" s="82"/>
      <c r="BL383" s="82"/>
      <c r="BM383" s="82"/>
      <c r="BN383" s="82"/>
      <c r="BO383" s="82"/>
      <c r="BP383" s="82"/>
      <c r="BQ383" s="82"/>
      <c r="BR383" s="82"/>
      <c r="BS383" s="82"/>
      <c r="BT383" s="82"/>
      <c r="BU383" s="82"/>
      <c r="BV383" s="99"/>
      <c r="BW383" s="86"/>
      <c r="BX383" s="86"/>
      <c r="BY383" s="86"/>
      <c r="BZ383" s="86"/>
      <c r="CA383" s="100" t="str">
        <f ca="1">IFERROR(__xludf.DUMMYFUNCTION("IF(REGEXMATCH(Catalog_RewardType,""reward""), VLOOKUP($E383, {'TitleData rewards.items'!$J$9:$J416,'TitleData rewards.items'!$B$9:$B416}, 2, FALSE), """")"),"")</f>
        <v/>
      </c>
    </row>
    <row r="384" spans="1:79" ht="28" hidden="1" x14ac:dyDescent="0.15">
      <c r="A384" s="82" t="s">
        <v>269</v>
      </c>
      <c r="B384" s="83" t="b">
        <v>1</v>
      </c>
      <c r="C384" s="82" t="s">
        <v>811</v>
      </c>
      <c r="D384" s="85" t="b">
        <f>VLOOKUP($C384, '_REF Catalog Classes'!$C$6:$D416, COLUMNS('_REF Catalog Classes'!$C$6:$D416), FALSE)</f>
        <v>1</v>
      </c>
      <c r="E384" s="82" t="s">
        <v>2184</v>
      </c>
      <c r="F384" s="82" t="str">
        <f t="shared" si="21"/>
        <v>actionBlastPainting05:TRUE</v>
      </c>
      <c r="G384" s="106" t="s">
        <v>904</v>
      </c>
      <c r="H384" s="86" t="s">
        <v>2185</v>
      </c>
      <c r="I384" s="82" t="s">
        <v>847</v>
      </c>
      <c r="J384" s="82" t="s">
        <v>2177</v>
      </c>
      <c r="K384" s="82"/>
      <c r="L384" s="82" t="s">
        <v>857</v>
      </c>
      <c r="M384" s="86"/>
      <c r="N384" s="107"/>
      <c r="O384" s="108"/>
      <c r="P384" s="82"/>
      <c r="Q384" s="88"/>
      <c r="R384" s="82"/>
      <c r="S384" s="82"/>
      <c r="T384" s="82"/>
      <c r="U384" s="82"/>
      <c r="V384" s="82"/>
      <c r="W384" s="230"/>
      <c r="X384" s="86"/>
      <c r="Y384" s="90" t="str">
        <f t="shared" si="34"/>
        <v>file://actionBlastPainting05-state0-image0</v>
      </c>
      <c r="Z384" s="82"/>
      <c r="AA384" s="88"/>
      <c r="AB384" s="82"/>
      <c r="AC384" s="86"/>
      <c r="AD384" s="82"/>
      <c r="AE384" s="82"/>
      <c r="AF384" s="82"/>
      <c r="AG384" s="88"/>
      <c r="AH384" s="82"/>
      <c r="AI384" s="82"/>
      <c r="AJ384" s="82"/>
      <c r="AK384" s="82"/>
      <c r="AL384" s="82"/>
      <c r="AM384" s="82"/>
      <c r="AN384" s="230"/>
      <c r="AO384" s="86"/>
      <c r="AP384" s="95" t="str">
        <f t="shared" si="35"/>
        <v>file://actionBlastPainting05-state1-image0</v>
      </c>
      <c r="AQ384" s="86"/>
      <c r="AR384" s="230"/>
      <c r="AS384" s="86"/>
      <c r="AT384" s="86"/>
      <c r="AU384" s="86"/>
      <c r="AV384" s="86"/>
      <c r="AW384" s="88"/>
      <c r="AX384" s="82"/>
      <c r="AY384" s="82"/>
      <c r="AZ384" s="82"/>
      <c r="BA384" s="82"/>
      <c r="BB384" s="82"/>
      <c r="BC384" s="82"/>
      <c r="BD384" s="82"/>
      <c r="BE384" s="82"/>
      <c r="BF384" s="98"/>
      <c r="BG384" s="82"/>
      <c r="BH384" s="82"/>
      <c r="BI384" s="82"/>
      <c r="BJ384" s="82"/>
      <c r="BK384" s="82"/>
      <c r="BL384" s="82"/>
      <c r="BM384" s="82"/>
      <c r="BN384" s="82"/>
      <c r="BO384" s="82"/>
      <c r="BP384" s="82"/>
      <c r="BQ384" s="82"/>
      <c r="BR384" s="82"/>
      <c r="BS384" s="82"/>
      <c r="BT384" s="82"/>
      <c r="BU384" s="82"/>
      <c r="BV384" s="99"/>
      <c r="BW384" s="86"/>
      <c r="BX384" s="86"/>
      <c r="BY384" s="86"/>
      <c r="BZ384" s="86"/>
      <c r="CA384" s="100" t="str">
        <f ca="1">IFERROR(__xludf.DUMMYFUNCTION("IF(REGEXMATCH(Catalog_RewardType,""reward""), VLOOKUP($E384, {'TitleData rewards.items'!$J$9:$J416,'TitleData rewards.items'!$B$9:$B416}, 2, FALSE), """")"),"")</f>
        <v/>
      </c>
    </row>
    <row r="385" spans="1:79" ht="28" hidden="1" x14ac:dyDescent="0.15">
      <c r="A385" s="82" t="s">
        <v>269</v>
      </c>
      <c r="B385" s="83" t="b">
        <v>1</v>
      </c>
      <c r="C385" s="82" t="s">
        <v>811</v>
      </c>
      <c r="D385" s="85" t="b">
        <f>VLOOKUP($C385, '_REF Catalog Classes'!$C$6:$D416, COLUMNS('_REF Catalog Classes'!$C$6:$D416), FALSE)</f>
        <v>1</v>
      </c>
      <c r="E385" s="82" t="s">
        <v>2186</v>
      </c>
      <c r="F385" s="82" t="str">
        <f t="shared" si="21"/>
        <v>actionBlastPainting06:TRUE</v>
      </c>
      <c r="G385" s="106" t="s">
        <v>904</v>
      </c>
      <c r="H385" s="86" t="s">
        <v>2187</v>
      </c>
      <c r="I385" s="82" t="s">
        <v>847</v>
      </c>
      <c r="J385" s="82" t="s">
        <v>2177</v>
      </c>
      <c r="K385" s="82"/>
      <c r="L385" s="82" t="s">
        <v>857</v>
      </c>
      <c r="M385" s="86"/>
      <c r="N385" s="107"/>
      <c r="O385" s="108"/>
      <c r="P385" s="82"/>
      <c r="Q385" s="88"/>
      <c r="R385" s="82"/>
      <c r="S385" s="82"/>
      <c r="T385" s="82"/>
      <c r="U385" s="82"/>
      <c r="V385" s="82"/>
      <c r="W385" s="230"/>
      <c r="X385" s="86"/>
      <c r="Y385" s="90" t="str">
        <f t="shared" si="34"/>
        <v>file://actionBlastPainting06-state0-image0</v>
      </c>
      <c r="Z385" s="82"/>
      <c r="AA385" s="88"/>
      <c r="AB385" s="82"/>
      <c r="AC385" s="86"/>
      <c r="AD385" s="82"/>
      <c r="AE385" s="82"/>
      <c r="AF385" s="82"/>
      <c r="AG385" s="88"/>
      <c r="AH385" s="82"/>
      <c r="AI385" s="82"/>
      <c r="AJ385" s="82"/>
      <c r="AK385" s="82"/>
      <c r="AL385" s="82"/>
      <c r="AM385" s="82"/>
      <c r="AN385" s="230"/>
      <c r="AO385" s="86"/>
      <c r="AP385" s="95" t="str">
        <f t="shared" si="35"/>
        <v>file://actionBlastPainting06-state1-image0</v>
      </c>
      <c r="AQ385" s="86"/>
      <c r="AR385" s="230"/>
      <c r="AS385" s="86"/>
      <c r="AT385" s="86"/>
      <c r="AU385" s="86"/>
      <c r="AV385" s="86"/>
      <c r="AW385" s="88"/>
      <c r="AX385" s="82"/>
      <c r="AY385" s="82"/>
      <c r="AZ385" s="82"/>
      <c r="BA385" s="82"/>
      <c r="BB385" s="82"/>
      <c r="BC385" s="82"/>
      <c r="BD385" s="82"/>
      <c r="BE385" s="82"/>
      <c r="BF385" s="98"/>
      <c r="BG385" s="82"/>
      <c r="BH385" s="82"/>
      <c r="BI385" s="82"/>
      <c r="BJ385" s="82"/>
      <c r="BK385" s="82"/>
      <c r="BL385" s="82"/>
      <c r="BM385" s="82"/>
      <c r="BN385" s="82"/>
      <c r="BO385" s="82"/>
      <c r="BP385" s="82"/>
      <c r="BQ385" s="82"/>
      <c r="BR385" s="82"/>
      <c r="BS385" s="82"/>
      <c r="BT385" s="82"/>
      <c r="BU385" s="82"/>
      <c r="BV385" s="99"/>
      <c r="BW385" s="86"/>
      <c r="BX385" s="86"/>
      <c r="BY385" s="86"/>
      <c r="BZ385" s="86"/>
      <c r="CA385" s="100" t="str">
        <f ca="1">IFERROR(__xludf.DUMMYFUNCTION("IF(REGEXMATCH(Catalog_RewardType,""reward""), VLOOKUP($E385, {'TitleData rewards.items'!$J$9:$J416,'TitleData rewards.items'!$B$9:$B416}, 2, FALSE), """")"),"")</f>
        <v/>
      </c>
    </row>
    <row r="386" spans="1:79" ht="28" hidden="1" x14ac:dyDescent="0.15">
      <c r="A386" s="82" t="s">
        <v>269</v>
      </c>
      <c r="B386" s="83" t="b">
        <v>1</v>
      </c>
      <c r="C386" s="82" t="s">
        <v>811</v>
      </c>
      <c r="D386" s="85" t="b">
        <f>VLOOKUP($C386, '_REF Catalog Classes'!$C$6:$D416, COLUMNS('_REF Catalog Classes'!$C$6:$D416), FALSE)</f>
        <v>1</v>
      </c>
      <c r="E386" s="82" t="s">
        <v>2188</v>
      </c>
      <c r="F386" s="82" t="str">
        <f t="shared" si="21"/>
        <v>actionBlastPainting07:TRUE</v>
      </c>
      <c r="G386" s="106" t="s">
        <v>904</v>
      </c>
      <c r="H386" s="86" t="s">
        <v>2189</v>
      </c>
      <c r="I386" s="82" t="s">
        <v>847</v>
      </c>
      <c r="J386" s="82" t="s">
        <v>2177</v>
      </c>
      <c r="K386" s="82"/>
      <c r="L386" s="82" t="s">
        <v>857</v>
      </c>
      <c r="M386" s="86"/>
      <c r="N386" s="107"/>
      <c r="O386" s="108"/>
      <c r="P386" s="82"/>
      <c r="Q386" s="88"/>
      <c r="R386" s="82"/>
      <c r="S386" s="82"/>
      <c r="T386" s="82"/>
      <c r="U386" s="82"/>
      <c r="V386" s="82"/>
      <c r="W386" s="230"/>
      <c r="X386" s="86"/>
      <c r="Y386" s="90" t="str">
        <f t="shared" si="34"/>
        <v>file://actionBlastPainting07-state0-image0</v>
      </c>
      <c r="Z386" s="82"/>
      <c r="AA386" s="88"/>
      <c r="AB386" s="82"/>
      <c r="AC386" s="86"/>
      <c r="AD386" s="82"/>
      <c r="AE386" s="82"/>
      <c r="AF386" s="82"/>
      <c r="AG386" s="88"/>
      <c r="AH386" s="82"/>
      <c r="AI386" s="82"/>
      <c r="AJ386" s="82"/>
      <c r="AK386" s="82"/>
      <c r="AL386" s="82"/>
      <c r="AM386" s="82"/>
      <c r="AN386" s="230"/>
      <c r="AO386" s="86"/>
      <c r="AP386" s="95" t="str">
        <f t="shared" si="35"/>
        <v>file://actionBlastPainting07-state1-image0</v>
      </c>
      <c r="AQ386" s="86"/>
      <c r="AR386" s="230"/>
      <c r="AS386" s="86"/>
      <c r="AT386" s="86"/>
      <c r="AU386" s="86"/>
      <c r="AV386" s="86"/>
      <c r="AW386" s="88"/>
      <c r="AX386" s="82"/>
      <c r="AY386" s="82"/>
      <c r="AZ386" s="82"/>
      <c r="BA386" s="82"/>
      <c r="BB386" s="82"/>
      <c r="BC386" s="82"/>
      <c r="BD386" s="82"/>
      <c r="BE386" s="82"/>
      <c r="BF386" s="98"/>
      <c r="BG386" s="82"/>
      <c r="BH386" s="82"/>
      <c r="BI386" s="82"/>
      <c r="BJ386" s="82"/>
      <c r="BK386" s="82"/>
      <c r="BL386" s="82"/>
      <c r="BM386" s="82"/>
      <c r="BN386" s="82"/>
      <c r="BO386" s="82"/>
      <c r="BP386" s="82"/>
      <c r="BQ386" s="82"/>
      <c r="BR386" s="82"/>
      <c r="BS386" s="82"/>
      <c r="BT386" s="82"/>
      <c r="BU386" s="82"/>
      <c r="BV386" s="99"/>
      <c r="BW386" s="86"/>
      <c r="BX386" s="86"/>
      <c r="BY386" s="86"/>
      <c r="BZ386" s="86"/>
      <c r="CA386" s="100" t="str">
        <f ca="1">IFERROR(__xludf.DUMMYFUNCTION("IF(REGEXMATCH(Catalog_RewardType,""reward""), VLOOKUP($E386, {'TitleData rewards.items'!$J$9:$J416,'TitleData rewards.items'!$B$9:$B416}, 2, FALSE), """")"),"")</f>
        <v/>
      </c>
    </row>
    <row r="387" spans="1:79" ht="28" hidden="1" x14ac:dyDescent="0.15">
      <c r="A387" s="82" t="s">
        <v>269</v>
      </c>
      <c r="B387" s="83" t="b">
        <v>1</v>
      </c>
      <c r="C387" s="82" t="s">
        <v>811</v>
      </c>
      <c r="D387" s="85" t="b">
        <f>VLOOKUP($C387, '_REF Catalog Classes'!$C$6:$D416, COLUMNS('_REF Catalog Classes'!$C$6:$D416), FALSE)</f>
        <v>1</v>
      </c>
      <c r="E387" s="82" t="s">
        <v>2190</v>
      </c>
      <c r="F387" s="82" t="str">
        <f t="shared" si="21"/>
        <v>actionBlastPainting08:TRUE</v>
      </c>
      <c r="G387" s="106" t="s">
        <v>904</v>
      </c>
      <c r="H387" s="86" t="s">
        <v>2191</v>
      </c>
      <c r="I387" s="82" t="s">
        <v>847</v>
      </c>
      <c r="J387" s="82" t="s">
        <v>2177</v>
      </c>
      <c r="K387" s="82"/>
      <c r="L387" s="82" t="s">
        <v>857</v>
      </c>
      <c r="M387" s="86"/>
      <c r="N387" s="107"/>
      <c r="O387" s="108"/>
      <c r="P387" s="82"/>
      <c r="Q387" s="88"/>
      <c r="R387" s="82"/>
      <c r="S387" s="82"/>
      <c r="T387" s="82"/>
      <c r="U387" s="82"/>
      <c r="V387" s="82"/>
      <c r="W387" s="230"/>
      <c r="X387" s="86"/>
      <c r="Y387" s="90" t="str">
        <f t="shared" si="34"/>
        <v>file://actionBlastPainting08-state0-image0</v>
      </c>
      <c r="Z387" s="82"/>
      <c r="AA387" s="88"/>
      <c r="AB387" s="82"/>
      <c r="AC387" s="86"/>
      <c r="AD387" s="82"/>
      <c r="AE387" s="82"/>
      <c r="AF387" s="82"/>
      <c r="AG387" s="88"/>
      <c r="AH387" s="82"/>
      <c r="AI387" s="82"/>
      <c r="AJ387" s="82"/>
      <c r="AK387" s="82"/>
      <c r="AL387" s="82"/>
      <c r="AM387" s="82"/>
      <c r="AN387" s="230"/>
      <c r="AO387" s="86"/>
      <c r="AP387" s="95" t="str">
        <f t="shared" si="35"/>
        <v>file://actionBlastPainting08-state1-image0</v>
      </c>
      <c r="AQ387" s="86"/>
      <c r="AR387" s="230"/>
      <c r="AS387" s="86"/>
      <c r="AT387" s="86"/>
      <c r="AU387" s="86"/>
      <c r="AV387" s="86"/>
      <c r="AW387" s="88"/>
      <c r="AX387" s="82"/>
      <c r="AY387" s="82"/>
      <c r="AZ387" s="82"/>
      <c r="BA387" s="82"/>
      <c r="BB387" s="82"/>
      <c r="BC387" s="82"/>
      <c r="BD387" s="82"/>
      <c r="BE387" s="82"/>
      <c r="BF387" s="98"/>
      <c r="BG387" s="82"/>
      <c r="BH387" s="82"/>
      <c r="BI387" s="82"/>
      <c r="BJ387" s="82"/>
      <c r="BK387" s="82"/>
      <c r="BL387" s="82"/>
      <c r="BM387" s="82"/>
      <c r="BN387" s="82"/>
      <c r="BO387" s="82"/>
      <c r="BP387" s="82"/>
      <c r="BQ387" s="82"/>
      <c r="BR387" s="82"/>
      <c r="BS387" s="82"/>
      <c r="BT387" s="82"/>
      <c r="BU387" s="82"/>
      <c r="BV387" s="99"/>
      <c r="BW387" s="86"/>
      <c r="BX387" s="86"/>
      <c r="BY387" s="86"/>
      <c r="BZ387" s="86"/>
      <c r="CA387" s="100" t="str">
        <f ca="1">IFERROR(__xludf.DUMMYFUNCTION("IF(REGEXMATCH(Catalog_RewardType,""reward""), VLOOKUP($E387, {'TitleData rewards.items'!$J$9:$J416,'TitleData rewards.items'!$B$9:$B416}, 2, FALSE), """")"),"")</f>
        <v/>
      </c>
    </row>
    <row r="388" spans="1:79" ht="28" hidden="1" x14ac:dyDescent="0.15">
      <c r="A388" s="82" t="s">
        <v>269</v>
      </c>
      <c r="B388" s="83" t="b">
        <v>1</v>
      </c>
      <c r="C388" s="82" t="s">
        <v>811</v>
      </c>
      <c r="D388" s="85" t="b">
        <f>VLOOKUP($C388, '_REF Catalog Classes'!$C$6:$D416, COLUMNS('_REF Catalog Classes'!$C$6:$D416), FALSE)</f>
        <v>1</v>
      </c>
      <c r="E388" s="82" t="s">
        <v>2192</v>
      </c>
      <c r="F388" s="82" t="str">
        <f t="shared" si="21"/>
        <v>actionBlastPainting09:TRUE</v>
      </c>
      <c r="G388" s="106" t="s">
        <v>904</v>
      </c>
      <c r="H388" s="86" t="s">
        <v>2193</v>
      </c>
      <c r="I388" s="82" t="s">
        <v>847</v>
      </c>
      <c r="J388" s="82" t="s">
        <v>2177</v>
      </c>
      <c r="K388" s="82"/>
      <c r="L388" s="82" t="s">
        <v>857</v>
      </c>
      <c r="M388" s="86"/>
      <c r="N388" s="107"/>
      <c r="O388" s="108"/>
      <c r="P388" s="82"/>
      <c r="Q388" s="88"/>
      <c r="R388" s="82"/>
      <c r="S388" s="82"/>
      <c r="T388" s="82"/>
      <c r="U388" s="82"/>
      <c r="V388" s="82"/>
      <c r="W388" s="230"/>
      <c r="X388" s="86"/>
      <c r="Y388" s="90" t="str">
        <f t="shared" si="34"/>
        <v>file://actionBlastPainting09-state0-image0</v>
      </c>
      <c r="Z388" s="82"/>
      <c r="AA388" s="88"/>
      <c r="AB388" s="82"/>
      <c r="AC388" s="86"/>
      <c r="AD388" s="82"/>
      <c r="AE388" s="82"/>
      <c r="AF388" s="82"/>
      <c r="AG388" s="88"/>
      <c r="AH388" s="82"/>
      <c r="AI388" s="82"/>
      <c r="AJ388" s="82"/>
      <c r="AK388" s="82"/>
      <c r="AL388" s="82"/>
      <c r="AM388" s="82"/>
      <c r="AN388" s="230"/>
      <c r="AO388" s="86"/>
      <c r="AP388" s="95" t="str">
        <f t="shared" si="35"/>
        <v>file://actionBlastPainting09-state1-image0</v>
      </c>
      <c r="AQ388" s="86"/>
      <c r="AR388" s="230"/>
      <c r="AS388" s="86"/>
      <c r="AT388" s="86"/>
      <c r="AU388" s="86"/>
      <c r="AV388" s="86"/>
      <c r="AW388" s="88"/>
      <c r="AX388" s="82"/>
      <c r="AY388" s="82"/>
      <c r="AZ388" s="82"/>
      <c r="BA388" s="82"/>
      <c r="BB388" s="82"/>
      <c r="BC388" s="82"/>
      <c r="BD388" s="82"/>
      <c r="BE388" s="82"/>
      <c r="BF388" s="98"/>
      <c r="BG388" s="82"/>
      <c r="BH388" s="82"/>
      <c r="BI388" s="82"/>
      <c r="BJ388" s="82"/>
      <c r="BK388" s="82"/>
      <c r="BL388" s="82"/>
      <c r="BM388" s="82"/>
      <c r="BN388" s="82"/>
      <c r="BO388" s="82"/>
      <c r="BP388" s="82"/>
      <c r="BQ388" s="82"/>
      <c r="BR388" s="82"/>
      <c r="BS388" s="82"/>
      <c r="BT388" s="82"/>
      <c r="BU388" s="82"/>
      <c r="BV388" s="99"/>
      <c r="BW388" s="86"/>
      <c r="BX388" s="86"/>
      <c r="BY388" s="86"/>
      <c r="BZ388" s="86"/>
      <c r="CA388" s="100" t="str">
        <f ca="1">IFERROR(__xludf.DUMMYFUNCTION("IF(REGEXMATCH(Catalog_RewardType,""reward""), VLOOKUP($E388, {'TitleData rewards.items'!$J$9:$J416,'TitleData rewards.items'!$B$9:$B416}, 2, FALSE), """")"),"")</f>
        <v/>
      </c>
    </row>
    <row r="389" spans="1:79" ht="28" hidden="1" x14ac:dyDescent="0.15">
      <c r="A389" s="82" t="s">
        <v>269</v>
      </c>
      <c r="B389" s="83" t="b">
        <v>1</v>
      </c>
      <c r="C389" s="82" t="s">
        <v>811</v>
      </c>
      <c r="D389" s="85" t="b">
        <f>VLOOKUP($C389, '_REF Catalog Classes'!$C$6:$D416, COLUMNS('_REF Catalog Classes'!$C$6:$D416), FALSE)</f>
        <v>1</v>
      </c>
      <c r="E389" s="82" t="s">
        <v>2194</v>
      </c>
      <c r="F389" s="82" t="str">
        <f t="shared" si="21"/>
        <v>actionBlastPainting10:TRUE</v>
      </c>
      <c r="G389" s="106" t="s">
        <v>904</v>
      </c>
      <c r="H389" s="86" t="s">
        <v>2195</v>
      </c>
      <c r="I389" s="82" t="s">
        <v>847</v>
      </c>
      <c r="J389" s="82" t="s">
        <v>2177</v>
      </c>
      <c r="K389" s="82"/>
      <c r="L389" s="82" t="s">
        <v>857</v>
      </c>
      <c r="M389" s="86"/>
      <c r="N389" s="107"/>
      <c r="O389" s="108"/>
      <c r="P389" s="82"/>
      <c r="Q389" s="88"/>
      <c r="R389" s="82"/>
      <c r="S389" s="82"/>
      <c r="T389" s="82"/>
      <c r="U389" s="82"/>
      <c r="V389" s="82"/>
      <c r="W389" s="230"/>
      <c r="X389" s="86"/>
      <c r="Y389" s="90" t="str">
        <f t="shared" si="34"/>
        <v>file://actionBlastPainting10-state0-image0</v>
      </c>
      <c r="Z389" s="82"/>
      <c r="AA389" s="88"/>
      <c r="AB389" s="82"/>
      <c r="AC389" s="86"/>
      <c r="AD389" s="82"/>
      <c r="AE389" s="82"/>
      <c r="AF389" s="82"/>
      <c r="AG389" s="88"/>
      <c r="AH389" s="82"/>
      <c r="AI389" s="82"/>
      <c r="AJ389" s="82"/>
      <c r="AK389" s="82"/>
      <c r="AL389" s="82"/>
      <c r="AM389" s="82"/>
      <c r="AN389" s="230"/>
      <c r="AO389" s="86"/>
      <c r="AP389" s="95" t="str">
        <f t="shared" si="35"/>
        <v>file://actionBlastPainting10-state1-image0</v>
      </c>
      <c r="AQ389" s="86"/>
      <c r="AR389" s="230"/>
      <c r="AS389" s="86"/>
      <c r="AT389" s="86"/>
      <c r="AU389" s="86"/>
      <c r="AV389" s="86"/>
      <c r="AW389" s="88"/>
      <c r="AX389" s="82"/>
      <c r="AY389" s="82"/>
      <c r="AZ389" s="82"/>
      <c r="BA389" s="82"/>
      <c r="BB389" s="82"/>
      <c r="BC389" s="82"/>
      <c r="BD389" s="82"/>
      <c r="BE389" s="82"/>
      <c r="BF389" s="98"/>
      <c r="BG389" s="82"/>
      <c r="BH389" s="82"/>
      <c r="BI389" s="82"/>
      <c r="BJ389" s="82"/>
      <c r="BK389" s="82"/>
      <c r="BL389" s="82"/>
      <c r="BM389" s="82"/>
      <c r="BN389" s="82"/>
      <c r="BO389" s="82"/>
      <c r="BP389" s="82"/>
      <c r="BQ389" s="82"/>
      <c r="BR389" s="82"/>
      <c r="BS389" s="82"/>
      <c r="BT389" s="82"/>
      <c r="BU389" s="82"/>
      <c r="BV389" s="99"/>
      <c r="BW389" s="86"/>
      <c r="BX389" s="86"/>
      <c r="BY389" s="86"/>
      <c r="BZ389" s="86"/>
      <c r="CA389" s="100" t="str">
        <f ca="1">IFERROR(__xludf.DUMMYFUNCTION("IF(REGEXMATCH(Catalog_RewardType,""reward""), VLOOKUP($E389, {'TitleData rewards.items'!$J$9:$J416,'TitleData rewards.items'!$B$9:$B416}, 2, FALSE), """")"),"")</f>
        <v/>
      </c>
    </row>
    <row r="390" spans="1:79" ht="28" hidden="1" x14ac:dyDescent="0.15">
      <c r="A390" s="82" t="s">
        <v>269</v>
      </c>
      <c r="B390" s="83" t="b">
        <v>1</v>
      </c>
      <c r="C390" s="82" t="s">
        <v>811</v>
      </c>
      <c r="D390" s="85" t="b">
        <f>VLOOKUP($C390, '_REF Catalog Classes'!$C$6:$D416, COLUMNS('_REF Catalog Classes'!$C$6:$D416), FALSE)</f>
        <v>1</v>
      </c>
      <c r="E390" s="82" t="s">
        <v>2196</v>
      </c>
      <c r="F390" s="82" t="str">
        <f t="shared" si="21"/>
        <v>actionBlastPainting11:TRUE</v>
      </c>
      <c r="G390" s="106" t="s">
        <v>904</v>
      </c>
      <c r="H390" s="86" t="s">
        <v>2197</v>
      </c>
      <c r="I390" s="82" t="s">
        <v>847</v>
      </c>
      <c r="J390" s="82" t="s">
        <v>2177</v>
      </c>
      <c r="K390" s="82"/>
      <c r="L390" s="82" t="s">
        <v>857</v>
      </c>
      <c r="M390" s="86"/>
      <c r="N390" s="107"/>
      <c r="O390" s="108"/>
      <c r="P390" s="82"/>
      <c r="Q390" s="88"/>
      <c r="R390" s="82"/>
      <c r="S390" s="82"/>
      <c r="T390" s="82"/>
      <c r="U390" s="82"/>
      <c r="V390" s="82"/>
      <c r="W390" s="230"/>
      <c r="X390" s="86"/>
      <c r="Y390" s="90" t="str">
        <f t="shared" si="34"/>
        <v>file://actionBlastPainting11-state0-image0</v>
      </c>
      <c r="Z390" s="82"/>
      <c r="AA390" s="88"/>
      <c r="AB390" s="82"/>
      <c r="AC390" s="86"/>
      <c r="AD390" s="82"/>
      <c r="AE390" s="82"/>
      <c r="AF390" s="82"/>
      <c r="AG390" s="88"/>
      <c r="AH390" s="82"/>
      <c r="AI390" s="82"/>
      <c r="AJ390" s="82"/>
      <c r="AK390" s="82"/>
      <c r="AL390" s="82"/>
      <c r="AM390" s="82"/>
      <c r="AN390" s="230"/>
      <c r="AO390" s="86"/>
      <c r="AP390" s="95" t="str">
        <f t="shared" si="35"/>
        <v>file://actionBlastPainting11-state1-image0</v>
      </c>
      <c r="AQ390" s="86"/>
      <c r="AR390" s="230"/>
      <c r="AS390" s="86"/>
      <c r="AT390" s="86"/>
      <c r="AU390" s="86"/>
      <c r="AV390" s="86"/>
      <c r="AW390" s="88"/>
      <c r="AX390" s="82"/>
      <c r="AY390" s="82"/>
      <c r="AZ390" s="82"/>
      <c r="BA390" s="82"/>
      <c r="BB390" s="82"/>
      <c r="BC390" s="82"/>
      <c r="BD390" s="82"/>
      <c r="BE390" s="82"/>
      <c r="BF390" s="98"/>
      <c r="BG390" s="82"/>
      <c r="BH390" s="82"/>
      <c r="BI390" s="82"/>
      <c r="BJ390" s="82"/>
      <c r="BK390" s="82"/>
      <c r="BL390" s="82"/>
      <c r="BM390" s="82"/>
      <c r="BN390" s="82"/>
      <c r="BO390" s="82"/>
      <c r="BP390" s="82"/>
      <c r="BQ390" s="82"/>
      <c r="BR390" s="82"/>
      <c r="BS390" s="82"/>
      <c r="BT390" s="82"/>
      <c r="BU390" s="82"/>
      <c r="BV390" s="99"/>
      <c r="BW390" s="86"/>
      <c r="BX390" s="86"/>
      <c r="BY390" s="86"/>
      <c r="BZ390" s="86"/>
      <c r="CA390" s="100" t="str">
        <f ca="1">IFERROR(__xludf.DUMMYFUNCTION("IF(REGEXMATCH(Catalog_RewardType,""reward""), VLOOKUP($E390, {'TitleData rewards.items'!$J$9:$J416,'TitleData rewards.items'!$B$9:$B416}, 2, FALSE), """")"),"")</f>
        <v/>
      </c>
    </row>
    <row r="391" spans="1:79" ht="28" hidden="1" x14ac:dyDescent="0.15">
      <c r="A391" s="82" t="s">
        <v>269</v>
      </c>
      <c r="B391" s="83" t="b">
        <v>1</v>
      </c>
      <c r="C391" s="82" t="s">
        <v>811</v>
      </c>
      <c r="D391" s="85" t="b">
        <f>VLOOKUP($C391, '_REF Catalog Classes'!$C$6:$D416, COLUMNS('_REF Catalog Classes'!$C$6:$D416), FALSE)</f>
        <v>1</v>
      </c>
      <c r="E391" s="82" t="s">
        <v>2198</v>
      </c>
      <c r="F391" s="82" t="str">
        <f t="shared" si="21"/>
        <v>actionBlastPainting12:TRUE</v>
      </c>
      <c r="G391" s="106" t="s">
        <v>904</v>
      </c>
      <c r="H391" s="86" t="s">
        <v>2199</v>
      </c>
      <c r="I391" s="82" t="s">
        <v>847</v>
      </c>
      <c r="J391" s="82" t="s">
        <v>2177</v>
      </c>
      <c r="K391" s="82"/>
      <c r="L391" s="82" t="s">
        <v>857</v>
      </c>
      <c r="M391" s="86"/>
      <c r="N391" s="107"/>
      <c r="O391" s="108"/>
      <c r="P391" s="82"/>
      <c r="Q391" s="88"/>
      <c r="R391" s="82"/>
      <c r="S391" s="82"/>
      <c r="T391" s="82"/>
      <c r="U391" s="82"/>
      <c r="V391" s="82"/>
      <c r="W391" s="230"/>
      <c r="X391" s="86"/>
      <c r="Y391" s="90" t="str">
        <f t="shared" si="34"/>
        <v>file://actionBlastPainting12-state0-image0</v>
      </c>
      <c r="Z391" s="82"/>
      <c r="AA391" s="88"/>
      <c r="AB391" s="82"/>
      <c r="AC391" s="86"/>
      <c r="AD391" s="82"/>
      <c r="AE391" s="82"/>
      <c r="AF391" s="82"/>
      <c r="AG391" s="88"/>
      <c r="AH391" s="82"/>
      <c r="AI391" s="82"/>
      <c r="AJ391" s="82"/>
      <c r="AK391" s="82"/>
      <c r="AL391" s="82"/>
      <c r="AM391" s="82"/>
      <c r="AN391" s="230"/>
      <c r="AO391" s="86"/>
      <c r="AP391" s="95" t="str">
        <f t="shared" si="35"/>
        <v>file://actionBlastPainting12-state1-image0</v>
      </c>
      <c r="AQ391" s="86"/>
      <c r="AR391" s="230"/>
      <c r="AS391" s="86"/>
      <c r="AT391" s="86"/>
      <c r="AU391" s="86"/>
      <c r="AV391" s="86"/>
      <c r="AW391" s="88"/>
      <c r="AX391" s="82"/>
      <c r="AY391" s="82"/>
      <c r="AZ391" s="82"/>
      <c r="BA391" s="82"/>
      <c r="BB391" s="82"/>
      <c r="BC391" s="82"/>
      <c r="BD391" s="82"/>
      <c r="BE391" s="82"/>
      <c r="BF391" s="98"/>
      <c r="BG391" s="82"/>
      <c r="BH391" s="82"/>
      <c r="BI391" s="82"/>
      <c r="BJ391" s="82"/>
      <c r="BK391" s="82"/>
      <c r="BL391" s="82"/>
      <c r="BM391" s="82"/>
      <c r="BN391" s="82"/>
      <c r="BO391" s="82"/>
      <c r="BP391" s="82"/>
      <c r="BQ391" s="82"/>
      <c r="BR391" s="82"/>
      <c r="BS391" s="82"/>
      <c r="BT391" s="82"/>
      <c r="BU391" s="82"/>
      <c r="BV391" s="99"/>
      <c r="BW391" s="86"/>
      <c r="BX391" s="86"/>
      <c r="BY391" s="86"/>
      <c r="BZ391" s="86"/>
      <c r="CA391" s="100" t="str">
        <f ca="1">IFERROR(__xludf.DUMMYFUNCTION("IF(REGEXMATCH(Catalog_RewardType,""reward""), VLOOKUP($E391, {'TitleData rewards.items'!$J$9:$J416,'TitleData rewards.items'!$B$9:$B416}, 2, FALSE), """")"),"")</f>
        <v/>
      </c>
    </row>
    <row r="392" spans="1:79" ht="28" hidden="1" x14ac:dyDescent="0.15">
      <c r="A392" s="82" t="s">
        <v>269</v>
      </c>
      <c r="B392" s="83" t="b">
        <v>1</v>
      </c>
      <c r="C392" s="82" t="s">
        <v>811</v>
      </c>
      <c r="D392" s="85" t="b">
        <f>VLOOKUP($C392, '_REF Catalog Classes'!$C$6:$D416, COLUMNS('_REF Catalog Classes'!$C$6:$D416), FALSE)</f>
        <v>1</v>
      </c>
      <c r="E392" s="82" t="s">
        <v>2200</v>
      </c>
      <c r="F392" s="82" t="str">
        <f t="shared" si="21"/>
        <v>actionBlastPainting13:TRUE</v>
      </c>
      <c r="G392" s="106" t="s">
        <v>904</v>
      </c>
      <c r="H392" s="86" t="s">
        <v>2201</v>
      </c>
      <c r="I392" s="82" t="s">
        <v>847</v>
      </c>
      <c r="J392" s="82" t="s">
        <v>2177</v>
      </c>
      <c r="K392" s="82"/>
      <c r="L392" s="82" t="s">
        <v>857</v>
      </c>
      <c r="M392" s="86"/>
      <c r="N392" s="107"/>
      <c r="O392" s="108"/>
      <c r="P392" s="82"/>
      <c r="Q392" s="88"/>
      <c r="R392" s="82"/>
      <c r="S392" s="82"/>
      <c r="T392" s="82"/>
      <c r="U392" s="82"/>
      <c r="V392" s="82"/>
      <c r="W392" s="230"/>
      <c r="X392" s="86"/>
      <c r="Y392" s="90" t="str">
        <f t="shared" si="34"/>
        <v>file://actionBlastPainting13-state0-image0</v>
      </c>
      <c r="Z392" s="82"/>
      <c r="AA392" s="88"/>
      <c r="AB392" s="82"/>
      <c r="AC392" s="86"/>
      <c r="AD392" s="82"/>
      <c r="AE392" s="82"/>
      <c r="AF392" s="82"/>
      <c r="AG392" s="88"/>
      <c r="AH392" s="82"/>
      <c r="AI392" s="82"/>
      <c r="AJ392" s="82"/>
      <c r="AK392" s="82"/>
      <c r="AL392" s="82"/>
      <c r="AM392" s="82"/>
      <c r="AN392" s="230"/>
      <c r="AO392" s="86"/>
      <c r="AP392" s="95" t="str">
        <f t="shared" si="35"/>
        <v>file://actionBlastPainting13-state1-image0</v>
      </c>
      <c r="AQ392" s="86"/>
      <c r="AR392" s="230"/>
      <c r="AS392" s="86"/>
      <c r="AT392" s="86"/>
      <c r="AU392" s="86"/>
      <c r="AV392" s="86"/>
      <c r="AW392" s="88"/>
      <c r="AX392" s="82"/>
      <c r="AY392" s="82"/>
      <c r="AZ392" s="82"/>
      <c r="BA392" s="82"/>
      <c r="BB392" s="82"/>
      <c r="BC392" s="82"/>
      <c r="BD392" s="82"/>
      <c r="BE392" s="82"/>
      <c r="BF392" s="98"/>
      <c r="BG392" s="82"/>
      <c r="BH392" s="82"/>
      <c r="BI392" s="82"/>
      <c r="BJ392" s="82"/>
      <c r="BK392" s="82"/>
      <c r="BL392" s="82"/>
      <c r="BM392" s="82"/>
      <c r="BN392" s="82"/>
      <c r="BO392" s="82"/>
      <c r="BP392" s="82"/>
      <c r="BQ392" s="82"/>
      <c r="BR392" s="82"/>
      <c r="BS392" s="82"/>
      <c r="BT392" s="82"/>
      <c r="BU392" s="82"/>
      <c r="BV392" s="99"/>
      <c r="BW392" s="86"/>
      <c r="BX392" s="86"/>
      <c r="BY392" s="86"/>
      <c r="BZ392" s="86"/>
      <c r="CA392" s="100" t="str">
        <f ca="1">IFERROR(__xludf.DUMMYFUNCTION("IF(REGEXMATCH(Catalog_RewardType,""reward""), VLOOKUP($E392, {'TitleData rewards.items'!$J$9:$J416,'TitleData rewards.items'!$B$9:$B416}, 2, FALSE), """")"),"")</f>
        <v/>
      </c>
    </row>
    <row r="393" spans="1:79" ht="28" hidden="1" x14ac:dyDescent="0.15">
      <c r="A393" s="82" t="s">
        <v>269</v>
      </c>
      <c r="B393" s="83" t="b">
        <v>1</v>
      </c>
      <c r="C393" s="82" t="s">
        <v>811</v>
      </c>
      <c r="D393" s="85" t="b">
        <f>VLOOKUP($C393, '_REF Catalog Classes'!$C$6:$D416, COLUMNS('_REF Catalog Classes'!$C$6:$D416), FALSE)</f>
        <v>1</v>
      </c>
      <c r="E393" s="82" t="s">
        <v>2202</v>
      </c>
      <c r="F393" s="82" t="str">
        <f t="shared" si="21"/>
        <v>actionBlastPainting14:TRUE</v>
      </c>
      <c r="G393" s="106" t="s">
        <v>904</v>
      </c>
      <c r="H393" s="86" t="s">
        <v>2203</v>
      </c>
      <c r="I393" s="82" t="s">
        <v>847</v>
      </c>
      <c r="J393" s="82" t="s">
        <v>2177</v>
      </c>
      <c r="K393" s="82"/>
      <c r="L393" s="82" t="s">
        <v>857</v>
      </c>
      <c r="M393" s="86"/>
      <c r="N393" s="107"/>
      <c r="O393" s="108"/>
      <c r="P393" s="82"/>
      <c r="Q393" s="88"/>
      <c r="R393" s="82"/>
      <c r="S393" s="82"/>
      <c r="T393" s="82"/>
      <c r="U393" s="82"/>
      <c r="V393" s="82"/>
      <c r="W393" s="230"/>
      <c r="X393" s="86"/>
      <c r="Y393" s="90" t="str">
        <f t="shared" si="34"/>
        <v>file://actionBlastPainting14-state0-image0</v>
      </c>
      <c r="Z393" s="82"/>
      <c r="AA393" s="88"/>
      <c r="AB393" s="82"/>
      <c r="AC393" s="86"/>
      <c r="AD393" s="82"/>
      <c r="AE393" s="82"/>
      <c r="AF393" s="82"/>
      <c r="AG393" s="88"/>
      <c r="AH393" s="82"/>
      <c r="AI393" s="82"/>
      <c r="AJ393" s="82"/>
      <c r="AK393" s="82"/>
      <c r="AL393" s="82"/>
      <c r="AM393" s="82"/>
      <c r="AN393" s="230"/>
      <c r="AO393" s="86"/>
      <c r="AP393" s="95" t="str">
        <f t="shared" si="35"/>
        <v>file://actionBlastPainting14-state1-image0</v>
      </c>
      <c r="AQ393" s="86"/>
      <c r="AR393" s="230"/>
      <c r="AS393" s="86"/>
      <c r="AT393" s="86"/>
      <c r="AU393" s="86"/>
      <c r="AV393" s="86"/>
      <c r="AW393" s="88"/>
      <c r="AX393" s="82"/>
      <c r="AY393" s="82"/>
      <c r="AZ393" s="82"/>
      <c r="BA393" s="82"/>
      <c r="BB393" s="82"/>
      <c r="BC393" s="82"/>
      <c r="BD393" s="82"/>
      <c r="BE393" s="82"/>
      <c r="BF393" s="98"/>
      <c r="BG393" s="82"/>
      <c r="BH393" s="82"/>
      <c r="BI393" s="82"/>
      <c r="BJ393" s="82"/>
      <c r="BK393" s="82"/>
      <c r="BL393" s="82"/>
      <c r="BM393" s="82"/>
      <c r="BN393" s="82"/>
      <c r="BO393" s="82"/>
      <c r="BP393" s="82"/>
      <c r="BQ393" s="82"/>
      <c r="BR393" s="82"/>
      <c r="BS393" s="82"/>
      <c r="BT393" s="82"/>
      <c r="BU393" s="82"/>
      <c r="BV393" s="99"/>
      <c r="BW393" s="86"/>
      <c r="BX393" s="86"/>
      <c r="BY393" s="86"/>
      <c r="BZ393" s="86"/>
      <c r="CA393" s="100" t="str">
        <f ca="1">IFERROR(__xludf.DUMMYFUNCTION("IF(REGEXMATCH(Catalog_RewardType,""reward""), VLOOKUP($E393, {'TitleData rewards.items'!$J$9:$J416,'TitleData rewards.items'!$B$9:$B416}, 2, FALSE), """")"),"")</f>
        <v/>
      </c>
    </row>
    <row r="394" spans="1:79" ht="28" hidden="1" x14ac:dyDescent="0.15">
      <c r="A394" s="82" t="s">
        <v>269</v>
      </c>
      <c r="B394" s="83" t="b">
        <v>1</v>
      </c>
      <c r="C394" s="82" t="s">
        <v>811</v>
      </c>
      <c r="D394" s="85" t="b">
        <f>VLOOKUP($C394, '_REF Catalog Classes'!$C$6:$D416, COLUMNS('_REF Catalog Classes'!$C$6:$D416), FALSE)</f>
        <v>1</v>
      </c>
      <c r="E394" s="82" t="s">
        <v>2204</v>
      </c>
      <c r="F394" s="82" t="str">
        <f t="shared" si="21"/>
        <v>actionBlastPainting15:TRUE</v>
      </c>
      <c r="G394" s="106" t="s">
        <v>904</v>
      </c>
      <c r="H394" s="86" t="s">
        <v>2205</v>
      </c>
      <c r="I394" s="82" t="s">
        <v>847</v>
      </c>
      <c r="J394" s="82" t="s">
        <v>2177</v>
      </c>
      <c r="K394" s="82"/>
      <c r="L394" s="82" t="s">
        <v>857</v>
      </c>
      <c r="M394" s="86"/>
      <c r="N394" s="107"/>
      <c r="O394" s="108"/>
      <c r="P394" s="82"/>
      <c r="Q394" s="88"/>
      <c r="R394" s="82"/>
      <c r="S394" s="82"/>
      <c r="T394" s="82"/>
      <c r="U394" s="82"/>
      <c r="V394" s="82"/>
      <c r="W394" s="230"/>
      <c r="X394" s="86"/>
      <c r="Y394" s="90" t="str">
        <f t="shared" si="34"/>
        <v>file://actionBlastPainting15-state0-image0</v>
      </c>
      <c r="Z394" s="82"/>
      <c r="AA394" s="88"/>
      <c r="AB394" s="82"/>
      <c r="AC394" s="86"/>
      <c r="AD394" s="82"/>
      <c r="AE394" s="82"/>
      <c r="AF394" s="82"/>
      <c r="AG394" s="88"/>
      <c r="AH394" s="82"/>
      <c r="AI394" s="82"/>
      <c r="AJ394" s="82"/>
      <c r="AK394" s="82"/>
      <c r="AL394" s="82"/>
      <c r="AM394" s="82"/>
      <c r="AN394" s="230"/>
      <c r="AO394" s="86"/>
      <c r="AP394" s="95" t="str">
        <f t="shared" si="35"/>
        <v>file://actionBlastPainting15-state1-image0</v>
      </c>
      <c r="AQ394" s="86"/>
      <c r="AR394" s="230"/>
      <c r="AS394" s="86"/>
      <c r="AT394" s="86"/>
      <c r="AU394" s="86"/>
      <c r="AV394" s="86"/>
      <c r="AW394" s="88"/>
      <c r="AX394" s="82"/>
      <c r="AY394" s="82"/>
      <c r="AZ394" s="82"/>
      <c r="BA394" s="82"/>
      <c r="BB394" s="82"/>
      <c r="BC394" s="82"/>
      <c r="BD394" s="82"/>
      <c r="BE394" s="82"/>
      <c r="BF394" s="98"/>
      <c r="BG394" s="82"/>
      <c r="BH394" s="82"/>
      <c r="BI394" s="82"/>
      <c r="BJ394" s="82"/>
      <c r="BK394" s="82"/>
      <c r="BL394" s="82"/>
      <c r="BM394" s="82"/>
      <c r="BN394" s="82"/>
      <c r="BO394" s="82"/>
      <c r="BP394" s="82"/>
      <c r="BQ394" s="82"/>
      <c r="BR394" s="82"/>
      <c r="BS394" s="82"/>
      <c r="BT394" s="82"/>
      <c r="BU394" s="82"/>
      <c r="BV394" s="99"/>
      <c r="BW394" s="86"/>
      <c r="BX394" s="86"/>
      <c r="BY394" s="86"/>
      <c r="BZ394" s="86"/>
      <c r="CA394" s="100" t="str">
        <f ca="1">IFERROR(__xludf.DUMMYFUNCTION("IF(REGEXMATCH(Catalog_RewardType,""reward""), VLOOKUP($E394, {'TitleData rewards.items'!$J$9:$J416,'TitleData rewards.items'!$B$9:$B416}, 2, FALSE), """")"),"")</f>
        <v/>
      </c>
    </row>
    <row r="395" spans="1:79" ht="28" hidden="1" x14ac:dyDescent="0.15">
      <c r="A395" s="82" t="s">
        <v>269</v>
      </c>
      <c r="B395" s="83" t="b">
        <v>1</v>
      </c>
      <c r="C395" s="82" t="s">
        <v>811</v>
      </c>
      <c r="D395" s="85" t="b">
        <f>VLOOKUP($C395, '_REF Catalog Classes'!$C$6:$D416, COLUMNS('_REF Catalog Classes'!$C$6:$D416), FALSE)</f>
        <v>1</v>
      </c>
      <c r="E395" s="82" t="s">
        <v>2206</v>
      </c>
      <c r="F395" s="82" t="str">
        <f t="shared" si="21"/>
        <v>actionBlastPainting16:TRUE</v>
      </c>
      <c r="G395" s="106" t="s">
        <v>904</v>
      </c>
      <c r="H395" s="86" t="s">
        <v>2207</v>
      </c>
      <c r="I395" s="82" t="s">
        <v>847</v>
      </c>
      <c r="J395" s="82" t="s">
        <v>2177</v>
      </c>
      <c r="K395" s="82"/>
      <c r="L395" s="82" t="s">
        <v>857</v>
      </c>
      <c r="M395" s="86"/>
      <c r="N395" s="107"/>
      <c r="O395" s="108"/>
      <c r="P395" s="82"/>
      <c r="Q395" s="88"/>
      <c r="R395" s="82"/>
      <c r="S395" s="82"/>
      <c r="T395" s="82"/>
      <c r="U395" s="82"/>
      <c r="V395" s="82"/>
      <c r="W395" s="230"/>
      <c r="X395" s="86"/>
      <c r="Y395" s="90" t="str">
        <f t="shared" si="34"/>
        <v>file://actionBlastPainting16-state0-image0</v>
      </c>
      <c r="Z395" s="82"/>
      <c r="AA395" s="88"/>
      <c r="AB395" s="82"/>
      <c r="AC395" s="86"/>
      <c r="AD395" s="82"/>
      <c r="AE395" s="82"/>
      <c r="AF395" s="82"/>
      <c r="AG395" s="88"/>
      <c r="AH395" s="82"/>
      <c r="AI395" s="82"/>
      <c r="AJ395" s="82"/>
      <c r="AK395" s="82"/>
      <c r="AL395" s="82"/>
      <c r="AM395" s="82"/>
      <c r="AN395" s="230"/>
      <c r="AO395" s="86"/>
      <c r="AP395" s="95" t="str">
        <f t="shared" si="35"/>
        <v>file://actionBlastPainting16-state1-image0</v>
      </c>
      <c r="AQ395" s="86"/>
      <c r="AR395" s="230"/>
      <c r="AS395" s="86"/>
      <c r="AT395" s="86"/>
      <c r="AU395" s="86"/>
      <c r="AV395" s="86"/>
      <c r="AW395" s="88"/>
      <c r="AX395" s="82"/>
      <c r="AY395" s="82"/>
      <c r="AZ395" s="82"/>
      <c r="BA395" s="82"/>
      <c r="BB395" s="82"/>
      <c r="BC395" s="82"/>
      <c r="BD395" s="82"/>
      <c r="BE395" s="82"/>
      <c r="BF395" s="98"/>
      <c r="BG395" s="82"/>
      <c r="BH395" s="82"/>
      <c r="BI395" s="82"/>
      <c r="BJ395" s="82"/>
      <c r="BK395" s="82"/>
      <c r="BL395" s="82"/>
      <c r="BM395" s="82"/>
      <c r="BN395" s="82"/>
      <c r="BO395" s="82"/>
      <c r="BP395" s="82"/>
      <c r="BQ395" s="82"/>
      <c r="BR395" s="82"/>
      <c r="BS395" s="82"/>
      <c r="BT395" s="82"/>
      <c r="BU395" s="82"/>
      <c r="BV395" s="99"/>
      <c r="BW395" s="86"/>
      <c r="BX395" s="86"/>
      <c r="BY395" s="86"/>
      <c r="BZ395" s="86"/>
      <c r="CA395" s="100" t="str">
        <f ca="1">IFERROR(__xludf.DUMMYFUNCTION("IF(REGEXMATCH(Catalog_RewardType,""reward""), VLOOKUP($E395, {'TitleData rewards.items'!$J$9:$J416,'TitleData rewards.items'!$B$9:$B416}, 2, FALSE), """")"),"")</f>
        <v/>
      </c>
    </row>
    <row r="396" spans="1:79" ht="28" hidden="1" x14ac:dyDescent="0.15">
      <c r="A396" s="82" t="s">
        <v>269</v>
      </c>
      <c r="B396" s="83" t="b">
        <v>1</v>
      </c>
      <c r="C396" s="82" t="s">
        <v>811</v>
      </c>
      <c r="D396" s="85" t="b">
        <f>VLOOKUP($C396, '_REF Catalog Classes'!$C$6:$D416, COLUMNS('_REF Catalog Classes'!$C$6:$D416), FALSE)</f>
        <v>1</v>
      </c>
      <c r="E396" s="82" t="s">
        <v>2208</v>
      </c>
      <c r="F396" s="82" t="str">
        <f t="shared" si="21"/>
        <v>actionBlastPainting17:TRUE</v>
      </c>
      <c r="G396" s="106" t="s">
        <v>904</v>
      </c>
      <c r="H396" s="86" t="s">
        <v>2209</v>
      </c>
      <c r="I396" s="82" t="s">
        <v>847</v>
      </c>
      <c r="J396" s="82" t="s">
        <v>2177</v>
      </c>
      <c r="K396" s="82"/>
      <c r="L396" s="82" t="s">
        <v>857</v>
      </c>
      <c r="M396" s="86"/>
      <c r="N396" s="107"/>
      <c r="O396" s="108"/>
      <c r="P396" s="82"/>
      <c r="Q396" s="88"/>
      <c r="R396" s="82"/>
      <c r="S396" s="82"/>
      <c r="T396" s="82"/>
      <c r="U396" s="82"/>
      <c r="V396" s="82"/>
      <c r="W396" s="230"/>
      <c r="X396" s="86"/>
      <c r="Y396" s="90" t="str">
        <f t="shared" si="34"/>
        <v>file://actionBlastPainting17-state0-image0</v>
      </c>
      <c r="Z396" s="82"/>
      <c r="AA396" s="88"/>
      <c r="AB396" s="82"/>
      <c r="AC396" s="86"/>
      <c r="AD396" s="82"/>
      <c r="AE396" s="82"/>
      <c r="AF396" s="82"/>
      <c r="AG396" s="88"/>
      <c r="AH396" s="82"/>
      <c r="AI396" s="82"/>
      <c r="AJ396" s="82"/>
      <c r="AK396" s="82"/>
      <c r="AL396" s="82"/>
      <c r="AM396" s="82"/>
      <c r="AN396" s="230"/>
      <c r="AO396" s="86"/>
      <c r="AP396" s="95" t="str">
        <f t="shared" si="35"/>
        <v>file://actionBlastPainting17-state1-image0</v>
      </c>
      <c r="AQ396" s="86"/>
      <c r="AR396" s="230"/>
      <c r="AS396" s="86"/>
      <c r="AT396" s="86"/>
      <c r="AU396" s="86"/>
      <c r="AV396" s="86"/>
      <c r="AW396" s="88"/>
      <c r="AX396" s="82"/>
      <c r="AY396" s="82"/>
      <c r="AZ396" s="82"/>
      <c r="BA396" s="82"/>
      <c r="BB396" s="82"/>
      <c r="BC396" s="82"/>
      <c r="BD396" s="82"/>
      <c r="BE396" s="82"/>
      <c r="BF396" s="98"/>
      <c r="BG396" s="82"/>
      <c r="BH396" s="82"/>
      <c r="BI396" s="82"/>
      <c r="BJ396" s="82"/>
      <c r="BK396" s="82"/>
      <c r="BL396" s="82"/>
      <c r="BM396" s="82"/>
      <c r="BN396" s="82"/>
      <c r="BO396" s="82"/>
      <c r="BP396" s="82"/>
      <c r="BQ396" s="82"/>
      <c r="BR396" s="82"/>
      <c r="BS396" s="82"/>
      <c r="BT396" s="82"/>
      <c r="BU396" s="82"/>
      <c r="BV396" s="99"/>
      <c r="BW396" s="86"/>
      <c r="BX396" s="86"/>
      <c r="BY396" s="86"/>
      <c r="BZ396" s="86"/>
      <c r="CA396" s="100" t="str">
        <f ca="1">IFERROR(__xludf.DUMMYFUNCTION("IF(REGEXMATCH(Catalog_RewardType,""reward""), VLOOKUP($E396, {'TitleData rewards.items'!$J$9:$J416,'TitleData rewards.items'!$B$9:$B416}, 2, FALSE), """")"),"")</f>
        <v/>
      </c>
    </row>
    <row r="397" spans="1:79" ht="28" hidden="1" x14ac:dyDescent="0.15">
      <c r="A397" s="82" t="s">
        <v>269</v>
      </c>
      <c r="B397" s="83" t="b">
        <v>1</v>
      </c>
      <c r="C397" s="82" t="s">
        <v>811</v>
      </c>
      <c r="D397" s="85" t="b">
        <f>VLOOKUP($C397, '_REF Catalog Classes'!$C$6:$D416, COLUMNS('_REF Catalog Classes'!$C$6:$D416), FALSE)</f>
        <v>1</v>
      </c>
      <c r="E397" s="82" t="s">
        <v>2210</v>
      </c>
      <c r="F397" s="82" t="str">
        <f t="shared" si="21"/>
        <v>actionBlastPainting18:TRUE</v>
      </c>
      <c r="G397" s="106" t="s">
        <v>904</v>
      </c>
      <c r="H397" s="86" t="s">
        <v>2211</v>
      </c>
      <c r="I397" s="82" t="s">
        <v>847</v>
      </c>
      <c r="J397" s="82" t="s">
        <v>2177</v>
      </c>
      <c r="K397" s="82"/>
      <c r="L397" s="82" t="s">
        <v>857</v>
      </c>
      <c r="M397" s="86"/>
      <c r="N397" s="107"/>
      <c r="O397" s="108"/>
      <c r="P397" s="82"/>
      <c r="Q397" s="88"/>
      <c r="R397" s="82"/>
      <c r="S397" s="82"/>
      <c r="T397" s="82"/>
      <c r="U397" s="82"/>
      <c r="V397" s="82"/>
      <c r="W397" s="230"/>
      <c r="X397" s="86"/>
      <c r="Y397" s="90" t="str">
        <f t="shared" si="34"/>
        <v>file://actionBlastPainting18-state0-image0</v>
      </c>
      <c r="Z397" s="82"/>
      <c r="AA397" s="88"/>
      <c r="AB397" s="82"/>
      <c r="AC397" s="86"/>
      <c r="AD397" s="82"/>
      <c r="AE397" s="82"/>
      <c r="AF397" s="82"/>
      <c r="AG397" s="88"/>
      <c r="AH397" s="82"/>
      <c r="AI397" s="82"/>
      <c r="AJ397" s="82"/>
      <c r="AK397" s="82"/>
      <c r="AL397" s="82"/>
      <c r="AM397" s="82"/>
      <c r="AN397" s="230"/>
      <c r="AO397" s="86"/>
      <c r="AP397" s="95" t="str">
        <f t="shared" si="35"/>
        <v>file://actionBlastPainting18-state1-image0</v>
      </c>
      <c r="AQ397" s="86"/>
      <c r="AR397" s="230"/>
      <c r="AS397" s="86"/>
      <c r="AT397" s="86"/>
      <c r="AU397" s="86"/>
      <c r="AV397" s="86"/>
      <c r="AW397" s="88"/>
      <c r="AX397" s="82"/>
      <c r="AY397" s="82"/>
      <c r="AZ397" s="82"/>
      <c r="BA397" s="82"/>
      <c r="BB397" s="82"/>
      <c r="BC397" s="82"/>
      <c r="BD397" s="82"/>
      <c r="BE397" s="82"/>
      <c r="BF397" s="98"/>
      <c r="BG397" s="82"/>
      <c r="BH397" s="82"/>
      <c r="BI397" s="82"/>
      <c r="BJ397" s="82"/>
      <c r="BK397" s="82"/>
      <c r="BL397" s="82"/>
      <c r="BM397" s="82"/>
      <c r="BN397" s="82"/>
      <c r="BO397" s="82"/>
      <c r="BP397" s="82"/>
      <c r="BQ397" s="82"/>
      <c r="BR397" s="82"/>
      <c r="BS397" s="82"/>
      <c r="BT397" s="82"/>
      <c r="BU397" s="82"/>
      <c r="BV397" s="99"/>
      <c r="BW397" s="86"/>
      <c r="BX397" s="86"/>
      <c r="BY397" s="86"/>
      <c r="BZ397" s="86"/>
      <c r="CA397" s="100" t="str">
        <f ca="1">IFERROR(__xludf.DUMMYFUNCTION("IF(REGEXMATCH(Catalog_RewardType,""reward""), VLOOKUP($E397, {'TitleData rewards.items'!$J$9:$J416,'TitleData rewards.items'!$B$9:$B416}, 2, FALSE), """")"),"")</f>
        <v/>
      </c>
    </row>
    <row r="398" spans="1:79" ht="28" hidden="1" x14ac:dyDescent="0.15">
      <c r="A398" s="82" t="s">
        <v>269</v>
      </c>
      <c r="B398" s="83" t="b">
        <v>1</v>
      </c>
      <c r="C398" s="82" t="s">
        <v>811</v>
      </c>
      <c r="D398" s="85" t="b">
        <f>VLOOKUP($C398, '_REF Catalog Classes'!$C$6:$D416, COLUMNS('_REF Catalog Classes'!$C$6:$D416), FALSE)</f>
        <v>1</v>
      </c>
      <c r="E398" s="82" t="s">
        <v>2212</v>
      </c>
      <c r="F398" s="82" t="str">
        <f t="shared" si="21"/>
        <v>actionBlastPainting19:TRUE</v>
      </c>
      <c r="G398" s="106" t="s">
        <v>904</v>
      </c>
      <c r="H398" s="86" t="s">
        <v>2213</v>
      </c>
      <c r="I398" s="82" t="s">
        <v>847</v>
      </c>
      <c r="J398" s="82" t="s">
        <v>2177</v>
      </c>
      <c r="K398" s="82"/>
      <c r="L398" s="82" t="s">
        <v>857</v>
      </c>
      <c r="M398" s="86"/>
      <c r="N398" s="107"/>
      <c r="O398" s="108"/>
      <c r="P398" s="82"/>
      <c r="Q398" s="88"/>
      <c r="R398" s="82"/>
      <c r="S398" s="82"/>
      <c r="T398" s="82"/>
      <c r="U398" s="82"/>
      <c r="V398" s="82"/>
      <c r="W398" s="230"/>
      <c r="X398" s="86"/>
      <c r="Y398" s="90" t="str">
        <f t="shared" si="34"/>
        <v>file://actionBlastPainting19-state0-image0</v>
      </c>
      <c r="Z398" s="82"/>
      <c r="AA398" s="88"/>
      <c r="AB398" s="82"/>
      <c r="AC398" s="86"/>
      <c r="AD398" s="82"/>
      <c r="AE398" s="82"/>
      <c r="AF398" s="82"/>
      <c r="AG398" s="88"/>
      <c r="AH398" s="82"/>
      <c r="AI398" s="82"/>
      <c r="AJ398" s="82"/>
      <c r="AK398" s="82"/>
      <c r="AL398" s="82"/>
      <c r="AM398" s="82"/>
      <c r="AN398" s="230"/>
      <c r="AO398" s="86"/>
      <c r="AP398" s="95" t="str">
        <f t="shared" si="35"/>
        <v>file://actionBlastPainting19-state1-image0</v>
      </c>
      <c r="AQ398" s="86"/>
      <c r="AR398" s="230"/>
      <c r="AS398" s="86"/>
      <c r="AT398" s="86"/>
      <c r="AU398" s="86"/>
      <c r="AV398" s="86"/>
      <c r="AW398" s="88"/>
      <c r="AX398" s="82"/>
      <c r="AY398" s="82"/>
      <c r="AZ398" s="82"/>
      <c r="BA398" s="82"/>
      <c r="BB398" s="82"/>
      <c r="BC398" s="82"/>
      <c r="BD398" s="82"/>
      <c r="BE398" s="82"/>
      <c r="BF398" s="98"/>
      <c r="BG398" s="82"/>
      <c r="BH398" s="82"/>
      <c r="BI398" s="82"/>
      <c r="BJ398" s="82"/>
      <c r="BK398" s="82"/>
      <c r="BL398" s="82"/>
      <c r="BM398" s="82"/>
      <c r="BN398" s="82"/>
      <c r="BO398" s="82"/>
      <c r="BP398" s="82"/>
      <c r="BQ398" s="82"/>
      <c r="BR398" s="82"/>
      <c r="BS398" s="82"/>
      <c r="BT398" s="82"/>
      <c r="BU398" s="82"/>
      <c r="BV398" s="99"/>
      <c r="BW398" s="86"/>
      <c r="BX398" s="86"/>
      <c r="BY398" s="86"/>
      <c r="BZ398" s="86"/>
      <c r="CA398" s="100" t="str">
        <f ca="1">IFERROR(__xludf.DUMMYFUNCTION("IF(REGEXMATCH(Catalog_RewardType,""reward""), VLOOKUP($E398, {'TitleData rewards.items'!$J$9:$J416,'TitleData rewards.items'!$B$9:$B416}, 2, FALSE), """")"),"")</f>
        <v/>
      </c>
    </row>
    <row r="399" spans="1:79" ht="28" hidden="1" x14ac:dyDescent="0.15">
      <c r="A399" s="82" t="s">
        <v>269</v>
      </c>
      <c r="B399" s="83" t="b">
        <v>1</v>
      </c>
      <c r="C399" s="82" t="s">
        <v>811</v>
      </c>
      <c r="D399" s="85" t="b">
        <f>VLOOKUP($C399, '_REF Catalog Classes'!$C$6:$D416, COLUMNS('_REF Catalog Classes'!$C$6:$D416), FALSE)</f>
        <v>1</v>
      </c>
      <c r="E399" s="82" t="s">
        <v>2214</v>
      </c>
      <c r="F399" s="82" t="str">
        <f t="shared" si="21"/>
        <v>actionBlastPainting20:TRUE</v>
      </c>
      <c r="G399" s="106" t="s">
        <v>904</v>
      </c>
      <c r="H399" s="86" t="s">
        <v>2215</v>
      </c>
      <c r="I399" s="82" t="s">
        <v>847</v>
      </c>
      <c r="J399" s="82" t="s">
        <v>2177</v>
      </c>
      <c r="K399" s="82"/>
      <c r="L399" s="82" t="s">
        <v>857</v>
      </c>
      <c r="M399" s="86"/>
      <c r="N399" s="107"/>
      <c r="O399" s="108"/>
      <c r="P399" s="82"/>
      <c r="Q399" s="88"/>
      <c r="R399" s="82"/>
      <c r="S399" s="82"/>
      <c r="T399" s="82"/>
      <c r="U399" s="82"/>
      <c r="V399" s="82"/>
      <c r="W399" s="230"/>
      <c r="X399" s="86"/>
      <c r="Y399" s="90" t="str">
        <f t="shared" si="34"/>
        <v>file://actionBlastPainting20-state0-image0</v>
      </c>
      <c r="Z399" s="82"/>
      <c r="AA399" s="88"/>
      <c r="AB399" s="82"/>
      <c r="AC399" s="86"/>
      <c r="AD399" s="82"/>
      <c r="AE399" s="82"/>
      <c r="AF399" s="82"/>
      <c r="AG399" s="88"/>
      <c r="AH399" s="82"/>
      <c r="AI399" s="82"/>
      <c r="AJ399" s="82"/>
      <c r="AK399" s="82"/>
      <c r="AL399" s="82"/>
      <c r="AM399" s="82"/>
      <c r="AN399" s="230"/>
      <c r="AO399" s="86"/>
      <c r="AP399" s="95" t="str">
        <f t="shared" si="35"/>
        <v>file://actionBlastPainting20-state1-image0</v>
      </c>
      <c r="AQ399" s="86"/>
      <c r="AR399" s="230"/>
      <c r="AS399" s="86"/>
      <c r="AT399" s="86"/>
      <c r="AU399" s="86"/>
      <c r="AV399" s="86"/>
      <c r="AW399" s="88"/>
      <c r="AX399" s="82"/>
      <c r="AY399" s="82"/>
      <c r="AZ399" s="82"/>
      <c r="BA399" s="82"/>
      <c r="BB399" s="82"/>
      <c r="BC399" s="82"/>
      <c r="BD399" s="82"/>
      <c r="BE399" s="82"/>
      <c r="BF399" s="98"/>
      <c r="BG399" s="82"/>
      <c r="BH399" s="82"/>
      <c r="BI399" s="82"/>
      <c r="BJ399" s="82"/>
      <c r="BK399" s="82"/>
      <c r="BL399" s="82"/>
      <c r="BM399" s="82"/>
      <c r="BN399" s="82"/>
      <c r="BO399" s="82"/>
      <c r="BP399" s="82"/>
      <c r="BQ399" s="82"/>
      <c r="BR399" s="82"/>
      <c r="BS399" s="82"/>
      <c r="BT399" s="82"/>
      <c r="BU399" s="82"/>
      <c r="BV399" s="99"/>
      <c r="BW399" s="86"/>
      <c r="BX399" s="86"/>
      <c r="BY399" s="86"/>
      <c r="BZ399" s="86"/>
      <c r="CA399" s="100" t="str">
        <f ca="1">IFERROR(__xludf.DUMMYFUNCTION("IF(REGEXMATCH(Catalog_RewardType,""reward""), VLOOKUP($E399, {'TitleData rewards.items'!$J$9:$J416,'TitleData rewards.items'!$B$9:$B416}, 2, FALSE), """")"),"")</f>
        <v/>
      </c>
    </row>
    <row r="400" spans="1:79" ht="28" hidden="1" x14ac:dyDescent="0.15">
      <c r="A400" s="82" t="s">
        <v>269</v>
      </c>
      <c r="B400" s="83" t="b">
        <v>1</v>
      </c>
      <c r="C400" s="82" t="s">
        <v>811</v>
      </c>
      <c r="D400" s="85" t="b">
        <f>VLOOKUP($C400, '_REF Catalog Classes'!$C$6:$D416, COLUMNS('_REF Catalog Classes'!$C$6:$D416), FALSE)</f>
        <v>1</v>
      </c>
      <c r="E400" s="82" t="s">
        <v>2216</v>
      </c>
      <c r="F400" s="82" t="str">
        <f t="shared" si="21"/>
        <v>actionBlastPainting21:TRUE</v>
      </c>
      <c r="G400" s="106" t="s">
        <v>904</v>
      </c>
      <c r="H400" s="86" t="s">
        <v>2217</v>
      </c>
      <c r="I400" s="82" t="s">
        <v>847</v>
      </c>
      <c r="J400" s="82" t="s">
        <v>2177</v>
      </c>
      <c r="K400" s="82"/>
      <c r="L400" s="82" t="s">
        <v>857</v>
      </c>
      <c r="M400" s="86"/>
      <c r="N400" s="107"/>
      <c r="O400" s="108"/>
      <c r="P400" s="82"/>
      <c r="Q400" s="88"/>
      <c r="R400" s="82"/>
      <c r="S400" s="82"/>
      <c r="T400" s="82"/>
      <c r="U400" s="82"/>
      <c r="V400" s="82"/>
      <c r="W400" s="230"/>
      <c r="X400" s="86"/>
      <c r="Y400" s="90" t="str">
        <f t="shared" si="34"/>
        <v>file://actionBlastPainting21-state0-image0</v>
      </c>
      <c r="Z400" s="82"/>
      <c r="AA400" s="88"/>
      <c r="AB400" s="82"/>
      <c r="AC400" s="86"/>
      <c r="AD400" s="82"/>
      <c r="AE400" s="82"/>
      <c r="AF400" s="82"/>
      <c r="AG400" s="88"/>
      <c r="AH400" s="82"/>
      <c r="AI400" s="82"/>
      <c r="AJ400" s="82"/>
      <c r="AK400" s="82"/>
      <c r="AL400" s="82"/>
      <c r="AM400" s="82"/>
      <c r="AN400" s="230"/>
      <c r="AO400" s="86"/>
      <c r="AP400" s="95" t="str">
        <f t="shared" si="35"/>
        <v>file://actionBlastPainting21-state1-image0</v>
      </c>
      <c r="AQ400" s="86"/>
      <c r="AR400" s="230"/>
      <c r="AS400" s="86"/>
      <c r="AT400" s="86"/>
      <c r="AU400" s="86"/>
      <c r="AV400" s="86"/>
      <c r="AW400" s="88"/>
      <c r="AX400" s="82"/>
      <c r="AY400" s="82"/>
      <c r="AZ400" s="82"/>
      <c r="BA400" s="82"/>
      <c r="BB400" s="82"/>
      <c r="BC400" s="82"/>
      <c r="BD400" s="82"/>
      <c r="BE400" s="82"/>
      <c r="BF400" s="98"/>
      <c r="BG400" s="82"/>
      <c r="BH400" s="82"/>
      <c r="BI400" s="82"/>
      <c r="BJ400" s="82"/>
      <c r="BK400" s="82"/>
      <c r="BL400" s="82"/>
      <c r="BM400" s="82"/>
      <c r="BN400" s="82"/>
      <c r="BO400" s="82"/>
      <c r="BP400" s="82"/>
      <c r="BQ400" s="82"/>
      <c r="BR400" s="82"/>
      <c r="BS400" s="82"/>
      <c r="BT400" s="82"/>
      <c r="BU400" s="82"/>
      <c r="BV400" s="99"/>
      <c r="BW400" s="86"/>
      <c r="BX400" s="86"/>
      <c r="BY400" s="86"/>
      <c r="BZ400" s="86"/>
      <c r="CA400" s="100" t="str">
        <f ca="1">IFERROR(__xludf.DUMMYFUNCTION("IF(REGEXMATCH(Catalog_RewardType,""reward""), VLOOKUP($E400, {'TitleData rewards.items'!$J$9:$J416,'TitleData rewards.items'!$B$9:$B416}, 2, FALSE), """")"),"")</f>
        <v/>
      </c>
    </row>
    <row r="401" spans="1:79" ht="42" hidden="1" x14ac:dyDescent="0.15">
      <c r="A401" s="82" t="s">
        <v>269</v>
      </c>
      <c r="B401" s="83" t="b">
        <v>1</v>
      </c>
      <c r="C401" s="82" t="s">
        <v>808</v>
      </c>
      <c r="D401" s="85" t="b">
        <f>VLOOKUP($C401, '_REF Catalog Classes'!$C$6:$D416, COLUMNS('_REF Catalog Classes'!$C$6:$D416), FALSE)</f>
        <v>1</v>
      </c>
      <c r="E401" s="82" t="s">
        <v>2218</v>
      </c>
      <c r="F401" s="82" t="str">
        <f t="shared" si="21"/>
        <v>achievementPlayBlastPaintings:TRUE</v>
      </c>
      <c r="G401" s="106" t="s">
        <v>2219</v>
      </c>
      <c r="H401" s="86" t="s">
        <v>2220</v>
      </c>
      <c r="I401" s="82" t="s">
        <v>274</v>
      </c>
      <c r="J401" s="108"/>
      <c r="K401" s="82"/>
      <c r="L401" s="108"/>
      <c r="M401" s="231" t="s">
        <v>820</v>
      </c>
      <c r="N401" s="107"/>
      <c r="O401" s="108"/>
      <c r="P401" s="82">
        <v>31</v>
      </c>
      <c r="Q401" s="88"/>
      <c r="R401" s="82"/>
      <c r="S401" s="82"/>
      <c r="T401" s="82"/>
      <c r="U401" s="82"/>
      <c r="V401" s="82"/>
      <c r="W401" s="89">
        <v>0</v>
      </c>
      <c r="X401" s="90" t="s">
        <v>37</v>
      </c>
      <c r="Y401" s="90" t="str">
        <f t="shared" si="34"/>
        <v>file://achievementPlayBlastPaintings-state0-image0</v>
      </c>
      <c r="Z401" s="162"/>
      <c r="AA401" s="91" t="s">
        <v>283</v>
      </c>
      <c r="AB401" s="162" t="s">
        <v>2221</v>
      </c>
      <c r="AC401" s="90"/>
      <c r="AD401" s="162" t="s">
        <v>2222</v>
      </c>
      <c r="AE401" s="162"/>
      <c r="AF401" s="162"/>
      <c r="AG401" s="164"/>
      <c r="AH401" s="108"/>
      <c r="AI401" s="108"/>
      <c r="AJ401" s="108"/>
      <c r="AK401" s="108"/>
      <c r="AL401" s="108"/>
      <c r="AM401" s="108"/>
      <c r="AN401" s="94"/>
      <c r="AO401" s="95"/>
      <c r="AP401" s="95" t="str">
        <f t="shared" si="35"/>
        <v>file://achievementPlayBlastPaintings-state1-image0</v>
      </c>
      <c r="AQ401" s="95"/>
      <c r="AR401" s="94"/>
      <c r="AS401" s="95"/>
      <c r="AT401" s="95"/>
      <c r="AU401" s="95"/>
      <c r="AV401" s="95"/>
      <c r="AW401" s="164"/>
      <c r="AX401" s="108"/>
      <c r="AY401" s="108"/>
      <c r="AZ401" s="108"/>
      <c r="BA401" s="108"/>
      <c r="BB401" s="108"/>
      <c r="BC401" s="108"/>
      <c r="BD401" s="218">
        <v>2</v>
      </c>
      <c r="BE401" s="167" t="s">
        <v>823</v>
      </c>
      <c r="BF401" s="98"/>
      <c r="BG401" s="167"/>
      <c r="BH401" s="167" t="s">
        <v>283</v>
      </c>
      <c r="BI401" s="167" t="s">
        <v>2221</v>
      </c>
      <c r="BJ401" s="167"/>
      <c r="BK401" s="167"/>
      <c r="BL401" s="167" t="s">
        <v>2223</v>
      </c>
      <c r="BM401" s="167"/>
      <c r="BN401" s="167"/>
      <c r="BO401" s="108"/>
      <c r="BP401" s="108"/>
      <c r="BQ401" s="108"/>
      <c r="BR401" s="108"/>
      <c r="BS401" s="108"/>
      <c r="BT401" s="108"/>
      <c r="BU401" s="108"/>
      <c r="BV401" s="99" t="s">
        <v>2224</v>
      </c>
      <c r="BW401" s="86" t="str">
        <f>VLOOKUP($C401, '_REF Catalog Classes'!$C$6:$E416, COLUMNS('_REF Catalog Classes'!$C$6:$E416), FALSE)</f>
        <v>never</v>
      </c>
      <c r="BX401" s="86"/>
      <c r="BY401" s="86"/>
      <c r="BZ401" s="86" t="s">
        <v>322</v>
      </c>
      <c r="CA401" s="100" t="str">
        <f ca="1">IFERROR(__xludf.DUMMYFUNCTION("IF(REGEXMATCH(Catalog_RewardType,""reward""), VLOOKUP($E401, {'TitleData rewards.items'!$J$9:$J416,'TitleData rewards.items'!$B$9:$B416}, 2, FALSE), """")"),"#N/A")</f>
        <v>#N/A</v>
      </c>
    </row>
    <row r="402" spans="1:79" ht="70" x14ac:dyDescent="0.15">
      <c r="A402" s="82" t="s">
        <v>269</v>
      </c>
      <c r="B402" s="83"/>
      <c r="C402" s="82" t="s">
        <v>808</v>
      </c>
      <c r="D402" s="85" t="b">
        <f>VLOOKUP($C402, '_REF Catalog Classes'!$C$6:$D416, COLUMNS('_REF Catalog Classes'!$C$6:$D416), FALSE)</f>
        <v>1</v>
      </c>
      <c r="E402" s="82" t="s">
        <v>2225</v>
      </c>
      <c r="F402" s="82" t="str">
        <f t="shared" si="21"/>
        <v>achievementPlayBestStudent:</v>
      </c>
      <c r="G402" s="106" t="s">
        <v>2226</v>
      </c>
      <c r="H402" s="86" t="s">
        <v>2227</v>
      </c>
      <c r="I402" s="82" t="s">
        <v>274</v>
      </c>
      <c r="J402" s="82"/>
      <c r="K402" s="82"/>
      <c r="L402" s="82"/>
      <c r="M402" s="86" t="s">
        <v>830</v>
      </c>
      <c r="N402" s="107"/>
      <c r="O402" s="108"/>
      <c r="P402" s="82">
        <v>34</v>
      </c>
      <c r="Q402" s="88"/>
      <c r="R402" s="82"/>
      <c r="S402" s="82"/>
      <c r="T402" s="82"/>
      <c r="U402" s="82"/>
      <c r="V402" s="82"/>
      <c r="W402" s="89">
        <v>0</v>
      </c>
      <c r="X402" s="90" t="s">
        <v>37</v>
      </c>
      <c r="Y402" s="90" t="s">
        <v>1009</v>
      </c>
      <c r="Z402" s="162"/>
      <c r="AA402" s="91" t="s">
        <v>283</v>
      </c>
      <c r="AB402" s="162" t="s">
        <v>2228</v>
      </c>
      <c r="AC402" s="90"/>
      <c r="AD402" s="162" t="s">
        <v>2229</v>
      </c>
      <c r="AE402" s="162"/>
      <c r="AF402" s="162"/>
      <c r="AG402" s="164"/>
      <c r="AH402" s="108"/>
      <c r="AI402" s="108"/>
      <c r="AJ402" s="108"/>
      <c r="AK402" s="108"/>
      <c r="AL402" s="108"/>
      <c r="AM402" s="108"/>
      <c r="AN402" s="94"/>
      <c r="AO402" s="95"/>
      <c r="AP402" s="95"/>
      <c r="AQ402" s="95"/>
      <c r="AR402" s="94"/>
      <c r="AS402" s="95"/>
      <c r="AT402" s="95"/>
      <c r="AU402" s="95"/>
      <c r="AV402" s="95"/>
      <c r="AW402" s="212"/>
      <c r="AX402" s="206"/>
      <c r="AY402" s="206"/>
      <c r="AZ402" s="206"/>
      <c r="BA402" s="206"/>
      <c r="BB402" s="206"/>
      <c r="BC402" s="206"/>
      <c r="BD402" s="218">
        <v>2</v>
      </c>
      <c r="BE402" s="167" t="s">
        <v>38</v>
      </c>
      <c r="BF402" s="98" t="s">
        <v>1009</v>
      </c>
      <c r="BG402" s="167"/>
      <c r="BH402" s="167" t="s">
        <v>283</v>
      </c>
      <c r="BI402" s="167" t="s">
        <v>2228</v>
      </c>
      <c r="BJ402" s="167"/>
      <c r="BK402" s="167"/>
      <c r="BL402" s="167" t="s">
        <v>2230</v>
      </c>
      <c r="BM402" s="167"/>
      <c r="BN402" s="167"/>
      <c r="BO402" s="167"/>
      <c r="BP402" s="167"/>
      <c r="BQ402" s="167"/>
      <c r="BR402" s="167"/>
      <c r="BS402" s="167"/>
      <c r="BT402" s="167"/>
      <c r="BU402" s="167"/>
      <c r="BV402" s="99" t="s">
        <v>2231</v>
      </c>
      <c r="BW402" s="86" t="str">
        <f>VLOOKUP($C402, '_REF Catalog Classes'!$C$6:$E416, COLUMNS('_REF Catalog Classes'!$C$6:$E416), FALSE)</f>
        <v>never</v>
      </c>
      <c r="BX402" s="86"/>
      <c r="BY402" s="86"/>
      <c r="BZ402" s="86" t="s">
        <v>322</v>
      </c>
      <c r="CA402" s="100" t="b">
        <f ca="1">IFERROR(__xludf.DUMMYFUNCTION("IF(REGEXMATCH(Catalog_RewardType,""reward""), VLOOKUP($E402, {'TitleData rewards.items'!$J$9:$J416,'TitleData rewards.items'!$B$9:$B416}, 2, FALSE), """")"),FALSE)</f>
        <v>0</v>
      </c>
    </row>
    <row r="403" spans="1:79" ht="42" hidden="1" x14ac:dyDescent="0.15">
      <c r="A403" s="82" t="s">
        <v>269</v>
      </c>
      <c r="B403" s="83" t="b">
        <v>1</v>
      </c>
      <c r="C403" s="82" t="s">
        <v>808</v>
      </c>
      <c r="D403" s="85" t="b">
        <f>VLOOKUP($C403, '_REF Catalog Classes'!$C$6:$D416, COLUMNS('_REF Catalog Classes'!$C$6:$D416), FALSE)</f>
        <v>1</v>
      </c>
      <c r="E403" s="82" t="s">
        <v>2232</v>
      </c>
      <c r="F403" s="82" t="str">
        <f t="shared" si="21"/>
        <v>achievementVisitJanuary:TRUE</v>
      </c>
      <c r="G403" s="86" t="s">
        <v>2233</v>
      </c>
      <c r="H403" s="86" t="s">
        <v>2233</v>
      </c>
      <c r="I403" s="82" t="s">
        <v>274</v>
      </c>
      <c r="J403" s="82"/>
      <c r="K403" s="82"/>
      <c r="L403" s="82"/>
      <c r="M403" s="82" t="s">
        <v>830</v>
      </c>
      <c r="N403" s="107"/>
      <c r="O403" s="108"/>
      <c r="P403" s="82">
        <v>45</v>
      </c>
      <c r="Q403" s="88"/>
      <c r="R403" s="82"/>
      <c r="S403" s="82"/>
      <c r="T403" s="82"/>
      <c r="U403" s="82"/>
      <c r="V403" s="82"/>
      <c r="W403" s="89">
        <v>0</v>
      </c>
      <c r="X403" s="90" t="s">
        <v>37</v>
      </c>
      <c r="Y403" s="90" t="str">
        <f t="shared" ref="Y403:Y415" si="36">"file://"&amp;$E403&amp;"-state0-image0"</f>
        <v>file://achievementVisitJanuary-state0-image0</v>
      </c>
      <c r="Z403" s="90"/>
      <c r="AA403" s="91" t="s">
        <v>283</v>
      </c>
      <c r="AB403" s="90" t="s">
        <v>2234</v>
      </c>
      <c r="AC403" s="90"/>
      <c r="AD403" s="90" t="s">
        <v>2235</v>
      </c>
      <c r="AE403" s="90"/>
      <c r="AF403" s="162"/>
      <c r="AG403" s="92"/>
      <c r="AH403" s="93"/>
      <c r="AI403" s="93"/>
      <c r="AJ403" s="93"/>
      <c r="AK403" s="93"/>
      <c r="AL403" s="93"/>
      <c r="AM403" s="93"/>
      <c r="AN403" s="94"/>
      <c r="AO403" s="95"/>
      <c r="AP403" s="95" t="str">
        <f t="shared" ref="AP403:AP415" si="37">"file://"&amp;$E403&amp;"-state1-image0"</f>
        <v>file://achievementVisitJanuary-state1-image0</v>
      </c>
      <c r="AQ403" s="95"/>
      <c r="AR403" s="94"/>
      <c r="AS403" s="95"/>
      <c r="AT403" s="95"/>
      <c r="AU403" s="95"/>
      <c r="AV403" s="95"/>
      <c r="AW403" s="92"/>
      <c r="AX403" s="93"/>
      <c r="AY403" s="93"/>
      <c r="AZ403" s="93"/>
      <c r="BA403" s="93"/>
      <c r="BB403" s="93"/>
      <c r="BC403" s="93"/>
      <c r="BD403" s="96"/>
      <c r="BE403" s="97"/>
      <c r="BF403" s="98"/>
      <c r="BG403" s="97"/>
      <c r="BH403" s="97"/>
      <c r="BI403" s="97"/>
      <c r="BJ403" s="97"/>
      <c r="BK403" s="97"/>
      <c r="BL403" s="97"/>
      <c r="BM403" s="97"/>
      <c r="BN403" s="97"/>
      <c r="BO403" s="93"/>
      <c r="BP403" s="93"/>
      <c r="BQ403" s="93"/>
      <c r="BR403" s="93"/>
      <c r="BS403" s="93"/>
      <c r="BT403" s="93"/>
      <c r="BU403" s="93"/>
      <c r="BV403" s="113" t="s">
        <v>2236</v>
      </c>
      <c r="BW403" s="86" t="str">
        <f>VLOOKUP($C403, '_REF Catalog Classes'!$C$6:$E416, COLUMNS('_REF Catalog Classes'!$C$6:$E416), FALSE)</f>
        <v>never</v>
      </c>
      <c r="BX403" s="82"/>
      <c r="BY403" s="82"/>
      <c r="BZ403" s="82" t="s">
        <v>322</v>
      </c>
      <c r="CA403" s="100" t="str">
        <f ca="1">IFERROR(__xludf.DUMMYFUNCTION("IF(REGEXMATCH(Catalog_RewardType,""reward""), VLOOKUP($E403, {'TitleData rewards.items'!$J$9:$J416,'TitleData rewards.items'!$B$9:$B416}, 2, FALSE), """")"),"#N/A")</f>
        <v>#N/A</v>
      </c>
    </row>
    <row r="404" spans="1:79" ht="56" hidden="1" x14ac:dyDescent="0.15">
      <c r="A404" s="82" t="s">
        <v>269</v>
      </c>
      <c r="B404" s="83" t="b">
        <v>1</v>
      </c>
      <c r="C404" s="82" t="s">
        <v>808</v>
      </c>
      <c r="D404" s="85" t="b">
        <f>VLOOKUP($C404, '_REF Catalog Classes'!$C$6:$D416, COLUMNS('_REF Catalog Classes'!$C$6:$D416), FALSE)</f>
        <v>1</v>
      </c>
      <c r="E404" s="82" t="s">
        <v>2237</v>
      </c>
      <c r="F404" s="82" t="str">
        <f t="shared" si="21"/>
        <v>achievementVisitFebruary:TRUE</v>
      </c>
      <c r="G404" s="86" t="s">
        <v>2238</v>
      </c>
      <c r="H404" s="86" t="s">
        <v>2238</v>
      </c>
      <c r="I404" s="82" t="s">
        <v>274</v>
      </c>
      <c r="J404" s="82"/>
      <c r="K404" s="82"/>
      <c r="L404" s="82"/>
      <c r="M404" s="82" t="s">
        <v>830</v>
      </c>
      <c r="N404" s="107"/>
      <c r="O404" s="108"/>
      <c r="P404" s="82">
        <v>46</v>
      </c>
      <c r="Q404" s="88"/>
      <c r="R404" s="82"/>
      <c r="S404" s="82"/>
      <c r="T404" s="82"/>
      <c r="U404" s="82"/>
      <c r="V404" s="82"/>
      <c r="W404" s="89">
        <v>0</v>
      </c>
      <c r="X404" s="90" t="s">
        <v>37</v>
      </c>
      <c r="Y404" s="90" t="str">
        <f t="shared" si="36"/>
        <v>file://achievementVisitFebruary-state0-image0</v>
      </c>
      <c r="Z404" s="90"/>
      <c r="AA404" s="91" t="s">
        <v>283</v>
      </c>
      <c r="AB404" s="90" t="s">
        <v>2239</v>
      </c>
      <c r="AC404" s="90"/>
      <c r="AD404" s="90" t="s">
        <v>2240</v>
      </c>
      <c r="AE404" s="90"/>
      <c r="AF404" s="162"/>
      <c r="AG404" s="92"/>
      <c r="AH404" s="93"/>
      <c r="AI404" s="93"/>
      <c r="AJ404" s="93"/>
      <c r="AK404" s="93"/>
      <c r="AL404" s="93"/>
      <c r="AM404" s="93"/>
      <c r="AN404" s="94"/>
      <c r="AO404" s="95"/>
      <c r="AP404" s="95" t="str">
        <f t="shared" si="37"/>
        <v>file://achievementVisitFebruary-state1-image0</v>
      </c>
      <c r="AQ404" s="95"/>
      <c r="AR404" s="94"/>
      <c r="AS404" s="95"/>
      <c r="AT404" s="95"/>
      <c r="AU404" s="95"/>
      <c r="AV404" s="95"/>
      <c r="AW404" s="92"/>
      <c r="AX404" s="93"/>
      <c r="AY404" s="93"/>
      <c r="AZ404" s="93"/>
      <c r="BA404" s="93"/>
      <c r="BB404" s="93"/>
      <c r="BC404" s="93"/>
      <c r="BD404" s="96"/>
      <c r="BE404" s="97"/>
      <c r="BF404" s="98"/>
      <c r="BG404" s="97"/>
      <c r="BH404" s="97"/>
      <c r="BI404" s="97"/>
      <c r="BJ404" s="97"/>
      <c r="BK404" s="97"/>
      <c r="BL404" s="97"/>
      <c r="BM404" s="97"/>
      <c r="BN404" s="97"/>
      <c r="BO404" s="93"/>
      <c r="BP404" s="93"/>
      <c r="BQ404" s="93"/>
      <c r="BR404" s="93"/>
      <c r="BS404" s="93"/>
      <c r="BT404" s="93"/>
      <c r="BU404" s="93"/>
      <c r="BV404" s="113" t="s">
        <v>2241</v>
      </c>
      <c r="BW404" s="86" t="str">
        <f>VLOOKUP($C404, '_REF Catalog Classes'!$C$6:$E416, COLUMNS('_REF Catalog Classes'!$C$6:$E416), FALSE)</f>
        <v>never</v>
      </c>
      <c r="BX404" s="82"/>
      <c r="BY404" s="82"/>
      <c r="BZ404" s="82" t="s">
        <v>322</v>
      </c>
      <c r="CA404" s="100" t="str">
        <f ca="1">IFERROR(__xludf.DUMMYFUNCTION("IF(REGEXMATCH(Catalog_RewardType,""reward""), VLOOKUP($E404, {'TitleData rewards.items'!$J$9:$J416,'TitleData rewards.items'!$B$9:$B416}, 2, FALSE), """")"),"#N/A")</f>
        <v>#N/A</v>
      </c>
    </row>
    <row r="405" spans="1:79" ht="42" hidden="1" x14ac:dyDescent="0.15">
      <c r="A405" s="82" t="s">
        <v>269</v>
      </c>
      <c r="B405" s="83" t="b">
        <v>1</v>
      </c>
      <c r="C405" s="82" t="s">
        <v>808</v>
      </c>
      <c r="D405" s="85" t="b">
        <f>VLOOKUP($C405, '_REF Catalog Classes'!$C$6:$D416, COLUMNS('_REF Catalog Classes'!$C$6:$D416), FALSE)</f>
        <v>1</v>
      </c>
      <c r="E405" s="82" t="s">
        <v>2242</v>
      </c>
      <c r="F405" s="82" t="str">
        <f t="shared" si="21"/>
        <v>achievementVisitMarch:TRUE</v>
      </c>
      <c r="G405" s="82" t="s">
        <v>2243</v>
      </c>
      <c r="H405" s="82" t="s">
        <v>2243</v>
      </c>
      <c r="I405" s="82" t="s">
        <v>274</v>
      </c>
      <c r="J405" s="82"/>
      <c r="K405" s="82"/>
      <c r="L405" s="82"/>
      <c r="M405" s="82" t="s">
        <v>830</v>
      </c>
      <c r="N405" s="107"/>
      <c r="O405" s="108"/>
      <c r="P405" s="82">
        <v>47</v>
      </c>
      <c r="Q405" s="88"/>
      <c r="R405" s="82"/>
      <c r="S405" s="82"/>
      <c r="T405" s="82"/>
      <c r="U405" s="82"/>
      <c r="V405" s="82"/>
      <c r="W405" s="89">
        <v>0</v>
      </c>
      <c r="X405" s="90" t="s">
        <v>37</v>
      </c>
      <c r="Y405" s="90" t="str">
        <f t="shared" si="36"/>
        <v>file://achievementVisitMarch-state0-image0</v>
      </c>
      <c r="Z405" s="162"/>
      <c r="AA405" s="91" t="s">
        <v>283</v>
      </c>
      <c r="AB405" s="162" t="s">
        <v>2244</v>
      </c>
      <c r="AC405" s="90"/>
      <c r="AD405" s="90" t="s">
        <v>2245</v>
      </c>
      <c r="AE405" s="162"/>
      <c r="AF405" s="162"/>
      <c r="AG405" s="164"/>
      <c r="AH405" s="108"/>
      <c r="AI405" s="108"/>
      <c r="AJ405" s="108"/>
      <c r="AK405" s="108"/>
      <c r="AL405" s="108"/>
      <c r="AM405" s="108"/>
      <c r="AN405" s="94"/>
      <c r="AO405" s="95"/>
      <c r="AP405" s="95" t="str">
        <f t="shared" si="37"/>
        <v>file://achievementVisitMarch-state1-image0</v>
      </c>
      <c r="AQ405" s="95"/>
      <c r="AR405" s="94"/>
      <c r="AS405" s="95"/>
      <c r="AT405" s="95"/>
      <c r="AU405" s="95"/>
      <c r="AV405" s="95"/>
      <c r="AW405" s="164"/>
      <c r="AX405" s="108"/>
      <c r="AY405" s="108"/>
      <c r="AZ405" s="108"/>
      <c r="BA405" s="108"/>
      <c r="BB405" s="108"/>
      <c r="BC405" s="108"/>
      <c r="BD405" s="96"/>
      <c r="BE405" s="97"/>
      <c r="BF405" s="98"/>
      <c r="BG405" s="97"/>
      <c r="BH405" s="97"/>
      <c r="BI405" s="97"/>
      <c r="BJ405" s="167"/>
      <c r="BK405" s="167"/>
      <c r="BL405" s="167"/>
      <c r="BM405" s="167"/>
      <c r="BN405" s="167"/>
      <c r="BO405" s="108"/>
      <c r="BP405" s="108"/>
      <c r="BQ405" s="108"/>
      <c r="BR405" s="108"/>
      <c r="BS405" s="108"/>
      <c r="BT405" s="108"/>
      <c r="BU405" s="108"/>
      <c r="BV405" s="113" t="s">
        <v>2246</v>
      </c>
      <c r="BW405" s="86" t="str">
        <f>VLOOKUP($C405, '_REF Catalog Classes'!$C$6:$E416, COLUMNS('_REF Catalog Classes'!$C$6:$E416), FALSE)</f>
        <v>never</v>
      </c>
      <c r="BX405" s="82"/>
      <c r="BY405" s="82"/>
      <c r="BZ405" s="82" t="s">
        <v>322</v>
      </c>
      <c r="CA405" s="100" t="str">
        <f ca="1">IFERROR(__xludf.DUMMYFUNCTION("IF(REGEXMATCH(Catalog_RewardType,""reward""), VLOOKUP($E405, {'TitleData rewards.items'!$J$9:$J416,'TitleData rewards.items'!$B$9:$B416}, 2, FALSE), """")"),"#N/A")</f>
        <v>#N/A</v>
      </c>
    </row>
    <row r="406" spans="1:79" ht="42" hidden="1" x14ac:dyDescent="0.15">
      <c r="A406" s="82" t="s">
        <v>269</v>
      </c>
      <c r="B406" s="83" t="b">
        <v>1</v>
      </c>
      <c r="C406" s="82" t="s">
        <v>808</v>
      </c>
      <c r="D406" s="85" t="b">
        <f>VLOOKUP($C406, '_REF Catalog Classes'!$C$6:$D416, COLUMNS('_REF Catalog Classes'!$C$6:$D416), FALSE)</f>
        <v>1</v>
      </c>
      <c r="E406" s="82" t="s">
        <v>2247</v>
      </c>
      <c r="F406" s="82" t="str">
        <f t="shared" si="21"/>
        <v>achievementVisitApril:TRUE</v>
      </c>
      <c r="G406" s="86" t="s">
        <v>2248</v>
      </c>
      <c r="H406" s="86" t="s">
        <v>2248</v>
      </c>
      <c r="I406" s="82" t="s">
        <v>274</v>
      </c>
      <c r="J406" s="86"/>
      <c r="K406" s="82"/>
      <c r="L406" s="86"/>
      <c r="M406" s="82" t="s">
        <v>830</v>
      </c>
      <c r="N406" s="107"/>
      <c r="O406" s="108"/>
      <c r="P406" s="82">
        <v>48</v>
      </c>
      <c r="Q406" s="88"/>
      <c r="R406" s="82"/>
      <c r="S406" s="82"/>
      <c r="T406" s="82"/>
      <c r="U406" s="82"/>
      <c r="V406" s="82"/>
      <c r="W406" s="89">
        <v>0</v>
      </c>
      <c r="X406" s="90" t="s">
        <v>37</v>
      </c>
      <c r="Y406" s="90" t="str">
        <f t="shared" si="36"/>
        <v>file://achievementVisitApril-state0-image0</v>
      </c>
      <c r="Z406" s="90"/>
      <c r="AA406" s="91" t="s">
        <v>283</v>
      </c>
      <c r="AB406" s="90" t="s">
        <v>2249</v>
      </c>
      <c r="AC406" s="90"/>
      <c r="AD406" s="90" t="s">
        <v>2250</v>
      </c>
      <c r="AE406" s="90"/>
      <c r="AF406" s="162"/>
      <c r="AG406" s="92"/>
      <c r="AH406" s="93"/>
      <c r="AI406" s="93"/>
      <c r="AJ406" s="93"/>
      <c r="AK406" s="93"/>
      <c r="AL406" s="93"/>
      <c r="AM406" s="93"/>
      <c r="AN406" s="94"/>
      <c r="AO406" s="95"/>
      <c r="AP406" s="95" t="str">
        <f t="shared" si="37"/>
        <v>file://achievementVisitApril-state1-image0</v>
      </c>
      <c r="AQ406" s="95"/>
      <c r="AR406" s="94"/>
      <c r="AS406" s="95"/>
      <c r="AT406" s="95"/>
      <c r="AU406" s="95"/>
      <c r="AV406" s="95"/>
      <c r="AW406" s="92"/>
      <c r="AX406" s="93"/>
      <c r="AY406" s="93"/>
      <c r="AZ406" s="93"/>
      <c r="BA406" s="93"/>
      <c r="BB406" s="93"/>
      <c r="BC406" s="93"/>
      <c r="BD406" s="96"/>
      <c r="BE406" s="97"/>
      <c r="BF406" s="98"/>
      <c r="BG406" s="97"/>
      <c r="BH406" s="97"/>
      <c r="BI406" s="97"/>
      <c r="BJ406" s="97"/>
      <c r="BK406" s="97"/>
      <c r="BL406" s="97"/>
      <c r="BM406" s="97"/>
      <c r="BN406" s="97"/>
      <c r="BO406" s="93"/>
      <c r="BP406" s="93"/>
      <c r="BQ406" s="93"/>
      <c r="BR406" s="93"/>
      <c r="BS406" s="93"/>
      <c r="BT406" s="93"/>
      <c r="BU406" s="93"/>
      <c r="BV406" s="113" t="s">
        <v>2251</v>
      </c>
      <c r="BW406" s="86" t="str">
        <f>VLOOKUP($C406, '_REF Catalog Classes'!$C$6:$E416, COLUMNS('_REF Catalog Classes'!$C$6:$E416), FALSE)</f>
        <v>never</v>
      </c>
      <c r="BX406" s="82"/>
      <c r="BY406" s="82"/>
      <c r="BZ406" s="82" t="s">
        <v>322</v>
      </c>
      <c r="CA406" s="100" t="str">
        <f ca="1">IFERROR(__xludf.DUMMYFUNCTION("IF(REGEXMATCH(Catalog_RewardType,""reward""), VLOOKUP($E406, {'TitleData rewards.items'!$J$9:$J416,'TitleData rewards.items'!$B$9:$B416}, 2, FALSE), """")"),"#N/A")</f>
        <v>#N/A</v>
      </c>
    </row>
    <row r="407" spans="1:79" ht="42" hidden="1" x14ac:dyDescent="0.15">
      <c r="A407" s="82" t="s">
        <v>269</v>
      </c>
      <c r="B407" s="83" t="b">
        <v>1</v>
      </c>
      <c r="C407" s="82" t="s">
        <v>808</v>
      </c>
      <c r="D407" s="85" t="b">
        <f>VLOOKUP($C407, '_REF Catalog Classes'!$C$6:$D416, COLUMNS('_REF Catalog Classes'!$C$6:$D416), FALSE)</f>
        <v>1</v>
      </c>
      <c r="E407" s="82" t="s">
        <v>2252</v>
      </c>
      <c r="F407" s="82" t="str">
        <f t="shared" si="21"/>
        <v>achievementVisitMay:TRUE</v>
      </c>
      <c r="G407" s="86" t="s">
        <v>2253</v>
      </c>
      <c r="H407" s="86" t="s">
        <v>2253</v>
      </c>
      <c r="I407" s="82" t="s">
        <v>274</v>
      </c>
      <c r="J407" s="82"/>
      <c r="K407" s="82"/>
      <c r="L407" s="82"/>
      <c r="M407" s="82" t="s">
        <v>830</v>
      </c>
      <c r="N407" s="107"/>
      <c r="O407" s="108"/>
      <c r="P407" s="82">
        <v>49</v>
      </c>
      <c r="Q407" s="88"/>
      <c r="R407" s="82"/>
      <c r="S407" s="82"/>
      <c r="T407" s="82"/>
      <c r="U407" s="82"/>
      <c r="V407" s="82"/>
      <c r="W407" s="89">
        <v>0</v>
      </c>
      <c r="X407" s="90" t="s">
        <v>37</v>
      </c>
      <c r="Y407" s="90" t="str">
        <f t="shared" si="36"/>
        <v>file://achievementVisitMay-state0-image0</v>
      </c>
      <c r="Z407" s="90"/>
      <c r="AA407" s="91" t="s">
        <v>283</v>
      </c>
      <c r="AB407" s="90" t="s">
        <v>2254</v>
      </c>
      <c r="AC407" s="90"/>
      <c r="AD407" s="90" t="s">
        <v>2255</v>
      </c>
      <c r="AE407" s="90"/>
      <c r="AF407" s="162"/>
      <c r="AG407" s="92"/>
      <c r="AH407" s="93"/>
      <c r="AI407" s="93"/>
      <c r="AJ407" s="93"/>
      <c r="AK407" s="93"/>
      <c r="AL407" s="93"/>
      <c r="AM407" s="93"/>
      <c r="AN407" s="94"/>
      <c r="AO407" s="95"/>
      <c r="AP407" s="95" t="str">
        <f t="shared" si="37"/>
        <v>file://achievementVisitMay-state1-image0</v>
      </c>
      <c r="AQ407" s="95"/>
      <c r="AR407" s="94"/>
      <c r="AS407" s="95"/>
      <c r="AT407" s="95"/>
      <c r="AU407" s="95"/>
      <c r="AV407" s="95"/>
      <c r="AW407" s="92"/>
      <c r="AX407" s="93"/>
      <c r="AY407" s="93"/>
      <c r="AZ407" s="93"/>
      <c r="BA407" s="93"/>
      <c r="BB407" s="93"/>
      <c r="BC407" s="93"/>
      <c r="BD407" s="96"/>
      <c r="BE407" s="97"/>
      <c r="BF407" s="98"/>
      <c r="BG407" s="97"/>
      <c r="BH407" s="97"/>
      <c r="BI407" s="97"/>
      <c r="BJ407" s="97"/>
      <c r="BK407" s="190"/>
      <c r="BL407" s="190"/>
      <c r="BM407" s="97"/>
      <c r="BN407" s="97"/>
      <c r="BO407" s="93"/>
      <c r="BP407" s="93"/>
      <c r="BQ407" s="93"/>
      <c r="BR407" s="93"/>
      <c r="BS407" s="93"/>
      <c r="BT407" s="93"/>
      <c r="BU407" s="93"/>
      <c r="BV407" s="113" t="s">
        <v>2256</v>
      </c>
      <c r="BW407" s="86" t="str">
        <f>VLOOKUP($C407, '_REF Catalog Classes'!$C$6:$E416, COLUMNS('_REF Catalog Classes'!$C$6:$E416), FALSE)</f>
        <v>never</v>
      </c>
      <c r="BX407" s="82"/>
      <c r="BY407" s="82"/>
      <c r="BZ407" s="82" t="s">
        <v>322</v>
      </c>
      <c r="CA407" s="100" t="str">
        <f ca="1">IFERROR(__xludf.DUMMYFUNCTION("IF(REGEXMATCH(Catalog_RewardType,""reward""), VLOOKUP($E407, {'TitleData rewards.items'!$J$9:$J416,'TitleData rewards.items'!$B$9:$B416}, 2, FALSE), """")"),"#N/A")</f>
        <v>#N/A</v>
      </c>
    </row>
    <row r="408" spans="1:79" ht="42" hidden="1" x14ac:dyDescent="0.15">
      <c r="A408" s="82" t="s">
        <v>269</v>
      </c>
      <c r="B408" s="83" t="b">
        <v>1</v>
      </c>
      <c r="C408" s="82" t="s">
        <v>808</v>
      </c>
      <c r="D408" s="85" t="b">
        <f>VLOOKUP($C408, '_REF Catalog Classes'!$C$6:$D416, COLUMNS('_REF Catalog Classes'!$C$6:$D416), FALSE)</f>
        <v>1</v>
      </c>
      <c r="E408" s="82" t="s">
        <v>2257</v>
      </c>
      <c r="F408" s="82" t="str">
        <f t="shared" si="21"/>
        <v>achievementVisitJune:TRUE</v>
      </c>
      <c r="G408" s="86" t="s">
        <v>2258</v>
      </c>
      <c r="H408" s="86" t="s">
        <v>2258</v>
      </c>
      <c r="I408" s="82" t="s">
        <v>274</v>
      </c>
      <c r="J408" s="82"/>
      <c r="K408" s="82"/>
      <c r="L408" s="82"/>
      <c r="M408" s="82" t="s">
        <v>830</v>
      </c>
      <c r="N408" s="107"/>
      <c r="O408" s="108"/>
      <c r="P408" s="82">
        <v>50</v>
      </c>
      <c r="Q408" s="88"/>
      <c r="R408" s="82"/>
      <c r="S408" s="82"/>
      <c r="T408" s="82"/>
      <c r="U408" s="82"/>
      <c r="V408" s="82"/>
      <c r="W408" s="89">
        <v>0</v>
      </c>
      <c r="X408" s="90" t="s">
        <v>37</v>
      </c>
      <c r="Y408" s="90" t="str">
        <f t="shared" si="36"/>
        <v>file://achievementVisitJune-state0-image0</v>
      </c>
      <c r="Z408" s="90"/>
      <c r="AA408" s="91" t="s">
        <v>283</v>
      </c>
      <c r="AB408" s="90" t="s">
        <v>2259</v>
      </c>
      <c r="AC408" s="90"/>
      <c r="AD408" s="90" t="s">
        <v>2260</v>
      </c>
      <c r="AE408" s="90"/>
      <c r="AF408" s="162"/>
      <c r="AG408" s="92"/>
      <c r="AH408" s="93"/>
      <c r="AI408" s="93"/>
      <c r="AJ408" s="93"/>
      <c r="AK408" s="93"/>
      <c r="AL408" s="93"/>
      <c r="AM408" s="93"/>
      <c r="AN408" s="94"/>
      <c r="AO408" s="95"/>
      <c r="AP408" s="95" t="str">
        <f t="shared" si="37"/>
        <v>file://achievementVisitJune-state1-image0</v>
      </c>
      <c r="AQ408" s="95"/>
      <c r="AR408" s="94"/>
      <c r="AS408" s="95"/>
      <c r="AT408" s="95"/>
      <c r="AU408" s="95"/>
      <c r="AV408" s="95"/>
      <c r="AW408" s="92"/>
      <c r="AX408" s="93"/>
      <c r="AY408" s="93"/>
      <c r="AZ408" s="93"/>
      <c r="BA408" s="93"/>
      <c r="BB408" s="93"/>
      <c r="BC408" s="93"/>
      <c r="BD408" s="96"/>
      <c r="BE408" s="97"/>
      <c r="BF408" s="98"/>
      <c r="BG408" s="97"/>
      <c r="BH408" s="97"/>
      <c r="BI408" s="97"/>
      <c r="BJ408" s="97"/>
      <c r="BK408" s="97"/>
      <c r="BL408" s="97"/>
      <c r="BM408" s="97"/>
      <c r="BN408" s="97"/>
      <c r="BO408" s="93"/>
      <c r="BP408" s="93"/>
      <c r="BQ408" s="93"/>
      <c r="BR408" s="93"/>
      <c r="BS408" s="93"/>
      <c r="BT408" s="93"/>
      <c r="BU408" s="93"/>
      <c r="BV408" s="113" t="s">
        <v>2261</v>
      </c>
      <c r="BW408" s="86" t="str">
        <f>VLOOKUP($C408, '_REF Catalog Classes'!$C$6:$E416, COLUMNS('_REF Catalog Classes'!$C$6:$E416), FALSE)</f>
        <v>never</v>
      </c>
      <c r="BX408" s="82"/>
      <c r="BY408" s="82"/>
      <c r="BZ408" s="82" t="s">
        <v>322</v>
      </c>
      <c r="CA408" s="100" t="str">
        <f ca="1">IFERROR(__xludf.DUMMYFUNCTION("IF(REGEXMATCH(Catalog_RewardType,""reward""), VLOOKUP($E408, {'TitleData rewards.items'!$J$9:$J416,'TitleData rewards.items'!$B$9:$B416}, 2, FALSE), """")"),"#N/A")</f>
        <v>#N/A</v>
      </c>
    </row>
    <row r="409" spans="1:79" ht="42" hidden="1" x14ac:dyDescent="0.15">
      <c r="A409" s="82" t="s">
        <v>269</v>
      </c>
      <c r="B409" s="83" t="b">
        <v>1</v>
      </c>
      <c r="C409" s="82" t="s">
        <v>808</v>
      </c>
      <c r="D409" s="85" t="b">
        <f>VLOOKUP($C409, '_REF Catalog Classes'!$C$6:$D416, COLUMNS('_REF Catalog Classes'!$C$6:$D416), FALSE)</f>
        <v>1</v>
      </c>
      <c r="E409" s="82" t="s">
        <v>2262</v>
      </c>
      <c r="F409" s="82" t="str">
        <f t="shared" si="21"/>
        <v>achievementVisitJuly:TRUE</v>
      </c>
      <c r="G409" s="86" t="s">
        <v>2263</v>
      </c>
      <c r="H409" s="86" t="s">
        <v>2263</v>
      </c>
      <c r="I409" s="82" t="s">
        <v>274</v>
      </c>
      <c r="J409" s="82"/>
      <c r="K409" s="82"/>
      <c r="L409" s="82"/>
      <c r="M409" s="82" t="s">
        <v>830</v>
      </c>
      <c r="N409" s="107"/>
      <c r="O409" s="108"/>
      <c r="P409" s="82">
        <v>51</v>
      </c>
      <c r="Q409" s="88"/>
      <c r="R409" s="82"/>
      <c r="S409" s="82"/>
      <c r="T409" s="82"/>
      <c r="U409" s="82"/>
      <c r="V409" s="82"/>
      <c r="W409" s="89">
        <v>0</v>
      </c>
      <c r="X409" s="90" t="s">
        <v>37</v>
      </c>
      <c r="Y409" s="90" t="str">
        <f t="shared" si="36"/>
        <v>file://achievementVisitJuly-state0-image0</v>
      </c>
      <c r="Z409" s="90"/>
      <c r="AA409" s="91" t="s">
        <v>283</v>
      </c>
      <c r="AB409" s="90" t="s">
        <v>2264</v>
      </c>
      <c r="AC409" s="90"/>
      <c r="AD409" s="90" t="s">
        <v>2265</v>
      </c>
      <c r="AE409" s="90"/>
      <c r="AF409" s="162"/>
      <c r="AG409" s="92"/>
      <c r="AH409" s="93"/>
      <c r="AI409" s="93"/>
      <c r="AJ409" s="93"/>
      <c r="AK409" s="93"/>
      <c r="AL409" s="93"/>
      <c r="AM409" s="93"/>
      <c r="AN409" s="94"/>
      <c r="AO409" s="95"/>
      <c r="AP409" s="95" t="str">
        <f t="shared" si="37"/>
        <v>file://achievementVisitJuly-state1-image0</v>
      </c>
      <c r="AQ409" s="95"/>
      <c r="AR409" s="94"/>
      <c r="AS409" s="95"/>
      <c r="AT409" s="95"/>
      <c r="AU409" s="95"/>
      <c r="AV409" s="95"/>
      <c r="AW409" s="92"/>
      <c r="AX409" s="93"/>
      <c r="AY409" s="93"/>
      <c r="AZ409" s="93"/>
      <c r="BA409" s="93"/>
      <c r="BB409" s="93"/>
      <c r="BC409" s="93"/>
      <c r="BD409" s="96"/>
      <c r="BE409" s="97"/>
      <c r="BF409" s="98"/>
      <c r="BG409" s="97"/>
      <c r="BH409" s="97"/>
      <c r="BI409" s="97"/>
      <c r="BJ409" s="97"/>
      <c r="BK409" s="97"/>
      <c r="BL409" s="97"/>
      <c r="BM409" s="97"/>
      <c r="BN409" s="97"/>
      <c r="BO409" s="93"/>
      <c r="BP409" s="93"/>
      <c r="BQ409" s="93"/>
      <c r="BR409" s="93"/>
      <c r="BS409" s="93"/>
      <c r="BT409" s="93"/>
      <c r="BU409" s="93"/>
      <c r="BV409" s="113" t="s">
        <v>2266</v>
      </c>
      <c r="BW409" s="86" t="str">
        <f>VLOOKUP($C409, '_REF Catalog Classes'!$C$6:$E416, COLUMNS('_REF Catalog Classes'!$C$6:$E416), FALSE)</f>
        <v>never</v>
      </c>
      <c r="BX409" s="82"/>
      <c r="BY409" s="82"/>
      <c r="BZ409" s="82" t="s">
        <v>322</v>
      </c>
      <c r="CA409" s="100" t="str">
        <f ca="1">IFERROR(__xludf.DUMMYFUNCTION("IF(REGEXMATCH(Catalog_RewardType,""reward""), VLOOKUP($E409, {'TitleData rewards.items'!$J$9:$J416,'TitleData rewards.items'!$B$9:$B416}, 2, FALSE), """")"),"#N/A")</f>
        <v>#N/A</v>
      </c>
    </row>
    <row r="410" spans="1:79" ht="42" hidden="1" x14ac:dyDescent="0.15">
      <c r="A410" s="82" t="s">
        <v>269</v>
      </c>
      <c r="B410" s="83" t="b">
        <v>1</v>
      </c>
      <c r="C410" s="82" t="s">
        <v>808</v>
      </c>
      <c r="D410" s="85" t="b">
        <f>VLOOKUP($C410, '_REF Catalog Classes'!$C$6:$D416, COLUMNS('_REF Catalog Classes'!$C$6:$D416), FALSE)</f>
        <v>1</v>
      </c>
      <c r="E410" s="82" t="s">
        <v>2267</v>
      </c>
      <c r="F410" s="82" t="str">
        <f t="shared" si="21"/>
        <v>achievementVisitAugust:TRUE</v>
      </c>
      <c r="G410" s="86" t="s">
        <v>2268</v>
      </c>
      <c r="H410" s="86" t="s">
        <v>2268</v>
      </c>
      <c r="I410" s="82" t="s">
        <v>274</v>
      </c>
      <c r="J410" s="82"/>
      <c r="K410" s="82"/>
      <c r="L410" s="82"/>
      <c r="M410" s="82" t="s">
        <v>830</v>
      </c>
      <c r="N410" s="107"/>
      <c r="O410" s="108"/>
      <c r="P410" s="82">
        <v>52</v>
      </c>
      <c r="Q410" s="88"/>
      <c r="R410" s="82"/>
      <c r="S410" s="82"/>
      <c r="T410" s="82"/>
      <c r="U410" s="82"/>
      <c r="V410" s="82"/>
      <c r="W410" s="89">
        <v>0</v>
      </c>
      <c r="X410" s="90" t="s">
        <v>37</v>
      </c>
      <c r="Y410" s="90" t="str">
        <f t="shared" si="36"/>
        <v>file://achievementVisitAugust-state0-image0</v>
      </c>
      <c r="Z410" s="90"/>
      <c r="AA410" s="91" t="s">
        <v>283</v>
      </c>
      <c r="AB410" s="90" t="s">
        <v>2269</v>
      </c>
      <c r="AC410" s="90"/>
      <c r="AD410" s="90" t="s">
        <v>2270</v>
      </c>
      <c r="AE410" s="90"/>
      <c r="AF410" s="162"/>
      <c r="AG410" s="92"/>
      <c r="AH410" s="93"/>
      <c r="AI410" s="93"/>
      <c r="AJ410" s="93"/>
      <c r="AK410" s="93"/>
      <c r="AL410" s="93"/>
      <c r="AM410" s="93"/>
      <c r="AN410" s="94"/>
      <c r="AO410" s="95"/>
      <c r="AP410" s="95" t="str">
        <f t="shared" si="37"/>
        <v>file://achievementVisitAugust-state1-image0</v>
      </c>
      <c r="AQ410" s="95"/>
      <c r="AR410" s="94"/>
      <c r="AS410" s="95"/>
      <c r="AT410" s="95"/>
      <c r="AU410" s="95"/>
      <c r="AV410" s="95"/>
      <c r="AW410" s="92"/>
      <c r="AX410" s="93"/>
      <c r="AY410" s="93"/>
      <c r="AZ410" s="93"/>
      <c r="BA410" s="93"/>
      <c r="BB410" s="93"/>
      <c r="BC410" s="93"/>
      <c r="BD410" s="96"/>
      <c r="BE410" s="97"/>
      <c r="BF410" s="98"/>
      <c r="BG410" s="97"/>
      <c r="BH410" s="97"/>
      <c r="BI410" s="97"/>
      <c r="BJ410" s="97"/>
      <c r="BK410" s="97"/>
      <c r="BL410" s="97"/>
      <c r="BM410" s="97"/>
      <c r="BN410" s="97"/>
      <c r="BO410" s="93"/>
      <c r="BP410" s="93"/>
      <c r="BQ410" s="93"/>
      <c r="BR410" s="93"/>
      <c r="BS410" s="93"/>
      <c r="BT410" s="93"/>
      <c r="BU410" s="93"/>
      <c r="BV410" s="113" t="s">
        <v>2271</v>
      </c>
      <c r="BW410" s="86" t="str">
        <f>VLOOKUP($C410, '_REF Catalog Classes'!$C$6:$E416, COLUMNS('_REF Catalog Classes'!$C$6:$E416), FALSE)</f>
        <v>never</v>
      </c>
      <c r="BX410" s="82"/>
      <c r="BY410" s="82"/>
      <c r="BZ410" s="82" t="s">
        <v>322</v>
      </c>
      <c r="CA410" s="100" t="str">
        <f ca="1">IFERROR(__xludf.DUMMYFUNCTION("IF(REGEXMATCH(Catalog_RewardType,""reward""), VLOOKUP($E410, {'TitleData rewards.items'!$J$9:$J416,'TitleData rewards.items'!$B$9:$B416}, 2, FALSE), """")"),"#N/A")</f>
        <v>#N/A</v>
      </c>
    </row>
    <row r="411" spans="1:79" ht="56" hidden="1" x14ac:dyDescent="0.15">
      <c r="A411" s="82" t="s">
        <v>269</v>
      </c>
      <c r="B411" s="83" t="b">
        <v>1</v>
      </c>
      <c r="C411" s="82" t="s">
        <v>808</v>
      </c>
      <c r="D411" s="85" t="b">
        <f>VLOOKUP($C411, '_REF Catalog Classes'!$C$6:$D416, COLUMNS('_REF Catalog Classes'!$C$6:$D416), FALSE)</f>
        <v>1</v>
      </c>
      <c r="E411" s="82" t="s">
        <v>2272</v>
      </c>
      <c r="F411" s="82" t="str">
        <f t="shared" si="21"/>
        <v>achievementVisitSeptember:TRUE</v>
      </c>
      <c r="G411" s="86" t="s">
        <v>2273</v>
      </c>
      <c r="H411" s="86" t="s">
        <v>2273</v>
      </c>
      <c r="I411" s="82" t="s">
        <v>274</v>
      </c>
      <c r="J411" s="82"/>
      <c r="K411" s="82"/>
      <c r="L411" s="82"/>
      <c r="M411" s="82" t="s">
        <v>830</v>
      </c>
      <c r="N411" s="107"/>
      <c r="O411" s="108"/>
      <c r="P411" s="82">
        <v>53</v>
      </c>
      <c r="Q411" s="88"/>
      <c r="R411" s="82"/>
      <c r="S411" s="82"/>
      <c r="T411" s="82"/>
      <c r="U411" s="82"/>
      <c r="V411" s="82"/>
      <c r="W411" s="89">
        <v>0</v>
      </c>
      <c r="X411" s="90" t="s">
        <v>37</v>
      </c>
      <c r="Y411" s="90" t="str">
        <f t="shared" si="36"/>
        <v>file://achievementVisitSeptember-state0-image0</v>
      </c>
      <c r="Z411" s="90"/>
      <c r="AA411" s="91" t="s">
        <v>283</v>
      </c>
      <c r="AB411" s="90" t="s">
        <v>2274</v>
      </c>
      <c r="AC411" s="90"/>
      <c r="AD411" s="90" t="s">
        <v>2275</v>
      </c>
      <c r="AE411" s="90"/>
      <c r="AF411" s="162"/>
      <c r="AG411" s="92"/>
      <c r="AH411" s="93"/>
      <c r="AI411" s="93"/>
      <c r="AJ411" s="93"/>
      <c r="AK411" s="93"/>
      <c r="AL411" s="93"/>
      <c r="AM411" s="93"/>
      <c r="AN411" s="94"/>
      <c r="AO411" s="95"/>
      <c r="AP411" s="95" t="str">
        <f t="shared" si="37"/>
        <v>file://achievementVisitSeptember-state1-image0</v>
      </c>
      <c r="AQ411" s="95"/>
      <c r="AR411" s="94"/>
      <c r="AS411" s="95"/>
      <c r="AT411" s="95"/>
      <c r="AU411" s="95"/>
      <c r="AV411" s="95"/>
      <c r="AW411" s="92"/>
      <c r="AX411" s="93"/>
      <c r="AY411" s="93"/>
      <c r="AZ411" s="93"/>
      <c r="BA411" s="93"/>
      <c r="BB411" s="93"/>
      <c r="BC411" s="93"/>
      <c r="BD411" s="96"/>
      <c r="BE411" s="97"/>
      <c r="BF411" s="98"/>
      <c r="BG411" s="97"/>
      <c r="BH411" s="168"/>
      <c r="BI411" s="97"/>
      <c r="BJ411" s="97"/>
      <c r="BK411" s="97"/>
      <c r="BL411" s="97"/>
      <c r="BM411" s="97"/>
      <c r="BN411" s="97"/>
      <c r="BO411" s="93"/>
      <c r="BP411" s="93"/>
      <c r="BQ411" s="93"/>
      <c r="BR411" s="93"/>
      <c r="BS411" s="93"/>
      <c r="BT411" s="93"/>
      <c r="BU411" s="93"/>
      <c r="BV411" s="113" t="s">
        <v>2276</v>
      </c>
      <c r="BW411" s="86" t="str">
        <f>VLOOKUP($C411, '_REF Catalog Classes'!$C$6:$E416, COLUMNS('_REF Catalog Classes'!$C$6:$E416), FALSE)</f>
        <v>never</v>
      </c>
      <c r="BX411" s="82"/>
      <c r="BY411" s="82"/>
      <c r="BZ411" s="84" t="s">
        <v>322</v>
      </c>
      <c r="CA411" s="100" t="str">
        <f ca="1">IFERROR(__xludf.DUMMYFUNCTION("IF(REGEXMATCH(Catalog_RewardType,""reward""), VLOOKUP($E411, {'TitleData rewards.items'!$J$9:$J416,'TitleData rewards.items'!$B$9:$B416}, 2, FALSE), """")"),"#N/A")</f>
        <v>#N/A</v>
      </c>
    </row>
    <row r="412" spans="1:79" ht="42" hidden="1" x14ac:dyDescent="0.15">
      <c r="A412" s="82" t="s">
        <v>269</v>
      </c>
      <c r="B412" s="83" t="b">
        <v>1</v>
      </c>
      <c r="C412" s="82" t="s">
        <v>808</v>
      </c>
      <c r="D412" s="85" t="b">
        <f>VLOOKUP($C412, '_REF Catalog Classes'!$C$6:$D416, COLUMNS('_REF Catalog Classes'!$C$6:$D416), FALSE)</f>
        <v>1</v>
      </c>
      <c r="E412" s="82" t="s">
        <v>2277</v>
      </c>
      <c r="F412" s="82" t="str">
        <f t="shared" si="21"/>
        <v>achievementVisitOctober:TRUE</v>
      </c>
      <c r="G412" s="86" t="s">
        <v>2278</v>
      </c>
      <c r="H412" s="86" t="s">
        <v>2278</v>
      </c>
      <c r="I412" s="82" t="s">
        <v>274</v>
      </c>
      <c r="J412" s="82"/>
      <c r="K412" s="82"/>
      <c r="L412" s="88"/>
      <c r="M412" s="82" t="s">
        <v>830</v>
      </c>
      <c r="N412" s="107"/>
      <c r="O412" s="108"/>
      <c r="P412" s="82">
        <v>54</v>
      </c>
      <c r="Q412" s="88"/>
      <c r="R412" s="82"/>
      <c r="S412" s="82"/>
      <c r="T412" s="82"/>
      <c r="U412" s="82"/>
      <c r="V412" s="82"/>
      <c r="W412" s="89">
        <v>0</v>
      </c>
      <c r="X412" s="90" t="s">
        <v>37</v>
      </c>
      <c r="Y412" s="90" t="str">
        <f t="shared" si="36"/>
        <v>file://achievementVisitOctober-state0-image0</v>
      </c>
      <c r="Z412" s="90"/>
      <c r="AA412" s="91" t="s">
        <v>283</v>
      </c>
      <c r="AB412" s="90" t="s">
        <v>2279</v>
      </c>
      <c r="AC412" s="90"/>
      <c r="AD412" s="90" t="s">
        <v>2280</v>
      </c>
      <c r="AE412" s="90"/>
      <c r="AF412" s="162"/>
      <c r="AG412" s="92"/>
      <c r="AH412" s="93"/>
      <c r="AI412" s="93"/>
      <c r="AJ412" s="93"/>
      <c r="AK412" s="93"/>
      <c r="AL412" s="93"/>
      <c r="AM412" s="93"/>
      <c r="AN412" s="94"/>
      <c r="AO412" s="95"/>
      <c r="AP412" s="95" t="str">
        <f t="shared" si="37"/>
        <v>file://achievementVisitOctober-state1-image0</v>
      </c>
      <c r="AQ412" s="95"/>
      <c r="AR412" s="94"/>
      <c r="AS412" s="95"/>
      <c r="AT412" s="95"/>
      <c r="AU412" s="95"/>
      <c r="AV412" s="95"/>
      <c r="AW412" s="92"/>
      <c r="AX412" s="93"/>
      <c r="AY412" s="93"/>
      <c r="AZ412" s="93"/>
      <c r="BA412" s="93"/>
      <c r="BB412" s="93"/>
      <c r="BC412" s="93"/>
      <c r="BD412" s="96"/>
      <c r="BE412" s="97"/>
      <c r="BF412" s="98"/>
      <c r="BG412" s="97"/>
      <c r="BH412" s="97"/>
      <c r="BI412" s="97"/>
      <c r="BJ412" s="97"/>
      <c r="BK412" s="97"/>
      <c r="BL412" s="97"/>
      <c r="BM412" s="97"/>
      <c r="BN412" s="97"/>
      <c r="BO412" s="93"/>
      <c r="BP412" s="93"/>
      <c r="BQ412" s="93"/>
      <c r="BR412" s="93"/>
      <c r="BS412" s="93"/>
      <c r="BT412" s="93"/>
      <c r="BU412" s="93"/>
      <c r="BV412" s="113" t="s">
        <v>2281</v>
      </c>
      <c r="BW412" s="86" t="str">
        <f>VLOOKUP($C412, '_REF Catalog Classes'!$C$6:$E416, COLUMNS('_REF Catalog Classes'!$C$6:$E416), FALSE)</f>
        <v>never</v>
      </c>
      <c r="BX412" s="82"/>
      <c r="BY412" s="82"/>
      <c r="BZ412" s="84" t="s">
        <v>322</v>
      </c>
      <c r="CA412" s="100" t="str">
        <f ca="1">IFERROR(__xludf.DUMMYFUNCTION("IF(REGEXMATCH(Catalog_RewardType,""reward""), VLOOKUP($E412, {'TitleData rewards.items'!$J$9:$J416,'TitleData rewards.items'!$B$9:$B416}, 2, FALSE), """")"),"#N/A")</f>
        <v>#N/A</v>
      </c>
    </row>
    <row r="413" spans="1:79" ht="56" hidden="1" x14ac:dyDescent="0.15">
      <c r="A413" s="82" t="s">
        <v>269</v>
      </c>
      <c r="B413" s="83" t="b">
        <v>1</v>
      </c>
      <c r="C413" s="82" t="s">
        <v>808</v>
      </c>
      <c r="D413" s="85" t="b">
        <f>VLOOKUP($C413, '_REF Catalog Classes'!$C$6:$D416, COLUMNS('_REF Catalog Classes'!$C$6:$D416), FALSE)</f>
        <v>1</v>
      </c>
      <c r="E413" s="82" t="s">
        <v>2282</v>
      </c>
      <c r="F413" s="82" t="str">
        <f t="shared" si="21"/>
        <v>achievementVisitNovember:TRUE</v>
      </c>
      <c r="G413" s="86" t="s">
        <v>2283</v>
      </c>
      <c r="H413" s="86" t="s">
        <v>2283</v>
      </c>
      <c r="I413" s="82" t="s">
        <v>274</v>
      </c>
      <c r="J413" s="82"/>
      <c r="K413" s="82"/>
      <c r="L413" s="82"/>
      <c r="M413" s="82" t="s">
        <v>830</v>
      </c>
      <c r="N413" s="107"/>
      <c r="O413" s="108"/>
      <c r="P413" s="82">
        <v>55</v>
      </c>
      <c r="Q413" s="88"/>
      <c r="R413" s="82"/>
      <c r="S413" s="82"/>
      <c r="T413" s="82"/>
      <c r="U413" s="82"/>
      <c r="V413" s="82"/>
      <c r="W413" s="89">
        <v>0</v>
      </c>
      <c r="X413" s="90" t="s">
        <v>37</v>
      </c>
      <c r="Y413" s="90" t="str">
        <f t="shared" si="36"/>
        <v>file://achievementVisitNovember-state0-image0</v>
      </c>
      <c r="Z413" s="90"/>
      <c r="AA413" s="91" t="s">
        <v>283</v>
      </c>
      <c r="AB413" s="90" t="s">
        <v>2284</v>
      </c>
      <c r="AC413" s="90"/>
      <c r="AD413" s="90" t="s">
        <v>2285</v>
      </c>
      <c r="AE413" s="90"/>
      <c r="AF413" s="162"/>
      <c r="AG413" s="92"/>
      <c r="AH413" s="93"/>
      <c r="AI413" s="93"/>
      <c r="AJ413" s="93"/>
      <c r="AK413" s="93"/>
      <c r="AL413" s="93"/>
      <c r="AM413" s="93"/>
      <c r="AN413" s="94"/>
      <c r="AO413" s="95"/>
      <c r="AP413" s="95" t="str">
        <f t="shared" si="37"/>
        <v>file://achievementVisitNovember-state1-image0</v>
      </c>
      <c r="AQ413" s="95"/>
      <c r="AR413" s="94"/>
      <c r="AS413" s="95"/>
      <c r="AT413" s="95"/>
      <c r="AU413" s="95"/>
      <c r="AV413" s="95"/>
      <c r="AW413" s="92"/>
      <c r="AX413" s="93"/>
      <c r="AY413" s="93"/>
      <c r="AZ413" s="93"/>
      <c r="BA413" s="93"/>
      <c r="BB413" s="93"/>
      <c r="BC413" s="93"/>
      <c r="BD413" s="96"/>
      <c r="BE413" s="97"/>
      <c r="BF413" s="98"/>
      <c r="BG413" s="97"/>
      <c r="BH413" s="97"/>
      <c r="BI413" s="97"/>
      <c r="BJ413" s="97"/>
      <c r="BK413" s="97"/>
      <c r="BL413" s="97"/>
      <c r="BM413" s="97"/>
      <c r="BN413" s="215"/>
      <c r="BO413" s="93"/>
      <c r="BP413" s="93"/>
      <c r="BQ413" s="93"/>
      <c r="BR413" s="93"/>
      <c r="BS413" s="93"/>
      <c r="BT413" s="93"/>
      <c r="BU413" s="93"/>
      <c r="BV413" s="113" t="s">
        <v>2286</v>
      </c>
      <c r="BW413" s="86" t="str">
        <f>VLOOKUP($C413, '_REF Catalog Classes'!$C$6:$E416, COLUMNS('_REF Catalog Classes'!$C$6:$E416), FALSE)</f>
        <v>never</v>
      </c>
      <c r="BX413" s="82"/>
      <c r="BY413" s="82"/>
      <c r="BZ413" s="82" t="s">
        <v>322</v>
      </c>
      <c r="CA413" s="100" t="str">
        <f ca="1">IFERROR(__xludf.DUMMYFUNCTION("IF(REGEXMATCH(Catalog_RewardType,""reward""), VLOOKUP($E413, {'TitleData rewards.items'!$J$9:$J416,'TitleData rewards.items'!$B$9:$B416}, 2, FALSE), """")"),"#N/A")</f>
        <v>#N/A</v>
      </c>
    </row>
    <row r="414" spans="1:79" ht="56" hidden="1" x14ac:dyDescent="0.15">
      <c r="A414" s="82" t="s">
        <v>269</v>
      </c>
      <c r="B414" s="83" t="b">
        <v>1</v>
      </c>
      <c r="C414" s="82" t="s">
        <v>808</v>
      </c>
      <c r="D414" s="85" t="b">
        <f>VLOOKUP($C414, '_REF Catalog Classes'!$C$6:$D416, COLUMNS('_REF Catalog Classes'!$C$6:$D416), FALSE)</f>
        <v>1</v>
      </c>
      <c r="E414" s="82" t="s">
        <v>2287</v>
      </c>
      <c r="F414" s="82" t="str">
        <f t="shared" si="21"/>
        <v>achievementVisitDecember:TRUE</v>
      </c>
      <c r="G414" s="86" t="s">
        <v>2288</v>
      </c>
      <c r="H414" s="86" t="s">
        <v>2288</v>
      </c>
      <c r="I414" s="82" t="s">
        <v>274</v>
      </c>
      <c r="J414" s="82"/>
      <c r="K414" s="82"/>
      <c r="L414" s="82"/>
      <c r="M414" s="82" t="s">
        <v>830</v>
      </c>
      <c r="N414" s="107"/>
      <c r="O414" s="108"/>
      <c r="P414" s="82">
        <v>56</v>
      </c>
      <c r="Q414" s="88"/>
      <c r="R414" s="82"/>
      <c r="S414" s="82"/>
      <c r="T414" s="82"/>
      <c r="U414" s="82"/>
      <c r="V414" s="82"/>
      <c r="W414" s="89">
        <v>0</v>
      </c>
      <c r="X414" s="90" t="s">
        <v>37</v>
      </c>
      <c r="Y414" s="90" t="str">
        <f t="shared" si="36"/>
        <v>file://achievementVisitDecember-state0-image0</v>
      </c>
      <c r="Z414" s="90"/>
      <c r="AA414" s="91" t="s">
        <v>283</v>
      </c>
      <c r="AB414" s="90" t="s">
        <v>2289</v>
      </c>
      <c r="AC414" s="90"/>
      <c r="AD414" s="90" t="s">
        <v>2290</v>
      </c>
      <c r="AE414" s="90"/>
      <c r="AF414" s="162"/>
      <c r="AG414" s="92"/>
      <c r="AH414" s="93"/>
      <c r="AI414" s="93"/>
      <c r="AJ414" s="93"/>
      <c r="AK414" s="93"/>
      <c r="AL414" s="93"/>
      <c r="AM414" s="93"/>
      <c r="AN414" s="94"/>
      <c r="AO414" s="95"/>
      <c r="AP414" s="95" t="str">
        <f t="shared" si="37"/>
        <v>file://achievementVisitDecember-state1-image0</v>
      </c>
      <c r="AQ414" s="95"/>
      <c r="AR414" s="94"/>
      <c r="AS414" s="95"/>
      <c r="AT414" s="95"/>
      <c r="AU414" s="95"/>
      <c r="AV414" s="95"/>
      <c r="AW414" s="92"/>
      <c r="AX414" s="93"/>
      <c r="AY414" s="93"/>
      <c r="AZ414" s="93"/>
      <c r="BA414" s="93"/>
      <c r="BB414" s="93"/>
      <c r="BC414" s="93"/>
      <c r="BD414" s="96"/>
      <c r="BE414" s="97"/>
      <c r="BF414" s="98"/>
      <c r="BG414" s="97"/>
      <c r="BH414" s="97"/>
      <c r="BI414" s="97"/>
      <c r="BJ414" s="97"/>
      <c r="BK414" s="97"/>
      <c r="BL414" s="97"/>
      <c r="BM414" s="97"/>
      <c r="BN414" s="215"/>
      <c r="BO414" s="93"/>
      <c r="BP414" s="93"/>
      <c r="BQ414" s="93"/>
      <c r="BR414" s="93"/>
      <c r="BS414" s="93"/>
      <c r="BT414" s="93"/>
      <c r="BU414" s="93"/>
      <c r="BV414" s="113" t="s">
        <v>2291</v>
      </c>
      <c r="BW414" s="86" t="str">
        <f>VLOOKUP($C414, '_REF Catalog Classes'!$C$6:$E416, COLUMNS('_REF Catalog Classes'!$C$6:$E416), FALSE)</f>
        <v>never</v>
      </c>
      <c r="BX414" s="82"/>
      <c r="BY414" s="82"/>
      <c r="BZ414" s="82" t="s">
        <v>322</v>
      </c>
      <c r="CA414" s="100" t="str">
        <f ca="1">IFERROR(__xludf.DUMMYFUNCTION("IF(REGEXMATCH(Catalog_RewardType,""reward""), VLOOKUP($E414, {'TitleData rewards.items'!$J$9:$J416,'TitleData rewards.items'!$B$9:$B416}, 2, FALSE), """")"),"#N/A")</f>
        <v>#N/A</v>
      </c>
    </row>
    <row r="415" spans="1:79" ht="42" hidden="1" x14ac:dyDescent="0.15">
      <c r="A415" s="82" t="s">
        <v>491</v>
      </c>
      <c r="B415" s="83" t="b">
        <v>1</v>
      </c>
      <c r="C415" s="82" t="s">
        <v>808</v>
      </c>
      <c r="D415" s="85" t="b">
        <f>VLOOKUP($C415, '_REF Catalog Classes'!$C$6:$D416, COLUMNS('_REF Catalog Classes'!$C$6:$D416), FALSE)</f>
        <v>1</v>
      </c>
      <c r="E415" s="82" t="s">
        <v>2292</v>
      </c>
      <c r="F415" s="82" t="str">
        <f t="shared" si="21"/>
        <v>achievementCollectSwagAll:TRUE</v>
      </c>
      <c r="G415" s="217" t="s">
        <v>2293</v>
      </c>
      <c r="H415" s="217" t="s">
        <v>2294</v>
      </c>
      <c r="I415" s="82" t="s">
        <v>274</v>
      </c>
      <c r="J415" s="82"/>
      <c r="K415" s="82"/>
      <c r="L415" s="82"/>
      <c r="M415" s="82" t="s">
        <v>830</v>
      </c>
      <c r="N415" s="107"/>
      <c r="O415" s="108"/>
      <c r="P415" s="82">
        <v>46</v>
      </c>
      <c r="Q415" s="88"/>
      <c r="R415" s="82"/>
      <c r="S415" s="82"/>
      <c r="T415" s="82"/>
      <c r="U415" s="82"/>
      <c r="V415" s="82"/>
      <c r="W415" s="89">
        <v>0</v>
      </c>
      <c r="X415" s="90" t="s">
        <v>37</v>
      </c>
      <c r="Y415" s="90" t="str">
        <f t="shared" si="36"/>
        <v>file://achievementCollectSwagAll-state0-image0</v>
      </c>
      <c r="Z415" s="162"/>
      <c r="AA415" s="91" t="s">
        <v>283</v>
      </c>
      <c r="AB415" s="162" t="s">
        <v>2295</v>
      </c>
      <c r="AC415" s="162"/>
      <c r="AD415" s="162" t="s">
        <v>2296</v>
      </c>
      <c r="AE415" s="162"/>
      <c r="AF415" s="162"/>
      <c r="AG415" s="164"/>
      <c r="AH415" s="108"/>
      <c r="AI415" s="108"/>
      <c r="AJ415" s="108"/>
      <c r="AK415" s="108"/>
      <c r="AL415" s="108"/>
      <c r="AM415" s="108"/>
      <c r="AN415" s="94"/>
      <c r="AO415" s="95"/>
      <c r="AP415" s="95" t="str">
        <f t="shared" si="37"/>
        <v>file://achievementCollectSwagAll-state1-image0</v>
      </c>
      <c r="AQ415" s="95"/>
      <c r="AR415" s="94"/>
      <c r="AS415" s="95"/>
      <c r="AT415" s="206"/>
      <c r="AU415" s="206"/>
      <c r="AV415" s="206"/>
      <c r="AW415" s="164"/>
      <c r="AX415" s="108"/>
      <c r="AY415" s="108"/>
      <c r="AZ415" s="108"/>
      <c r="BA415" s="108"/>
      <c r="BB415" s="108"/>
      <c r="BC415" s="108"/>
      <c r="BD415" s="168"/>
      <c r="BE415" s="97"/>
      <c r="BF415" s="98"/>
      <c r="BG415" s="97"/>
      <c r="BH415" s="97"/>
      <c r="BI415" s="97"/>
      <c r="BJ415" s="97"/>
      <c r="BK415" s="97"/>
      <c r="BL415" s="97"/>
      <c r="BM415" s="167"/>
      <c r="BN415" s="167"/>
      <c r="BO415" s="108"/>
      <c r="BP415" s="108"/>
      <c r="BQ415" s="108"/>
      <c r="BR415" s="108"/>
      <c r="BS415" s="108"/>
      <c r="BT415" s="108"/>
      <c r="BU415" s="108"/>
      <c r="BV415" s="113" t="s">
        <v>2297</v>
      </c>
      <c r="BW415" s="86" t="str">
        <f>VLOOKUP($C415, '_REF Catalog Classes'!$C$6:$E416, COLUMNS('_REF Catalog Classes'!$C$6:$E416), FALSE)</f>
        <v>never</v>
      </c>
      <c r="BX415" s="82"/>
      <c r="BY415" s="82"/>
      <c r="BZ415" s="82" t="s">
        <v>322</v>
      </c>
      <c r="CA415" s="100" t="str">
        <f ca="1">IFERROR(__xludf.DUMMYFUNCTION("IF(REGEXMATCH(Catalog_RewardType,""reward""), VLOOKUP($E415, {'TitleData rewards.items'!$J$9:$J416,'TitleData rewards.items'!$B$9:$B416}, 2, FALSE), """")"),"#N/A")</f>
        <v>#N/A</v>
      </c>
    </row>
    <row r="416" spans="1:79" ht="42" x14ac:dyDescent="0.15">
      <c r="A416" s="82" t="s">
        <v>269</v>
      </c>
      <c r="B416" s="83"/>
      <c r="C416" s="82" t="s">
        <v>808</v>
      </c>
      <c r="D416" s="85" t="b">
        <f>VLOOKUP($C416, '_REF Catalog Classes'!$C$6:$D416, COLUMNS('_REF Catalog Classes'!$C$6:$D416), FALSE)</f>
        <v>1</v>
      </c>
      <c r="E416" s="82" t="s">
        <v>2298</v>
      </c>
      <c r="F416" s="82" t="str">
        <f t="shared" si="21"/>
        <v>achievementMissionAll:</v>
      </c>
      <c r="G416" s="82" t="s">
        <v>2299</v>
      </c>
      <c r="H416" s="82" t="s">
        <v>2300</v>
      </c>
      <c r="I416" s="82" t="s">
        <v>274</v>
      </c>
      <c r="J416" s="82"/>
      <c r="K416" s="82"/>
      <c r="L416" s="82"/>
      <c r="M416" s="82" t="s">
        <v>830</v>
      </c>
      <c r="N416" s="107"/>
      <c r="O416" s="108"/>
      <c r="P416" s="82">
        <v>35</v>
      </c>
      <c r="Q416" s="88"/>
      <c r="R416" s="82"/>
      <c r="S416" s="82"/>
      <c r="T416" s="82"/>
      <c r="U416" s="82"/>
      <c r="V416" s="82"/>
      <c r="W416" s="89">
        <v>0</v>
      </c>
      <c r="X416" s="90" t="s">
        <v>37</v>
      </c>
      <c r="Y416" s="90" t="s">
        <v>1009</v>
      </c>
      <c r="Z416" s="90"/>
      <c r="AA416" s="91" t="s">
        <v>283</v>
      </c>
      <c r="AB416" s="90" t="s">
        <v>2301</v>
      </c>
      <c r="AC416" s="90"/>
      <c r="AD416" s="195" t="s">
        <v>2302</v>
      </c>
      <c r="AE416" s="90"/>
      <c r="AF416" s="90"/>
      <c r="AG416" s="92"/>
      <c r="AH416" s="93"/>
      <c r="AI416" s="93"/>
      <c r="AJ416" s="93"/>
      <c r="AK416" s="93"/>
      <c r="AL416" s="93"/>
      <c r="AM416" s="93"/>
      <c r="AN416" s="94"/>
      <c r="AO416" s="95"/>
      <c r="AP416" s="95"/>
      <c r="AQ416" s="95"/>
      <c r="AR416" s="94"/>
      <c r="AS416" s="95"/>
      <c r="AT416" s="95"/>
      <c r="AU416" s="95"/>
      <c r="AV416" s="95"/>
      <c r="AW416" s="92"/>
      <c r="AX416" s="93"/>
      <c r="AY416" s="93"/>
      <c r="AZ416" s="93"/>
      <c r="BA416" s="93"/>
      <c r="BB416" s="93"/>
      <c r="BC416" s="93"/>
      <c r="BD416" s="184">
        <v>2</v>
      </c>
      <c r="BE416" s="97" t="s">
        <v>38</v>
      </c>
      <c r="BF416" s="98" t="s">
        <v>1009</v>
      </c>
      <c r="BG416" s="97"/>
      <c r="BH416" s="97" t="s">
        <v>283</v>
      </c>
      <c r="BI416" s="97" t="s">
        <v>2301</v>
      </c>
      <c r="BJ416" s="97"/>
      <c r="BK416" s="97"/>
      <c r="BL416" s="97" t="s">
        <v>2303</v>
      </c>
      <c r="BM416" s="97"/>
      <c r="BN416" s="97"/>
      <c r="BO416" s="93"/>
      <c r="BP416" s="93"/>
      <c r="BQ416" s="93"/>
      <c r="BR416" s="93"/>
      <c r="BS416" s="93"/>
      <c r="BT416" s="93"/>
      <c r="BU416" s="93"/>
      <c r="BV416" s="99" t="s">
        <v>2304</v>
      </c>
      <c r="BW416" s="86" t="str">
        <f>VLOOKUP($C416, '_REF Catalog Classes'!$C$6:$E416, COLUMNS('_REF Catalog Classes'!$C$6:$E416), FALSE)</f>
        <v>never</v>
      </c>
      <c r="BX416" s="86"/>
      <c r="BY416" s="86"/>
      <c r="BZ416" s="86" t="s">
        <v>322</v>
      </c>
      <c r="CA416" s="100" t="b">
        <f ca="1">IFERROR(__xludf.DUMMYFUNCTION("IF(REGEXMATCH(Catalog_RewardType,""reward""), VLOOKUP($E416, {'TitleData rewards.items'!$J$9:$J416,'TitleData rewards.items'!$B$9:$B416}, 2, FALSE), """")"),FALSE)</f>
        <v>0</v>
      </c>
    </row>
  </sheetData>
  <autoFilter ref="A1:AG416" xr:uid="{00000000-0009-0000-0000-000001000000}">
    <filterColumn colId="1">
      <filters blank="1">
        <filter val="Deprecated?"/>
        <filter val="isDeprecated"/>
        <filter val="No longer needed but want a record of it"/>
      </filters>
    </filterColumn>
    <filterColumn colId="2">
      <filters>
        <filter val="achievement"/>
        <filter val="elemental"/>
        <filter val="launcher"/>
        <filter val="loot"/>
        <filter val="mission"/>
        <filter val="perk"/>
        <filter val="skin"/>
        <filter val="ultimate"/>
      </filters>
    </filterColumn>
  </autoFilter>
  <customSheetViews>
    <customSheetView guid="{7951B938-873E-4C5A-A2C5-70AE65C94B2D}" filter="1" showAutoFilter="1">
      <pageMargins left="0.7" right="0.7" top="0.75" bottom="0.75" header="0.3" footer="0.3"/>
      <autoFilter ref="C2:BU412" xr:uid="{16CFF687-87F4-D446-98AE-D41F7731CB29}">
        <filterColumn colId="0">
          <filters>
            <filter val="loot"/>
          </filters>
        </filterColumn>
      </autoFilter>
    </customSheetView>
    <customSheetView guid="{F1DB2D0A-8089-4AAB-8CD9-8D1440A9BAAD}" filter="1" showAutoFilter="1">
      <pageMargins left="0.7" right="0.7" top="0.75" bottom="0.75" header="0.3" footer="0.3"/>
      <autoFilter ref="A1:AL416" xr:uid="{271BC588-D847-264A-8990-861815741B2D}">
        <filterColumn colId="1">
          <filters blank="1">
            <filter val="Deprecated?"/>
            <filter val="isDeprecated"/>
            <filter val="No longer needed but want a record of it"/>
          </filters>
        </filterColumn>
        <filterColumn colId="2">
          <filters>
            <filter val="mission"/>
          </filters>
        </filterColumn>
      </autoFilter>
    </customSheetView>
    <customSheetView guid="{F9619C22-11E1-4F4D-A7AE-419FFF4C1854}" filter="1" showAutoFilter="1">
      <pageMargins left="0.7" right="0.7" top="0.75" bottom="0.75" header="0.3" footer="0.3"/>
      <autoFilter ref="C1:BU412" xr:uid="{27E05C4A-8B5E-5D43-8905-F0AB33AD1D16}"/>
    </customSheetView>
    <customSheetView guid="{55DB2364-10AF-416D-87C5-DC89E73127EE}" filter="1" showAutoFilter="1">
      <pageMargins left="0.7" right="0.7" top="0.75" bottom="0.75" header="0.3" footer="0.3"/>
      <autoFilter ref="C1:BU412" xr:uid="{AA046414-35CD-7E42-81B2-8FDF2413745A}"/>
    </customSheetView>
    <customSheetView guid="{BA9E3508-9852-42EB-BCDE-9F0A55712956}" filter="1" showAutoFilter="1">
      <pageMargins left="0.7" right="0.7" top="0.75" bottom="0.75" header="0.3" footer="0.3"/>
      <autoFilter ref="B2:BU416" xr:uid="{CC6F9CE3-F2D0-904D-AFA3-5E41CE3B2BE1}">
        <filterColumn colId="0">
          <filters blank="1">
            <filter val="isDeprecated"/>
            <filter val="No longer needed but want a record of it"/>
          </filters>
        </filterColumn>
      </autoFilter>
    </customSheetView>
    <customSheetView guid="{F3C9DE2B-FE0C-481B-8616-460400CA217A}" filter="1" showAutoFilter="1">
      <pageMargins left="0.7" right="0.7" top="0.75" bottom="0.75" header="0.3" footer="0.3"/>
      <autoFilter ref="A1:AG416" xr:uid="{4B979862-6318-7B4F-B610-D0E03FCEF64E}">
        <filterColumn colId="1">
          <filters blank="1">
            <filter val="Deprecated?"/>
            <filter val="isDeprecated"/>
            <filter val="No longer needed but want a record of it"/>
          </filters>
        </filterColumn>
        <filterColumn colId="2">
          <filters>
            <filter val="loot"/>
            <filter val="lootGame"/>
          </filters>
        </filterColumn>
      </autoFilter>
    </customSheetView>
    <customSheetView guid="{8B4B8E71-F07F-4B41-8636-055C0EACB12B}" filter="1" showAutoFilter="1">
      <pageMargins left="0.7" right="0.7" top="0.75" bottom="0.75" header="0.3" footer="0.3"/>
      <autoFilter ref="C2:BU412" xr:uid="{18A9401D-A0A6-4A4F-8CB2-960DEF7AF808}">
        <filterColumn colId="0">
          <filters>
            <filter val="&quot;PF Item&quot;?"/>
            <filter val="achievement"/>
            <filter val="action"/>
            <filter val="elemental"/>
            <filter val="ItemClass"/>
            <filter val="launcher"/>
            <filter val="loot"/>
            <filter val="lootGame"/>
            <filter val="mission"/>
            <filter val="perk"/>
            <filter val="skin"/>
            <filter val="ultimate"/>
          </filters>
        </filterColumn>
      </autoFilter>
    </customSheetView>
    <customSheetView guid="{A8B30850-FC3C-4D6D-A960-672AB253D0F6}" filter="1" showAutoFilter="1">
      <pageMargins left="0.7" right="0.7" top="0.75" bottom="0.75" header="0.3" footer="0.3"/>
      <autoFilter ref="C1:BU412" xr:uid="{CE433F29-1C5F-7742-B28F-5889EC5D2E48}"/>
    </customSheetView>
    <customSheetView guid="{83D96DFC-94E8-4127-8F24-C4895BF8227E}" filter="1" showAutoFilter="1">
      <pageMargins left="0.7" right="0.7" top="0.75" bottom="0.75" header="0.3" footer="0.3"/>
      <autoFilter ref="C2:BU412" xr:uid="{5FA6E5B2-62E9-9047-9DCC-90134E0C6ADA}">
        <filterColumn colId="0">
          <filters>
            <filter val="&quot;PF Item&quot;?"/>
            <filter val="achievement"/>
            <filter val="action"/>
            <filter val="elemental"/>
            <filter val="ItemClass"/>
            <filter val="launcher"/>
            <filter val="loot"/>
            <filter val="lootGame"/>
            <filter val="mission"/>
            <filter val="perk"/>
            <filter val="skin"/>
            <filter val="ultimate"/>
          </filters>
        </filterColumn>
      </autoFilter>
    </customSheetView>
    <customSheetView guid="{282FBA23-5F54-485E-B039-947874A3A027}" filter="1" showAutoFilter="1">
      <pageMargins left="0.7" right="0.7" top="0.75" bottom="0.75" header="0.3" footer="0.3"/>
      <autoFilter ref="BD1:BO84" xr:uid="{B654A145-6B87-F849-B56F-BDA1AB87B6D9}"/>
    </customSheetView>
    <customSheetView guid="{1DF10F05-90E7-46F8-A11B-7DCDA4D2E55A}" filter="1" showAutoFilter="1">
      <pageMargins left="0.7" right="0.7" top="0.75" bottom="0.75" header="0.3" footer="0.3"/>
      <autoFilter ref="C2:BU412" xr:uid="{4B6D2C84-A915-BF4D-B682-D9A39DEE3D8B}"/>
    </customSheetView>
    <customSheetView guid="{D08FE895-885E-4ED8-BECB-1F635FA09BC0}" filter="1" showAutoFilter="1">
      <pageMargins left="0.7" right="0.7" top="0.75" bottom="0.75" header="0.3" footer="0.3"/>
      <autoFilter ref="C2:BU412" xr:uid="{EEE541F8-58C6-A04A-A5D3-33354B5B7C84}">
        <filterColumn colId="0">
          <filters>
            <filter val="&quot;PF Item&quot;?"/>
            <filter val="achievement"/>
            <filter val="action"/>
            <filter val="elemental"/>
            <filter val="ItemClass"/>
            <filter val="launcher"/>
            <filter val="loot"/>
            <filter val="lootGame"/>
            <filter val="mission"/>
            <filter val="perk"/>
            <filter val="skin"/>
            <filter val="ultimate"/>
          </filters>
        </filterColumn>
      </autoFilter>
    </customSheetView>
    <customSheetView guid="{21B9A176-0855-4FAF-A4E7-182E73565C74}" filter="1" showAutoFilter="1">
      <pageMargins left="0.7" right="0.7" top="0.75" bottom="0.75" header="0.3" footer="0.3"/>
      <autoFilter ref="C2:BU412" xr:uid="{567036FA-BF89-9342-A70A-E122885F78A6}">
        <filterColumn colId="0">
          <filters>
            <filter val="action"/>
          </filters>
        </filterColumn>
      </autoFilter>
    </customSheetView>
    <customSheetView guid="{F2F28300-BEB4-482F-B663-08A05F6D7EB6}" filter="1" showAutoFilter="1">
      <pageMargins left="0.7" right="0.7" top="0.75" bottom="0.75" header="0.3" footer="0.3"/>
      <autoFilter ref="C1:BU412" xr:uid="{BD2CDF2D-6561-3042-AC65-F55B14380D87}"/>
    </customSheetView>
    <customSheetView guid="{E32A23CC-8C74-49B5-8262-47C9FCB006D5}" filter="1" showAutoFilter="1">
      <pageMargins left="0.7" right="0.7" top="0.75" bottom="0.75" header="0.3" footer="0.3"/>
      <autoFilter ref="C2:BU412" xr:uid="{A6A7EB6F-5271-1A47-8A65-A1CDAE080D47}">
        <filterColumn colId="0">
          <filters>
            <filter val="skin"/>
          </filters>
        </filterColumn>
      </autoFilter>
    </customSheetView>
    <customSheetView guid="{8A788BD5-1572-4A94-AA26-9B986ED0D089}" filter="1" showAutoFilter="1">
      <pageMargins left="0.7" right="0.7" top="0.75" bottom="0.75" header="0.3" footer="0.3"/>
      <autoFilter ref="C2:BU412" xr:uid="{942FD4B7-C601-E147-A0FC-4AEAAF6A5206}">
        <filterColumn colId="0">
          <filters>
            <filter val="&quot;PF Item&quot;?"/>
            <filter val="achievement"/>
            <filter val="action"/>
            <filter val="elemental"/>
            <filter val="ItemClass"/>
            <filter val="launcher"/>
            <filter val="loot"/>
            <filter val="lootGame"/>
            <filter val="mission"/>
            <filter val="perk"/>
            <filter val="skin"/>
            <filter val="ultimate"/>
          </filters>
        </filterColumn>
      </autoFilter>
    </customSheetView>
    <customSheetView guid="{3AC3A8F8-648C-497B-B818-DB01CD24ABB7}" filter="1" showAutoFilter="1">
      <pageMargins left="0.7" right="0.7" top="0.75" bottom="0.75" header="0.3" footer="0.3"/>
      <autoFilter ref="C2:BU412" xr:uid="{F29A67DF-3E1B-4E40-9B08-4878D249F89C}"/>
    </customSheetView>
    <customSheetView guid="{DE9F1A38-9514-4ED4-86EE-F2B2879DB205}" filter="1" showAutoFilter="1">
      <pageMargins left="0.7" right="0.7" top="0.75" bottom="0.75" header="0.3" footer="0.3"/>
      <autoFilter ref="A1:CA416" xr:uid="{F5615C2B-8002-3F44-A2D1-3E3628FAB8E2}">
        <filterColumn colId="2">
          <filters>
            <filter val="mission"/>
          </filters>
        </filterColumn>
      </autoFilter>
    </customSheetView>
    <customSheetView guid="{77AEDE1C-A1C3-48F6-ABE3-277D054E27A9}" filter="1" showAutoFilter="1">
      <pageMargins left="0.7" right="0.7" top="0.75" bottom="0.75" header="0.3" footer="0.3"/>
      <autoFilter ref="C2:BU412" xr:uid="{6914EF3F-7DE6-EC40-BA22-D9D694B088AC}">
        <filterColumn colId="0">
          <filters>
            <filter val="achievement"/>
            <filter val="lootGame"/>
          </filters>
        </filterColumn>
      </autoFilter>
    </customSheetView>
    <customSheetView guid="{930B1166-B3AA-4586-996F-77D3AEE5950A}" filter="1" showAutoFilter="1">
      <pageMargins left="0.7" right="0.7" top="0.75" bottom="0.75" header="0.3" footer="0.3"/>
      <autoFilter ref="BZ2:BZ416" xr:uid="{D668C269-C8D3-D045-BE4D-85D236D93200}">
        <filterColumn colId="0">
          <filters>
            <filter val="How is the item given to player?"/>
            <filter val="rewardIfAllRequirementsMet"/>
            <filter val="rewardIfAnyRequirementsMet"/>
          </filters>
        </filterColumn>
      </autoFilter>
    </customSheetView>
    <customSheetView guid="{0FDF9C98-043E-4804-8C8E-914D94668B31}" filter="1" showAutoFilter="1">
      <pageMargins left="0.7" right="0.7" top="0.75" bottom="0.75" header="0.3" footer="0.3"/>
      <autoFilter ref="C2:BU412" xr:uid="{367E2AF9-C20C-8B48-A720-57F159997787}"/>
    </customSheetView>
    <customSheetView guid="{37CFFF83-0417-421A-BEA5-AD15C1329A06}" filter="1" showAutoFilter="1">
      <pageMargins left="0.7" right="0.7" top="0.75" bottom="0.75" header="0.3" footer="0.3"/>
      <autoFilter ref="C1:BU412" xr:uid="{06925AA4-EF2D-B745-B171-9EF72EB5462E}"/>
    </customSheetView>
    <customSheetView guid="{47C99E9A-CBC6-473D-88BB-588BC8364431}" filter="1" showAutoFilter="1">
      <pageMargins left="0.7" right="0.7" top="0.75" bottom="0.75" header="0.3" footer="0.3"/>
      <autoFilter ref="C2:BU412" xr:uid="{8BD5C97B-BE5D-8F41-9B8C-53173FC3A2F1}">
        <filterColumn colId="0">
          <filters>
            <filter val="perk"/>
          </filters>
        </filterColumn>
      </autoFilter>
    </customSheetView>
    <customSheetView guid="{7CE3E268-3A99-4FDF-A688-878F7851EEFE}" filter="1" showAutoFilter="1">
      <pageMargins left="0.7" right="0.7" top="0.75" bottom="0.75" header="0.3" footer="0.3"/>
      <autoFilter ref="C2:BU412" xr:uid="{EED1CF2B-47A5-0D4C-A5A6-03FBB04E6B71}"/>
    </customSheetView>
  </customSheetViews>
  <conditionalFormatting sqref="BV5:CA416">
    <cfRule type="expression" dxfId="127" priority="1">
      <formula>$I5="Game"</formula>
    </cfRule>
  </conditionalFormatting>
  <conditionalFormatting sqref="A5:CA416">
    <cfRule type="expression" dxfId="126" priority="2">
      <formula>$B5=TRUE</formula>
    </cfRule>
  </conditionalFormatting>
  <conditionalFormatting sqref="M5:M416">
    <cfRule type="expression" dxfId="125" priority="3">
      <formula>$C5&lt;&gt;"achievement"</formula>
    </cfRule>
  </conditionalFormatting>
  <conditionalFormatting sqref="L5:L416 N5:O8">
    <cfRule type="expression" dxfId="124" priority="4">
      <formula>$I5="IPB"</formula>
    </cfRule>
  </conditionalFormatting>
  <conditionalFormatting sqref="N9:O28 N245:O245 N247:O247 N249:O249 N251:O268 N270:O274 N276:O281 N286:O286 N294:O361">
    <cfRule type="expression" dxfId="123" priority="5">
      <formula>$C9="elemental"</formula>
    </cfRule>
  </conditionalFormatting>
  <conditionalFormatting sqref="N9:O28 N245:O245 N247:O247 N249:O249 N251:O268 N270:O274 N276:O281 N286:O286 N294:O361">
    <cfRule type="expression" dxfId="122" priority="6">
      <formula>$C9="launcher"</formula>
    </cfRule>
  </conditionalFormatting>
  <conditionalFormatting sqref="N9:O28 N245:O245 N247:O247 N249:O249 N251:O268 N270:O274 N276:O281 N286:O286 N294:O361">
    <cfRule type="expression" dxfId="121" priority="7">
      <formula>$C9="mission"</formula>
    </cfRule>
  </conditionalFormatting>
  <conditionalFormatting sqref="N9:O28 N245:O245 N247:O247 N249:O249 N251:O268 N270:O274 N276:O281 N286:O286 N294:O361">
    <cfRule type="expression" dxfId="120" priority="8">
      <formula>$C9="perk"</formula>
    </cfRule>
  </conditionalFormatting>
  <conditionalFormatting sqref="N9:O28 N245:O245 N247:O247 N249:O249 N251:O268 N270:O274 N276:O281 N286:O286 N294:O361">
    <cfRule type="expression" dxfId="119" priority="9">
      <formula>$C9="ultimate"</formula>
    </cfRule>
  </conditionalFormatting>
  <conditionalFormatting sqref="Q5:V416">
    <cfRule type="expression" dxfId="118" priority="10">
      <formula>$Q5&lt;&gt;"player_created"</formula>
    </cfRule>
  </conditionalFormatting>
  <conditionalFormatting sqref="W5:W416">
    <cfRule type="containsBlanks" dxfId="117" priority="11">
      <formula>LEN(TRIM(W5))=0</formula>
    </cfRule>
  </conditionalFormatting>
  <conditionalFormatting sqref="W5:AF416">
    <cfRule type="expression" dxfId="116" priority="12">
      <formula>$Q5="player_created"</formula>
    </cfRule>
  </conditionalFormatting>
  <conditionalFormatting sqref="W5:BU416 BV166">
    <cfRule type="expression" dxfId="115" priority="13">
      <formula>$C5="action"</formula>
    </cfRule>
  </conditionalFormatting>
  <conditionalFormatting sqref="AN5:BC416">
    <cfRule type="expression" dxfId="114" priority="14">
      <formula>$C5&lt;&gt;"mission"</formula>
    </cfRule>
  </conditionalFormatting>
  <conditionalFormatting sqref="AC5:AC416 AD61 AD63:AD65 AD71:AD74">
    <cfRule type="expression" dxfId="113" priority="15">
      <formula>$C5="skin"</formula>
    </cfRule>
  </conditionalFormatting>
  <conditionalFormatting sqref="AC5:AC416 AD61 AD63:AD65 AD71:AD74">
    <cfRule type="expression" dxfId="112" priority="16">
      <formula>$C5="achievement"</formula>
    </cfRule>
  </conditionalFormatting>
  <conditionalFormatting sqref="AC5:AC416 AD61 AD63:AD65 AD71:AD74">
    <cfRule type="expression" dxfId="111" priority="17">
      <formula>$C5="mission"</formula>
    </cfRule>
  </conditionalFormatting>
  <conditionalFormatting sqref="AC5:AC416 AD61 AD63:AD65 AD71:AD74">
    <cfRule type="expression" dxfId="110" priority="18">
      <formula>$C5="loot"</formula>
    </cfRule>
  </conditionalFormatting>
  <conditionalFormatting sqref="AD5:AD416">
    <cfRule type="expression" dxfId="109" priority="19">
      <formula>$C5="skin"</formula>
    </cfRule>
  </conditionalFormatting>
  <conditionalFormatting sqref="AD5:AD416">
    <cfRule type="expression" dxfId="108" priority="20">
      <formula>$C5="launcher"</formula>
    </cfRule>
  </conditionalFormatting>
  <conditionalFormatting sqref="AE5:AE416">
    <cfRule type="expression" dxfId="107" priority="21">
      <formula>$C5&lt;&gt;"loot"</formula>
    </cfRule>
  </conditionalFormatting>
  <conditionalFormatting sqref="AF5:AF416">
    <cfRule type="expression" dxfId="106" priority="22">
      <formula>$C5="skin"</formula>
    </cfRule>
  </conditionalFormatting>
  <conditionalFormatting sqref="AF5:AF416">
    <cfRule type="expression" dxfId="105" priority="23">
      <formula>$C5="ultimate"</formula>
    </cfRule>
  </conditionalFormatting>
  <conditionalFormatting sqref="AF5:AF416">
    <cfRule type="expression" dxfId="104" priority="24">
      <formula>$C5="achievement"</formula>
    </cfRule>
  </conditionalFormatting>
  <conditionalFormatting sqref="AF5:AF416">
    <cfRule type="expression" dxfId="103" priority="25">
      <formula>$C5="mission"</formula>
    </cfRule>
  </conditionalFormatting>
  <conditionalFormatting sqref="BJ5:BJ416">
    <cfRule type="expression" dxfId="102" priority="26">
      <formula>$C5="skin"</formula>
    </cfRule>
  </conditionalFormatting>
  <conditionalFormatting sqref="BJ5:BJ416">
    <cfRule type="expression" dxfId="101" priority="27">
      <formula>$C5="launcher"</formula>
    </cfRule>
  </conditionalFormatting>
  <conditionalFormatting sqref="BJ5:BJ416">
    <cfRule type="expression" dxfId="100" priority="28">
      <formula>$C5="ultimate"</formula>
    </cfRule>
  </conditionalFormatting>
  <conditionalFormatting sqref="BJ5:BJ416">
    <cfRule type="expression" dxfId="99" priority="29">
      <formula>$C5="achievement"</formula>
    </cfRule>
  </conditionalFormatting>
  <conditionalFormatting sqref="BJ5:BJ416">
    <cfRule type="expression" dxfId="98" priority="30">
      <formula>$C5="mission"</formula>
    </cfRule>
  </conditionalFormatting>
  <conditionalFormatting sqref="BJ5:BJ416">
    <cfRule type="expression" dxfId="97" priority="31">
      <formula>$C5="loot"</formula>
    </cfRule>
  </conditionalFormatting>
  <conditionalFormatting sqref="BK5:BK416 BL6 BL113 BL123">
    <cfRule type="expression" dxfId="96" priority="32">
      <formula>$C5="skin"</formula>
    </cfRule>
  </conditionalFormatting>
  <conditionalFormatting sqref="BK5:BK416 BL6 BL113 BL123">
    <cfRule type="expression" dxfId="95" priority="33">
      <formula>$C5="achievement"</formula>
    </cfRule>
  </conditionalFormatting>
  <conditionalFormatting sqref="BK5:BK416 BL6 BL113 BL123">
    <cfRule type="expression" dxfId="94" priority="34">
      <formula>$C5="loot"</formula>
    </cfRule>
  </conditionalFormatting>
  <conditionalFormatting sqref="BL5:BL416 BM245 BM247 BM249 BM251 BM253 BM255 BM257 BM259 BM261 BM263 BM265 BM267">
    <cfRule type="expression" dxfId="93" priority="35">
      <formula>$C5="skin"</formula>
    </cfRule>
  </conditionalFormatting>
  <conditionalFormatting sqref="BM5:BM416">
    <cfRule type="expression" dxfId="92" priority="36">
      <formula>$C5="elemental"</formula>
    </cfRule>
  </conditionalFormatting>
  <conditionalFormatting sqref="BM5:BM416">
    <cfRule type="expression" dxfId="91" priority="37">
      <formula>$C5="skin"</formula>
    </cfRule>
  </conditionalFormatting>
  <conditionalFormatting sqref="BM5:BM416">
    <cfRule type="expression" dxfId="90" priority="38">
      <formula>$C5="launcher"</formula>
    </cfRule>
  </conditionalFormatting>
  <conditionalFormatting sqref="BM5:BM416">
    <cfRule type="expression" dxfId="89" priority="39">
      <formula>$C5="ultimate"</formula>
    </cfRule>
  </conditionalFormatting>
  <conditionalFormatting sqref="BM5:BM416">
    <cfRule type="expression" dxfId="88" priority="40">
      <formula>$C5="perk"</formula>
    </cfRule>
  </conditionalFormatting>
  <conditionalFormatting sqref="BM5:BM416">
    <cfRule type="expression" dxfId="87" priority="41">
      <formula>$C5="achievement"</formula>
    </cfRule>
  </conditionalFormatting>
  <conditionalFormatting sqref="BN5:BN416">
    <cfRule type="expression" dxfId="86" priority="42">
      <formula>$C5="elemental"</formula>
    </cfRule>
  </conditionalFormatting>
  <conditionalFormatting sqref="BN5:BN416">
    <cfRule type="expression" dxfId="85" priority="43">
      <formula>$C5="skin"</formula>
    </cfRule>
  </conditionalFormatting>
  <conditionalFormatting sqref="BN5:BN416">
    <cfRule type="expression" dxfId="84" priority="44">
      <formula>$C5="ultimate"</formula>
    </cfRule>
  </conditionalFormatting>
  <conditionalFormatting sqref="BN5:BN416">
    <cfRule type="expression" dxfId="83" priority="45">
      <formula>$C5="achievement"</formula>
    </cfRule>
  </conditionalFormatting>
  <conditionalFormatting sqref="BN5:BN416">
    <cfRule type="expression" dxfId="82" priority="46">
      <formula>$C5="mission"</formula>
    </cfRule>
  </conditionalFormatting>
  <conditionalFormatting sqref="BV5:CA416">
    <cfRule type="expression" dxfId="81" priority="47">
      <formula>$I5="Mobile"</formula>
    </cfRule>
  </conditionalFormatting>
  <conditionalFormatting sqref="J5:J416">
    <cfRule type="expression" dxfId="80" priority="48">
      <formula>$I5="IPB"</formula>
    </cfRule>
  </conditionalFormatting>
  <conditionalFormatting sqref="K5:K416">
    <cfRule type="expression" dxfId="79" priority="49">
      <formula>$C5&lt;&gt;"action"</formula>
    </cfRule>
  </conditionalFormatting>
  <conditionalFormatting sqref="L5:L416 N5:O8">
    <cfRule type="expression" dxfId="78" priority="50">
      <formula>$I5="Mobile"</formula>
    </cfRule>
  </conditionalFormatting>
  <conditionalFormatting sqref="L5:L416 N5:O8">
    <cfRule type="expression" dxfId="77" priority="51">
      <formula>$I5="IPB / Mobile"</formula>
    </cfRule>
  </conditionalFormatting>
  <dataValidations count="6">
    <dataValidation type="list" allowBlank="1" sqref="BZ5:BZ416" xr:uid="{00000000-0002-0000-0100-000006000000}">
      <formula1>DataValidation_RewardType</formula1>
    </dataValidation>
    <dataValidation type="list" allowBlank="1" sqref="CA5:CA416" xr:uid="{00000000-0002-0000-0100-00000A000000}">
      <formula1>DataValidation_TrueOrFalse</formula1>
    </dataValidation>
    <dataValidation type="custom" allowBlank="1" showDropDown="1" sqref="B5:B8 B17:B32 B39 B41 B43:B44 B46 B48:B52 B61 B63:B68 B70:B75 B77:B79 B85 B87:B92 B97:B100 B102:B133 B135:B154 B161:B183 B186:B189 B195 B197 B244:B267 B271 B273:B274 B276:B281 B286 B291 B301:B331 B361:B379 B402 B416" xr:uid="{00000000-0002-0000-0100-000016000000}">
      <formula1>NOT(ISERROR(SEARCH(("TRUE"),(B5))))</formula1>
    </dataValidation>
    <dataValidation type="decimal" operator="greaterThan" allowBlank="1" showDropDown="1" sqref="BX9:BX28 BX33:BX47 BX49:BX52 BX61 BX63:BX68 BX70:BX83 BX86 BX88 BX92:BX93 BX96:BX97 BX99:BX102 BX104:BX106 BX108:BX109 BX111 BX113:BX114 BX116 BX118:BX119 BX121 BX123:BX124 BX126 BX128:BX129 BX131 BX133:BX135 BX138 BX140 BX142 BX144 BX146 BX148 BX150 BX152 BX154:BX155 BX158 BX162 BX164 BX166:BX170 BX172 BX175 BX177 BX179 BX181 BX183:BX185 BX187 BX189:BX190 BX193 BX195 BX197 BX199:BX200 BX202 BX205:BX210 BX214 BX216 BX218 BX220 BX222 BX224 BX226 BX228 BX230 BX232 BX234 BX236 BX238:BX239 BX241 BX243 BX245 BX247 BX249 BX251 BX253 BX255 BX257 BX259 BX261 BX263 BX265 BX267 BX269 BX271 BX273:BX282 BX286:BX287 BX291:BX293 BX301:BX331 BX339:BX350 BX352 BX361 BX401:BX416" xr:uid="{00000000-0002-0000-0100-000017000000}">
      <formula1>0</formula1>
    </dataValidation>
    <dataValidation type="list" allowBlank="1" sqref="T5:T416" xr:uid="{00000000-0002-0000-0100-000018000000}">
      <formula1>DataValidation_ItemDataKey</formula1>
    </dataValidation>
    <dataValidation type="list" allowBlank="1" sqref="BW9:BW28 BY9:BY28 BW33:BW47 BY33:BY47 BW49:BW52 BY49:BY52 BW61 BY61 BW63:BW68 BY63:BY68 BW70:BW83 BY70:BY83 BW86 BY86 BW88 BY88 BW92:BW93 BY92:BY93 BW96:BW97 BY96:BY97 BW99:BW102 BY99:BY102 BW104:BW106 BY104:BY106 BW108:BW109 BY108:BY109 BW111 BY111 BW113:BW114 BY113:BY114 BW116 BY116 BW118:BW119 BY118:BY119 BW121 BY121 BW123:BW124 BY123:BY124 BW126 BY126 BW128:BW129 BY128:BY129 BW131 BY131 BW133:BW135 BY133:BY135 BW138 BY138 BW140 BY140 BW142 BY142 BW144 BY144 BW146 BY146 BW148 BY148 BW150 BY150 BW152 BY152 BW154:BW155 BY154:BY155 BW158 BY158 BW162 BY162 BW164 BY164 BW166:BW170 BY166:BY170 BW172 BY172 BW175 BY175 BW177 BY177 BW179 BY179 BW181 BY181 BW183:BW185 BY183:BY185 BW187 BY187 BW189:BW190 BY189:BY190 BW193 BY193 BW195 BY195 BW197 BY197 BW199:BW200 BY199:BY200 BW202 BY202 BW205:BW210 BY205:BY210 BW214 BY214 BW216 BY216 BW218 BY218 BW220 BY220 BW222 BY222 BW224 BY224 BW226 BY226 BW228 BY228 BW230 BY230 BW232 BY232 BW234 BY234 BW236 BY236 BW238:BW239 BY238:BY239 BW241 BY241 BW243 BY243 BW245 BY245 BW247 BY247 BW249 BY249 BW251 BY251 BW253 BY253 BW255 BY255 BW257 BY257 BW259 BY259 BW261 BY261 BW263 BY263 BW265 BY265 BW267 BY267 BW269 BY269 BW271 BY271 BW273:BW282 BY273:BY282 BW286:BW287 BY286:BY287 BW291:BW293 BY291:BY293 BW301:BW331 BY301:BY331 BW339:BW350 BY339:BY350 BW352 BY352 BW361 BY361 BW401:BW416 BY401:BY416" xr:uid="{00000000-0002-0000-0100-00001F000000}">
      <formula1>DataValidation_RewardRepeat</formula1>
    </dataValidation>
  </dataValidations>
  <hyperlinks>
    <hyperlink ref="Q3" r:id="rId1" xr:uid="{00000000-0004-0000-0100-000000000000}"/>
    <hyperlink ref="Q4" r:id="rId2" xr:uid="{00000000-0004-0000-0100-000001000000}"/>
  </hyperlinks>
  <printOptions horizontalCentered="1" gridLines="1"/>
  <pageMargins left="0.7" right="0.7" top="0.75" bottom="0.75" header="0" footer="0"/>
  <pageSetup fitToHeight="0" pageOrder="overThenDown" orientation="landscape" cellComments="atEnd"/>
  <legacyDrawing r:id="rId3"/>
  <extLst>
    <ext xmlns:x14="http://schemas.microsoft.com/office/spreadsheetml/2009/9/main" uri="{CCE6A557-97BC-4b89-ADB6-D9C93CAAB3DF}">
      <x14:dataValidations xmlns:xm="http://schemas.microsoft.com/office/excel/2006/main" count="26">
        <x14:dataValidation type="list" allowBlank="1" xr:uid="{00000000-0002-0000-0100-000000000000}">
          <x14:formula1>
            <xm:f>'_REF Data Validation for All Sh'!$AZ$6:$AZ$10</xm:f>
          </x14:formula1>
          <xm:sqref>BE5:BE52 BE61 BE63:BE68 BE70:BE83 BE85:BE203 BE205:BE416</xm:sqref>
        </x14:dataValidation>
        <x14:dataValidation type="list" allowBlank="1" xr:uid="{00000000-0002-0000-0100-000001000000}">
          <x14:formula1>
            <xm:f>'_REF Data Validation for All Sh'!$AJ$6:$AJ$14</xm:f>
          </x14:formula1>
          <xm:sqref>K5:K416</xm:sqref>
        </x14:dataValidation>
        <x14:dataValidation type="list" allowBlank="1" xr:uid="{00000000-0002-0000-0100-000002000000}">
          <x14:formula1>
            <xm:f>'_REF Data Validation for All Sh'!$BA$6</xm:f>
          </x14:formula1>
          <xm:sqref>BH5:BH52 BH61 BH63:BH68 BH70:BH83 BH85:BH203 BH205:BH416</xm:sqref>
        </x14:dataValidation>
        <x14:dataValidation type="list" allowBlank="1" xr:uid="{00000000-0002-0000-0100-000003000000}">
          <x14:formula1>
            <xm:f>'_REF Data Validation for All Sh'!$AU$6:$AU$11</xm:f>
          </x14:formula1>
          <xm:sqref>AF271 AF273:AF274 AF276:AF280 AF301:AF331 AF361</xm:sqref>
        </x14:dataValidation>
        <x14:dataValidation type="list" allowBlank="1" xr:uid="{00000000-0002-0000-0100-000004000000}">
          <x14:formula1>
            <xm:f>'_REF Data Validation for All Sh'!$BN$6:$BN$15</xm:f>
          </x14:formula1>
          <xm:sqref>D5:D416</xm:sqref>
        </x14:dataValidation>
        <x14:dataValidation type="list" allowBlank="1" xr:uid="{00000000-0002-0000-0100-000005000000}">
          <x14:formula1>
            <xm:f>'_REF Data Validation for All Sh'!$AO$6:$AO$7</xm:f>
          </x14:formula1>
          <xm:sqref>S5:S52 S61 S63:S68 S70:S83 S85:S203 S205:S416</xm:sqref>
        </x14:dataValidation>
        <x14:dataValidation type="list" allowBlank="1" xr:uid="{00000000-0002-0000-0100-000007000000}">
          <x14:formula1>
            <xm:f>'_REF Data Validation for All Sh'!$E$6:$E$10</xm:f>
          </x14:formula1>
          <xm:sqref>I5:I52 I61:I83 I85:I203 I205:I416</xm:sqref>
        </x14:dataValidation>
        <x14:dataValidation type="list" allowBlank="1" xr:uid="{00000000-0002-0000-0100-000008000000}">
          <x14:formula1>
            <xm:f>'_REF Data Validation for All Sh'!$AK$6:$AK$10</xm:f>
          </x14:formula1>
          <xm:sqref>L5:L416</xm:sqref>
        </x14:dataValidation>
        <x14:dataValidation type="list" allowBlank="1" xr:uid="{00000000-0002-0000-0100-000009000000}">
          <x14:formula1>
            <xm:f>'_REF Data Validation for All Sh'!$AY$6</xm:f>
          </x14:formula1>
          <xm:sqref>BD5:BD52 BD61 BD63:BD68 BD70:BD83 BD85:BD203 BD205:BD416</xm:sqref>
        </x14:dataValidation>
        <x14:dataValidation type="list" allowBlank="1" xr:uid="{00000000-0002-0000-0100-00000B000000}">
          <x14:formula1>
            <xm:f>'_REF Data Validation for All Sh'!$AL$6:$AL$7</xm:f>
          </x14:formula1>
          <xm:sqref>M5:M416</xm:sqref>
        </x14:dataValidation>
        <x14:dataValidation type="list" allowBlank="1" xr:uid="{00000000-0002-0000-0100-00000C000000}">
          <x14:formula1>
            <xm:f>'_REF Data Validation for All Sh'!$BB$6</xm:f>
          </x14:formula1>
          <xm:sqref>BJ5:BJ52 BJ61 BJ63:BJ68 BJ70:BJ83 BJ85:BJ203 BJ205:BJ416</xm:sqref>
        </x14:dataValidation>
        <x14:dataValidation type="list" allowBlank="1" xr:uid="{00000000-0002-0000-0100-00000D000000}">
          <x14:formula1>
            <xm:f>'_REF Data Validation for All Sh'!$AR$6</xm:f>
          </x14:formula1>
          <xm:sqref>W5:W416</xm:sqref>
        </x14:dataValidation>
        <x14:dataValidation type="list" allowBlank="1" xr:uid="{00000000-0002-0000-0100-00000E000000}">
          <x14:formula1>
            <xm:f>'_REF Data Validation for All Sh'!$AS$6:$AS$7</xm:f>
          </x14:formula1>
          <xm:sqref>X5:X52 X61 X63:X68 X70:X83 X85:X203 X205:X416</xm:sqref>
        </x14:dataValidation>
        <x14:dataValidation type="list" allowBlank="1" xr:uid="{00000000-0002-0000-0100-00000F000000}">
          <x14:formula1>
            <xm:f>'_REF Data Validation for All Sh'!$AW$6</xm:f>
          </x14:formula1>
          <xm:sqref>AO5:AO52 AO61 AO63:AO68 AO70:AO83 AO85:AO203 AO205:AO416</xm:sqref>
        </x14:dataValidation>
        <x14:dataValidation type="list" allowBlank="1" xr:uid="{00000000-0002-0000-0100-000010000000}">
          <x14:formula1>
            <xm:f>'_REF Data Validation for All Sh'!$AM$6:$AM$15</xm:f>
          </x14:formula1>
          <xm:sqref>N5:O416</xm:sqref>
        </x14:dataValidation>
        <x14:dataValidation type="list" allowBlank="1" xr:uid="{00000000-0002-0000-0100-000011000000}">
          <x14:formula1>
            <xm:f>'_REF Data Validation for All Sh'!$O$6:$O$7</xm:f>
          </x14:formula1>
          <xm:sqref>V5:V52 V61 V63:V68 V70:V83 V85:V203 V205:V416</xm:sqref>
        </x14:dataValidation>
        <x14:dataValidation type="list" allowBlank="1" xr:uid="{00000000-0002-0000-0100-000012000000}">
          <x14:formula1>
            <xm:f>'_REF Data Validation for All Sh'!$BN$6:$BN$14</xm:f>
          </x14:formula1>
          <xm:sqref>B9:B16 B33:B38 B40 B42 B45 B47 B53:B60 B62 B69 B76 B80:B84 B86 B93:B96 B101 B134 B155:B160 B184:B185 B190:B194 B196 B198:B243 B268:B270 B272 B275 B282:B285 B287:B290 B292:B300 B332:B360 B380:B401 B403:B415</xm:sqref>
        </x14:dataValidation>
        <x14:dataValidation type="list" allowBlank="1" xr:uid="{00000000-0002-0000-0100-000013000000}">
          <x14:formula1>
            <xm:f>'_REF Data Validation for All Sh'!$AU$6:$AU$10</xm:f>
          </x14:formula1>
          <xm:sqref>AF5:AF52 AF61 AF63:AF68 AF70:AF83 AF85:AF203 AF205:AF270 AF272 AF275 AF281:AF300 AF332:AF360 AF362:AF416</xm:sqref>
        </x14:dataValidation>
        <x14:dataValidation type="list" allowBlank="1" xr:uid="{00000000-0002-0000-0100-000014000000}">
          <x14:formula1>
            <xm:f>'_REF Data Validation for All Sh'!$AI$6:$AI$14</xm:f>
          </x14:formula1>
          <xm:sqref>A5:A52 A61 A63:A68 A70:A83 A85:A203 A205:A416</xm:sqref>
        </x14:dataValidation>
        <x14:dataValidation type="list" allowBlank="1" xr:uid="{00000000-0002-0000-0100-000015000000}">
          <x14:formula1>
            <xm:f>'_REF Data Validation for All Sh'!$BC$6:$BC$11</xm:f>
          </x14:formula1>
          <xm:sqref>BN271 BN273:BN274 BN276:BN280 BN301:BN331 BN361</xm:sqref>
        </x14:dataValidation>
        <x14:dataValidation type="list" allowBlank="1" xr:uid="{00000000-0002-0000-0100-000019000000}">
          <x14:formula1>
            <xm:f>'_REF Data Validation for All Sh'!$AT$6</xm:f>
          </x14:formula1>
          <xm:sqref>AA5:AA52 AA61 AA63:AA68 AA70:AA83 AA85:AA203 AA205:AA416</xm:sqref>
        </x14:dataValidation>
        <x14:dataValidation type="list" allowBlank="1" xr:uid="{00000000-0002-0000-0100-00001A000000}">
          <x14:formula1>
            <xm:f>'_REF Data Validation for All Sh'!$BC$6:$BC$10</xm:f>
          </x14:formula1>
          <xm:sqref>BN5:BN52 BN61 BN63:BN68 BN70:BN83 BN85:BN203 BN205:BN270 BN272 BN275 BN281:BN300 BN332:BN360 BN362:BN416</xm:sqref>
        </x14:dataValidation>
        <x14:dataValidation type="list" allowBlank="1" xr:uid="{00000000-0002-0000-0100-00001B000000}">
          <x14:formula1>
            <xm:f>'_REF Data Validation for All Sh'!$D$6:$D$15</xm:f>
          </x14:formula1>
          <xm:sqref>C5:C52 C61:C83 C85:C203 C205:C416</xm:sqref>
        </x14:dataValidation>
        <x14:dataValidation type="list" allowBlank="1" xr:uid="{00000000-0002-0000-0100-00001C000000}">
          <x14:formula1>
            <xm:f>'_REF Data Validation for All Sh'!$AN$6</xm:f>
          </x14:formula1>
          <xm:sqref>Q5:Q416</xm:sqref>
        </x14:dataValidation>
        <x14:dataValidation type="list" allowBlank="1" xr:uid="{00000000-0002-0000-0100-00001D000000}">
          <x14:formula1>
            <xm:f>'_REF Data Validation for All Sh'!$AX$6</xm:f>
          </x14:formula1>
          <xm:sqref>AR5:AR52 AR61 AR63:AR68 AR70:AR83 AR85:AR203 AR205:AR416</xm:sqref>
        </x14:dataValidation>
        <x14:dataValidation type="list" allowBlank="1" xr:uid="{00000000-0002-0000-0100-00001E000000}">
          <x14:formula1>
            <xm:f>'_REF Data Validation for All Sh'!$AV$6</xm:f>
          </x14:formula1>
          <xm:sqref>AN5:AN52 AN61 AN63:AN68 AN70:AN83 AN85:AN203 AN205:AN416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Z1006"/>
  <sheetViews>
    <sheetView workbookViewId="0">
      <selection activeCell="F3" sqref="F3:G3"/>
    </sheetView>
  </sheetViews>
  <sheetFormatPr baseColWidth="10" defaultColWidth="12.6640625" defaultRowHeight="15.75" customHeight="1" x14ac:dyDescent="0.15"/>
  <cols>
    <col min="1" max="1" width="11.83203125" customWidth="1"/>
    <col min="3" max="3" width="12.6640625" customWidth="1"/>
  </cols>
  <sheetData>
    <row r="1" spans="1:26" ht="15.75" customHeight="1" x14ac:dyDescent="0.15">
      <c r="A1" s="232" t="s">
        <v>2305</v>
      </c>
      <c r="B1" s="233"/>
      <c r="C1" s="232" t="s">
        <v>2306</v>
      </c>
      <c r="D1" s="233"/>
      <c r="E1" s="232" t="s">
        <v>2307</v>
      </c>
      <c r="F1" s="233"/>
      <c r="G1" s="232" t="s">
        <v>2308</v>
      </c>
      <c r="H1" s="233"/>
      <c r="I1" s="234"/>
      <c r="J1" s="234"/>
      <c r="K1" s="234"/>
      <c r="L1" s="234"/>
      <c r="M1" s="234"/>
      <c r="N1" s="234"/>
      <c r="O1" s="234"/>
      <c r="P1" s="234"/>
      <c r="Q1" s="234"/>
      <c r="R1" s="234"/>
      <c r="S1" s="234"/>
      <c r="T1" s="234"/>
      <c r="U1" s="234"/>
      <c r="V1" s="234"/>
      <c r="W1" s="234"/>
      <c r="X1" s="234"/>
      <c r="Y1" s="234"/>
      <c r="Z1" s="234"/>
    </row>
    <row r="2" spans="1:26" ht="15.75" customHeight="1" x14ac:dyDescent="0.15">
      <c r="A2" s="14" t="s">
        <v>2309</v>
      </c>
      <c r="B2" s="235" t="s">
        <v>2310</v>
      </c>
      <c r="C2" s="14" t="s">
        <v>2309</v>
      </c>
      <c r="D2" s="235" t="s">
        <v>2310</v>
      </c>
      <c r="F2" s="236"/>
      <c r="H2" s="236"/>
    </row>
    <row r="3" spans="1:26" ht="15.75" customHeight="1" x14ac:dyDescent="0.15">
      <c r="C3" s="14" t="s">
        <v>2311</v>
      </c>
      <c r="D3" s="235" t="s">
        <v>2312</v>
      </c>
      <c r="F3" s="236"/>
      <c r="H3" s="236"/>
    </row>
    <row r="4" spans="1:26" ht="15.75" customHeight="1" x14ac:dyDescent="0.15">
      <c r="A4" s="14" t="s">
        <v>2313</v>
      </c>
      <c r="B4" s="237" t="s">
        <v>2312</v>
      </c>
      <c r="C4" s="14" t="s">
        <v>2314</v>
      </c>
      <c r="D4" s="237" t="s">
        <v>2310</v>
      </c>
      <c r="E4" s="14" t="s">
        <v>2315</v>
      </c>
      <c r="F4" s="237" t="s">
        <v>2316</v>
      </c>
      <c r="G4" s="14" t="s">
        <v>2317</v>
      </c>
      <c r="H4" s="237" t="s">
        <v>2310</v>
      </c>
    </row>
    <row r="5" spans="1:26" ht="15.75" customHeight="1" x14ac:dyDescent="0.15">
      <c r="C5" s="14"/>
      <c r="D5" s="235"/>
      <c r="E5" s="14" t="s">
        <v>2318</v>
      </c>
      <c r="F5" s="235" t="s">
        <v>2319</v>
      </c>
      <c r="H5" s="236"/>
    </row>
    <row r="6" spans="1:26" ht="15.75" customHeight="1" x14ac:dyDescent="0.15">
      <c r="C6" s="14" t="s">
        <v>2320</v>
      </c>
      <c r="D6" s="235" t="s">
        <v>2312</v>
      </c>
      <c r="E6" s="14" t="s">
        <v>2321</v>
      </c>
      <c r="F6" s="235" t="s">
        <v>2316</v>
      </c>
      <c r="H6" s="236"/>
    </row>
    <row r="7" spans="1:26" ht="15.75" customHeight="1" x14ac:dyDescent="0.15">
      <c r="C7" s="14"/>
      <c r="D7" s="235"/>
      <c r="E7" s="14" t="s">
        <v>2322</v>
      </c>
      <c r="F7" s="235" t="s">
        <v>2323</v>
      </c>
      <c r="H7" s="236"/>
    </row>
    <row r="8" spans="1:26" ht="15.75" customHeight="1" x14ac:dyDescent="0.15">
      <c r="C8" s="14" t="s">
        <v>2324</v>
      </c>
      <c r="D8" s="235" t="s">
        <v>2325</v>
      </c>
      <c r="F8" s="236"/>
      <c r="H8" s="236"/>
    </row>
    <row r="9" spans="1:26" ht="15.75" customHeight="1" x14ac:dyDescent="0.15">
      <c r="A9" s="14"/>
      <c r="B9" s="235"/>
      <c r="C9" s="14" t="s">
        <v>2326</v>
      </c>
      <c r="D9" s="235" t="s">
        <v>2327</v>
      </c>
      <c r="F9" s="236"/>
      <c r="H9" s="236"/>
    </row>
    <row r="10" spans="1:26" ht="15.75" customHeight="1" x14ac:dyDescent="0.15">
      <c r="A10" s="14"/>
      <c r="B10" s="235"/>
      <c r="C10" s="14" t="s">
        <v>1681</v>
      </c>
      <c r="D10" s="235" t="s">
        <v>2328</v>
      </c>
      <c r="F10" s="236"/>
      <c r="H10" s="236"/>
    </row>
    <row r="11" spans="1:26" ht="15.75" customHeight="1" x14ac:dyDescent="0.15">
      <c r="A11" s="14" t="s">
        <v>2329</v>
      </c>
      <c r="B11" s="235" t="s">
        <v>2325</v>
      </c>
      <c r="C11" s="14" t="s">
        <v>2329</v>
      </c>
      <c r="D11" s="235" t="s">
        <v>2310</v>
      </c>
      <c r="F11" s="236"/>
      <c r="H11" s="236"/>
    </row>
    <row r="12" spans="1:26" ht="15.75" customHeight="1" x14ac:dyDescent="0.15">
      <c r="A12" s="14"/>
      <c r="B12" s="235"/>
      <c r="C12" s="14" t="s">
        <v>2330</v>
      </c>
      <c r="D12" s="235" t="s">
        <v>2312</v>
      </c>
      <c r="F12" s="236"/>
      <c r="H12" s="236"/>
    </row>
    <row r="13" spans="1:26" ht="15.75" customHeight="1" x14ac:dyDescent="0.15">
      <c r="A13" s="14" t="s">
        <v>2331</v>
      </c>
      <c r="B13" s="235" t="s">
        <v>2327</v>
      </c>
      <c r="C13" s="14" t="s">
        <v>2331</v>
      </c>
      <c r="D13" s="235" t="s">
        <v>2310</v>
      </c>
      <c r="F13" s="236"/>
      <c r="H13" s="236"/>
    </row>
    <row r="14" spans="1:26" ht="15.75" customHeight="1" x14ac:dyDescent="0.15">
      <c r="A14" s="14" t="s">
        <v>2332</v>
      </c>
      <c r="B14" s="235" t="s">
        <v>2328</v>
      </c>
      <c r="C14" s="14" t="s">
        <v>2333</v>
      </c>
      <c r="D14" s="235" t="s">
        <v>2310</v>
      </c>
      <c r="F14" s="236"/>
      <c r="H14" s="236"/>
    </row>
    <row r="15" spans="1:26" ht="15.75" customHeight="1" x14ac:dyDescent="0.15">
      <c r="B15" s="236"/>
      <c r="C15" s="14" t="s">
        <v>2334</v>
      </c>
      <c r="D15" s="235" t="s">
        <v>2312</v>
      </c>
      <c r="F15" s="236"/>
      <c r="H15" s="236"/>
    </row>
    <row r="16" spans="1:26" ht="15.75" customHeight="1" x14ac:dyDescent="0.15">
      <c r="B16" s="236"/>
      <c r="D16" s="236"/>
      <c r="F16" s="236"/>
      <c r="H16" s="236"/>
    </row>
    <row r="17" spans="1:8" ht="15.75" customHeight="1" x14ac:dyDescent="0.15">
      <c r="A17" s="14"/>
      <c r="B17" s="236"/>
      <c r="D17" s="236"/>
      <c r="F17" s="236"/>
      <c r="H17" s="236"/>
    </row>
    <row r="18" spans="1:8" ht="15.75" customHeight="1" x14ac:dyDescent="0.15">
      <c r="A18" s="14" t="s">
        <v>2335</v>
      </c>
      <c r="D18" s="236"/>
      <c r="F18" s="236"/>
      <c r="H18" s="236"/>
    </row>
    <row r="19" spans="1:8" ht="15.75" customHeight="1" x14ac:dyDescent="0.15">
      <c r="A19" s="18" t="str">
        <f>CONCATENATE(B4,D4,F4,H4)</f>
        <v>020100101</v>
      </c>
      <c r="D19" s="236"/>
      <c r="F19" s="236"/>
      <c r="H19" s="236"/>
    </row>
    <row r="20" spans="1:8" ht="15.75" customHeight="1" x14ac:dyDescent="0.15">
      <c r="B20" s="236"/>
      <c r="D20" s="236"/>
      <c r="F20" s="236"/>
      <c r="H20" s="236"/>
    </row>
    <row r="21" spans="1:8" ht="15.75" customHeight="1" x14ac:dyDescent="0.15">
      <c r="B21" s="236"/>
      <c r="D21" s="236"/>
      <c r="F21" s="236"/>
      <c r="H21" s="236"/>
    </row>
    <row r="22" spans="1:8" ht="15.75" customHeight="1" x14ac:dyDescent="0.15">
      <c r="B22" s="236"/>
      <c r="D22" s="236"/>
      <c r="F22" s="236"/>
      <c r="H22" s="236"/>
    </row>
    <row r="23" spans="1:8" ht="15.75" customHeight="1" x14ac:dyDescent="0.15">
      <c r="B23" s="236"/>
      <c r="D23" s="236"/>
      <c r="F23" s="236"/>
      <c r="H23" s="236"/>
    </row>
    <row r="24" spans="1:8" ht="15.75" customHeight="1" x14ac:dyDescent="0.15">
      <c r="B24" s="236"/>
      <c r="D24" s="236"/>
      <c r="F24" s="236"/>
      <c r="H24" s="236"/>
    </row>
    <row r="25" spans="1:8" ht="15.75" customHeight="1" x14ac:dyDescent="0.15">
      <c r="B25" s="236"/>
      <c r="D25" s="236"/>
      <c r="F25" s="236"/>
      <c r="H25" s="236"/>
    </row>
    <row r="26" spans="1:8" ht="15.75" customHeight="1" x14ac:dyDescent="0.15">
      <c r="B26" s="236"/>
      <c r="D26" s="236"/>
      <c r="F26" s="236"/>
      <c r="H26" s="236"/>
    </row>
    <row r="27" spans="1:8" ht="15.75" customHeight="1" x14ac:dyDescent="0.15">
      <c r="B27" s="236"/>
      <c r="D27" s="236"/>
      <c r="F27" s="236"/>
      <c r="H27" s="236"/>
    </row>
    <row r="28" spans="1:8" ht="15.75" customHeight="1" x14ac:dyDescent="0.15">
      <c r="B28" s="236"/>
      <c r="D28" s="236"/>
      <c r="F28" s="236"/>
      <c r="H28" s="236"/>
    </row>
    <row r="29" spans="1:8" ht="15.75" customHeight="1" x14ac:dyDescent="0.15">
      <c r="B29" s="236"/>
      <c r="D29" s="236"/>
      <c r="F29" s="236"/>
      <c r="H29" s="236"/>
    </row>
    <row r="30" spans="1:8" ht="15.75" customHeight="1" x14ac:dyDescent="0.15">
      <c r="B30" s="236"/>
      <c r="D30" s="236"/>
      <c r="F30" s="236"/>
      <c r="H30" s="236"/>
    </row>
    <row r="31" spans="1:8" ht="15.75" customHeight="1" x14ac:dyDescent="0.15">
      <c r="B31" s="236"/>
      <c r="D31" s="236"/>
      <c r="F31" s="236"/>
      <c r="H31" s="236"/>
    </row>
    <row r="32" spans="1:8" ht="15.75" customHeight="1" x14ac:dyDescent="0.15">
      <c r="B32" s="236"/>
      <c r="D32" s="236"/>
      <c r="F32" s="236"/>
      <c r="H32" s="236"/>
    </row>
    <row r="33" spans="2:8" ht="15.75" customHeight="1" x14ac:dyDescent="0.15">
      <c r="B33" s="236"/>
      <c r="D33" s="236"/>
      <c r="F33" s="236"/>
      <c r="H33" s="236"/>
    </row>
    <row r="34" spans="2:8" ht="15.75" customHeight="1" x14ac:dyDescent="0.15">
      <c r="B34" s="236"/>
      <c r="D34" s="236"/>
      <c r="F34" s="236"/>
      <c r="H34" s="236"/>
    </row>
    <row r="35" spans="2:8" ht="15.75" customHeight="1" x14ac:dyDescent="0.15">
      <c r="B35" s="236"/>
      <c r="D35" s="236"/>
      <c r="F35" s="236"/>
      <c r="H35" s="236"/>
    </row>
    <row r="36" spans="2:8" ht="15.75" customHeight="1" x14ac:dyDescent="0.15">
      <c r="B36" s="236"/>
      <c r="D36" s="236"/>
      <c r="F36" s="236"/>
      <c r="H36" s="236"/>
    </row>
    <row r="37" spans="2:8" ht="15.75" customHeight="1" x14ac:dyDescent="0.15">
      <c r="B37" s="236"/>
      <c r="D37" s="236"/>
      <c r="F37" s="236"/>
      <c r="H37" s="236"/>
    </row>
    <row r="38" spans="2:8" ht="15.75" customHeight="1" x14ac:dyDescent="0.15">
      <c r="B38" s="236"/>
      <c r="D38" s="236"/>
      <c r="F38" s="236"/>
      <c r="H38" s="236"/>
    </row>
    <row r="39" spans="2:8" ht="15.75" customHeight="1" x14ac:dyDescent="0.15">
      <c r="B39" s="236"/>
      <c r="D39" s="236"/>
      <c r="F39" s="236"/>
      <c r="H39" s="236"/>
    </row>
    <row r="40" spans="2:8" ht="15.75" customHeight="1" x14ac:dyDescent="0.15">
      <c r="B40" s="236"/>
      <c r="D40" s="236"/>
      <c r="F40" s="236"/>
      <c r="H40" s="236"/>
    </row>
    <row r="41" spans="2:8" ht="15.75" customHeight="1" x14ac:dyDescent="0.15">
      <c r="B41" s="236"/>
      <c r="D41" s="236"/>
      <c r="F41" s="236"/>
      <c r="H41" s="236"/>
    </row>
    <row r="42" spans="2:8" ht="15.75" customHeight="1" x14ac:dyDescent="0.15">
      <c r="B42" s="236"/>
      <c r="D42" s="236"/>
      <c r="F42" s="236"/>
      <c r="H42" s="236"/>
    </row>
    <row r="43" spans="2:8" ht="15.75" customHeight="1" x14ac:dyDescent="0.15">
      <c r="B43" s="236"/>
      <c r="D43" s="236"/>
      <c r="F43" s="236"/>
      <c r="H43" s="236"/>
    </row>
    <row r="44" spans="2:8" ht="15.75" customHeight="1" x14ac:dyDescent="0.15">
      <c r="B44" s="236"/>
      <c r="D44" s="236"/>
      <c r="F44" s="236"/>
      <c r="H44" s="236"/>
    </row>
    <row r="45" spans="2:8" ht="15.75" customHeight="1" x14ac:dyDescent="0.15">
      <c r="B45" s="236"/>
      <c r="D45" s="236"/>
      <c r="F45" s="236"/>
      <c r="H45" s="236"/>
    </row>
    <row r="46" spans="2:8" ht="15.75" customHeight="1" x14ac:dyDescent="0.15">
      <c r="B46" s="236"/>
      <c r="D46" s="236"/>
      <c r="F46" s="236"/>
      <c r="H46" s="236"/>
    </row>
    <row r="47" spans="2:8" ht="15.75" customHeight="1" x14ac:dyDescent="0.15">
      <c r="B47" s="236"/>
      <c r="D47" s="236"/>
      <c r="F47" s="236"/>
      <c r="H47" s="236"/>
    </row>
    <row r="48" spans="2:8" ht="15.75" customHeight="1" x14ac:dyDescent="0.15">
      <c r="B48" s="236"/>
      <c r="D48" s="236"/>
      <c r="F48" s="236"/>
      <c r="H48" s="236"/>
    </row>
    <row r="49" spans="2:8" ht="15.75" customHeight="1" x14ac:dyDescent="0.15">
      <c r="B49" s="236"/>
      <c r="D49" s="236"/>
      <c r="F49" s="236"/>
      <c r="H49" s="236"/>
    </row>
    <row r="50" spans="2:8" ht="15.75" customHeight="1" x14ac:dyDescent="0.15">
      <c r="B50" s="236"/>
      <c r="D50" s="236"/>
      <c r="F50" s="236"/>
      <c r="H50" s="236"/>
    </row>
    <row r="51" spans="2:8" ht="13" x14ac:dyDescent="0.15">
      <c r="B51" s="236"/>
      <c r="D51" s="236"/>
      <c r="F51" s="236"/>
      <c r="H51" s="236"/>
    </row>
    <row r="52" spans="2:8" ht="13" x14ac:dyDescent="0.15">
      <c r="B52" s="236"/>
      <c r="D52" s="236"/>
      <c r="F52" s="236"/>
      <c r="H52" s="236"/>
    </row>
    <row r="53" spans="2:8" ht="13" x14ac:dyDescent="0.15">
      <c r="B53" s="236"/>
      <c r="D53" s="236"/>
      <c r="F53" s="236"/>
      <c r="H53" s="236"/>
    </row>
    <row r="54" spans="2:8" ht="13" x14ac:dyDescent="0.15">
      <c r="B54" s="236"/>
      <c r="D54" s="236"/>
      <c r="F54" s="236"/>
      <c r="H54" s="236"/>
    </row>
    <row r="55" spans="2:8" ht="13" x14ac:dyDescent="0.15">
      <c r="B55" s="236"/>
      <c r="D55" s="236"/>
      <c r="F55" s="236"/>
      <c r="H55" s="236"/>
    </row>
    <row r="56" spans="2:8" ht="13" x14ac:dyDescent="0.15">
      <c r="B56" s="236"/>
      <c r="D56" s="236"/>
      <c r="F56" s="236"/>
      <c r="H56" s="236"/>
    </row>
    <row r="57" spans="2:8" ht="13" x14ac:dyDescent="0.15">
      <c r="B57" s="236"/>
      <c r="D57" s="236"/>
      <c r="F57" s="236"/>
      <c r="H57" s="236"/>
    </row>
    <row r="58" spans="2:8" ht="13" x14ac:dyDescent="0.15">
      <c r="B58" s="236"/>
      <c r="D58" s="236"/>
      <c r="F58" s="236"/>
      <c r="H58" s="236"/>
    </row>
    <row r="59" spans="2:8" ht="13" x14ac:dyDescent="0.15">
      <c r="B59" s="236"/>
      <c r="D59" s="236"/>
      <c r="F59" s="236"/>
      <c r="H59" s="236"/>
    </row>
    <row r="60" spans="2:8" ht="13" x14ac:dyDescent="0.15">
      <c r="B60" s="236"/>
      <c r="D60" s="236"/>
      <c r="F60" s="236"/>
      <c r="H60" s="236"/>
    </row>
    <row r="61" spans="2:8" ht="13" x14ac:dyDescent="0.15">
      <c r="B61" s="236"/>
      <c r="D61" s="236"/>
      <c r="F61" s="236"/>
      <c r="H61" s="236"/>
    </row>
    <row r="62" spans="2:8" ht="13" x14ac:dyDescent="0.15">
      <c r="B62" s="236"/>
      <c r="D62" s="236"/>
      <c r="F62" s="236"/>
      <c r="H62" s="236"/>
    </row>
    <row r="63" spans="2:8" ht="13" x14ac:dyDescent="0.15">
      <c r="B63" s="236"/>
      <c r="D63" s="236"/>
      <c r="F63" s="236"/>
      <c r="H63" s="236"/>
    </row>
    <row r="64" spans="2:8" ht="13" x14ac:dyDescent="0.15">
      <c r="B64" s="236"/>
      <c r="D64" s="236"/>
      <c r="F64" s="236"/>
      <c r="H64" s="236"/>
    </row>
    <row r="65" spans="2:8" ht="13" x14ac:dyDescent="0.15">
      <c r="B65" s="236"/>
      <c r="D65" s="236"/>
      <c r="F65" s="236"/>
      <c r="H65" s="236"/>
    </row>
    <row r="66" spans="2:8" ht="13" x14ac:dyDescent="0.15">
      <c r="B66" s="236"/>
      <c r="D66" s="236"/>
      <c r="F66" s="236"/>
      <c r="H66" s="236"/>
    </row>
    <row r="67" spans="2:8" ht="13" x14ac:dyDescent="0.15">
      <c r="B67" s="236"/>
      <c r="D67" s="236"/>
      <c r="F67" s="236"/>
      <c r="H67" s="236"/>
    </row>
    <row r="68" spans="2:8" ht="13" x14ac:dyDescent="0.15">
      <c r="B68" s="236"/>
      <c r="D68" s="236"/>
      <c r="F68" s="236"/>
      <c r="H68" s="236"/>
    </row>
    <row r="69" spans="2:8" ht="13" x14ac:dyDescent="0.15">
      <c r="B69" s="236"/>
      <c r="D69" s="236"/>
      <c r="F69" s="236"/>
      <c r="H69" s="236"/>
    </row>
    <row r="70" spans="2:8" ht="13" x14ac:dyDescent="0.15">
      <c r="B70" s="236"/>
      <c r="D70" s="236"/>
      <c r="F70" s="236"/>
      <c r="H70" s="236"/>
    </row>
    <row r="71" spans="2:8" ht="13" x14ac:dyDescent="0.15">
      <c r="B71" s="236"/>
      <c r="D71" s="236"/>
      <c r="F71" s="236"/>
      <c r="H71" s="236"/>
    </row>
    <row r="72" spans="2:8" ht="13" x14ac:dyDescent="0.15">
      <c r="B72" s="236"/>
      <c r="D72" s="236"/>
      <c r="F72" s="236"/>
      <c r="H72" s="236"/>
    </row>
    <row r="73" spans="2:8" ht="13" x14ac:dyDescent="0.15">
      <c r="B73" s="236"/>
      <c r="D73" s="236"/>
      <c r="F73" s="236"/>
      <c r="H73" s="236"/>
    </row>
    <row r="74" spans="2:8" ht="13" x14ac:dyDescent="0.15">
      <c r="B74" s="236"/>
      <c r="D74" s="236"/>
      <c r="F74" s="236"/>
      <c r="H74" s="236"/>
    </row>
    <row r="75" spans="2:8" ht="13" x14ac:dyDescent="0.15">
      <c r="B75" s="236"/>
      <c r="D75" s="236"/>
      <c r="F75" s="236"/>
      <c r="H75" s="236"/>
    </row>
    <row r="76" spans="2:8" ht="13" x14ac:dyDescent="0.15">
      <c r="B76" s="236"/>
      <c r="D76" s="236"/>
      <c r="F76" s="236"/>
      <c r="H76" s="236"/>
    </row>
    <row r="77" spans="2:8" ht="13" x14ac:dyDescent="0.15">
      <c r="B77" s="236"/>
      <c r="D77" s="236"/>
      <c r="F77" s="236"/>
      <c r="H77" s="236"/>
    </row>
    <row r="78" spans="2:8" ht="13" x14ac:dyDescent="0.15">
      <c r="B78" s="236"/>
      <c r="D78" s="236"/>
      <c r="F78" s="236"/>
      <c r="H78" s="236"/>
    </row>
    <row r="79" spans="2:8" ht="13" x14ac:dyDescent="0.15">
      <c r="B79" s="236"/>
      <c r="D79" s="236"/>
      <c r="F79" s="236"/>
      <c r="H79" s="236"/>
    </row>
    <row r="80" spans="2:8" ht="13" x14ac:dyDescent="0.15">
      <c r="B80" s="236"/>
      <c r="D80" s="236"/>
      <c r="F80" s="236"/>
      <c r="H80" s="236"/>
    </row>
    <row r="81" spans="2:8" ht="13" x14ac:dyDescent="0.15">
      <c r="B81" s="236"/>
      <c r="D81" s="236"/>
      <c r="F81" s="236"/>
      <c r="H81" s="236"/>
    </row>
    <row r="82" spans="2:8" ht="13" x14ac:dyDescent="0.15">
      <c r="B82" s="236"/>
      <c r="D82" s="236"/>
      <c r="F82" s="236"/>
      <c r="H82" s="236"/>
    </row>
    <row r="83" spans="2:8" ht="13" x14ac:dyDescent="0.15">
      <c r="B83" s="236"/>
      <c r="D83" s="236"/>
      <c r="F83" s="236"/>
      <c r="H83" s="236"/>
    </row>
    <row r="84" spans="2:8" ht="13" x14ac:dyDescent="0.15">
      <c r="B84" s="236"/>
      <c r="D84" s="236"/>
      <c r="F84" s="236"/>
      <c r="H84" s="236"/>
    </row>
    <row r="85" spans="2:8" ht="13" x14ac:dyDescent="0.15">
      <c r="B85" s="236"/>
      <c r="D85" s="236"/>
      <c r="F85" s="236"/>
      <c r="H85" s="236"/>
    </row>
    <row r="86" spans="2:8" ht="13" x14ac:dyDescent="0.15">
      <c r="B86" s="236"/>
      <c r="D86" s="236"/>
      <c r="F86" s="236"/>
      <c r="H86" s="236"/>
    </row>
    <row r="87" spans="2:8" ht="13" x14ac:dyDescent="0.15">
      <c r="B87" s="236"/>
      <c r="D87" s="236"/>
      <c r="F87" s="236"/>
      <c r="H87" s="236"/>
    </row>
    <row r="88" spans="2:8" ht="13" x14ac:dyDescent="0.15">
      <c r="B88" s="236"/>
      <c r="D88" s="236"/>
      <c r="F88" s="236"/>
      <c r="H88" s="236"/>
    </row>
    <row r="89" spans="2:8" ht="13" x14ac:dyDescent="0.15">
      <c r="B89" s="236"/>
      <c r="D89" s="236"/>
      <c r="F89" s="236"/>
      <c r="H89" s="236"/>
    </row>
    <row r="90" spans="2:8" ht="13" x14ac:dyDescent="0.15">
      <c r="B90" s="236"/>
      <c r="D90" s="236"/>
      <c r="F90" s="236"/>
      <c r="H90" s="236"/>
    </row>
    <row r="91" spans="2:8" ht="13" x14ac:dyDescent="0.15">
      <c r="B91" s="236"/>
      <c r="D91" s="236"/>
      <c r="F91" s="236"/>
      <c r="H91" s="236"/>
    </row>
    <row r="92" spans="2:8" ht="13" x14ac:dyDescent="0.15">
      <c r="B92" s="236"/>
      <c r="D92" s="236"/>
      <c r="F92" s="236"/>
      <c r="H92" s="236"/>
    </row>
    <row r="93" spans="2:8" ht="13" x14ac:dyDescent="0.15">
      <c r="B93" s="236"/>
      <c r="D93" s="236"/>
      <c r="F93" s="236"/>
      <c r="H93" s="236"/>
    </row>
    <row r="94" spans="2:8" ht="13" x14ac:dyDescent="0.15">
      <c r="B94" s="236"/>
      <c r="D94" s="236"/>
      <c r="F94" s="236"/>
      <c r="H94" s="236"/>
    </row>
    <row r="95" spans="2:8" ht="13" x14ac:dyDescent="0.15">
      <c r="B95" s="236"/>
      <c r="D95" s="236"/>
      <c r="F95" s="236"/>
      <c r="H95" s="236"/>
    </row>
    <row r="96" spans="2:8" ht="13" x14ac:dyDescent="0.15">
      <c r="B96" s="236"/>
      <c r="D96" s="236"/>
      <c r="F96" s="236"/>
      <c r="H96" s="236"/>
    </row>
    <row r="97" spans="2:8" ht="13" x14ac:dyDescent="0.15">
      <c r="B97" s="236"/>
      <c r="D97" s="236"/>
      <c r="F97" s="236"/>
      <c r="H97" s="236"/>
    </row>
    <row r="98" spans="2:8" ht="13" x14ac:dyDescent="0.15">
      <c r="B98" s="236"/>
      <c r="D98" s="236"/>
      <c r="F98" s="236"/>
      <c r="H98" s="236"/>
    </row>
    <row r="99" spans="2:8" ht="13" x14ac:dyDescent="0.15">
      <c r="B99" s="236"/>
      <c r="D99" s="236"/>
      <c r="F99" s="236"/>
      <c r="H99" s="236"/>
    </row>
    <row r="100" spans="2:8" ht="13" x14ac:dyDescent="0.15">
      <c r="B100" s="236"/>
      <c r="D100" s="236"/>
      <c r="F100" s="236"/>
      <c r="H100" s="236"/>
    </row>
    <row r="101" spans="2:8" ht="13" x14ac:dyDescent="0.15">
      <c r="B101" s="236"/>
      <c r="D101" s="236"/>
      <c r="F101" s="236"/>
      <c r="H101" s="236"/>
    </row>
    <row r="102" spans="2:8" ht="13" x14ac:dyDescent="0.15">
      <c r="B102" s="236"/>
      <c r="D102" s="236"/>
      <c r="F102" s="236"/>
      <c r="H102" s="236"/>
    </row>
    <row r="103" spans="2:8" ht="13" x14ac:dyDescent="0.15">
      <c r="B103" s="236"/>
      <c r="D103" s="236"/>
      <c r="F103" s="236"/>
      <c r="H103" s="236"/>
    </row>
    <row r="104" spans="2:8" ht="13" x14ac:dyDescent="0.15">
      <c r="B104" s="236"/>
      <c r="D104" s="236"/>
      <c r="F104" s="236"/>
      <c r="H104" s="236"/>
    </row>
    <row r="105" spans="2:8" ht="13" x14ac:dyDescent="0.15">
      <c r="B105" s="236"/>
      <c r="D105" s="236"/>
      <c r="F105" s="236"/>
      <c r="H105" s="236"/>
    </row>
    <row r="106" spans="2:8" ht="13" x14ac:dyDescent="0.15">
      <c r="B106" s="236"/>
      <c r="D106" s="236"/>
      <c r="F106" s="236"/>
      <c r="H106" s="236"/>
    </row>
    <row r="107" spans="2:8" ht="13" x14ac:dyDescent="0.15">
      <c r="B107" s="236"/>
      <c r="D107" s="236"/>
      <c r="F107" s="236"/>
      <c r="H107" s="236"/>
    </row>
    <row r="108" spans="2:8" ht="13" x14ac:dyDescent="0.15">
      <c r="B108" s="236"/>
      <c r="D108" s="236"/>
      <c r="F108" s="236"/>
      <c r="H108" s="236"/>
    </row>
    <row r="109" spans="2:8" ht="13" x14ac:dyDescent="0.15">
      <c r="B109" s="236"/>
      <c r="D109" s="236"/>
      <c r="F109" s="236"/>
      <c r="H109" s="236"/>
    </row>
    <row r="110" spans="2:8" ht="13" x14ac:dyDescent="0.15">
      <c r="B110" s="236"/>
      <c r="D110" s="236"/>
      <c r="F110" s="236"/>
      <c r="H110" s="236"/>
    </row>
    <row r="111" spans="2:8" ht="13" x14ac:dyDescent="0.15">
      <c r="B111" s="236"/>
      <c r="D111" s="236"/>
      <c r="F111" s="236"/>
      <c r="H111" s="236"/>
    </row>
    <row r="112" spans="2:8" ht="13" x14ac:dyDescent="0.15">
      <c r="B112" s="236"/>
      <c r="D112" s="236"/>
      <c r="F112" s="236"/>
      <c r="H112" s="236"/>
    </row>
    <row r="113" spans="2:8" ht="13" x14ac:dyDescent="0.15">
      <c r="B113" s="236"/>
      <c r="D113" s="236"/>
      <c r="F113" s="236"/>
      <c r="H113" s="236"/>
    </row>
    <row r="114" spans="2:8" ht="13" x14ac:dyDescent="0.15">
      <c r="B114" s="236"/>
      <c r="D114" s="236"/>
      <c r="F114" s="236"/>
      <c r="H114" s="236"/>
    </row>
    <row r="115" spans="2:8" ht="13" x14ac:dyDescent="0.15">
      <c r="B115" s="236"/>
      <c r="D115" s="236"/>
      <c r="F115" s="236"/>
      <c r="H115" s="236"/>
    </row>
    <row r="116" spans="2:8" ht="13" x14ac:dyDescent="0.15">
      <c r="B116" s="236"/>
      <c r="D116" s="236"/>
      <c r="F116" s="236"/>
      <c r="H116" s="236"/>
    </row>
    <row r="117" spans="2:8" ht="13" x14ac:dyDescent="0.15">
      <c r="B117" s="236"/>
      <c r="D117" s="236"/>
      <c r="F117" s="236"/>
      <c r="H117" s="236"/>
    </row>
    <row r="118" spans="2:8" ht="13" x14ac:dyDescent="0.15">
      <c r="B118" s="236"/>
      <c r="D118" s="236"/>
      <c r="F118" s="236"/>
      <c r="H118" s="236"/>
    </row>
    <row r="119" spans="2:8" ht="13" x14ac:dyDescent="0.15">
      <c r="B119" s="236"/>
      <c r="D119" s="236"/>
      <c r="F119" s="236"/>
      <c r="H119" s="236"/>
    </row>
    <row r="120" spans="2:8" ht="13" x14ac:dyDescent="0.15">
      <c r="B120" s="236"/>
      <c r="D120" s="236"/>
      <c r="F120" s="236"/>
      <c r="H120" s="236"/>
    </row>
    <row r="121" spans="2:8" ht="13" x14ac:dyDescent="0.15">
      <c r="B121" s="236"/>
      <c r="D121" s="236"/>
      <c r="F121" s="236"/>
      <c r="H121" s="236"/>
    </row>
    <row r="122" spans="2:8" ht="13" x14ac:dyDescent="0.15">
      <c r="B122" s="236"/>
      <c r="D122" s="236"/>
      <c r="F122" s="236"/>
      <c r="H122" s="236"/>
    </row>
    <row r="123" spans="2:8" ht="13" x14ac:dyDescent="0.15">
      <c r="B123" s="236"/>
      <c r="D123" s="236"/>
      <c r="F123" s="236"/>
      <c r="H123" s="236"/>
    </row>
    <row r="124" spans="2:8" ht="13" x14ac:dyDescent="0.15">
      <c r="B124" s="236"/>
      <c r="D124" s="236"/>
      <c r="F124" s="236"/>
      <c r="H124" s="236"/>
    </row>
    <row r="125" spans="2:8" ht="13" x14ac:dyDescent="0.15">
      <c r="B125" s="236"/>
      <c r="D125" s="236"/>
      <c r="F125" s="236"/>
      <c r="H125" s="236"/>
    </row>
    <row r="126" spans="2:8" ht="13" x14ac:dyDescent="0.15">
      <c r="B126" s="236"/>
      <c r="D126" s="236"/>
      <c r="F126" s="236"/>
      <c r="H126" s="236"/>
    </row>
    <row r="127" spans="2:8" ht="13" x14ac:dyDescent="0.15">
      <c r="B127" s="236"/>
      <c r="D127" s="236"/>
      <c r="F127" s="236"/>
      <c r="H127" s="236"/>
    </row>
    <row r="128" spans="2:8" ht="13" x14ac:dyDescent="0.15">
      <c r="B128" s="236"/>
      <c r="D128" s="236"/>
      <c r="F128" s="236"/>
      <c r="H128" s="236"/>
    </row>
    <row r="129" spans="2:8" ht="13" x14ac:dyDescent="0.15">
      <c r="B129" s="236"/>
      <c r="D129" s="236"/>
      <c r="F129" s="236"/>
      <c r="H129" s="236"/>
    </row>
    <row r="130" spans="2:8" ht="13" x14ac:dyDescent="0.15">
      <c r="B130" s="236"/>
      <c r="D130" s="236"/>
      <c r="F130" s="236"/>
      <c r="H130" s="236"/>
    </row>
    <row r="131" spans="2:8" ht="13" x14ac:dyDescent="0.15">
      <c r="B131" s="236"/>
      <c r="D131" s="236"/>
      <c r="F131" s="236"/>
      <c r="H131" s="236"/>
    </row>
    <row r="132" spans="2:8" ht="13" x14ac:dyDescent="0.15">
      <c r="B132" s="236"/>
      <c r="D132" s="236"/>
      <c r="F132" s="236"/>
      <c r="H132" s="236"/>
    </row>
    <row r="133" spans="2:8" ht="13" x14ac:dyDescent="0.15">
      <c r="B133" s="236"/>
      <c r="D133" s="236"/>
      <c r="F133" s="236"/>
      <c r="H133" s="236"/>
    </row>
    <row r="134" spans="2:8" ht="13" x14ac:dyDescent="0.15">
      <c r="B134" s="236"/>
      <c r="D134" s="236"/>
      <c r="F134" s="236"/>
      <c r="H134" s="236"/>
    </row>
    <row r="135" spans="2:8" ht="13" x14ac:dyDescent="0.15">
      <c r="B135" s="236"/>
      <c r="D135" s="236"/>
      <c r="F135" s="236"/>
      <c r="H135" s="236"/>
    </row>
    <row r="136" spans="2:8" ht="13" x14ac:dyDescent="0.15">
      <c r="B136" s="236"/>
      <c r="D136" s="236"/>
      <c r="F136" s="236"/>
      <c r="H136" s="236"/>
    </row>
    <row r="137" spans="2:8" ht="13" x14ac:dyDescent="0.15">
      <c r="B137" s="236"/>
      <c r="D137" s="236"/>
      <c r="F137" s="236"/>
      <c r="H137" s="236"/>
    </row>
    <row r="138" spans="2:8" ht="13" x14ac:dyDescent="0.15">
      <c r="B138" s="236"/>
      <c r="D138" s="236"/>
      <c r="F138" s="236"/>
      <c r="H138" s="236"/>
    </row>
    <row r="139" spans="2:8" ht="13" x14ac:dyDescent="0.15">
      <c r="B139" s="236"/>
      <c r="D139" s="236"/>
      <c r="F139" s="236"/>
      <c r="H139" s="236"/>
    </row>
    <row r="140" spans="2:8" ht="13" x14ac:dyDescent="0.15">
      <c r="B140" s="236"/>
      <c r="D140" s="236"/>
      <c r="F140" s="236"/>
      <c r="H140" s="236"/>
    </row>
    <row r="141" spans="2:8" ht="13" x14ac:dyDescent="0.15">
      <c r="B141" s="236"/>
      <c r="D141" s="236"/>
      <c r="F141" s="236"/>
      <c r="H141" s="236"/>
    </row>
    <row r="142" spans="2:8" ht="13" x14ac:dyDescent="0.15">
      <c r="B142" s="236"/>
      <c r="D142" s="236"/>
      <c r="F142" s="236"/>
      <c r="H142" s="236"/>
    </row>
    <row r="143" spans="2:8" ht="13" x14ac:dyDescent="0.15">
      <c r="B143" s="236"/>
      <c r="D143" s="236"/>
      <c r="F143" s="236"/>
      <c r="H143" s="236"/>
    </row>
    <row r="144" spans="2:8" ht="13" x14ac:dyDescent="0.15">
      <c r="B144" s="236"/>
      <c r="D144" s="236"/>
      <c r="F144" s="236"/>
      <c r="H144" s="236"/>
    </row>
    <row r="145" spans="2:8" ht="13" x14ac:dyDescent="0.15">
      <c r="B145" s="236"/>
      <c r="D145" s="236"/>
      <c r="F145" s="236"/>
      <c r="H145" s="236"/>
    </row>
    <row r="146" spans="2:8" ht="13" x14ac:dyDescent="0.15">
      <c r="B146" s="236"/>
      <c r="D146" s="236"/>
      <c r="F146" s="236"/>
      <c r="H146" s="236"/>
    </row>
    <row r="147" spans="2:8" ht="13" x14ac:dyDescent="0.15">
      <c r="B147" s="236"/>
      <c r="D147" s="236"/>
      <c r="F147" s="236"/>
      <c r="H147" s="236"/>
    </row>
    <row r="148" spans="2:8" ht="13" x14ac:dyDescent="0.15">
      <c r="B148" s="236"/>
      <c r="D148" s="236"/>
      <c r="F148" s="236"/>
      <c r="H148" s="236"/>
    </row>
    <row r="149" spans="2:8" ht="13" x14ac:dyDescent="0.15">
      <c r="B149" s="236"/>
      <c r="D149" s="236"/>
      <c r="F149" s="236"/>
      <c r="H149" s="236"/>
    </row>
    <row r="150" spans="2:8" ht="13" x14ac:dyDescent="0.15">
      <c r="B150" s="236"/>
      <c r="D150" s="236"/>
      <c r="F150" s="236"/>
      <c r="H150" s="236"/>
    </row>
    <row r="151" spans="2:8" ht="13" x14ac:dyDescent="0.15">
      <c r="B151" s="236"/>
      <c r="D151" s="236"/>
      <c r="F151" s="236"/>
      <c r="H151" s="236"/>
    </row>
    <row r="152" spans="2:8" ht="13" x14ac:dyDescent="0.15">
      <c r="B152" s="236"/>
      <c r="D152" s="236"/>
      <c r="F152" s="236"/>
      <c r="H152" s="236"/>
    </row>
    <row r="153" spans="2:8" ht="13" x14ac:dyDescent="0.15">
      <c r="B153" s="236"/>
      <c r="D153" s="236"/>
      <c r="F153" s="236"/>
      <c r="H153" s="236"/>
    </row>
    <row r="154" spans="2:8" ht="13" x14ac:dyDescent="0.15">
      <c r="B154" s="236"/>
      <c r="D154" s="236"/>
      <c r="F154" s="236"/>
      <c r="H154" s="236"/>
    </row>
    <row r="155" spans="2:8" ht="13" x14ac:dyDescent="0.15">
      <c r="B155" s="236"/>
      <c r="D155" s="236"/>
      <c r="F155" s="236"/>
      <c r="H155" s="236"/>
    </row>
    <row r="156" spans="2:8" ht="13" x14ac:dyDescent="0.15">
      <c r="B156" s="236"/>
      <c r="D156" s="236"/>
      <c r="F156" s="236"/>
      <c r="H156" s="236"/>
    </row>
    <row r="157" spans="2:8" ht="13" x14ac:dyDescent="0.15">
      <c r="B157" s="236"/>
      <c r="D157" s="236"/>
      <c r="F157" s="236"/>
      <c r="H157" s="236"/>
    </row>
    <row r="158" spans="2:8" ht="13" x14ac:dyDescent="0.15">
      <c r="B158" s="236"/>
      <c r="D158" s="236"/>
      <c r="F158" s="236"/>
      <c r="H158" s="236"/>
    </row>
    <row r="159" spans="2:8" ht="13" x14ac:dyDescent="0.15">
      <c r="B159" s="236"/>
      <c r="D159" s="236"/>
      <c r="F159" s="236"/>
      <c r="H159" s="236"/>
    </row>
    <row r="160" spans="2:8" ht="13" x14ac:dyDescent="0.15">
      <c r="B160" s="236"/>
      <c r="D160" s="236"/>
      <c r="F160" s="236"/>
      <c r="H160" s="236"/>
    </row>
    <row r="161" spans="2:8" ht="13" x14ac:dyDescent="0.15">
      <c r="B161" s="236"/>
      <c r="D161" s="236"/>
      <c r="F161" s="236"/>
      <c r="H161" s="236"/>
    </row>
    <row r="162" spans="2:8" ht="13" x14ac:dyDescent="0.15">
      <c r="B162" s="236"/>
      <c r="D162" s="236"/>
      <c r="F162" s="236"/>
      <c r="H162" s="236"/>
    </row>
    <row r="163" spans="2:8" ht="13" x14ac:dyDescent="0.15">
      <c r="B163" s="236"/>
      <c r="D163" s="236"/>
      <c r="F163" s="236"/>
      <c r="H163" s="236"/>
    </row>
    <row r="164" spans="2:8" ht="13" x14ac:dyDescent="0.15">
      <c r="B164" s="236"/>
      <c r="D164" s="236"/>
      <c r="F164" s="236"/>
      <c r="H164" s="236"/>
    </row>
    <row r="165" spans="2:8" ht="13" x14ac:dyDescent="0.15">
      <c r="B165" s="236"/>
      <c r="D165" s="236"/>
      <c r="F165" s="236"/>
      <c r="H165" s="236"/>
    </row>
    <row r="166" spans="2:8" ht="13" x14ac:dyDescent="0.15">
      <c r="B166" s="236"/>
      <c r="D166" s="236"/>
      <c r="F166" s="236"/>
      <c r="H166" s="236"/>
    </row>
    <row r="167" spans="2:8" ht="13" x14ac:dyDescent="0.15">
      <c r="B167" s="236"/>
      <c r="D167" s="236"/>
      <c r="F167" s="236"/>
      <c r="H167" s="236"/>
    </row>
    <row r="168" spans="2:8" ht="13" x14ac:dyDescent="0.15">
      <c r="B168" s="236"/>
      <c r="D168" s="236"/>
      <c r="F168" s="236"/>
      <c r="H168" s="236"/>
    </row>
    <row r="169" spans="2:8" ht="13" x14ac:dyDescent="0.15">
      <c r="B169" s="236"/>
      <c r="D169" s="236"/>
      <c r="F169" s="236"/>
      <c r="H169" s="236"/>
    </row>
    <row r="170" spans="2:8" ht="13" x14ac:dyDescent="0.15">
      <c r="B170" s="236"/>
      <c r="D170" s="236"/>
      <c r="F170" s="236"/>
      <c r="H170" s="236"/>
    </row>
    <row r="171" spans="2:8" ht="13" x14ac:dyDescent="0.15">
      <c r="B171" s="236"/>
      <c r="D171" s="236"/>
      <c r="F171" s="236"/>
      <c r="H171" s="236"/>
    </row>
    <row r="172" spans="2:8" ht="13" x14ac:dyDescent="0.15">
      <c r="B172" s="236"/>
      <c r="D172" s="236"/>
      <c r="F172" s="236"/>
      <c r="H172" s="236"/>
    </row>
    <row r="173" spans="2:8" ht="13" x14ac:dyDescent="0.15">
      <c r="B173" s="236"/>
      <c r="D173" s="236"/>
      <c r="F173" s="236"/>
      <c r="H173" s="236"/>
    </row>
    <row r="174" spans="2:8" ht="13" x14ac:dyDescent="0.15">
      <c r="B174" s="236"/>
      <c r="D174" s="236"/>
      <c r="F174" s="236"/>
      <c r="H174" s="236"/>
    </row>
    <row r="175" spans="2:8" ht="13" x14ac:dyDescent="0.15">
      <c r="B175" s="236"/>
      <c r="D175" s="236"/>
      <c r="F175" s="236"/>
      <c r="H175" s="236"/>
    </row>
    <row r="176" spans="2:8" ht="13" x14ac:dyDescent="0.15">
      <c r="B176" s="236"/>
      <c r="D176" s="236"/>
      <c r="F176" s="236"/>
      <c r="H176" s="236"/>
    </row>
    <row r="177" spans="2:8" ht="13" x14ac:dyDescent="0.15">
      <c r="B177" s="236"/>
      <c r="D177" s="236"/>
      <c r="F177" s="236"/>
      <c r="H177" s="236"/>
    </row>
    <row r="178" spans="2:8" ht="13" x14ac:dyDescent="0.15">
      <c r="B178" s="236"/>
      <c r="D178" s="236"/>
      <c r="F178" s="236"/>
      <c r="H178" s="236"/>
    </row>
    <row r="179" spans="2:8" ht="13" x14ac:dyDescent="0.15">
      <c r="B179" s="236"/>
      <c r="D179" s="236"/>
      <c r="F179" s="236"/>
      <c r="H179" s="236"/>
    </row>
    <row r="180" spans="2:8" ht="13" x14ac:dyDescent="0.15">
      <c r="B180" s="236"/>
      <c r="D180" s="236"/>
      <c r="F180" s="236"/>
      <c r="H180" s="236"/>
    </row>
    <row r="181" spans="2:8" ht="13" x14ac:dyDescent="0.15">
      <c r="B181" s="236"/>
      <c r="D181" s="236"/>
      <c r="F181" s="236"/>
      <c r="H181" s="236"/>
    </row>
    <row r="182" spans="2:8" ht="13" x14ac:dyDescent="0.15">
      <c r="B182" s="236"/>
      <c r="D182" s="236"/>
      <c r="F182" s="236"/>
      <c r="H182" s="236"/>
    </row>
    <row r="183" spans="2:8" ht="13" x14ac:dyDescent="0.15">
      <c r="B183" s="236"/>
      <c r="D183" s="236"/>
      <c r="F183" s="236"/>
      <c r="H183" s="236"/>
    </row>
    <row r="184" spans="2:8" ht="13" x14ac:dyDescent="0.15">
      <c r="B184" s="236"/>
      <c r="D184" s="236"/>
      <c r="F184" s="236"/>
      <c r="H184" s="236"/>
    </row>
    <row r="185" spans="2:8" ht="13" x14ac:dyDescent="0.15">
      <c r="B185" s="236"/>
      <c r="D185" s="236"/>
      <c r="F185" s="236"/>
      <c r="H185" s="236"/>
    </row>
    <row r="186" spans="2:8" ht="13" x14ac:dyDescent="0.15">
      <c r="B186" s="236"/>
      <c r="D186" s="236"/>
      <c r="F186" s="236"/>
      <c r="H186" s="236"/>
    </row>
    <row r="187" spans="2:8" ht="13" x14ac:dyDescent="0.15">
      <c r="B187" s="236"/>
      <c r="D187" s="236"/>
      <c r="F187" s="236"/>
      <c r="H187" s="236"/>
    </row>
    <row r="188" spans="2:8" ht="13" x14ac:dyDescent="0.15">
      <c r="B188" s="236"/>
      <c r="D188" s="236"/>
      <c r="F188" s="236"/>
      <c r="H188" s="236"/>
    </row>
    <row r="189" spans="2:8" ht="13" x14ac:dyDescent="0.15">
      <c r="B189" s="236"/>
      <c r="D189" s="236"/>
      <c r="F189" s="236"/>
      <c r="H189" s="236"/>
    </row>
    <row r="190" spans="2:8" ht="13" x14ac:dyDescent="0.15">
      <c r="B190" s="236"/>
      <c r="D190" s="236"/>
      <c r="F190" s="236"/>
      <c r="H190" s="236"/>
    </row>
    <row r="191" spans="2:8" ht="13" x14ac:dyDescent="0.15">
      <c r="B191" s="236"/>
      <c r="D191" s="236"/>
      <c r="F191" s="236"/>
      <c r="H191" s="236"/>
    </row>
    <row r="192" spans="2:8" ht="13" x14ac:dyDescent="0.15">
      <c r="B192" s="236"/>
      <c r="D192" s="236"/>
      <c r="F192" s="236"/>
      <c r="H192" s="236"/>
    </row>
    <row r="193" spans="2:8" ht="13" x14ac:dyDescent="0.15">
      <c r="B193" s="236"/>
      <c r="D193" s="236"/>
      <c r="F193" s="236"/>
      <c r="H193" s="236"/>
    </row>
    <row r="194" spans="2:8" ht="13" x14ac:dyDescent="0.15">
      <c r="B194" s="236"/>
      <c r="D194" s="236"/>
      <c r="F194" s="236"/>
      <c r="H194" s="236"/>
    </row>
    <row r="195" spans="2:8" ht="13" x14ac:dyDescent="0.15">
      <c r="B195" s="236"/>
      <c r="D195" s="236"/>
      <c r="F195" s="236"/>
      <c r="H195" s="236"/>
    </row>
    <row r="196" spans="2:8" ht="13" x14ac:dyDescent="0.15">
      <c r="B196" s="236"/>
      <c r="D196" s="236"/>
      <c r="F196" s="236"/>
      <c r="H196" s="236"/>
    </row>
    <row r="197" spans="2:8" ht="13" x14ac:dyDescent="0.15">
      <c r="B197" s="236"/>
      <c r="D197" s="236"/>
      <c r="F197" s="236"/>
      <c r="H197" s="236"/>
    </row>
    <row r="198" spans="2:8" ht="13" x14ac:dyDescent="0.15">
      <c r="B198" s="236"/>
      <c r="D198" s="236"/>
      <c r="F198" s="236"/>
      <c r="H198" s="236"/>
    </row>
    <row r="199" spans="2:8" ht="13" x14ac:dyDescent="0.15">
      <c r="B199" s="236"/>
      <c r="D199" s="236"/>
      <c r="F199" s="236"/>
      <c r="H199" s="236"/>
    </row>
    <row r="200" spans="2:8" ht="13" x14ac:dyDescent="0.15">
      <c r="B200" s="236"/>
      <c r="D200" s="236"/>
      <c r="F200" s="236"/>
      <c r="H200" s="236"/>
    </row>
    <row r="201" spans="2:8" ht="13" x14ac:dyDescent="0.15">
      <c r="B201" s="236"/>
      <c r="D201" s="236"/>
      <c r="F201" s="236"/>
      <c r="H201" s="236"/>
    </row>
    <row r="202" spans="2:8" ht="13" x14ac:dyDescent="0.15">
      <c r="B202" s="236"/>
      <c r="D202" s="236"/>
      <c r="F202" s="236"/>
      <c r="H202" s="236"/>
    </row>
    <row r="203" spans="2:8" ht="13" x14ac:dyDescent="0.15">
      <c r="B203" s="236"/>
      <c r="D203" s="236"/>
      <c r="F203" s="236"/>
      <c r="H203" s="236"/>
    </row>
    <row r="204" spans="2:8" ht="13" x14ac:dyDescent="0.15">
      <c r="B204" s="236"/>
      <c r="D204" s="236"/>
      <c r="F204" s="236"/>
      <c r="H204" s="236"/>
    </row>
    <row r="205" spans="2:8" ht="13" x14ac:dyDescent="0.15">
      <c r="B205" s="236"/>
      <c r="D205" s="236"/>
      <c r="F205" s="236"/>
      <c r="H205" s="236"/>
    </row>
    <row r="206" spans="2:8" ht="13" x14ac:dyDescent="0.15">
      <c r="B206" s="236"/>
      <c r="D206" s="236"/>
      <c r="F206" s="236"/>
      <c r="H206" s="236"/>
    </row>
    <row r="207" spans="2:8" ht="13" x14ac:dyDescent="0.15">
      <c r="B207" s="236"/>
      <c r="D207" s="236"/>
      <c r="F207" s="236"/>
      <c r="H207" s="236"/>
    </row>
    <row r="208" spans="2:8" ht="13" x14ac:dyDescent="0.15">
      <c r="B208" s="236"/>
      <c r="D208" s="236"/>
      <c r="F208" s="236"/>
      <c r="H208" s="236"/>
    </row>
    <row r="209" spans="2:8" ht="13" x14ac:dyDescent="0.15">
      <c r="B209" s="236"/>
      <c r="D209" s="236"/>
      <c r="F209" s="236"/>
      <c r="H209" s="236"/>
    </row>
    <row r="210" spans="2:8" ht="13" x14ac:dyDescent="0.15">
      <c r="B210" s="236"/>
      <c r="D210" s="236"/>
      <c r="F210" s="236"/>
      <c r="H210" s="236"/>
    </row>
    <row r="211" spans="2:8" ht="13" x14ac:dyDescent="0.15">
      <c r="B211" s="236"/>
      <c r="D211" s="236"/>
      <c r="F211" s="236"/>
      <c r="H211" s="236"/>
    </row>
    <row r="212" spans="2:8" ht="13" x14ac:dyDescent="0.15">
      <c r="B212" s="236"/>
      <c r="D212" s="236"/>
      <c r="F212" s="236"/>
      <c r="H212" s="236"/>
    </row>
    <row r="213" spans="2:8" ht="13" x14ac:dyDescent="0.15">
      <c r="B213" s="236"/>
      <c r="D213" s="236"/>
      <c r="F213" s="236"/>
      <c r="H213" s="236"/>
    </row>
    <row r="214" spans="2:8" ht="13" x14ac:dyDescent="0.15">
      <c r="B214" s="236"/>
      <c r="D214" s="236"/>
      <c r="F214" s="236"/>
      <c r="H214" s="236"/>
    </row>
    <row r="215" spans="2:8" ht="13" x14ac:dyDescent="0.15">
      <c r="B215" s="236"/>
      <c r="D215" s="236"/>
      <c r="F215" s="236"/>
      <c r="H215" s="236"/>
    </row>
    <row r="216" spans="2:8" ht="13" x14ac:dyDescent="0.15">
      <c r="B216" s="236"/>
      <c r="D216" s="236"/>
      <c r="F216" s="236"/>
      <c r="H216" s="236"/>
    </row>
    <row r="217" spans="2:8" ht="13" x14ac:dyDescent="0.15">
      <c r="B217" s="236"/>
      <c r="D217" s="236"/>
      <c r="F217" s="236"/>
      <c r="H217" s="236"/>
    </row>
    <row r="218" spans="2:8" ht="13" x14ac:dyDescent="0.15">
      <c r="B218" s="236"/>
      <c r="D218" s="236"/>
      <c r="F218" s="236"/>
      <c r="H218" s="236"/>
    </row>
    <row r="219" spans="2:8" ht="13" x14ac:dyDescent="0.15">
      <c r="B219" s="236"/>
      <c r="D219" s="236"/>
      <c r="F219" s="236"/>
      <c r="H219" s="236"/>
    </row>
    <row r="220" spans="2:8" ht="13" x14ac:dyDescent="0.15">
      <c r="B220" s="236"/>
      <c r="D220" s="236"/>
      <c r="F220" s="236"/>
      <c r="H220" s="236"/>
    </row>
    <row r="221" spans="2:8" ht="13" x14ac:dyDescent="0.15">
      <c r="B221" s="236"/>
      <c r="D221" s="236"/>
      <c r="F221" s="236"/>
      <c r="H221" s="236"/>
    </row>
    <row r="222" spans="2:8" ht="13" x14ac:dyDescent="0.15">
      <c r="B222" s="236"/>
      <c r="D222" s="236"/>
      <c r="F222" s="236"/>
      <c r="H222" s="236"/>
    </row>
    <row r="223" spans="2:8" ht="13" x14ac:dyDescent="0.15">
      <c r="B223" s="236"/>
      <c r="D223" s="236"/>
      <c r="F223" s="236"/>
      <c r="H223" s="236"/>
    </row>
    <row r="224" spans="2:8" ht="13" x14ac:dyDescent="0.15">
      <c r="B224" s="236"/>
      <c r="D224" s="236"/>
      <c r="F224" s="236"/>
      <c r="H224" s="236"/>
    </row>
    <row r="225" spans="2:8" ht="13" x14ac:dyDescent="0.15">
      <c r="B225" s="236"/>
      <c r="D225" s="236"/>
      <c r="F225" s="236"/>
      <c r="H225" s="236"/>
    </row>
    <row r="226" spans="2:8" ht="13" x14ac:dyDescent="0.15">
      <c r="B226" s="236"/>
      <c r="D226" s="236"/>
      <c r="F226" s="236"/>
      <c r="H226" s="236"/>
    </row>
    <row r="227" spans="2:8" ht="13" x14ac:dyDescent="0.15">
      <c r="B227" s="236"/>
      <c r="D227" s="236"/>
      <c r="F227" s="236"/>
      <c r="H227" s="236"/>
    </row>
    <row r="228" spans="2:8" ht="13" x14ac:dyDescent="0.15">
      <c r="B228" s="236"/>
      <c r="D228" s="236"/>
      <c r="F228" s="236"/>
      <c r="H228" s="236"/>
    </row>
    <row r="229" spans="2:8" ht="13" x14ac:dyDescent="0.15">
      <c r="B229" s="236"/>
      <c r="D229" s="236"/>
      <c r="F229" s="236"/>
      <c r="H229" s="236"/>
    </row>
    <row r="230" spans="2:8" ht="13" x14ac:dyDescent="0.15">
      <c r="B230" s="236"/>
      <c r="D230" s="236"/>
      <c r="F230" s="236"/>
      <c r="H230" s="236"/>
    </row>
    <row r="231" spans="2:8" ht="13" x14ac:dyDescent="0.15">
      <c r="B231" s="236"/>
      <c r="D231" s="236"/>
      <c r="F231" s="236"/>
      <c r="H231" s="236"/>
    </row>
    <row r="232" spans="2:8" ht="13" x14ac:dyDescent="0.15">
      <c r="B232" s="236"/>
      <c r="D232" s="236"/>
      <c r="F232" s="236"/>
      <c r="H232" s="236"/>
    </row>
    <row r="233" spans="2:8" ht="13" x14ac:dyDescent="0.15">
      <c r="B233" s="236"/>
      <c r="D233" s="236"/>
      <c r="F233" s="236"/>
      <c r="H233" s="236"/>
    </row>
    <row r="234" spans="2:8" ht="13" x14ac:dyDescent="0.15">
      <c r="B234" s="236"/>
      <c r="D234" s="236"/>
      <c r="F234" s="236"/>
      <c r="H234" s="236"/>
    </row>
    <row r="235" spans="2:8" ht="13" x14ac:dyDescent="0.15">
      <c r="B235" s="236"/>
      <c r="D235" s="236"/>
      <c r="F235" s="236"/>
      <c r="H235" s="236"/>
    </row>
    <row r="236" spans="2:8" ht="13" x14ac:dyDescent="0.15">
      <c r="B236" s="236"/>
      <c r="D236" s="236"/>
      <c r="F236" s="236"/>
      <c r="H236" s="236"/>
    </row>
    <row r="237" spans="2:8" ht="13" x14ac:dyDescent="0.15">
      <c r="B237" s="236"/>
      <c r="D237" s="236"/>
      <c r="F237" s="236"/>
      <c r="H237" s="236"/>
    </row>
    <row r="238" spans="2:8" ht="13" x14ac:dyDescent="0.15">
      <c r="B238" s="236"/>
      <c r="D238" s="236"/>
      <c r="F238" s="236"/>
      <c r="H238" s="236"/>
    </row>
    <row r="239" spans="2:8" ht="13" x14ac:dyDescent="0.15">
      <c r="B239" s="236"/>
      <c r="D239" s="236"/>
      <c r="F239" s="236"/>
      <c r="H239" s="236"/>
    </row>
    <row r="240" spans="2:8" ht="13" x14ac:dyDescent="0.15">
      <c r="B240" s="236"/>
      <c r="D240" s="236"/>
      <c r="F240" s="236"/>
      <c r="H240" s="236"/>
    </row>
    <row r="241" spans="2:8" ht="13" x14ac:dyDescent="0.15">
      <c r="B241" s="236"/>
      <c r="D241" s="236"/>
      <c r="F241" s="236"/>
      <c r="H241" s="236"/>
    </row>
    <row r="242" spans="2:8" ht="13" x14ac:dyDescent="0.15">
      <c r="B242" s="236"/>
      <c r="D242" s="236"/>
      <c r="F242" s="236"/>
      <c r="H242" s="236"/>
    </row>
    <row r="243" spans="2:8" ht="13" x14ac:dyDescent="0.15">
      <c r="B243" s="236"/>
      <c r="D243" s="236"/>
      <c r="F243" s="236"/>
      <c r="H243" s="236"/>
    </row>
    <row r="244" spans="2:8" ht="13" x14ac:dyDescent="0.15">
      <c r="B244" s="236"/>
      <c r="D244" s="236"/>
      <c r="F244" s="236"/>
      <c r="H244" s="236"/>
    </row>
    <row r="245" spans="2:8" ht="13" x14ac:dyDescent="0.15">
      <c r="B245" s="236"/>
      <c r="D245" s="236"/>
      <c r="F245" s="236"/>
      <c r="H245" s="236"/>
    </row>
    <row r="246" spans="2:8" ht="13" x14ac:dyDescent="0.15">
      <c r="B246" s="236"/>
      <c r="D246" s="236"/>
      <c r="F246" s="236"/>
      <c r="H246" s="236"/>
    </row>
    <row r="247" spans="2:8" ht="13" x14ac:dyDescent="0.15">
      <c r="B247" s="236"/>
      <c r="D247" s="236"/>
      <c r="F247" s="236"/>
      <c r="H247" s="236"/>
    </row>
    <row r="248" spans="2:8" ht="13" x14ac:dyDescent="0.15">
      <c r="B248" s="236"/>
      <c r="D248" s="236"/>
      <c r="F248" s="236"/>
      <c r="H248" s="236"/>
    </row>
    <row r="249" spans="2:8" ht="13" x14ac:dyDescent="0.15">
      <c r="B249" s="236"/>
      <c r="D249" s="236"/>
      <c r="F249" s="236"/>
      <c r="H249" s="236"/>
    </row>
    <row r="250" spans="2:8" ht="13" x14ac:dyDescent="0.15">
      <c r="B250" s="236"/>
      <c r="D250" s="236"/>
      <c r="F250" s="236"/>
      <c r="H250" s="236"/>
    </row>
    <row r="251" spans="2:8" ht="13" x14ac:dyDescent="0.15">
      <c r="B251" s="236"/>
      <c r="D251" s="236"/>
      <c r="F251" s="236"/>
      <c r="H251" s="236"/>
    </row>
    <row r="252" spans="2:8" ht="13" x14ac:dyDescent="0.15">
      <c r="B252" s="236"/>
      <c r="D252" s="236"/>
      <c r="F252" s="236"/>
      <c r="H252" s="236"/>
    </row>
    <row r="253" spans="2:8" ht="13" x14ac:dyDescent="0.15">
      <c r="B253" s="236"/>
      <c r="D253" s="236"/>
      <c r="F253" s="236"/>
      <c r="H253" s="236"/>
    </row>
    <row r="254" spans="2:8" ht="13" x14ac:dyDescent="0.15">
      <c r="B254" s="236"/>
      <c r="D254" s="236"/>
      <c r="F254" s="236"/>
      <c r="H254" s="236"/>
    </row>
    <row r="255" spans="2:8" ht="13" x14ac:dyDescent="0.15">
      <c r="B255" s="236"/>
      <c r="D255" s="236"/>
      <c r="F255" s="236"/>
      <c r="H255" s="236"/>
    </row>
    <row r="256" spans="2:8" ht="13" x14ac:dyDescent="0.15">
      <c r="B256" s="236"/>
      <c r="D256" s="236"/>
      <c r="F256" s="236"/>
      <c r="H256" s="236"/>
    </row>
    <row r="257" spans="2:8" ht="13" x14ac:dyDescent="0.15">
      <c r="B257" s="236"/>
      <c r="D257" s="236"/>
      <c r="F257" s="236"/>
      <c r="H257" s="236"/>
    </row>
    <row r="258" spans="2:8" ht="13" x14ac:dyDescent="0.15">
      <c r="B258" s="236"/>
      <c r="D258" s="236"/>
      <c r="F258" s="236"/>
      <c r="H258" s="236"/>
    </row>
    <row r="259" spans="2:8" ht="13" x14ac:dyDescent="0.15">
      <c r="B259" s="236"/>
      <c r="D259" s="236"/>
      <c r="F259" s="236"/>
      <c r="H259" s="236"/>
    </row>
    <row r="260" spans="2:8" ht="13" x14ac:dyDescent="0.15">
      <c r="B260" s="236"/>
      <c r="D260" s="236"/>
      <c r="F260" s="236"/>
      <c r="H260" s="236"/>
    </row>
    <row r="261" spans="2:8" ht="13" x14ac:dyDescent="0.15">
      <c r="B261" s="236"/>
      <c r="D261" s="236"/>
      <c r="F261" s="236"/>
      <c r="H261" s="236"/>
    </row>
    <row r="262" spans="2:8" ht="13" x14ac:dyDescent="0.15">
      <c r="B262" s="236"/>
      <c r="D262" s="236"/>
      <c r="F262" s="236"/>
      <c r="H262" s="236"/>
    </row>
    <row r="263" spans="2:8" ht="13" x14ac:dyDescent="0.15">
      <c r="B263" s="236"/>
      <c r="D263" s="236"/>
      <c r="F263" s="236"/>
      <c r="H263" s="236"/>
    </row>
    <row r="264" spans="2:8" ht="13" x14ac:dyDescent="0.15">
      <c r="B264" s="236"/>
      <c r="D264" s="236"/>
      <c r="F264" s="236"/>
      <c r="H264" s="236"/>
    </row>
    <row r="265" spans="2:8" ht="13" x14ac:dyDescent="0.15">
      <c r="B265" s="236"/>
      <c r="D265" s="236"/>
      <c r="F265" s="236"/>
      <c r="H265" s="236"/>
    </row>
    <row r="266" spans="2:8" ht="13" x14ac:dyDescent="0.15">
      <c r="B266" s="236"/>
      <c r="D266" s="236"/>
      <c r="F266" s="236"/>
      <c r="H266" s="236"/>
    </row>
    <row r="267" spans="2:8" ht="13" x14ac:dyDescent="0.15">
      <c r="B267" s="236"/>
      <c r="D267" s="236"/>
      <c r="F267" s="236"/>
      <c r="H267" s="236"/>
    </row>
    <row r="268" spans="2:8" ht="13" x14ac:dyDescent="0.15">
      <c r="B268" s="236"/>
      <c r="D268" s="236"/>
      <c r="F268" s="236"/>
      <c r="H268" s="236"/>
    </row>
    <row r="269" spans="2:8" ht="13" x14ac:dyDescent="0.15">
      <c r="B269" s="236"/>
      <c r="D269" s="236"/>
      <c r="F269" s="236"/>
      <c r="H269" s="236"/>
    </row>
    <row r="270" spans="2:8" ht="13" x14ac:dyDescent="0.15">
      <c r="B270" s="236"/>
      <c r="D270" s="236"/>
      <c r="F270" s="236"/>
      <c r="H270" s="236"/>
    </row>
    <row r="271" spans="2:8" ht="13" x14ac:dyDescent="0.15">
      <c r="B271" s="236"/>
      <c r="D271" s="236"/>
      <c r="F271" s="236"/>
      <c r="H271" s="236"/>
    </row>
    <row r="272" spans="2:8" ht="13" x14ac:dyDescent="0.15">
      <c r="B272" s="236"/>
      <c r="D272" s="236"/>
      <c r="F272" s="236"/>
      <c r="H272" s="236"/>
    </row>
    <row r="273" spans="2:8" ht="13" x14ac:dyDescent="0.15">
      <c r="B273" s="236"/>
      <c r="D273" s="236"/>
      <c r="F273" s="236"/>
      <c r="H273" s="236"/>
    </row>
    <row r="274" spans="2:8" ht="13" x14ac:dyDescent="0.15">
      <c r="B274" s="236"/>
      <c r="D274" s="236"/>
      <c r="F274" s="236"/>
      <c r="H274" s="236"/>
    </row>
    <row r="275" spans="2:8" ht="13" x14ac:dyDescent="0.15">
      <c r="B275" s="236"/>
      <c r="D275" s="236"/>
      <c r="F275" s="236"/>
      <c r="H275" s="236"/>
    </row>
    <row r="276" spans="2:8" ht="13" x14ac:dyDescent="0.15">
      <c r="B276" s="236"/>
      <c r="D276" s="236"/>
      <c r="F276" s="236"/>
      <c r="H276" s="236"/>
    </row>
    <row r="277" spans="2:8" ht="13" x14ac:dyDescent="0.15">
      <c r="B277" s="236"/>
      <c r="D277" s="236"/>
      <c r="F277" s="236"/>
      <c r="H277" s="236"/>
    </row>
    <row r="278" spans="2:8" ht="13" x14ac:dyDescent="0.15">
      <c r="B278" s="236"/>
      <c r="D278" s="236"/>
      <c r="F278" s="236"/>
      <c r="H278" s="236"/>
    </row>
    <row r="279" spans="2:8" ht="13" x14ac:dyDescent="0.15">
      <c r="B279" s="236"/>
      <c r="D279" s="236"/>
      <c r="F279" s="236"/>
      <c r="H279" s="236"/>
    </row>
    <row r="280" spans="2:8" ht="13" x14ac:dyDescent="0.15">
      <c r="B280" s="236"/>
      <c r="D280" s="236"/>
      <c r="F280" s="236"/>
      <c r="H280" s="236"/>
    </row>
    <row r="281" spans="2:8" ht="13" x14ac:dyDescent="0.15">
      <c r="B281" s="236"/>
      <c r="D281" s="236"/>
      <c r="F281" s="236"/>
      <c r="H281" s="236"/>
    </row>
    <row r="282" spans="2:8" ht="13" x14ac:dyDescent="0.15">
      <c r="B282" s="236"/>
      <c r="D282" s="236"/>
      <c r="F282" s="236"/>
      <c r="H282" s="236"/>
    </row>
    <row r="283" spans="2:8" ht="13" x14ac:dyDescent="0.15">
      <c r="B283" s="236"/>
      <c r="D283" s="236"/>
      <c r="F283" s="236"/>
      <c r="H283" s="236"/>
    </row>
    <row r="284" spans="2:8" ht="13" x14ac:dyDescent="0.15">
      <c r="B284" s="236"/>
      <c r="D284" s="236"/>
      <c r="F284" s="236"/>
      <c r="H284" s="236"/>
    </row>
    <row r="285" spans="2:8" ht="13" x14ac:dyDescent="0.15">
      <c r="B285" s="236"/>
      <c r="D285" s="236"/>
      <c r="F285" s="236"/>
      <c r="H285" s="236"/>
    </row>
    <row r="286" spans="2:8" ht="13" x14ac:dyDescent="0.15">
      <c r="B286" s="236"/>
      <c r="D286" s="236"/>
      <c r="F286" s="236"/>
      <c r="H286" s="236"/>
    </row>
    <row r="287" spans="2:8" ht="13" x14ac:dyDescent="0.15">
      <c r="B287" s="236"/>
      <c r="D287" s="236"/>
      <c r="F287" s="236"/>
      <c r="H287" s="236"/>
    </row>
    <row r="288" spans="2:8" ht="13" x14ac:dyDescent="0.15">
      <c r="B288" s="236"/>
      <c r="D288" s="236"/>
      <c r="F288" s="236"/>
      <c r="H288" s="236"/>
    </row>
    <row r="289" spans="2:8" ht="13" x14ac:dyDescent="0.15">
      <c r="B289" s="236"/>
      <c r="D289" s="236"/>
      <c r="F289" s="236"/>
      <c r="H289" s="236"/>
    </row>
    <row r="290" spans="2:8" ht="13" x14ac:dyDescent="0.15">
      <c r="B290" s="236"/>
      <c r="D290" s="236"/>
      <c r="F290" s="236"/>
      <c r="H290" s="236"/>
    </row>
    <row r="291" spans="2:8" ht="13" x14ac:dyDescent="0.15">
      <c r="B291" s="236"/>
      <c r="D291" s="236"/>
      <c r="F291" s="236"/>
      <c r="H291" s="236"/>
    </row>
    <row r="292" spans="2:8" ht="13" x14ac:dyDescent="0.15">
      <c r="B292" s="236"/>
      <c r="D292" s="236"/>
      <c r="F292" s="236"/>
      <c r="H292" s="236"/>
    </row>
    <row r="293" spans="2:8" ht="13" x14ac:dyDescent="0.15">
      <c r="B293" s="236"/>
      <c r="D293" s="236"/>
      <c r="F293" s="236"/>
      <c r="H293" s="236"/>
    </row>
    <row r="294" spans="2:8" ht="13" x14ac:dyDescent="0.15">
      <c r="B294" s="236"/>
      <c r="D294" s="236"/>
      <c r="F294" s="236"/>
      <c r="H294" s="236"/>
    </row>
    <row r="295" spans="2:8" ht="13" x14ac:dyDescent="0.15">
      <c r="B295" s="236"/>
      <c r="D295" s="236"/>
      <c r="F295" s="236"/>
      <c r="H295" s="236"/>
    </row>
    <row r="296" spans="2:8" ht="13" x14ac:dyDescent="0.15">
      <c r="B296" s="236"/>
      <c r="D296" s="236"/>
      <c r="F296" s="236"/>
      <c r="H296" s="236"/>
    </row>
    <row r="297" spans="2:8" ht="13" x14ac:dyDescent="0.15">
      <c r="B297" s="236"/>
      <c r="D297" s="236"/>
      <c r="F297" s="236"/>
      <c r="H297" s="236"/>
    </row>
    <row r="298" spans="2:8" ht="13" x14ac:dyDescent="0.15">
      <c r="B298" s="236"/>
      <c r="D298" s="236"/>
      <c r="F298" s="236"/>
      <c r="H298" s="236"/>
    </row>
    <row r="299" spans="2:8" ht="13" x14ac:dyDescent="0.15">
      <c r="B299" s="236"/>
      <c r="D299" s="236"/>
      <c r="F299" s="236"/>
      <c r="H299" s="236"/>
    </row>
    <row r="300" spans="2:8" ht="13" x14ac:dyDescent="0.15">
      <c r="B300" s="236"/>
      <c r="D300" s="236"/>
      <c r="F300" s="236"/>
      <c r="H300" s="236"/>
    </row>
    <row r="301" spans="2:8" ht="13" x14ac:dyDescent="0.15">
      <c r="B301" s="236"/>
      <c r="D301" s="236"/>
      <c r="F301" s="236"/>
      <c r="H301" s="236"/>
    </row>
    <row r="302" spans="2:8" ht="13" x14ac:dyDescent="0.15">
      <c r="B302" s="236"/>
      <c r="D302" s="236"/>
      <c r="F302" s="236"/>
      <c r="H302" s="236"/>
    </row>
    <row r="303" spans="2:8" ht="13" x14ac:dyDescent="0.15">
      <c r="B303" s="236"/>
      <c r="D303" s="236"/>
      <c r="F303" s="236"/>
      <c r="H303" s="236"/>
    </row>
    <row r="304" spans="2:8" ht="13" x14ac:dyDescent="0.15">
      <c r="B304" s="236"/>
      <c r="D304" s="236"/>
      <c r="F304" s="236"/>
      <c r="H304" s="236"/>
    </row>
    <row r="305" spans="2:8" ht="13" x14ac:dyDescent="0.15">
      <c r="B305" s="236"/>
      <c r="D305" s="236"/>
      <c r="F305" s="236"/>
      <c r="H305" s="236"/>
    </row>
    <row r="306" spans="2:8" ht="13" x14ac:dyDescent="0.15">
      <c r="B306" s="236"/>
      <c r="D306" s="236"/>
      <c r="F306" s="236"/>
      <c r="H306" s="236"/>
    </row>
    <row r="307" spans="2:8" ht="13" x14ac:dyDescent="0.15">
      <c r="B307" s="236"/>
      <c r="D307" s="236"/>
      <c r="F307" s="236"/>
      <c r="H307" s="236"/>
    </row>
    <row r="308" spans="2:8" ht="13" x14ac:dyDescent="0.15">
      <c r="B308" s="236"/>
      <c r="D308" s="236"/>
      <c r="F308" s="236"/>
      <c r="H308" s="236"/>
    </row>
    <row r="309" spans="2:8" ht="13" x14ac:dyDescent="0.15">
      <c r="B309" s="236"/>
      <c r="D309" s="236"/>
      <c r="F309" s="236"/>
      <c r="H309" s="236"/>
    </row>
    <row r="310" spans="2:8" ht="13" x14ac:dyDescent="0.15">
      <c r="B310" s="236"/>
      <c r="D310" s="236"/>
      <c r="F310" s="236"/>
      <c r="H310" s="236"/>
    </row>
    <row r="311" spans="2:8" ht="13" x14ac:dyDescent="0.15">
      <c r="B311" s="236"/>
      <c r="D311" s="236"/>
      <c r="F311" s="236"/>
      <c r="H311" s="236"/>
    </row>
    <row r="312" spans="2:8" ht="13" x14ac:dyDescent="0.15">
      <c r="B312" s="236"/>
      <c r="D312" s="236"/>
      <c r="F312" s="236"/>
      <c r="H312" s="236"/>
    </row>
    <row r="313" spans="2:8" ht="13" x14ac:dyDescent="0.15">
      <c r="B313" s="236"/>
      <c r="D313" s="236"/>
      <c r="F313" s="236"/>
      <c r="H313" s="236"/>
    </row>
    <row r="314" spans="2:8" ht="13" x14ac:dyDescent="0.15">
      <c r="B314" s="236"/>
      <c r="D314" s="236"/>
      <c r="F314" s="236"/>
      <c r="H314" s="236"/>
    </row>
    <row r="315" spans="2:8" ht="13" x14ac:dyDescent="0.15">
      <c r="B315" s="236"/>
      <c r="D315" s="236"/>
      <c r="F315" s="236"/>
      <c r="H315" s="236"/>
    </row>
    <row r="316" spans="2:8" ht="13" x14ac:dyDescent="0.15">
      <c r="B316" s="236"/>
      <c r="D316" s="236"/>
      <c r="F316" s="236"/>
      <c r="H316" s="236"/>
    </row>
    <row r="317" spans="2:8" ht="13" x14ac:dyDescent="0.15">
      <c r="B317" s="236"/>
      <c r="D317" s="236"/>
      <c r="F317" s="236"/>
      <c r="H317" s="236"/>
    </row>
    <row r="318" spans="2:8" ht="13" x14ac:dyDescent="0.15">
      <c r="B318" s="236"/>
      <c r="D318" s="236"/>
      <c r="F318" s="236"/>
      <c r="H318" s="236"/>
    </row>
    <row r="319" spans="2:8" ht="13" x14ac:dyDescent="0.15">
      <c r="B319" s="236"/>
      <c r="D319" s="236"/>
      <c r="F319" s="236"/>
      <c r="H319" s="236"/>
    </row>
    <row r="320" spans="2:8" ht="13" x14ac:dyDescent="0.15">
      <c r="B320" s="236"/>
      <c r="D320" s="236"/>
      <c r="F320" s="236"/>
      <c r="H320" s="236"/>
    </row>
    <row r="321" spans="2:8" ht="13" x14ac:dyDescent="0.15">
      <c r="B321" s="236"/>
      <c r="D321" s="236"/>
      <c r="F321" s="236"/>
      <c r="H321" s="236"/>
    </row>
    <row r="322" spans="2:8" ht="13" x14ac:dyDescent="0.15">
      <c r="B322" s="236"/>
      <c r="D322" s="236"/>
      <c r="F322" s="236"/>
      <c r="H322" s="236"/>
    </row>
    <row r="323" spans="2:8" ht="13" x14ac:dyDescent="0.15">
      <c r="B323" s="236"/>
      <c r="D323" s="236"/>
      <c r="F323" s="236"/>
      <c r="H323" s="236"/>
    </row>
    <row r="324" spans="2:8" ht="13" x14ac:dyDescent="0.15">
      <c r="B324" s="236"/>
      <c r="D324" s="236"/>
      <c r="F324" s="236"/>
      <c r="H324" s="236"/>
    </row>
    <row r="325" spans="2:8" ht="13" x14ac:dyDescent="0.15">
      <c r="B325" s="236"/>
      <c r="D325" s="236"/>
      <c r="F325" s="236"/>
      <c r="H325" s="236"/>
    </row>
    <row r="326" spans="2:8" ht="13" x14ac:dyDescent="0.15">
      <c r="B326" s="236"/>
      <c r="D326" s="236"/>
      <c r="F326" s="236"/>
      <c r="H326" s="236"/>
    </row>
    <row r="327" spans="2:8" ht="13" x14ac:dyDescent="0.15">
      <c r="B327" s="236"/>
      <c r="D327" s="236"/>
      <c r="F327" s="236"/>
      <c r="H327" s="236"/>
    </row>
    <row r="328" spans="2:8" ht="13" x14ac:dyDescent="0.15">
      <c r="B328" s="236"/>
      <c r="D328" s="236"/>
      <c r="F328" s="236"/>
      <c r="H328" s="236"/>
    </row>
    <row r="329" spans="2:8" ht="13" x14ac:dyDescent="0.15">
      <c r="B329" s="236"/>
      <c r="D329" s="236"/>
      <c r="F329" s="236"/>
      <c r="H329" s="236"/>
    </row>
    <row r="330" spans="2:8" ht="13" x14ac:dyDescent="0.15">
      <c r="B330" s="236"/>
      <c r="D330" s="236"/>
      <c r="F330" s="236"/>
      <c r="H330" s="236"/>
    </row>
    <row r="331" spans="2:8" ht="13" x14ac:dyDescent="0.15">
      <c r="B331" s="236"/>
      <c r="D331" s="236"/>
      <c r="F331" s="236"/>
      <c r="H331" s="236"/>
    </row>
    <row r="332" spans="2:8" ht="13" x14ac:dyDescent="0.15">
      <c r="B332" s="236"/>
      <c r="D332" s="236"/>
      <c r="F332" s="236"/>
      <c r="H332" s="236"/>
    </row>
    <row r="333" spans="2:8" ht="13" x14ac:dyDescent="0.15">
      <c r="B333" s="236"/>
      <c r="D333" s="236"/>
      <c r="F333" s="236"/>
      <c r="H333" s="236"/>
    </row>
    <row r="334" spans="2:8" ht="13" x14ac:dyDescent="0.15">
      <c r="B334" s="236"/>
      <c r="D334" s="236"/>
      <c r="F334" s="236"/>
      <c r="H334" s="236"/>
    </row>
    <row r="335" spans="2:8" ht="13" x14ac:dyDescent="0.15">
      <c r="B335" s="236"/>
      <c r="D335" s="236"/>
      <c r="F335" s="236"/>
      <c r="H335" s="236"/>
    </row>
    <row r="336" spans="2:8" ht="13" x14ac:dyDescent="0.15">
      <c r="B336" s="236"/>
      <c r="D336" s="236"/>
      <c r="F336" s="236"/>
      <c r="H336" s="236"/>
    </row>
    <row r="337" spans="2:8" ht="13" x14ac:dyDescent="0.15">
      <c r="B337" s="236"/>
      <c r="D337" s="236"/>
      <c r="F337" s="236"/>
      <c r="H337" s="236"/>
    </row>
    <row r="338" spans="2:8" ht="13" x14ac:dyDescent="0.15">
      <c r="B338" s="236"/>
      <c r="D338" s="236"/>
      <c r="F338" s="236"/>
      <c r="H338" s="236"/>
    </row>
    <row r="339" spans="2:8" ht="13" x14ac:dyDescent="0.15">
      <c r="B339" s="236"/>
      <c r="D339" s="236"/>
      <c r="F339" s="236"/>
      <c r="H339" s="236"/>
    </row>
    <row r="340" spans="2:8" ht="13" x14ac:dyDescent="0.15">
      <c r="B340" s="236"/>
      <c r="D340" s="236"/>
      <c r="F340" s="236"/>
      <c r="H340" s="236"/>
    </row>
    <row r="341" spans="2:8" ht="13" x14ac:dyDescent="0.15">
      <c r="B341" s="236"/>
      <c r="D341" s="236"/>
      <c r="F341" s="236"/>
      <c r="H341" s="236"/>
    </row>
    <row r="342" spans="2:8" ht="13" x14ac:dyDescent="0.15">
      <c r="B342" s="236"/>
      <c r="D342" s="236"/>
      <c r="F342" s="236"/>
      <c r="H342" s="236"/>
    </row>
    <row r="343" spans="2:8" ht="13" x14ac:dyDescent="0.15">
      <c r="B343" s="236"/>
      <c r="D343" s="236"/>
      <c r="F343" s="236"/>
      <c r="H343" s="236"/>
    </row>
    <row r="344" spans="2:8" ht="13" x14ac:dyDescent="0.15">
      <c r="B344" s="236"/>
      <c r="D344" s="236"/>
      <c r="F344" s="236"/>
      <c r="H344" s="236"/>
    </row>
    <row r="345" spans="2:8" ht="13" x14ac:dyDescent="0.15">
      <c r="B345" s="236"/>
      <c r="D345" s="236"/>
      <c r="F345" s="236"/>
      <c r="H345" s="236"/>
    </row>
    <row r="346" spans="2:8" ht="13" x14ac:dyDescent="0.15">
      <c r="B346" s="236"/>
      <c r="D346" s="236"/>
      <c r="F346" s="236"/>
      <c r="H346" s="236"/>
    </row>
    <row r="347" spans="2:8" ht="13" x14ac:dyDescent="0.15">
      <c r="B347" s="236"/>
      <c r="D347" s="236"/>
      <c r="F347" s="236"/>
      <c r="H347" s="236"/>
    </row>
    <row r="348" spans="2:8" ht="13" x14ac:dyDescent="0.15">
      <c r="B348" s="236"/>
      <c r="D348" s="236"/>
      <c r="F348" s="236"/>
      <c r="H348" s="236"/>
    </row>
    <row r="349" spans="2:8" ht="13" x14ac:dyDescent="0.15">
      <c r="B349" s="236"/>
      <c r="D349" s="236"/>
      <c r="F349" s="236"/>
      <c r="H349" s="236"/>
    </row>
    <row r="350" spans="2:8" ht="13" x14ac:dyDescent="0.15">
      <c r="B350" s="236"/>
      <c r="D350" s="236"/>
      <c r="F350" s="236"/>
      <c r="H350" s="236"/>
    </row>
    <row r="351" spans="2:8" ht="13" x14ac:dyDescent="0.15">
      <c r="B351" s="236"/>
      <c r="D351" s="236"/>
      <c r="F351" s="236"/>
      <c r="H351" s="236"/>
    </row>
    <row r="352" spans="2:8" ht="13" x14ac:dyDescent="0.15">
      <c r="B352" s="236"/>
      <c r="D352" s="236"/>
      <c r="F352" s="236"/>
      <c r="H352" s="236"/>
    </row>
    <row r="353" spans="2:8" ht="13" x14ac:dyDescent="0.15">
      <c r="B353" s="236"/>
      <c r="D353" s="236"/>
      <c r="F353" s="236"/>
      <c r="H353" s="236"/>
    </row>
    <row r="354" spans="2:8" ht="13" x14ac:dyDescent="0.15">
      <c r="B354" s="236"/>
      <c r="D354" s="236"/>
      <c r="F354" s="236"/>
      <c r="H354" s="236"/>
    </row>
    <row r="355" spans="2:8" ht="13" x14ac:dyDescent="0.15">
      <c r="B355" s="236"/>
      <c r="D355" s="236"/>
      <c r="F355" s="236"/>
      <c r="H355" s="236"/>
    </row>
    <row r="356" spans="2:8" ht="13" x14ac:dyDescent="0.15">
      <c r="B356" s="236"/>
      <c r="D356" s="236"/>
      <c r="F356" s="236"/>
      <c r="H356" s="236"/>
    </row>
    <row r="357" spans="2:8" ht="13" x14ac:dyDescent="0.15">
      <c r="B357" s="236"/>
      <c r="D357" s="236"/>
      <c r="F357" s="236"/>
      <c r="H357" s="236"/>
    </row>
    <row r="358" spans="2:8" ht="13" x14ac:dyDescent="0.15">
      <c r="B358" s="236"/>
      <c r="D358" s="236"/>
      <c r="F358" s="236"/>
      <c r="H358" s="236"/>
    </row>
    <row r="359" spans="2:8" ht="13" x14ac:dyDescent="0.15">
      <c r="B359" s="236"/>
      <c r="D359" s="236"/>
      <c r="F359" s="236"/>
      <c r="H359" s="236"/>
    </row>
    <row r="360" spans="2:8" ht="13" x14ac:dyDescent="0.15">
      <c r="B360" s="236"/>
      <c r="D360" s="236"/>
      <c r="F360" s="236"/>
      <c r="H360" s="236"/>
    </row>
    <row r="361" spans="2:8" ht="13" x14ac:dyDescent="0.15">
      <c r="B361" s="236"/>
      <c r="D361" s="236"/>
      <c r="F361" s="236"/>
      <c r="H361" s="236"/>
    </row>
    <row r="362" spans="2:8" ht="13" x14ac:dyDescent="0.15">
      <c r="B362" s="236"/>
      <c r="D362" s="236"/>
      <c r="F362" s="236"/>
      <c r="H362" s="236"/>
    </row>
    <row r="363" spans="2:8" ht="13" x14ac:dyDescent="0.15">
      <c r="B363" s="236"/>
      <c r="D363" s="236"/>
      <c r="F363" s="236"/>
      <c r="H363" s="236"/>
    </row>
    <row r="364" spans="2:8" ht="13" x14ac:dyDescent="0.15">
      <c r="B364" s="236"/>
      <c r="D364" s="236"/>
      <c r="F364" s="236"/>
      <c r="H364" s="236"/>
    </row>
    <row r="365" spans="2:8" ht="13" x14ac:dyDescent="0.15">
      <c r="B365" s="236"/>
      <c r="D365" s="236"/>
      <c r="F365" s="236"/>
      <c r="H365" s="236"/>
    </row>
    <row r="366" spans="2:8" ht="13" x14ac:dyDescent="0.15">
      <c r="B366" s="236"/>
      <c r="D366" s="236"/>
      <c r="F366" s="236"/>
      <c r="H366" s="236"/>
    </row>
    <row r="367" spans="2:8" ht="13" x14ac:dyDescent="0.15">
      <c r="B367" s="236"/>
      <c r="D367" s="236"/>
      <c r="F367" s="236"/>
      <c r="H367" s="236"/>
    </row>
    <row r="368" spans="2:8" ht="13" x14ac:dyDescent="0.15">
      <c r="B368" s="236"/>
      <c r="D368" s="236"/>
      <c r="F368" s="236"/>
      <c r="H368" s="236"/>
    </row>
    <row r="369" spans="2:8" ht="13" x14ac:dyDescent="0.15">
      <c r="B369" s="236"/>
      <c r="D369" s="236"/>
      <c r="F369" s="236"/>
      <c r="H369" s="236"/>
    </row>
    <row r="370" spans="2:8" ht="13" x14ac:dyDescent="0.15">
      <c r="B370" s="236"/>
      <c r="D370" s="236"/>
      <c r="F370" s="236"/>
      <c r="H370" s="236"/>
    </row>
    <row r="371" spans="2:8" ht="13" x14ac:dyDescent="0.15">
      <c r="B371" s="236"/>
      <c r="D371" s="236"/>
      <c r="F371" s="236"/>
      <c r="H371" s="236"/>
    </row>
    <row r="372" spans="2:8" ht="13" x14ac:dyDescent="0.15">
      <c r="B372" s="236"/>
      <c r="D372" s="236"/>
      <c r="F372" s="236"/>
      <c r="H372" s="236"/>
    </row>
    <row r="373" spans="2:8" ht="13" x14ac:dyDescent="0.15">
      <c r="B373" s="236"/>
      <c r="D373" s="236"/>
      <c r="F373" s="236"/>
      <c r="H373" s="236"/>
    </row>
    <row r="374" spans="2:8" ht="13" x14ac:dyDescent="0.15">
      <c r="B374" s="236"/>
      <c r="D374" s="236"/>
      <c r="F374" s="236"/>
      <c r="H374" s="236"/>
    </row>
    <row r="375" spans="2:8" ht="13" x14ac:dyDescent="0.15">
      <c r="B375" s="236"/>
      <c r="D375" s="236"/>
      <c r="F375" s="236"/>
      <c r="H375" s="236"/>
    </row>
    <row r="376" spans="2:8" ht="13" x14ac:dyDescent="0.15">
      <c r="B376" s="236"/>
      <c r="D376" s="236"/>
      <c r="F376" s="236"/>
      <c r="H376" s="236"/>
    </row>
    <row r="377" spans="2:8" ht="13" x14ac:dyDescent="0.15">
      <c r="B377" s="236"/>
      <c r="D377" s="236"/>
      <c r="F377" s="236"/>
      <c r="H377" s="236"/>
    </row>
    <row r="378" spans="2:8" ht="13" x14ac:dyDescent="0.15">
      <c r="B378" s="236"/>
      <c r="D378" s="236"/>
      <c r="F378" s="236"/>
      <c r="H378" s="236"/>
    </row>
    <row r="379" spans="2:8" ht="13" x14ac:dyDescent="0.15">
      <c r="B379" s="236"/>
      <c r="D379" s="236"/>
      <c r="F379" s="236"/>
      <c r="H379" s="236"/>
    </row>
    <row r="380" spans="2:8" ht="13" x14ac:dyDescent="0.15">
      <c r="B380" s="236"/>
      <c r="D380" s="236"/>
      <c r="F380" s="236"/>
      <c r="H380" s="236"/>
    </row>
    <row r="381" spans="2:8" ht="13" x14ac:dyDescent="0.15">
      <c r="B381" s="236"/>
      <c r="D381" s="236"/>
      <c r="F381" s="236"/>
      <c r="H381" s="236"/>
    </row>
    <row r="382" spans="2:8" ht="13" x14ac:dyDescent="0.15">
      <c r="B382" s="236"/>
      <c r="D382" s="236"/>
      <c r="F382" s="236"/>
      <c r="H382" s="236"/>
    </row>
    <row r="383" spans="2:8" ht="13" x14ac:dyDescent="0.15">
      <c r="B383" s="236"/>
      <c r="D383" s="236"/>
      <c r="F383" s="236"/>
      <c r="H383" s="236"/>
    </row>
    <row r="384" spans="2:8" ht="13" x14ac:dyDescent="0.15">
      <c r="B384" s="236"/>
      <c r="D384" s="236"/>
      <c r="F384" s="236"/>
      <c r="H384" s="236"/>
    </row>
    <row r="385" spans="2:8" ht="13" x14ac:dyDescent="0.15">
      <c r="B385" s="236"/>
      <c r="D385" s="236"/>
      <c r="F385" s="236"/>
      <c r="H385" s="236"/>
    </row>
    <row r="386" spans="2:8" ht="13" x14ac:dyDescent="0.15">
      <c r="B386" s="236"/>
      <c r="D386" s="236"/>
      <c r="F386" s="236"/>
      <c r="H386" s="236"/>
    </row>
    <row r="387" spans="2:8" ht="13" x14ac:dyDescent="0.15">
      <c r="B387" s="236"/>
      <c r="D387" s="236"/>
      <c r="F387" s="236"/>
      <c r="H387" s="236"/>
    </row>
    <row r="388" spans="2:8" ht="13" x14ac:dyDescent="0.15">
      <c r="B388" s="236"/>
      <c r="D388" s="236"/>
      <c r="F388" s="236"/>
      <c r="H388" s="236"/>
    </row>
    <row r="389" spans="2:8" ht="13" x14ac:dyDescent="0.15">
      <c r="B389" s="236"/>
      <c r="D389" s="236"/>
      <c r="F389" s="236"/>
      <c r="H389" s="236"/>
    </row>
    <row r="390" spans="2:8" ht="13" x14ac:dyDescent="0.15">
      <c r="B390" s="236"/>
      <c r="D390" s="236"/>
      <c r="F390" s="236"/>
      <c r="H390" s="236"/>
    </row>
    <row r="391" spans="2:8" ht="13" x14ac:dyDescent="0.15">
      <c r="B391" s="236"/>
      <c r="D391" s="236"/>
      <c r="F391" s="236"/>
      <c r="H391" s="236"/>
    </row>
    <row r="392" spans="2:8" ht="13" x14ac:dyDescent="0.15">
      <c r="B392" s="236"/>
      <c r="D392" s="236"/>
      <c r="F392" s="236"/>
      <c r="H392" s="236"/>
    </row>
    <row r="393" spans="2:8" ht="13" x14ac:dyDescent="0.15">
      <c r="B393" s="236"/>
      <c r="D393" s="236"/>
      <c r="F393" s="236"/>
      <c r="H393" s="236"/>
    </row>
    <row r="394" spans="2:8" ht="13" x14ac:dyDescent="0.15">
      <c r="B394" s="236"/>
      <c r="D394" s="236"/>
      <c r="F394" s="236"/>
      <c r="H394" s="236"/>
    </row>
    <row r="395" spans="2:8" ht="13" x14ac:dyDescent="0.15">
      <c r="B395" s="236"/>
      <c r="D395" s="236"/>
      <c r="F395" s="236"/>
      <c r="H395" s="236"/>
    </row>
    <row r="396" spans="2:8" ht="13" x14ac:dyDescent="0.15">
      <c r="B396" s="236"/>
      <c r="D396" s="236"/>
      <c r="F396" s="236"/>
      <c r="H396" s="236"/>
    </row>
    <row r="397" spans="2:8" ht="13" x14ac:dyDescent="0.15">
      <c r="B397" s="236"/>
      <c r="D397" s="236"/>
      <c r="F397" s="236"/>
      <c r="H397" s="236"/>
    </row>
    <row r="398" spans="2:8" ht="13" x14ac:dyDescent="0.15">
      <c r="B398" s="236"/>
      <c r="D398" s="236"/>
      <c r="F398" s="236"/>
      <c r="H398" s="236"/>
    </row>
    <row r="399" spans="2:8" ht="13" x14ac:dyDescent="0.15">
      <c r="B399" s="236"/>
      <c r="D399" s="236"/>
      <c r="F399" s="236"/>
      <c r="H399" s="236"/>
    </row>
    <row r="400" spans="2:8" ht="13" x14ac:dyDescent="0.15">
      <c r="B400" s="236"/>
      <c r="D400" s="236"/>
      <c r="F400" s="236"/>
      <c r="H400" s="236"/>
    </row>
    <row r="401" spans="2:8" ht="13" x14ac:dyDescent="0.15">
      <c r="B401" s="236"/>
      <c r="D401" s="236"/>
      <c r="F401" s="236"/>
      <c r="H401" s="236"/>
    </row>
    <row r="402" spans="2:8" ht="13" x14ac:dyDescent="0.15">
      <c r="B402" s="236"/>
      <c r="D402" s="236"/>
      <c r="F402" s="236"/>
      <c r="H402" s="236"/>
    </row>
    <row r="403" spans="2:8" ht="13" x14ac:dyDescent="0.15">
      <c r="B403" s="236"/>
      <c r="D403" s="236"/>
      <c r="F403" s="236"/>
      <c r="H403" s="236"/>
    </row>
    <row r="404" spans="2:8" ht="13" x14ac:dyDescent="0.15">
      <c r="B404" s="236"/>
      <c r="D404" s="236"/>
      <c r="F404" s="236"/>
      <c r="H404" s="236"/>
    </row>
    <row r="405" spans="2:8" ht="13" x14ac:dyDescent="0.15">
      <c r="B405" s="236"/>
      <c r="D405" s="236"/>
      <c r="F405" s="236"/>
      <c r="H405" s="236"/>
    </row>
    <row r="406" spans="2:8" ht="13" x14ac:dyDescent="0.15">
      <c r="B406" s="236"/>
      <c r="D406" s="236"/>
      <c r="F406" s="236"/>
      <c r="H406" s="236"/>
    </row>
    <row r="407" spans="2:8" ht="13" x14ac:dyDescent="0.15">
      <c r="B407" s="236"/>
      <c r="D407" s="236"/>
      <c r="F407" s="236"/>
      <c r="H407" s="236"/>
    </row>
    <row r="408" spans="2:8" ht="13" x14ac:dyDescent="0.15">
      <c r="B408" s="236"/>
      <c r="D408" s="236"/>
      <c r="F408" s="236"/>
      <c r="H408" s="236"/>
    </row>
    <row r="409" spans="2:8" ht="13" x14ac:dyDescent="0.15">
      <c r="B409" s="236"/>
      <c r="D409" s="236"/>
      <c r="F409" s="236"/>
      <c r="H409" s="236"/>
    </row>
    <row r="410" spans="2:8" ht="13" x14ac:dyDescent="0.15">
      <c r="B410" s="236"/>
      <c r="D410" s="236"/>
      <c r="F410" s="236"/>
      <c r="H410" s="236"/>
    </row>
    <row r="411" spans="2:8" ht="13" x14ac:dyDescent="0.15">
      <c r="B411" s="236"/>
      <c r="D411" s="236"/>
      <c r="F411" s="236"/>
      <c r="H411" s="236"/>
    </row>
    <row r="412" spans="2:8" ht="13" x14ac:dyDescent="0.15">
      <c r="B412" s="236"/>
      <c r="D412" s="236"/>
      <c r="F412" s="236"/>
      <c r="H412" s="236"/>
    </row>
    <row r="413" spans="2:8" ht="13" x14ac:dyDescent="0.15">
      <c r="B413" s="236"/>
      <c r="D413" s="236"/>
      <c r="F413" s="236"/>
      <c r="H413" s="236"/>
    </row>
    <row r="414" spans="2:8" ht="13" x14ac:dyDescent="0.15">
      <c r="B414" s="236"/>
      <c r="D414" s="236"/>
      <c r="F414" s="236"/>
      <c r="H414" s="236"/>
    </row>
    <row r="415" spans="2:8" ht="13" x14ac:dyDescent="0.15">
      <c r="B415" s="236"/>
      <c r="D415" s="236"/>
      <c r="F415" s="236"/>
      <c r="H415" s="236"/>
    </row>
    <row r="416" spans="2:8" ht="13" x14ac:dyDescent="0.15">
      <c r="B416" s="236"/>
      <c r="D416" s="236"/>
      <c r="F416" s="236"/>
      <c r="H416" s="236"/>
    </row>
    <row r="417" spans="2:8" ht="13" x14ac:dyDescent="0.15">
      <c r="B417" s="236"/>
      <c r="D417" s="236"/>
      <c r="F417" s="236"/>
      <c r="H417" s="236"/>
    </row>
    <row r="418" spans="2:8" ht="13" x14ac:dyDescent="0.15">
      <c r="B418" s="236"/>
      <c r="D418" s="236"/>
      <c r="F418" s="236"/>
      <c r="H418" s="236"/>
    </row>
    <row r="419" spans="2:8" ht="13" x14ac:dyDescent="0.15">
      <c r="B419" s="236"/>
      <c r="D419" s="236"/>
      <c r="F419" s="236"/>
      <c r="H419" s="236"/>
    </row>
    <row r="420" spans="2:8" ht="13" x14ac:dyDescent="0.15">
      <c r="B420" s="236"/>
      <c r="D420" s="236"/>
      <c r="F420" s="236"/>
      <c r="H420" s="236"/>
    </row>
    <row r="421" spans="2:8" ht="13" x14ac:dyDescent="0.15">
      <c r="B421" s="236"/>
      <c r="D421" s="236"/>
      <c r="F421" s="236"/>
      <c r="H421" s="236"/>
    </row>
    <row r="422" spans="2:8" ht="13" x14ac:dyDescent="0.15">
      <c r="B422" s="236"/>
      <c r="D422" s="236"/>
      <c r="F422" s="236"/>
      <c r="H422" s="236"/>
    </row>
    <row r="423" spans="2:8" ht="13" x14ac:dyDescent="0.15">
      <c r="B423" s="236"/>
      <c r="D423" s="236"/>
      <c r="F423" s="236"/>
      <c r="H423" s="236"/>
    </row>
    <row r="424" spans="2:8" ht="13" x14ac:dyDescent="0.15">
      <c r="B424" s="236"/>
      <c r="D424" s="236"/>
      <c r="F424" s="236"/>
      <c r="H424" s="236"/>
    </row>
    <row r="425" spans="2:8" ht="13" x14ac:dyDescent="0.15">
      <c r="B425" s="236"/>
      <c r="D425" s="236"/>
      <c r="F425" s="236"/>
      <c r="H425" s="236"/>
    </row>
    <row r="426" spans="2:8" ht="13" x14ac:dyDescent="0.15">
      <c r="B426" s="236"/>
      <c r="D426" s="236"/>
      <c r="F426" s="236"/>
      <c r="H426" s="236"/>
    </row>
    <row r="427" spans="2:8" ht="13" x14ac:dyDescent="0.15">
      <c r="B427" s="236"/>
      <c r="D427" s="236"/>
      <c r="F427" s="236"/>
      <c r="H427" s="236"/>
    </row>
    <row r="428" spans="2:8" ht="13" x14ac:dyDescent="0.15">
      <c r="B428" s="236"/>
      <c r="D428" s="236"/>
      <c r="F428" s="236"/>
      <c r="H428" s="236"/>
    </row>
    <row r="429" spans="2:8" ht="13" x14ac:dyDescent="0.15">
      <c r="B429" s="236"/>
      <c r="D429" s="236"/>
      <c r="F429" s="236"/>
      <c r="H429" s="236"/>
    </row>
    <row r="430" spans="2:8" ht="13" x14ac:dyDescent="0.15">
      <c r="B430" s="236"/>
      <c r="D430" s="236"/>
      <c r="F430" s="236"/>
      <c r="H430" s="236"/>
    </row>
    <row r="431" spans="2:8" ht="13" x14ac:dyDescent="0.15">
      <c r="B431" s="236"/>
      <c r="D431" s="236"/>
      <c r="F431" s="236"/>
      <c r="H431" s="236"/>
    </row>
    <row r="432" spans="2:8" ht="13" x14ac:dyDescent="0.15">
      <c r="B432" s="236"/>
      <c r="D432" s="236"/>
      <c r="F432" s="236"/>
      <c r="H432" s="236"/>
    </row>
    <row r="433" spans="2:8" ht="13" x14ac:dyDescent="0.15">
      <c r="B433" s="236"/>
      <c r="D433" s="236"/>
      <c r="F433" s="236"/>
      <c r="H433" s="236"/>
    </row>
    <row r="434" spans="2:8" ht="13" x14ac:dyDescent="0.15">
      <c r="B434" s="236"/>
      <c r="D434" s="236"/>
      <c r="F434" s="236"/>
      <c r="H434" s="236"/>
    </row>
    <row r="435" spans="2:8" ht="13" x14ac:dyDescent="0.15">
      <c r="B435" s="236"/>
      <c r="D435" s="236"/>
      <c r="F435" s="236"/>
      <c r="H435" s="236"/>
    </row>
    <row r="436" spans="2:8" ht="13" x14ac:dyDescent="0.15">
      <c r="B436" s="236"/>
      <c r="D436" s="236"/>
      <c r="F436" s="236"/>
      <c r="H436" s="236"/>
    </row>
    <row r="437" spans="2:8" ht="13" x14ac:dyDescent="0.15">
      <c r="B437" s="236"/>
      <c r="D437" s="236"/>
      <c r="F437" s="236"/>
      <c r="H437" s="236"/>
    </row>
    <row r="438" spans="2:8" ht="13" x14ac:dyDescent="0.15">
      <c r="B438" s="236"/>
      <c r="D438" s="236"/>
      <c r="F438" s="236"/>
      <c r="H438" s="236"/>
    </row>
    <row r="439" spans="2:8" ht="13" x14ac:dyDescent="0.15">
      <c r="B439" s="236"/>
      <c r="D439" s="236"/>
      <c r="F439" s="236"/>
      <c r="H439" s="236"/>
    </row>
    <row r="440" spans="2:8" ht="13" x14ac:dyDescent="0.15">
      <c r="B440" s="236"/>
      <c r="D440" s="236"/>
      <c r="F440" s="236"/>
      <c r="H440" s="236"/>
    </row>
    <row r="441" spans="2:8" ht="13" x14ac:dyDescent="0.15">
      <c r="B441" s="236"/>
      <c r="D441" s="236"/>
      <c r="F441" s="236"/>
      <c r="H441" s="236"/>
    </row>
    <row r="442" spans="2:8" ht="13" x14ac:dyDescent="0.15">
      <c r="B442" s="236"/>
      <c r="D442" s="236"/>
      <c r="F442" s="236"/>
      <c r="H442" s="236"/>
    </row>
    <row r="443" spans="2:8" ht="13" x14ac:dyDescent="0.15">
      <c r="B443" s="236"/>
      <c r="D443" s="236"/>
      <c r="F443" s="236"/>
      <c r="H443" s="236"/>
    </row>
    <row r="444" spans="2:8" ht="13" x14ac:dyDescent="0.15">
      <c r="B444" s="236"/>
      <c r="D444" s="236"/>
      <c r="F444" s="236"/>
      <c r="H444" s="236"/>
    </row>
    <row r="445" spans="2:8" ht="13" x14ac:dyDescent="0.15">
      <c r="B445" s="236"/>
      <c r="D445" s="236"/>
      <c r="F445" s="236"/>
      <c r="H445" s="236"/>
    </row>
    <row r="446" spans="2:8" ht="13" x14ac:dyDescent="0.15">
      <c r="B446" s="236"/>
      <c r="D446" s="236"/>
      <c r="F446" s="236"/>
      <c r="H446" s="236"/>
    </row>
    <row r="447" spans="2:8" ht="13" x14ac:dyDescent="0.15">
      <c r="B447" s="236"/>
      <c r="D447" s="236"/>
      <c r="F447" s="236"/>
      <c r="H447" s="236"/>
    </row>
    <row r="448" spans="2:8" ht="13" x14ac:dyDescent="0.15">
      <c r="B448" s="236"/>
      <c r="D448" s="236"/>
      <c r="F448" s="236"/>
      <c r="H448" s="236"/>
    </row>
    <row r="449" spans="2:8" ht="13" x14ac:dyDescent="0.15">
      <c r="B449" s="236"/>
      <c r="D449" s="236"/>
      <c r="F449" s="236"/>
      <c r="H449" s="236"/>
    </row>
    <row r="450" spans="2:8" ht="13" x14ac:dyDescent="0.15">
      <c r="B450" s="236"/>
      <c r="D450" s="236"/>
      <c r="F450" s="236"/>
      <c r="H450" s="236"/>
    </row>
    <row r="451" spans="2:8" ht="13" x14ac:dyDescent="0.15">
      <c r="B451" s="236"/>
      <c r="D451" s="236"/>
      <c r="F451" s="236"/>
      <c r="H451" s="236"/>
    </row>
    <row r="452" spans="2:8" ht="13" x14ac:dyDescent="0.15">
      <c r="B452" s="236"/>
      <c r="D452" s="236"/>
      <c r="F452" s="236"/>
      <c r="H452" s="236"/>
    </row>
    <row r="453" spans="2:8" ht="13" x14ac:dyDescent="0.15">
      <c r="B453" s="236"/>
      <c r="D453" s="236"/>
      <c r="F453" s="236"/>
      <c r="H453" s="236"/>
    </row>
    <row r="454" spans="2:8" ht="13" x14ac:dyDescent="0.15">
      <c r="B454" s="236"/>
      <c r="D454" s="236"/>
      <c r="F454" s="236"/>
      <c r="H454" s="236"/>
    </row>
    <row r="455" spans="2:8" ht="13" x14ac:dyDescent="0.15">
      <c r="B455" s="236"/>
      <c r="D455" s="236"/>
      <c r="F455" s="236"/>
      <c r="H455" s="236"/>
    </row>
    <row r="456" spans="2:8" ht="13" x14ac:dyDescent="0.15">
      <c r="B456" s="236"/>
      <c r="D456" s="236"/>
      <c r="F456" s="236"/>
      <c r="H456" s="236"/>
    </row>
    <row r="457" spans="2:8" ht="13" x14ac:dyDescent="0.15">
      <c r="B457" s="236"/>
      <c r="D457" s="236"/>
      <c r="F457" s="236"/>
      <c r="H457" s="236"/>
    </row>
    <row r="458" spans="2:8" ht="13" x14ac:dyDescent="0.15">
      <c r="B458" s="236"/>
      <c r="D458" s="236"/>
      <c r="F458" s="236"/>
      <c r="H458" s="236"/>
    </row>
    <row r="459" spans="2:8" ht="13" x14ac:dyDescent="0.15">
      <c r="B459" s="236"/>
      <c r="D459" s="236"/>
      <c r="F459" s="236"/>
      <c r="H459" s="236"/>
    </row>
    <row r="460" spans="2:8" ht="13" x14ac:dyDescent="0.15">
      <c r="B460" s="236"/>
      <c r="D460" s="236"/>
      <c r="F460" s="236"/>
      <c r="H460" s="236"/>
    </row>
    <row r="461" spans="2:8" ht="13" x14ac:dyDescent="0.15">
      <c r="B461" s="236"/>
      <c r="D461" s="236"/>
      <c r="F461" s="236"/>
      <c r="H461" s="236"/>
    </row>
    <row r="462" spans="2:8" ht="13" x14ac:dyDescent="0.15">
      <c r="B462" s="236"/>
      <c r="D462" s="236"/>
      <c r="F462" s="236"/>
      <c r="H462" s="236"/>
    </row>
    <row r="463" spans="2:8" ht="13" x14ac:dyDescent="0.15">
      <c r="B463" s="236"/>
      <c r="D463" s="236"/>
      <c r="F463" s="236"/>
      <c r="H463" s="236"/>
    </row>
    <row r="464" spans="2:8" ht="13" x14ac:dyDescent="0.15">
      <c r="B464" s="236"/>
      <c r="D464" s="236"/>
      <c r="F464" s="236"/>
      <c r="H464" s="236"/>
    </row>
    <row r="465" spans="2:8" ht="13" x14ac:dyDescent="0.15">
      <c r="B465" s="236"/>
      <c r="D465" s="236"/>
      <c r="F465" s="236"/>
      <c r="H465" s="236"/>
    </row>
    <row r="466" spans="2:8" ht="13" x14ac:dyDescent="0.15">
      <c r="B466" s="236"/>
      <c r="D466" s="236"/>
      <c r="F466" s="236"/>
      <c r="H466" s="236"/>
    </row>
    <row r="467" spans="2:8" ht="13" x14ac:dyDescent="0.15">
      <c r="B467" s="236"/>
      <c r="D467" s="236"/>
      <c r="F467" s="236"/>
      <c r="H467" s="236"/>
    </row>
    <row r="468" spans="2:8" ht="13" x14ac:dyDescent="0.15">
      <c r="B468" s="236"/>
      <c r="D468" s="236"/>
      <c r="F468" s="236"/>
      <c r="H468" s="236"/>
    </row>
    <row r="469" spans="2:8" ht="13" x14ac:dyDescent="0.15">
      <c r="B469" s="236"/>
      <c r="D469" s="236"/>
      <c r="F469" s="236"/>
      <c r="H469" s="236"/>
    </row>
    <row r="470" spans="2:8" ht="13" x14ac:dyDescent="0.15">
      <c r="B470" s="236"/>
      <c r="D470" s="236"/>
      <c r="F470" s="236"/>
      <c r="H470" s="236"/>
    </row>
    <row r="471" spans="2:8" ht="13" x14ac:dyDescent="0.15">
      <c r="B471" s="236"/>
      <c r="D471" s="236"/>
      <c r="F471" s="236"/>
      <c r="H471" s="236"/>
    </row>
    <row r="472" spans="2:8" ht="13" x14ac:dyDescent="0.15">
      <c r="B472" s="236"/>
      <c r="D472" s="236"/>
      <c r="F472" s="236"/>
      <c r="H472" s="236"/>
    </row>
    <row r="473" spans="2:8" ht="13" x14ac:dyDescent="0.15">
      <c r="B473" s="236"/>
      <c r="D473" s="236"/>
      <c r="F473" s="236"/>
      <c r="H473" s="236"/>
    </row>
    <row r="474" spans="2:8" ht="13" x14ac:dyDescent="0.15">
      <c r="B474" s="236"/>
      <c r="D474" s="236"/>
      <c r="F474" s="236"/>
      <c r="H474" s="236"/>
    </row>
    <row r="475" spans="2:8" ht="13" x14ac:dyDescent="0.15">
      <c r="B475" s="236"/>
      <c r="D475" s="236"/>
      <c r="F475" s="236"/>
      <c r="H475" s="236"/>
    </row>
    <row r="476" spans="2:8" ht="13" x14ac:dyDescent="0.15">
      <c r="B476" s="236"/>
      <c r="D476" s="236"/>
      <c r="F476" s="236"/>
      <c r="H476" s="236"/>
    </row>
    <row r="477" spans="2:8" ht="13" x14ac:dyDescent="0.15">
      <c r="B477" s="236"/>
      <c r="D477" s="236"/>
      <c r="F477" s="236"/>
      <c r="H477" s="236"/>
    </row>
    <row r="478" spans="2:8" ht="13" x14ac:dyDescent="0.15">
      <c r="B478" s="236"/>
      <c r="D478" s="236"/>
      <c r="F478" s="236"/>
      <c r="H478" s="236"/>
    </row>
    <row r="479" spans="2:8" ht="13" x14ac:dyDescent="0.15">
      <c r="B479" s="236"/>
      <c r="D479" s="236"/>
      <c r="F479" s="236"/>
      <c r="H479" s="236"/>
    </row>
    <row r="480" spans="2:8" ht="13" x14ac:dyDescent="0.15">
      <c r="B480" s="236"/>
      <c r="D480" s="236"/>
      <c r="F480" s="236"/>
      <c r="H480" s="236"/>
    </row>
    <row r="481" spans="2:8" ht="13" x14ac:dyDescent="0.15">
      <c r="B481" s="236"/>
      <c r="D481" s="236"/>
      <c r="F481" s="236"/>
      <c r="H481" s="236"/>
    </row>
    <row r="482" spans="2:8" ht="13" x14ac:dyDescent="0.15">
      <c r="B482" s="236"/>
      <c r="D482" s="236"/>
      <c r="F482" s="236"/>
      <c r="H482" s="236"/>
    </row>
    <row r="483" spans="2:8" ht="13" x14ac:dyDescent="0.15">
      <c r="B483" s="236"/>
      <c r="D483" s="236"/>
      <c r="F483" s="236"/>
      <c r="H483" s="236"/>
    </row>
    <row r="484" spans="2:8" ht="13" x14ac:dyDescent="0.15">
      <c r="B484" s="236"/>
      <c r="D484" s="236"/>
      <c r="F484" s="236"/>
      <c r="H484" s="236"/>
    </row>
    <row r="485" spans="2:8" ht="13" x14ac:dyDescent="0.15">
      <c r="B485" s="236"/>
      <c r="D485" s="236"/>
      <c r="F485" s="236"/>
      <c r="H485" s="236"/>
    </row>
    <row r="486" spans="2:8" ht="13" x14ac:dyDescent="0.15">
      <c r="B486" s="236"/>
      <c r="D486" s="236"/>
      <c r="F486" s="236"/>
      <c r="H486" s="236"/>
    </row>
    <row r="487" spans="2:8" ht="13" x14ac:dyDescent="0.15">
      <c r="B487" s="236"/>
      <c r="D487" s="236"/>
      <c r="F487" s="236"/>
      <c r="H487" s="236"/>
    </row>
    <row r="488" spans="2:8" ht="13" x14ac:dyDescent="0.15">
      <c r="B488" s="236"/>
      <c r="D488" s="236"/>
      <c r="F488" s="236"/>
      <c r="H488" s="236"/>
    </row>
    <row r="489" spans="2:8" ht="13" x14ac:dyDescent="0.15">
      <c r="B489" s="236"/>
      <c r="D489" s="236"/>
      <c r="F489" s="236"/>
      <c r="H489" s="236"/>
    </row>
    <row r="490" spans="2:8" ht="13" x14ac:dyDescent="0.15">
      <c r="B490" s="236"/>
      <c r="D490" s="236"/>
      <c r="F490" s="236"/>
      <c r="H490" s="236"/>
    </row>
    <row r="491" spans="2:8" ht="13" x14ac:dyDescent="0.15">
      <c r="B491" s="236"/>
      <c r="D491" s="236"/>
      <c r="F491" s="236"/>
      <c r="H491" s="236"/>
    </row>
    <row r="492" spans="2:8" ht="13" x14ac:dyDescent="0.15">
      <c r="B492" s="236"/>
      <c r="D492" s="236"/>
      <c r="F492" s="236"/>
      <c r="H492" s="236"/>
    </row>
    <row r="493" spans="2:8" ht="13" x14ac:dyDescent="0.15">
      <c r="B493" s="236"/>
      <c r="D493" s="236"/>
      <c r="F493" s="236"/>
      <c r="H493" s="236"/>
    </row>
    <row r="494" spans="2:8" ht="13" x14ac:dyDescent="0.15">
      <c r="B494" s="236"/>
      <c r="D494" s="236"/>
      <c r="F494" s="236"/>
      <c r="H494" s="236"/>
    </row>
    <row r="495" spans="2:8" ht="13" x14ac:dyDescent="0.15">
      <c r="B495" s="236"/>
      <c r="D495" s="236"/>
      <c r="F495" s="236"/>
      <c r="H495" s="236"/>
    </row>
    <row r="496" spans="2:8" ht="13" x14ac:dyDescent="0.15">
      <c r="B496" s="236"/>
      <c r="D496" s="236"/>
      <c r="F496" s="236"/>
      <c r="H496" s="236"/>
    </row>
    <row r="497" spans="2:8" ht="13" x14ac:dyDescent="0.15">
      <c r="B497" s="236"/>
      <c r="D497" s="236"/>
      <c r="F497" s="236"/>
      <c r="H497" s="236"/>
    </row>
    <row r="498" spans="2:8" ht="13" x14ac:dyDescent="0.15">
      <c r="B498" s="236"/>
      <c r="D498" s="236"/>
      <c r="F498" s="236"/>
      <c r="H498" s="236"/>
    </row>
    <row r="499" spans="2:8" ht="13" x14ac:dyDescent="0.15">
      <c r="B499" s="236"/>
      <c r="D499" s="236"/>
      <c r="F499" s="236"/>
      <c r="H499" s="236"/>
    </row>
    <row r="500" spans="2:8" ht="13" x14ac:dyDescent="0.15">
      <c r="B500" s="236"/>
      <c r="D500" s="236"/>
      <c r="F500" s="236"/>
      <c r="H500" s="236"/>
    </row>
    <row r="501" spans="2:8" ht="13" x14ac:dyDescent="0.15">
      <c r="B501" s="236"/>
      <c r="D501" s="236"/>
      <c r="F501" s="236"/>
      <c r="H501" s="236"/>
    </row>
    <row r="502" spans="2:8" ht="13" x14ac:dyDescent="0.15">
      <c r="B502" s="236"/>
      <c r="D502" s="236"/>
      <c r="F502" s="236"/>
      <c r="H502" s="236"/>
    </row>
    <row r="503" spans="2:8" ht="13" x14ac:dyDescent="0.15">
      <c r="B503" s="236"/>
      <c r="D503" s="236"/>
      <c r="F503" s="236"/>
      <c r="H503" s="236"/>
    </row>
    <row r="504" spans="2:8" ht="13" x14ac:dyDescent="0.15">
      <c r="B504" s="236"/>
      <c r="D504" s="236"/>
      <c r="F504" s="236"/>
      <c r="H504" s="236"/>
    </row>
    <row r="505" spans="2:8" ht="13" x14ac:dyDescent="0.15">
      <c r="B505" s="236"/>
      <c r="D505" s="236"/>
      <c r="F505" s="236"/>
      <c r="H505" s="236"/>
    </row>
    <row r="506" spans="2:8" ht="13" x14ac:dyDescent="0.15">
      <c r="B506" s="236"/>
      <c r="D506" s="236"/>
      <c r="F506" s="236"/>
      <c r="H506" s="236"/>
    </row>
    <row r="507" spans="2:8" ht="13" x14ac:dyDescent="0.15">
      <c r="B507" s="236"/>
      <c r="D507" s="236"/>
      <c r="F507" s="236"/>
      <c r="H507" s="236"/>
    </row>
    <row r="508" spans="2:8" ht="13" x14ac:dyDescent="0.15">
      <c r="B508" s="236"/>
      <c r="D508" s="236"/>
      <c r="F508" s="236"/>
      <c r="H508" s="236"/>
    </row>
    <row r="509" spans="2:8" ht="13" x14ac:dyDescent="0.15">
      <c r="B509" s="236"/>
      <c r="D509" s="236"/>
      <c r="F509" s="236"/>
      <c r="H509" s="236"/>
    </row>
    <row r="510" spans="2:8" ht="13" x14ac:dyDescent="0.15">
      <c r="B510" s="236"/>
      <c r="D510" s="236"/>
      <c r="F510" s="236"/>
      <c r="H510" s="236"/>
    </row>
    <row r="511" spans="2:8" ht="13" x14ac:dyDescent="0.15">
      <c r="B511" s="236"/>
      <c r="D511" s="236"/>
      <c r="F511" s="236"/>
      <c r="H511" s="236"/>
    </row>
    <row r="512" spans="2:8" ht="13" x14ac:dyDescent="0.15">
      <c r="B512" s="236"/>
      <c r="D512" s="236"/>
      <c r="F512" s="236"/>
      <c r="H512" s="236"/>
    </row>
    <row r="513" spans="2:8" ht="13" x14ac:dyDescent="0.15">
      <c r="B513" s="236"/>
      <c r="D513" s="236"/>
      <c r="F513" s="236"/>
      <c r="H513" s="236"/>
    </row>
    <row r="514" spans="2:8" ht="13" x14ac:dyDescent="0.15">
      <c r="B514" s="236"/>
      <c r="D514" s="236"/>
      <c r="F514" s="236"/>
      <c r="H514" s="236"/>
    </row>
    <row r="515" spans="2:8" ht="13" x14ac:dyDescent="0.15">
      <c r="B515" s="236"/>
      <c r="D515" s="236"/>
      <c r="F515" s="236"/>
      <c r="H515" s="236"/>
    </row>
    <row r="516" spans="2:8" ht="13" x14ac:dyDescent="0.15">
      <c r="B516" s="236"/>
      <c r="D516" s="236"/>
      <c r="F516" s="236"/>
      <c r="H516" s="236"/>
    </row>
    <row r="517" spans="2:8" ht="13" x14ac:dyDescent="0.15">
      <c r="B517" s="236"/>
      <c r="D517" s="236"/>
      <c r="F517" s="236"/>
      <c r="H517" s="236"/>
    </row>
    <row r="518" spans="2:8" ht="13" x14ac:dyDescent="0.15">
      <c r="B518" s="236"/>
      <c r="D518" s="236"/>
      <c r="F518" s="236"/>
      <c r="H518" s="236"/>
    </row>
    <row r="519" spans="2:8" ht="13" x14ac:dyDescent="0.15">
      <c r="B519" s="236"/>
      <c r="D519" s="236"/>
      <c r="F519" s="236"/>
      <c r="H519" s="236"/>
    </row>
    <row r="520" spans="2:8" ht="13" x14ac:dyDescent="0.15">
      <c r="B520" s="236"/>
      <c r="D520" s="236"/>
      <c r="F520" s="236"/>
      <c r="H520" s="236"/>
    </row>
    <row r="521" spans="2:8" ht="13" x14ac:dyDescent="0.15">
      <c r="B521" s="236"/>
      <c r="D521" s="236"/>
      <c r="F521" s="236"/>
      <c r="H521" s="236"/>
    </row>
    <row r="522" spans="2:8" ht="13" x14ac:dyDescent="0.15">
      <c r="B522" s="236"/>
      <c r="D522" s="236"/>
      <c r="F522" s="236"/>
      <c r="H522" s="236"/>
    </row>
    <row r="523" spans="2:8" ht="13" x14ac:dyDescent="0.15">
      <c r="B523" s="236"/>
      <c r="D523" s="236"/>
      <c r="F523" s="236"/>
      <c r="H523" s="236"/>
    </row>
    <row r="524" spans="2:8" ht="13" x14ac:dyDescent="0.15">
      <c r="B524" s="236"/>
      <c r="D524" s="236"/>
      <c r="F524" s="236"/>
      <c r="H524" s="236"/>
    </row>
    <row r="525" spans="2:8" ht="13" x14ac:dyDescent="0.15">
      <c r="B525" s="236"/>
      <c r="D525" s="236"/>
      <c r="F525" s="236"/>
      <c r="H525" s="236"/>
    </row>
    <row r="526" spans="2:8" ht="13" x14ac:dyDescent="0.15">
      <c r="B526" s="236"/>
      <c r="D526" s="236"/>
      <c r="F526" s="236"/>
      <c r="H526" s="236"/>
    </row>
    <row r="527" spans="2:8" ht="13" x14ac:dyDescent="0.15">
      <c r="B527" s="236"/>
      <c r="D527" s="236"/>
      <c r="F527" s="236"/>
      <c r="H527" s="236"/>
    </row>
    <row r="528" spans="2:8" ht="13" x14ac:dyDescent="0.15">
      <c r="B528" s="236"/>
      <c r="D528" s="236"/>
      <c r="F528" s="236"/>
      <c r="H528" s="236"/>
    </row>
    <row r="529" spans="2:8" ht="13" x14ac:dyDescent="0.15">
      <c r="B529" s="236"/>
      <c r="D529" s="236"/>
      <c r="F529" s="236"/>
      <c r="H529" s="236"/>
    </row>
    <row r="530" spans="2:8" ht="13" x14ac:dyDescent="0.15">
      <c r="B530" s="236"/>
      <c r="D530" s="236"/>
      <c r="F530" s="236"/>
      <c r="H530" s="236"/>
    </row>
    <row r="531" spans="2:8" ht="13" x14ac:dyDescent="0.15">
      <c r="B531" s="236"/>
      <c r="D531" s="236"/>
      <c r="F531" s="236"/>
      <c r="H531" s="236"/>
    </row>
    <row r="532" spans="2:8" ht="13" x14ac:dyDescent="0.15">
      <c r="B532" s="236"/>
      <c r="D532" s="236"/>
      <c r="F532" s="236"/>
      <c r="H532" s="236"/>
    </row>
    <row r="533" spans="2:8" ht="13" x14ac:dyDescent="0.15">
      <c r="B533" s="236"/>
      <c r="D533" s="236"/>
      <c r="F533" s="236"/>
      <c r="H533" s="236"/>
    </row>
    <row r="534" spans="2:8" ht="13" x14ac:dyDescent="0.15">
      <c r="B534" s="236"/>
      <c r="D534" s="236"/>
      <c r="F534" s="236"/>
      <c r="H534" s="236"/>
    </row>
    <row r="535" spans="2:8" ht="13" x14ac:dyDescent="0.15">
      <c r="B535" s="236"/>
      <c r="D535" s="236"/>
      <c r="F535" s="236"/>
      <c r="H535" s="236"/>
    </row>
    <row r="536" spans="2:8" ht="13" x14ac:dyDescent="0.15">
      <c r="B536" s="236"/>
      <c r="D536" s="236"/>
      <c r="F536" s="236"/>
      <c r="H536" s="236"/>
    </row>
    <row r="537" spans="2:8" ht="13" x14ac:dyDescent="0.15">
      <c r="B537" s="236"/>
      <c r="D537" s="236"/>
      <c r="F537" s="236"/>
      <c r="H537" s="236"/>
    </row>
    <row r="538" spans="2:8" ht="13" x14ac:dyDescent="0.15">
      <c r="B538" s="236"/>
      <c r="D538" s="236"/>
      <c r="F538" s="236"/>
      <c r="H538" s="236"/>
    </row>
    <row r="539" spans="2:8" ht="13" x14ac:dyDescent="0.15">
      <c r="B539" s="236"/>
      <c r="D539" s="236"/>
      <c r="F539" s="236"/>
      <c r="H539" s="236"/>
    </row>
    <row r="540" spans="2:8" ht="13" x14ac:dyDescent="0.15">
      <c r="B540" s="236"/>
      <c r="D540" s="236"/>
      <c r="F540" s="236"/>
      <c r="H540" s="236"/>
    </row>
    <row r="541" spans="2:8" ht="13" x14ac:dyDescent="0.15">
      <c r="B541" s="236"/>
      <c r="D541" s="236"/>
      <c r="F541" s="236"/>
      <c r="H541" s="236"/>
    </row>
    <row r="542" spans="2:8" ht="13" x14ac:dyDescent="0.15">
      <c r="B542" s="236"/>
      <c r="D542" s="236"/>
      <c r="F542" s="236"/>
      <c r="H542" s="236"/>
    </row>
    <row r="543" spans="2:8" ht="13" x14ac:dyDescent="0.15">
      <c r="B543" s="236"/>
      <c r="D543" s="236"/>
      <c r="F543" s="236"/>
      <c r="H543" s="236"/>
    </row>
    <row r="544" spans="2:8" ht="13" x14ac:dyDescent="0.15">
      <c r="B544" s="236"/>
      <c r="D544" s="236"/>
      <c r="F544" s="236"/>
      <c r="H544" s="236"/>
    </row>
    <row r="545" spans="2:8" ht="13" x14ac:dyDescent="0.15">
      <c r="B545" s="236"/>
      <c r="D545" s="236"/>
      <c r="F545" s="236"/>
      <c r="H545" s="236"/>
    </row>
    <row r="546" spans="2:8" ht="13" x14ac:dyDescent="0.15">
      <c r="B546" s="236"/>
      <c r="D546" s="236"/>
      <c r="F546" s="236"/>
      <c r="H546" s="236"/>
    </row>
    <row r="547" spans="2:8" ht="13" x14ac:dyDescent="0.15">
      <c r="B547" s="236"/>
      <c r="D547" s="236"/>
      <c r="F547" s="236"/>
      <c r="H547" s="236"/>
    </row>
    <row r="548" spans="2:8" ht="13" x14ac:dyDescent="0.15">
      <c r="B548" s="236"/>
      <c r="D548" s="236"/>
      <c r="F548" s="236"/>
      <c r="H548" s="236"/>
    </row>
    <row r="549" spans="2:8" ht="13" x14ac:dyDescent="0.15">
      <c r="B549" s="236"/>
      <c r="D549" s="236"/>
      <c r="F549" s="236"/>
      <c r="H549" s="236"/>
    </row>
    <row r="550" spans="2:8" ht="13" x14ac:dyDescent="0.15">
      <c r="B550" s="236"/>
      <c r="D550" s="236"/>
      <c r="F550" s="236"/>
      <c r="H550" s="236"/>
    </row>
    <row r="551" spans="2:8" ht="13" x14ac:dyDescent="0.15">
      <c r="B551" s="236"/>
      <c r="D551" s="236"/>
      <c r="F551" s="236"/>
      <c r="H551" s="236"/>
    </row>
    <row r="552" spans="2:8" ht="13" x14ac:dyDescent="0.15">
      <c r="B552" s="236"/>
      <c r="D552" s="236"/>
      <c r="F552" s="236"/>
      <c r="H552" s="236"/>
    </row>
    <row r="553" spans="2:8" ht="13" x14ac:dyDescent="0.15">
      <c r="B553" s="236"/>
      <c r="D553" s="236"/>
      <c r="F553" s="236"/>
      <c r="H553" s="236"/>
    </row>
    <row r="554" spans="2:8" ht="13" x14ac:dyDescent="0.15">
      <c r="B554" s="236"/>
      <c r="D554" s="236"/>
      <c r="F554" s="236"/>
      <c r="H554" s="236"/>
    </row>
    <row r="555" spans="2:8" ht="13" x14ac:dyDescent="0.15">
      <c r="B555" s="236"/>
      <c r="D555" s="236"/>
      <c r="F555" s="236"/>
      <c r="H555" s="236"/>
    </row>
    <row r="556" spans="2:8" ht="13" x14ac:dyDescent="0.15">
      <c r="B556" s="236"/>
      <c r="D556" s="236"/>
      <c r="F556" s="236"/>
      <c r="H556" s="236"/>
    </row>
    <row r="557" spans="2:8" ht="13" x14ac:dyDescent="0.15">
      <c r="B557" s="236"/>
      <c r="D557" s="236"/>
      <c r="F557" s="236"/>
      <c r="H557" s="236"/>
    </row>
    <row r="558" spans="2:8" ht="13" x14ac:dyDescent="0.15">
      <c r="B558" s="236"/>
      <c r="D558" s="236"/>
      <c r="F558" s="236"/>
      <c r="H558" s="236"/>
    </row>
    <row r="559" spans="2:8" ht="13" x14ac:dyDescent="0.15">
      <c r="B559" s="236"/>
      <c r="D559" s="236"/>
      <c r="F559" s="236"/>
      <c r="H559" s="236"/>
    </row>
    <row r="560" spans="2:8" ht="13" x14ac:dyDescent="0.15">
      <c r="B560" s="236"/>
      <c r="D560" s="236"/>
      <c r="F560" s="236"/>
      <c r="H560" s="236"/>
    </row>
    <row r="561" spans="2:8" ht="13" x14ac:dyDescent="0.15">
      <c r="B561" s="236"/>
      <c r="D561" s="236"/>
      <c r="F561" s="236"/>
      <c r="H561" s="236"/>
    </row>
    <row r="562" spans="2:8" ht="13" x14ac:dyDescent="0.15">
      <c r="B562" s="236"/>
      <c r="D562" s="236"/>
      <c r="F562" s="236"/>
      <c r="H562" s="236"/>
    </row>
    <row r="563" spans="2:8" ht="13" x14ac:dyDescent="0.15">
      <c r="B563" s="236"/>
      <c r="D563" s="236"/>
      <c r="F563" s="236"/>
      <c r="H563" s="236"/>
    </row>
    <row r="564" spans="2:8" ht="13" x14ac:dyDescent="0.15">
      <c r="B564" s="236"/>
      <c r="D564" s="236"/>
      <c r="F564" s="236"/>
      <c r="H564" s="236"/>
    </row>
    <row r="565" spans="2:8" ht="13" x14ac:dyDescent="0.15">
      <c r="B565" s="236"/>
      <c r="D565" s="236"/>
      <c r="F565" s="236"/>
      <c r="H565" s="236"/>
    </row>
    <row r="566" spans="2:8" ht="13" x14ac:dyDescent="0.15">
      <c r="B566" s="236"/>
      <c r="D566" s="236"/>
      <c r="F566" s="236"/>
      <c r="H566" s="236"/>
    </row>
    <row r="567" spans="2:8" ht="13" x14ac:dyDescent="0.15">
      <c r="B567" s="236"/>
      <c r="D567" s="236"/>
      <c r="F567" s="236"/>
      <c r="H567" s="236"/>
    </row>
    <row r="568" spans="2:8" ht="13" x14ac:dyDescent="0.15">
      <c r="B568" s="236"/>
      <c r="D568" s="236"/>
      <c r="F568" s="236"/>
      <c r="H568" s="236"/>
    </row>
    <row r="569" spans="2:8" ht="13" x14ac:dyDescent="0.15">
      <c r="B569" s="236"/>
      <c r="D569" s="236"/>
      <c r="F569" s="236"/>
      <c r="H569" s="236"/>
    </row>
    <row r="570" spans="2:8" ht="13" x14ac:dyDescent="0.15">
      <c r="B570" s="236"/>
      <c r="D570" s="236"/>
      <c r="F570" s="236"/>
      <c r="H570" s="236"/>
    </row>
    <row r="571" spans="2:8" ht="13" x14ac:dyDescent="0.15">
      <c r="B571" s="236"/>
      <c r="D571" s="236"/>
      <c r="F571" s="236"/>
      <c r="H571" s="236"/>
    </row>
    <row r="572" spans="2:8" ht="13" x14ac:dyDescent="0.15">
      <c r="B572" s="236"/>
      <c r="D572" s="236"/>
      <c r="F572" s="236"/>
      <c r="H572" s="236"/>
    </row>
    <row r="573" spans="2:8" ht="13" x14ac:dyDescent="0.15">
      <c r="B573" s="236"/>
      <c r="D573" s="236"/>
      <c r="F573" s="236"/>
      <c r="H573" s="236"/>
    </row>
    <row r="574" spans="2:8" ht="13" x14ac:dyDescent="0.15">
      <c r="B574" s="236"/>
      <c r="D574" s="236"/>
      <c r="F574" s="236"/>
      <c r="H574" s="236"/>
    </row>
    <row r="575" spans="2:8" ht="13" x14ac:dyDescent="0.15">
      <c r="B575" s="236"/>
      <c r="D575" s="236"/>
      <c r="F575" s="236"/>
      <c r="H575" s="236"/>
    </row>
    <row r="576" spans="2:8" ht="13" x14ac:dyDescent="0.15">
      <c r="B576" s="236"/>
      <c r="D576" s="236"/>
      <c r="F576" s="236"/>
      <c r="H576" s="236"/>
    </row>
    <row r="577" spans="2:8" ht="13" x14ac:dyDescent="0.15">
      <c r="B577" s="236"/>
      <c r="D577" s="236"/>
      <c r="F577" s="236"/>
      <c r="H577" s="236"/>
    </row>
    <row r="578" spans="2:8" ht="13" x14ac:dyDescent="0.15">
      <c r="B578" s="236"/>
      <c r="D578" s="236"/>
      <c r="F578" s="236"/>
      <c r="H578" s="236"/>
    </row>
    <row r="579" spans="2:8" ht="13" x14ac:dyDescent="0.15">
      <c r="B579" s="236"/>
      <c r="D579" s="236"/>
      <c r="F579" s="236"/>
      <c r="H579" s="236"/>
    </row>
    <row r="580" spans="2:8" ht="13" x14ac:dyDescent="0.15">
      <c r="B580" s="236"/>
      <c r="D580" s="236"/>
      <c r="F580" s="236"/>
      <c r="H580" s="236"/>
    </row>
    <row r="581" spans="2:8" ht="13" x14ac:dyDescent="0.15">
      <c r="B581" s="236"/>
      <c r="D581" s="236"/>
      <c r="F581" s="236"/>
      <c r="H581" s="236"/>
    </row>
    <row r="582" spans="2:8" ht="13" x14ac:dyDescent="0.15">
      <c r="B582" s="236"/>
      <c r="D582" s="236"/>
      <c r="F582" s="236"/>
      <c r="H582" s="236"/>
    </row>
    <row r="583" spans="2:8" ht="13" x14ac:dyDescent="0.15">
      <c r="B583" s="236"/>
      <c r="D583" s="236"/>
      <c r="F583" s="236"/>
      <c r="H583" s="236"/>
    </row>
    <row r="584" spans="2:8" ht="13" x14ac:dyDescent="0.15">
      <c r="B584" s="236"/>
      <c r="D584" s="236"/>
      <c r="F584" s="236"/>
      <c r="H584" s="236"/>
    </row>
    <row r="585" spans="2:8" ht="13" x14ac:dyDescent="0.15">
      <c r="B585" s="236"/>
      <c r="D585" s="236"/>
      <c r="F585" s="236"/>
      <c r="H585" s="236"/>
    </row>
    <row r="586" spans="2:8" ht="13" x14ac:dyDescent="0.15">
      <c r="B586" s="236"/>
      <c r="D586" s="236"/>
      <c r="F586" s="236"/>
      <c r="H586" s="236"/>
    </row>
    <row r="587" spans="2:8" ht="13" x14ac:dyDescent="0.15">
      <c r="B587" s="236"/>
      <c r="D587" s="236"/>
      <c r="F587" s="236"/>
      <c r="H587" s="236"/>
    </row>
    <row r="588" spans="2:8" ht="13" x14ac:dyDescent="0.15">
      <c r="B588" s="236"/>
      <c r="D588" s="236"/>
      <c r="F588" s="236"/>
      <c r="H588" s="236"/>
    </row>
    <row r="589" spans="2:8" ht="13" x14ac:dyDescent="0.15">
      <c r="B589" s="236"/>
      <c r="D589" s="236"/>
      <c r="F589" s="236"/>
      <c r="H589" s="236"/>
    </row>
    <row r="590" spans="2:8" ht="13" x14ac:dyDescent="0.15">
      <c r="B590" s="236"/>
      <c r="D590" s="236"/>
      <c r="F590" s="236"/>
      <c r="H590" s="236"/>
    </row>
    <row r="591" spans="2:8" ht="13" x14ac:dyDescent="0.15">
      <c r="B591" s="236"/>
      <c r="D591" s="236"/>
      <c r="F591" s="236"/>
      <c r="H591" s="236"/>
    </row>
    <row r="592" spans="2:8" ht="13" x14ac:dyDescent="0.15">
      <c r="B592" s="236"/>
      <c r="D592" s="236"/>
      <c r="F592" s="236"/>
      <c r="H592" s="236"/>
    </row>
    <row r="593" spans="2:8" ht="13" x14ac:dyDescent="0.15">
      <c r="B593" s="236"/>
      <c r="D593" s="236"/>
      <c r="F593" s="236"/>
      <c r="H593" s="236"/>
    </row>
    <row r="594" spans="2:8" ht="13" x14ac:dyDescent="0.15">
      <c r="B594" s="236"/>
      <c r="D594" s="236"/>
      <c r="F594" s="236"/>
      <c r="H594" s="236"/>
    </row>
    <row r="595" spans="2:8" ht="13" x14ac:dyDescent="0.15">
      <c r="B595" s="236"/>
      <c r="D595" s="236"/>
      <c r="F595" s="236"/>
      <c r="H595" s="236"/>
    </row>
    <row r="596" spans="2:8" ht="13" x14ac:dyDescent="0.15">
      <c r="B596" s="236"/>
      <c r="D596" s="236"/>
      <c r="F596" s="236"/>
      <c r="H596" s="236"/>
    </row>
    <row r="597" spans="2:8" ht="13" x14ac:dyDescent="0.15">
      <c r="B597" s="236"/>
      <c r="D597" s="236"/>
      <c r="F597" s="236"/>
      <c r="H597" s="236"/>
    </row>
    <row r="598" spans="2:8" ht="13" x14ac:dyDescent="0.15">
      <c r="B598" s="236"/>
      <c r="D598" s="236"/>
      <c r="F598" s="236"/>
      <c r="H598" s="236"/>
    </row>
    <row r="599" spans="2:8" ht="13" x14ac:dyDescent="0.15">
      <c r="B599" s="236"/>
      <c r="D599" s="236"/>
      <c r="F599" s="236"/>
      <c r="H599" s="236"/>
    </row>
    <row r="600" spans="2:8" ht="13" x14ac:dyDescent="0.15">
      <c r="B600" s="236"/>
      <c r="D600" s="236"/>
      <c r="F600" s="236"/>
      <c r="H600" s="236"/>
    </row>
    <row r="601" spans="2:8" ht="13" x14ac:dyDescent="0.15">
      <c r="B601" s="236"/>
      <c r="D601" s="236"/>
      <c r="F601" s="236"/>
      <c r="H601" s="236"/>
    </row>
    <row r="602" spans="2:8" ht="13" x14ac:dyDescent="0.15">
      <c r="B602" s="236"/>
      <c r="D602" s="236"/>
      <c r="F602" s="236"/>
      <c r="H602" s="236"/>
    </row>
    <row r="603" spans="2:8" ht="13" x14ac:dyDescent="0.15">
      <c r="B603" s="236"/>
      <c r="D603" s="236"/>
      <c r="F603" s="236"/>
      <c r="H603" s="236"/>
    </row>
    <row r="604" spans="2:8" ht="13" x14ac:dyDescent="0.15">
      <c r="B604" s="236"/>
      <c r="D604" s="236"/>
      <c r="F604" s="236"/>
      <c r="H604" s="236"/>
    </row>
    <row r="605" spans="2:8" ht="13" x14ac:dyDescent="0.15">
      <c r="B605" s="236"/>
      <c r="D605" s="236"/>
      <c r="F605" s="236"/>
      <c r="H605" s="236"/>
    </row>
    <row r="606" spans="2:8" ht="13" x14ac:dyDescent="0.15">
      <c r="B606" s="236"/>
      <c r="D606" s="236"/>
      <c r="F606" s="236"/>
      <c r="H606" s="236"/>
    </row>
    <row r="607" spans="2:8" ht="13" x14ac:dyDescent="0.15">
      <c r="B607" s="236"/>
      <c r="D607" s="236"/>
      <c r="F607" s="236"/>
      <c r="H607" s="236"/>
    </row>
    <row r="608" spans="2:8" ht="13" x14ac:dyDescent="0.15">
      <c r="B608" s="236"/>
      <c r="D608" s="236"/>
      <c r="F608" s="236"/>
      <c r="H608" s="236"/>
    </row>
    <row r="609" spans="2:8" ht="13" x14ac:dyDescent="0.15">
      <c r="B609" s="236"/>
      <c r="D609" s="236"/>
      <c r="F609" s="236"/>
      <c r="H609" s="236"/>
    </row>
    <row r="610" spans="2:8" ht="13" x14ac:dyDescent="0.15">
      <c r="B610" s="236"/>
      <c r="D610" s="236"/>
      <c r="F610" s="236"/>
      <c r="H610" s="236"/>
    </row>
    <row r="611" spans="2:8" ht="13" x14ac:dyDescent="0.15">
      <c r="B611" s="236"/>
      <c r="D611" s="236"/>
      <c r="F611" s="236"/>
      <c r="H611" s="236"/>
    </row>
    <row r="612" spans="2:8" ht="13" x14ac:dyDescent="0.15">
      <c r="B612" s="236"/>
      <c r="D612" s="236"/>
      <c r="F612" s="236"/>
      <c r="H612" s="236"/>
    </row>
    <row r="613" spans="2:8" ht="13" x14ac:dyDescent="0.15">
      <c r="B613" s="236"/>
      <c r="D613" s="236"/>
      <c r="F613" s="236"/>
      <c r="H613" s="236"/>
    </row>
    <row r="614" spans="2:8" ht="13" x14ac:dyDescent="0.15">
      <c r="B614" s="236"/>
      <c r="D614" s="236"/>
      <c r="F614" s="236"/>
      <c r="H614" s="236"/>
    </row>
    <row r="615" spans="2:8" ht="13" x14ac:dyDescent="0.15">
      <c r="B615" s="236"/>
      <c r="D615" s="236"/>
      <c r="F615" s="236"/>
      <c r="H615" s="236"/>
    </row>
    <row r="616" spans="2:8" ht="13" x14ac:dyDescent="0.15">
      <c r="B616" s="236"/>
      <c r="D616" s="236"/>
      <c r="F616" s="236"/>
      <c r="H616" s="236"/>
    </row>
    <row r="617" spans="2:8" ht="13" x14ac:dyDescent="0.15">
      <c r="B617" s="236"/>
      <c r="D617" s="236"/>
      <c r="F617" s="236"/>
      <c r="H617" s="236"/>
    </row>
    <row r="618" spans="2:8" ht="13" x14ac:dyDescent="0.15">
      <c r="B618" s="236"/>
      <c r="D618" s="236"/>
      <c r="F618" s="236"/>
      <c r="H618" s="236"/>
    </row>
    <row r="619" spans="2:8" ht="13" x14ac:dyDescent="0.15">
      <c r="B619" s="236"/>
      <c r="D619" s="236"/>
      <c r="F619" s="236"/>
      <c r="H619" s="236"/>
    </row>
    <row r="620" spans="2:8" ht="13" x14ac:dyDescent="0.15">
      <c r="B620" s="236"/>
      <c r="D620" s="236"/>
      <c r="F620" s="236"/>
      <c r="H620" s="236"/>
    </row>
    <row r="621" spans="2:8" ht="13" x14ac:dyDescent="0.15">
      <c r="B621" s="236"/>
      <c r="D621" s="236"/>
      <c r="F621" s="236"/>
      <c r="H621" s="236"/>
    </row>
    <row r="622" spans="2:8" ht="13" x14ac:dyDescent="0.15">
      <c r="B622" s="236"/>
      <c r="D622" s="236"/>
      <c r="F622" s="236"/>
      <c r="H622" s="236"/>
    </row>
    <row r="623" spans="2:8" ht="13" x14ac:dyDescent="0.15">
      <c r="B623" s="236"/>
      <c r="D623" s="236"/>
      <c r="F623" s="236"/>
      <c r="H623" s="236"/>
    </row>
    <row r="624" spans="2:8" ht="13" x14ac:dyDescent="0.15">
      <c r="B624" s="236"/>
      <c r="D624" s="236"/>
      <c r="F624" s="236"/>
      <c r="H624" s="236"/>
    </row>
    <row r="625" spans="2:8" ht="13" x14ac:dyDescent="0.15">
      <c r="B625" s="236"/>
      <c r="D625" s="236"/>
      <c r="F625" s="236"/>
      <c r="H625" s="236"/>
    </row>
    <row r="626" spans="2:8" ht="13" x14ac:dyDescent="0.15">
      <c r="B626" s="236"/>
      <c r="D626" s="236"/>
      <c r="F626" s="236"/>
      <c r="H626" s="236"/>
    </row>
    <row r="627" spans="2:8" ht="13" x14ac:dyDescent="0.15">
      <c r="B627" s="236"/>
      <c r="D627" s="236"/>
      <c r="F627" s="236"/>
      <c r="H627" s="236"/>
    </row>
    <row r="628" spans="2:8" ht="13" x14ac:dyDescent="0.15">
      <c r="B628" s="236"/>
      <c r="D628" s="236"/>
      <c r="F628" s="236"/>
      <c r="H628" s="236"/>
    </row>
    <row r="629" spans="2:8" ht="13" x14ac:dyDescent="0.15">
      <c r="B629" s="236"/>
      <c r="D629" s="236"/>
      <c r="F629" s="236"/>
      <c r="H629" s="236"/>
    </row>
    <row r="630" spans="2:8" ht="13" x14ac:dyDescent="0.15">
      <c r="B630" s="236"/>
      <c r="D630" s="236"/>
      <c r="F630" s="236"/>
      <c r="H630" s="236"/>
    </row>
    <row r="631" spans="2:8" ht="13" x14ac:dyDescent="0.15">
      <c r="B631" s="236"/>
      <c r="D631" s="236"/>
      <c r="F631" s="236"/>
      <c r="H631" s="236"/>
    </row>
    <row r="632" spans="2:8" ht="13" x14ac:dyDescent="0.15">
      <c r="B632" s="236"/>
      <c r="D632" s="236"/>
      <c r="F632" s="236"/>
      <c r="H632" s="236"/>
    </row>
    <row r="633" spans="2:8" ht="13" x14ac:dyDescent="0.15">
      <c r="B633" s="236"/>
      <c r="D633" s="236"/>
      <c r="F633" s="236"/>
      <c r="H633" s="236"/>
    </row>
    <row r="634" spans="2:8" ht="13" x14ac:dyDescent="0.15">
      <c r="B634" s="236"/>
      <c r="D634" s="236"/>
      <c r="F634" s="236"/>
      <c r="H634" s="236"/>
    </row>
    <row r="635" spans="2:8" ht="13" x14ac:dyDescent="0.15">
      <c r="B635" s="236"/>
      <c r="D635" s="236"/>
      <c r="F635" s="236"/>
      <c r="H635" s="236"/>
    </row>
    <row r="636" spans="2:8" ht="13" x14ac:dyDescent="0.15">
      <c r="B636" s="236"/>
      <c r="D636" s="236"/>
      <c r="F636" s="236"/>
      <c r="H636" s="236"/>
    </row>
    <row r="637" spans="2:8" ht="13" x14ac:dyDescent="0.15">
      <c r="B637" s="236"/>
      <c r="D637" s="236"/>
      <c r="F637" s="236"/>
      <c r="H637" s="236"/>
    </row>
    <row r="638" spans="2:8" ht="13" x14ac:dyDescent="0.15">
      <c r="B638" s="236"/>
      <c r="D638" s="236"/>
      <c r="F638" s="236"/>
      <c r="H638" s="236"/>
    </row>
    <row r="639" spans="2:8" ht="13" x14ac:dyDescent="0.15">
      <c r="B639" s="236"/>
      <c r="D639" s="236"/>
      <c r="F639" s="236"/>
      <c r="H639" s="236"/>
    </row>
    <row r="640" spans="2:8" ht="13" x14ac:dyDescent="0.15">
      <c r="B640" s="236"/>
      <c r="D640" s="236"/>
      <c r="F640" s="236"/>
      <c r="H640" s="236"/>
    </row>
    <row r="641" spans="2:8" ht="13" x14ac:dyDescent="0.15">
      <c r="B641" s="236"/>
      <c r="D641" s="236"/>
      <c r="F641" s="236"/>
      <c r="H641" s="236"/>
    </row>
    <row r="642" spans="2:8" ht="13" x14ac:dyDescent="0.15">
      <c r="B642" s="236"/>
      <c r="D642" s="236"/>
      <c r="F642" s="236"/>
      <c r="H642" s="236"/>
    </row>
    <row r="643" spans="2:8" ht="13" x14ac:dyDescent="0.15">
      <c r="B643" s="236"/>
      <c r="D643" s="236"/>
      <c r="F643" s="236"/>
      <c r="H643" s="236"/>
    </row>
    <row r="644" spans="2:8" ht="13" x14ac:dyDescent="0.15">
      <c r="B644" s="236"/>
      <c r="D644" s="236"/>
      <c r="F644" s="236"/>
      <c r="H644" s="236"/>
    </row>
    <row r="645" spans="2:8" ht="13" x14ac:dyDescent="0.15">
      <c r="B645" s="236"/>
      <c r="D645" s="236"/>
      <c r="F645" s="236"/>
      <c r="H645" s="236"/>
    </row>
    <row r="646" spans="2:8" ht="13" x14ac:dyDescent="0.15">
      <c r="B646" s="236"/>
      <c r="D646" s="236"/>
      <c r="F646" s="236"/>
      <c r="H646" s="236"/>
    </row>
    <row r="647" spans="2:8" ht="13" x14ac:dyDescent="0.15">
      <c r="B647" s="236"/>
      <c r="D647" s="236"/>
      <c r="F647" s="236"/>
      <c r="H647" s="236"/>
    </row>
    <row r="648" spans="2:8" ht="13" x14ac:dyDescent="0.15">
      <c r="B648" s="236"/>
      <c r="D648" s="236"/>
      <c r="F648" s="236"/>
      <c r="H648" s="236"/>
    </row>
    <row r="649" spans="2:8" ht="13" x14ac:dyDescent="0.15">
      <c r="B649" s="236"/>
      <c r="D649" s="236"/>
      <c r="F649" s="236"/>
      <c r="H649" s="236"/>
    </row>
    <row r="650" spans="2:8" ht="13" x14ac:dyDescent="0.15">
      <c r="B650" s="236"/>
      <c r="D650" s="236"/>
      <c r="F650" s="236"/>
      <c r="H650" s="236"/>
    </row>
    <row r="651" spans="2:8" ht="13" x14ac:dyDescent="0.15">
      <c r="B651" s="236"/>
      <c r="D651" s="236"/>
      <c r="F651" s="236"/>
      <c r="H651" s="236"/>
    </row>
    <row r="652" spans="2:8" ht="13" x14ac:dyDescent="0.15">
      <c r="B652" s="236"/>
      <c r="D652" s="236"/>
      <c r="F652" s="236"/>
      <c r="H652" s="236"/>
    </row>
    <row r="653" spans="2:8" ht="13" x14ac:dyDescent="0.15">
      <c r="B653" s="236"/>
      <c r="D653" s="236"/>
      <c r="F653" s="236"/>
      <c r="H653" s="236"/>
    </row>
    <row r="654" spans="2:8" ht="13" x14ac:dyDescent="0.15">
      <c r="B654" s="236"/>
      <c r="D654" s="236"/>
      <c r="F654" s="236"/>
      <c r="H654" s="236"/>
    </row>
    <row r="655" spans="2:8" ht="13" x14ac:dyDescent="0.15">
      <c r="B655" s="236"/>
      <c r="D655" s="236"/>
      <c r="F655" s="236"/>
      <c r="H655" s="236"/>
    </row>
    <row r="656" spans="2:8" ht="13" x14ac:dyDescent="0.15">
      <c r="B656" s="236"/>
      <c r="D656" s="236"/>
      <c r="F656" s="236"/>
      <c r="H656" s="236"/>
    </row>
    <row r="657" spans="2:8" ht="13" x14ac:dyDescent="0.15">
      <c r="B657" s="236"/>
      <c r="D657" s="236"/>
      <c r="F657" s="236"/>
      <c r="H657" s="236"/>
    </row>
    <row r="658" spans="2:8" ht="13" x14ac:dyDescent="0.15">
      <c r="B658" s="236"/>
      <c r="D658" s="236"/>
      <c r="F658" s="236"/>
      <c r="H658" s="236"/>
    </row>
    <row r="659" spans="2:8" ht="13" x14ac:dyDescent="0.15">
      <c r="B659" s="236"/>
      <c r="D659" s="236"/>
      <c r="F659" s="236"/>
      <c r="H659" s="236"/>
    </row>
    <row r="660" spans="2:8" ht="13" x14ac:dyDescent="0.15">
      <c r="B660" s="236"/>
      <c r="D660" s="236"/>
      <c r="F660" s="236"/>
      <c r="H660" s="236"/>
    </row>
    <row r="661" spans="2:8" ht="13" x14ac:dyDescent="0.15">
      <c r="B661" s="236"/>
      <c r="D661" s="236"/>
      <c r="F661" s="236"/>
      <c r="H661" s="236"/>
    </row>
    <row r="662" spans="2:8" ht="13" x14ac:dyDescent="0.15">
      <c r="B662" s="236"/>
      <c r="D662" s="236"/>
      <c r="F662" s="236"/>
      <c r="H662" s="236"/>
    </row>
    <row r="663" spans="2:8" ht="13" x14ac:dyDescent="0.15">
      <c r="B663" s="236"/>
      <c r="D663" s="236"/>
      <c r="F663" s="236"/>
      <c r="H663" s="236"/>
    </row>
    <row r="664" spans="2:8" ht="13" x14ac:dyDescent="0.15">
      <c r="B664" s="236"/>
      <c r="D664" s="236"/>
      <c r="F664" s="236"/>
      <c r="H664" s="236"/>
    </row>
    <row r="665" spans="2:8" ht="13" x14ac:dyDescent="0.15">
      <c r="B665" s="236"/>
      <c r="D665" s="236"/>
      <c r="F665" s="236"/>
      <c r="H665" s="236"/>
    </row>
    <row r="666" spans="2:8" ht="13" x14ac:dyDescent="0.15">
      <c r="B666" s="236"/>
      <c r="D666" s="236"/>
      <c r="F666" s="236"/>
      <c r="H666" s="236"/>
    </row>
    <row r="667" spans="2:8" ht="13" x14ac:dyDescent="0.15">
      <c r="B667" s="236"/>
      <c r="D667" s="236"/>
      <c r="F667" s="236"/>
      <c r="H667" s="236"/>
    </row>
    <row r="668" spans="2:8" ht="13" x14ac:dyDescent="0.15">
      <c r="B668" s="236"/>
      <c r="D668" s="236"/>
      <c r="F668" s="236"/>
      <c r="H668" s="236"/>
    </row>
    <row r="669" spans="2:8" ht="13" x14ac:dyDescent="0.15">
      <c r="B669" s="236"/>
      <c r="D669" s="236"/>
      <c r="F669" s="236"/>
      <c r="H669" s="236"/>
    </row>
    <row r="670" spans="2:8" ht="13" x14ac:dyDescent="0.15">
      <c r="B670" s="236"/>
      <c r="D670" s="236"/>
      <c r="F670" s="236"/>
      <c r="H670" s="236"/>
    </row>
    <row r="671" spans="2:8" ht="13" x14ac:dyDescent="0.15">
      <c r="B671" s="236"/>
      <c r="D671" s="236"/>
      <c r="F671" s="236"/>
      <c r="H671" s="236"/>
    </row>
    <row r="672" spans="2:8" ht="13" x14ac:dyDescent="0.15">
      <c r="B672" s="236"/>
      <c r="D672" s="236"/>
      <c r="F672" s="236"/>
      <c r="H672" s="236"/>
    </row>
    <row r="673" spans="2:8" ht="13" x14ac:dyDescent="0.15">
      <c r="B673" s="236"/>
      <c r="D673" s="236"/>
      <c r="F673" s="236"/>
      <c r="H673" s="236"/>
    </row>
    <row r="674" spans="2:8" ht="13" x14ac:dyDescent="0.15">
      <c r="B674" s="236"/>
      <c r="D674" s="236"/>
      <c r="F674" s="236"/>
      <c r="H674" s="236"/>
    </row>
    <row r="675" spans="2:8" ht="13" x14ac:dyDescent="0.15">
      <c r="B675" s="236"/>
      <c r="D675" s="236"/>
      <c r="F675" s="236"/>
      <c r="H675" s="236"/>
    </row>
    <row r="676" spans="2:8" ht="13" x14ac:dyDescent="0.15">
      <c r="B676" s="236"/>
      <c r="D676" s="236"/>
      <c r="F676" s="236"/>
      <c r="H676" s="236"/>
    </row>
    <row r="677" spans="2:8" ht="13" x14ac:dyDescent="0.15">
      <c r="B677" s="236"/>
      <c r="D677" s="236"/>
      <c r="F677" s="236"/>
      <c r="H677" s="236"/>
    </row>
    <row r="678" spans="2:8" ht="13" x14ac:dyDescent="0.15">
      <c r="B678" s="236"/>
      <c r="D678" s="236"/>
      <c r="F678" s="236"/>
      <c r="H678" s="236"/>
    </row>
    <row r="679" spans="2:8" ht="13" x14ac:dyDescent="0.15">
      <c r="B679" s="236"/>
      <c r="D679" s="236"/>
      <c r="F679" s="236"/>
      <c r="H679" s="236"/>
    </row>
    <row r="680" spans="2:8" ht="13" x14ac:dyDescent="0.15">
      <c r="B680" s="236"/>
      <c r="D680" s="236"/>
      <c r="F680" s="236"/>
      <c r="H680" s="236"/>
    </row>
    <row r="681" spans="2:8" ht="13" x14ac:dyDescent="0.15">
      <c r="B681" s="236"/>
      <c r="D681" s="236"/>
      <c r="F681" s="236"/>
      <c r="H681" s="236"/>
    </row>
    <row r="682" spans="2:8" ht="13" x14ac:dyDescent="0.15">
      <c r="B682" s="236"/>
      <c r="D682" s="236"/>
      <c r="F682" s="236"/>
      <c r="H682" s="236"/>
    </row>
    <row r="683" spans="2:8" ht="13" x14ac:dyDescent="0.15">
      <c r="B683" s="236"/>
      <c r="D683" s="236"/>
      <c r="F683" s="236"/>
      <c r="H683" s="236"/>
    </row>
    <row r="684" spans="2:8" ht="13" x14ac:dyDescent="0.15">
      <c r="B684" s="236"/>
      <c r="D684" s="236"/>
      <c r="F684" s="236"/>
      <c r="H684" s="236"/>
    </row>
    <row r="685" spans="2:8" ht="13" x14ac:dyDescent="0.15">
      <c r="B685" s="236"/>
      <c r="D685" s="236"/>
      <c r="F685" s="236"/>
      <c r="H685" s="236"/>
    </row>
    <row r="686" spans="2:8" ht="13" x14ac:dyDescent="0.15">
      <c r="B686" s="236"/>
      <c r="D686" s="236"/>
      <c r="F686" s="236"/>
      <c r="H686" s="236"/>
    </row>
    <row r="687" spans="2:8" ht="13" x14ac:dyDescent="0.15">
      <c r="B687" s="236"/>
      <c r="D687" s="236"/>
      <c r="F687" s="236"/>
      <c r="H687" s="236"/>
    </row>
    <row r="688" spans="2:8" ht="13" x14ac:dyDescent="0.15">
      <c r="B688" s="236"/>
      <c r="D688" s="236"/>
      <c r="F688" s="236"/>
      <c r="H688" s="236"/>
    </row>
    <row r="689" spans="2:8" ht="13" x14ac:dyDescent="0.15">
      <c r="B689" s="236"/>
      <c r="D689" s="236"/>
      <c r="F689" s="236"/>
      <c r="H689" s="236"/>
    </row>
    <row r="690" spans="2:8" ht="13" x14ac:dyDescent="0.15">
      <c r="B690" s="236"/>
      <c r="D690" s="236"/>
      <c r="F690" s="236"/>
      <c r="H690" s="236"/>
    </row>
    <row r="691" spans="2:8" ht="13" x14ac:dyDescent="0.15">
      <c r="B691" s="236"/>
      <c r="D691" s="236"/>
      <c r="F691" s="236"/>
      <c r="H691" s="236"/>
    </row>
    <row r="692" spans="2:8" ht="13" x14ac:dyDescent="0.15">
      <c r="B692" s="236"/>
      <c r="D692" s="236"/>
      <c r="F692" s="236"/>
      <c r="H692" s="236"/>
    </row>
    <row r="693" spans="2:8" ht="13" x14ac:dyDescent="0.15">
      <c r="B693" s="236"/>
      <c r="D693" s="236"/>
      <c r="F693" s="236"/>
      <c r="H693" s="236"/>
    </row>
    <row r="694" spans="2:8" ht="13" x14ac:dyDescent="0.15">
      <c r="B694" s="236"/>
      <c r="D694" s="236"/>
      <c r="F694" s="236"/>
      <c r="H694" s="236"/>
    </row>
    <row r="695" spans="2:8" ht="13" x14ac:dyDescent="0.15">
      <c r="B695" s="236"/>
      <c r="D695" s="236"/>
      <c r="F695" s="236"/>
      <c r="H695" s="236"/>
    </row>
    <row r="696" spans="2:8" ht="13" x14ac:dyDescent="0.15">
      <c r="B696" s="236"/>
      <c r="D696" s="236"/>
      <c r="F696" s="236"/>
      <c r="H696" s="236"/>
    </row>
    <row r="697" spans="2:8" ht="13" x14ac:dyDescent="0.15">
      <c r="B697" s="236"/>
      <c r="D697" s="236"/>
      <c r="F697" s="236"/>
      <c r="H697" s="236"/>
    </row>
    <row r="698" spans="2:8" ht="13" x14ac:dyDescent="0.15">
      <c r="B698" s="236"/>
      <c r="D698" s="236"/>
      <c r="F698" s="236"/>
      <c r="H698" s="236"/>
    </row>
    <row r="699" spans="2:8" ht="13" x14ac:dyDescent="0.15">
      <c r="B699" s="236"/>
      <c r="D699" s="236"/>
      <c r="F699" s="236"/>
      <c r="H699" s="236"/>
    </row>
    <row r="700" spans="2:8" ht="13" x14ac:dyDescent="0.15">
      <c r="B700" s="236"/>
      <c r="D700" s="236"/>
      <c r="F700" s="236"/>
      <c r="H700" s="236"/>
    </row>
    <row r="701" spans="2:8" ht="13" x14ac:dyDescent="0.15">
      <c r="B701" s="236"/>
      <c r="D701" s="236"/>
      <c r="F701" s="236"/>
      <c r="H701" s="236"/>
    </row>
    <row r="702" spans="2:8" ht="13" x14ac:dyDescent="0.15">
      <c r="B702" s="236"/>
      <c r="D702" s="236"/>
      <c r="F702" s="236"/>
      <c r="H702" s="236"/>
    </row>
    <row r="703" spans="2:8" ht="13" x14ac:dyDescent="0.15">
      <c r="B703" s="236"/>
      <c r="D703" s="236"/>
      <c r="F703" s="236"/>
      <c r="H703" s="236"/>
    </row>
    <row r="704" spans="2:8" ht="13" x14ac:dyDescent="0.15">
      <c r="B704" s="236"/>
      <c r="D704" s="236"/>
      <c r="F704" s="236"/>
      <c r="H704" s="236"/>
    </row>
    <row r="705" spans="2:8" ht="13" x14ac:dyDescent="0.15">
      <c r="B705" s="236"/>
      <c r="D705" s="236"/>
      <c r="F705" s="236"/>
      <c r="H705" s="236"/>
    </row>
    <row r="706" spans="2:8" ht="13" x14ac:dyDescent="0.15">
      <c r="B706" s="236"/>
      <c r="D706" s="236"/>
      <c r="F706" s="236"/>
      <c r="H706" s="236"/>
    </row>
    <row r="707" spans="2:8" ht="13" x14ac:dyDescent="0.15">
      <c r="B707" s="236"/>
      <c r="D707" s="236"/>
      <c r="F707" s="236"/>
      <c r="H707" s="236"/>
    </row>
    <row r="708" spans="2:8" ht="13" x14ac:dyDescent="0.15">
      <c r="B708" s="236"/>
      <c r="D708" s="236"/>
      <c r="F708" s="236"/>
      <c r="H708" s="236"/>
    </row>
    <row r="709" spans="2:8" ht="13" x14ac:dyDescent="0.15">
      <c r="B709" s="236"/>
      <c r="D709" s="236"/>
      <c r="F709" s="236"/>
      <c r="H709" s="236"/>
    </row>
    <row r="710" spans="2:8" ht="13" x14ac:dyDescent="0.15">
      <c r="B710" s="236"/>
      <c r="D710" s="236"/>
      <c r="F710" s="236"/>
      <c r="H710" s="236"/>
    </row>
    <row r="711" spans="2:8" ht="13" x14ac:dyDescent="0.15">
      <c r="B711" s="236"/>
      <c r="D711" s="236"/>
      <c r="F711" s="236"/>
      <c r="H711" s="236"/>
    </row>
    <row r="712" spans="2:8" ht="13" x14ac:dyDescent="0.15">
      <c r="B712" s="236"/>
      <c r="D712" s="236"/>
      <c r="F712" s="236"/>
      <c r="H712" s="236"/>
    </row>
    <row r="713" spans="2:8" ht="13" x14ac:dyDescent="0.15">
      <c r="B713" s="236"/>
      <c r="D713" s="236"/>
      <c r="F713" s="236"/>
      <c r="H713" s="236"/>
    </row>
    <row r="714" spans="2:8" ht="13" x14ac:dyDescent="0.15">
      <c r="B714" s="236"/>
      <c r="D714" s="236"/>
      <c r="F714" s="236"/>
      <c r="H714" s="236"/>
    </row>
    <row r="715" spans="2:8" ht="13" x14ac:dyDescent="0.15">
      <c r="B715" s="236"/>
      <c r="D715" s="236"/>
      <c r="F715" s="236"/>
      <c r="H715" s="236"/>
    </row>
    <row r="716" spans="2:8" ht="13" x14ac:dyDescent="0.15">
      <c r="B716" s="236"/>
      <c r="D716" s="236"/>
      <c r="F716" s="236"/>
      <c r="H716" s="236"/>
    </row>
    <row r="717" spans="2:8" ht="13" x14ac:dyDescent="0.15">
      <c r="B717" s="236"/>
      <c r="D717" s="236"/>
      <c r="F717" s="236"/>
      <c r="H717" s="236"/>
    </row>
    <row r="718" spans="2:8" ht="13" x14ac:dyDescent="0.15">
      <c r="B718" s="236"/>
      <c r="D718" s="236"/>
      <c r="F718" s="236"/>
      <c r="H718" s="236"/>
    </row>
    <row r="719" spans="2:8" ht="13" x14ac:dyDescent="0.15">
      <c r="B719" s="236"/>
      <c r="D719" s="236"/>
      <c r="F719" s="236"/>
      <c r="H719" s="236"/>
    </row>
    <row r="720" spans="2:8" ht="13" x14ac:dyDescent="0.15">
      <c r="B720" s="236"/>
      <c r="D720" s="236"/>
      <c r="F720" s="236"/>
      <c r="H720" s="236"/>
    </row>
    <row r="721" spans="2:8" ht="13" x14ac:dyDescent="0.15">
      <c r="B721" s="236"/>
      <c r="D721" s="236"/>
      <c r="F721" s="236"/>
      <c r="H721" s="236"/>
    </row>
    <row r="722" spans="2:8" ht="13" x14ac:dyDescent="0.15">
      <c r="B722" s="236"/>
      <c r="D722" s="236"/>
      <c r="F722" s="236"/>
      <c r="H722" s="236"/>
    </row>
    <row r="723" spans="2:8" ht="13" x14ac:dyDescent="0.15">
      <c r="B723" s="236"/>
      <c r="D723" s="236"/>
      <c r="F723" s="236"/>
      <c r="H723" s="236"/>
    </row>
    <row r="724" spans="2:8" ht="13" x14ac:dyDescent="0.15">
      <c r="B724" s="236"/>
      <c r="D724" s="236"/>
      <c r="F724" s="236"/>
      <c r="H724" s="236"/>
    </row>
    <row r="725" spans="2:8" ht="13" x14ac:dyDescent="0.15">
      <c r="B725" s="236"/>
      <c r="D725" s="236"/>
      <c r="F725" s="236"/>
      <c r="H725" s="236"/>
    </row>
    <row r="726" spans="2:8" ht="13" x14ac:dyDescent="0.15">
      <c r="B726" s="236"/>
      <c r="D726" s="236"/>
      <c r="F726" s="236"/>
      <c r="H726" s="236"/>
    </row>
    <row r="727" spans="2:8" ht="13" x14ac:dyDescent="0.15">
      <c r="B727" s="236"/>
      <c r="D727" s="236"/>
      <c r="F727" s="236"/>
      <c r="H727" s="236"/>
    </row>
    <row r="728" spans="2:8" ht="13" x14ac:dyDescent="0.15">
      <c r="B728" s="236"/>
      <c r="D728" s="236"/>
      <c r="F728" s="236"/>
      <c r="H728" s="236"/>
    </row>
    <row r="729" spans="2:8" ht="13" x14ac:dyDescent="0.15">
      <c r="B729" s="236"/>
      <c r="D729" s="236"/>
      <c r="F729" s="236"/>
      <c r="H729" s="236"/>
    </row>
    <row r="730" spans="2:8" ht="13" x14ac:dyDescent="0.15">
      <c r="B730" s="236"/>
      <c r="D730" s="236"/>
      <c r="F730" s="236"/>
      <c r="H730" s="236"/>
    </row>
    <row r="731" spans="2:8" ht="13" x14ac:dyDescent="0.15">
      <c r="B731" s="236"/>
      <c r="D731" s="236"/>
      <c r="F731" s="236"/>
      <c r="H731" s="236"/>
    </row>
    <row r="732" spans="2:8" ht="13" x14ac:dyDescent="0.15">
      <c r="B732" s="236"/>
      <c r="D732" s="236"/>
      <c r="F732" s="236"/>
      <c r="H732" s="236"/>
    </row>
    <row r="733" spans="2:8" ht="13" x14ac:dyDescent="0.15">
      <c r="B733" s="236"/>
      <c r="D733" s="236"/>
      <c r="F733" s="236"/>
      <c r="H733" s="236"/>
    </row>
    <row r="734" spans="2:8" ht="13" x14ac:dyDescent="0.15">
      <c r="B734" s="236"/>
      <c r="D734" s="236"/>
      <c r="F734" s="236"/>
      <c r="H734" s="236"/>
    </row>
    <row r="735" spans="2:8" ht="13" x14ac:dyDescent="0.15">
      <c r="B735" s="236"/>
      <c r="D735" s="236"/>
      <c r="F735" s="236"/>
      <c r="H735" s="236"/>
    </row>
    <row r="736" spans="2:8" ht="13" x14ac:dyDescent="0.15">
      <c r="B736" s="236"/>
      <c r="D736" s="236"/>
      <c r="F736" s="236"/>
      <c r="H736" s="236"/>
    </row>
    <row r="737" spans="2:8" ht="13" x14ac:dyDescent="0.15">
      <c r="B737" s="236"/>
      <c r="D737" s="236"/>
      <c r="F737" s="236"/>
      <c r="H737" s="236"/>
    </row>
    <row r="738" spans="2:8" ht="13" x14ac:dyDescent="0.15">
      <c r="B738" s="236"/>
      <c r="D738" s="236"/>
      <c r="F738" s="236"/>
      <c r="H738" s="236"/>
    </row>
    <row r="739" spans="2:8" ht="13" x14ac:dyDescent="0.15">
      <c r="B739" s="236"/>
      <c r="D739" s="236"/>
      <c r="F739" s="236"/>
      <c r="H739" s="236"/>
    </row>
    <row r="740" spans="2:8" ht="13" x14ac:dyDescent="0.15">
      <c r="B740" s="236"/>
      <c r="D740" s="236"/>
      <c r="F740" s="236"/>
      <c r="H740" s="236"/>
    </row>
    <row r="741" spans="2:8" ht="13" x14ac:dyDescent="0.15">
      <c r="B741" s="236"/>
      <c r="D741" s="236"/>
      <c r="F741" s="236"/>
      <c r="H741" s="236"/>
    </row>
    <row r="742" spans="2:8" ht="13" x14ac:dyDescent="0.15">
      <c r="B742" s="236"/>
      <c r="D742" s="236"/>
      <c r="F742" s="236"/>
      <c r="H742" s="236"/>
    </row>
    <row r="743" spans="2:8" ht="13" x14ac:dyDescent="0.15">
      <c r="B743" s="236"/>
      <c r="D743" s="236"/>
      <c r="F743" s="236"/>
      <c r="H743" s="236"/>
    </row>
    <row r="744" spans="2:8" ht="13" x14ac:dyDescent="0.15">
      <c r="B744" s="236"/>
      <c r="D744" s="236"/>
      <c r="F744" s="236"/>
      <c r="H744" s="236"/>
    </row>
    <row r="745" spans="2:8" ht="13" x14ac:dyDescent="0.15">
      <c r="B745" s="236"/>
      <c r="D745" s="236"/>
      <c r="F745" s="236"/>
      <c r="H745" s="236"/>
    </row>
    <row r="746" spans="2:8" ht="13" x14ac:dyDescent="0.15">
      <c r="B746" s="236"/>
      <c r="D746" s="236"/>
      <c r="F746" s="236"/>
      <c r="H746" s="236"/>
    </row>
    <row r="747" spans="2:8" ht="13" x14ac:dyDescent="0.15">
      <c r="B747" s="236"/>
      <c r="D747" s="236"/>
      <c r="F747" s="236"/>
      <c r="H747" s="236"/>
    </row>
    <row r="748" spans="2:8" ht="13" x14ac:dyDescent="0.15">
      <c r="B748" s="236"/>
      <c r="D748" s="236"/>
      <c r="F748" s="236"/>
      <c r="H748" s="236"/>
    </row>
    <row r="749" spans="2:8" ht="13" x14ac:dyDescent="0.15">
      <c r="B749" s="236"/>
      <c r="D749" s="236"/>
      <c r="F749" s="236"/>
      <c r="H749" s="236"/>
    </row>
    <row r="750" spans="2:8" ht="13" x14ac:dyDescent="0.15">
      <c r="B750" s="236"/>
      <c r="D750" s="236"/>
      <c r="F750" s="236"/>
      <c r="H750" s="236"/>
    </row>
    <row r="751" spans="2:8" ht="13" x14ac:dyDescent="0.15">
      <c r="B751" s="236"/>
      <c r="D751" s="236"/>
      <c r="F751" s="236"/>
      <c r="H751" s="236"/>
    </row>
    <row r="752" spans="2:8" ht="13" x14ac:dyDescent="0.15">
      <c r="B752" s="236"/>
      <c r="D752" s="236"/>
      <c r="F752" s="236"/>
      <c r="H752" s="236"/>
    </row>
    <row r="753" spans="2:8" ht="13" x14ac:dyDescent="0.15">
      <c r="B753" s="236"/>
      <c r="D753" s="236"/>
      <c r="F753" s="236"/>
      <c r="H753" s="236"/>
    </row>
    <row r="754" spans="2:8" ht="13" x14ac:dyDescent="0.15">
      <c r="B754" s="236"/>
      <c r="D754" s="236"/>
      <c r="F754" s="236"/>
      <c r="H754" s="236"/>
    </row>
    <row r="755" spans="2:8" ht="13" x14ac:dyDescent="0.15">
      <c r="B755" s="236"/>
      <c r="D755" s="236"/>
      <c r="F755" s="236"/>
      <c r="H755" s="236"/>
    </row>
    <row r="756" spans="2:8" ht="13" x14ac:dyDescent="0.15">
      <c r="B756" s="236"/>
      <c r="D756" s="236"/>
      <c r="F756" s="236"/>
      <c r="H756" s="236"/>
    </row>
    <row r="757" spans="2:8" ht="13" x14ac:dyDescent="0.15">
      <c r="B757" s="236"/>
      <c r="D757" s="236"/>
      <c r="F757" s="236"/>
      <c r="H757" s="236"/>
    </row>
    <row r="758" spans="2:8" ht="13" x14ac:dyDescent="0.15">
      <c r="B758" s="236"/>
      <c r="D758" s="236"/>
      <c r="F758" s="236"/>
      <c r="H758" s="236"/>
    </row>
    <row r="759" spans="2:8" ht="13" x14ac:dyDescent="0.15">
      <c r="B759" s="236"/>
      <c r="D759" s="236"/>
      <c r="F759" s="236"/>
      <c r="H759" s="236"/>
    </row>
    <row r="760" spans="2:8" ht="13" x14ac:dyDescent="0.15">
      <c r="B760" s="236"/>
      <c r="D760" s="236"/>
      <c r="F760" s="236"/>
      <c r="H760" s="236"/>
    </row>
    <row r="761" spans="2:8" ht="13" x14ac:dyDescent="0.15">
      <c r="B761" s="236"/>
      <c r="D761" s="236"/>
      <c r="F761" s="236"/>
      <c r="H761" s="236"/>
    </row>
    <row r="762" spans="2:8" ht="13" x14ac:dyDescent="0.15">
      <c r="B762" s="236"/>
      <c r="D762" s="236"/>
      <c r="F762" s="236"/>
      <c r="H762" s="236"/>
    </row>
    <row r="763" spans="2:8" ht="13" x14ac:dyDescent="0.15">
      <c r="B763" s="236"/>
      <c r="D763" s="236"/>
      <c r="F763" s="236"/>
      <c r="H763" s="236"/>
    </row>
    <row r="764" spans="2:8" ht="13" x14ac:dyDescent="0.15">
      <c r="B764" s="236"/>
      <c r="D764" s="236"/>
      <c r="F764" s="236"/>
      <c r="H764" s="236"/>
    </row>
    <row r="765" spans="2:8" ht="13" x14ac:dyDescent="0.15">
      <c r="B765" s="236"/>
      <c r="D765" s="236"/>
      <c r="F765" s="236"/>
      <c r="H765" s="236"/>
    </row>
    <row r="766" spans="2:8" ht="13" x14ac:dyDescent="0.15">
      <c r="B766" s="236"/>
      <c r="D766" s="236"/>
      <c r="F766" s="236"/>
      <c r="H766" s="236"/>
    </row>
    <row r="767" spans="2:8" ht="13" x14ac:dyDescent="0.15">
      <c r="B767" s="236"/>
      <c r="D767" s="236"/>
      <c r="F767" s="236"/>
      <c r="H767" s="236"/>
    </row>
    <row r="768" spans="2:8" ht="13" x14ac:dyDescent="0.15">
      <c r="B768" s="236"/>
      <c r="D768" s="236"/>
      <c r="F768" s="236"/>
      <c r="H768" s="236"/>
    </row>
    <row r="769" spans="2:8" ht="13" x14ac:dyDescent="0.15">
      <c r="B769" s="236"/>
      <c r="D769" s="236"/>
      <c r="F769" s="236"/>
      <c r="H769" s="236"/>
    </row>
    <row r="770" spans="2:8" ht="13" x14ac:dyDescent="0.15">
      <c r="B770" s="236"/>
      <c r="D770" s="236"/>
      <c r="F770" s="236"/>
      <c r="H770" s="236"/>
    </row>
    <row r="771" spans="2:8" ht="13" x14ac:dyDescent="0.15">
      <c r="B771" s="236"/>
      <c r="D771" s="236"/>
      <c r="F771" s="236"/>
      <c r="H771" s="236"/>
    </row>
    <row r="772" spans="2:8" ht="13" x14ac:dyDescent="0.15">
      <c r="B772" s="236"/>
      <c r="D772" s="236"/>
      <c r="F772" s="236"/>
      <c r="H772" s="236"/>
    </row>
    <row r="773" spans="2:8" ht="13" x14ac:dyDescent="0.15">
      <c r="B773" s="236"/>
      <c r="D773" s="236"/>
      <c r="F773" s="236"/>
      <c r="H773" s="236"/>
    </row>
    <row r="774" spans="2:8" ht="13" x14ac:dyDescent="0.15">
      <c r="B774" s="236"/>
      <c r="D774" s="236"/>
      <c r="F774" s="236"/>
      <c r="H774" s="236"/>
    </row>
    <row r="775" spans="2:8" ht="13" x14ac:dyDescent="0.15">
      <c r="B775" s="236"/>
      <c r="D775" s="236"/>
      <c r="F775" s="236"/>
      <c r="H775" s="236"/>
    </row>
    <row r="776" spans="2:8" ht="13" x14ac:dyDescent="0.15">
      <c r="B776" s="236"/>
      <c r="D776" s="236"/>
      <c r="F776" s="236"/>
      <c r="H776" s="236"/>
    </row>
    <row r="777" spans="2:8" ht="13" x14ac:dyDescent="0.15">
      <c r="B777" s="236"/>
      <c r="D777" s="236"/>
      <c r="F777" s="236"/>
      <c r="H777" s="236"/>
    </row>
    <row r="778" spans="2:8" ht="13" x14ac:dyDescent="0.15">
      <c r="B778" s="236"/>
      <c r="D778" s="236"/>
      <c r="F778" s="236"/>
      <c r="H778" s="236"/>
    </row>
    <row r="779" spans="2:8" ht="13" x14ac:dyDescent="0.15">
      <c r="B779" s="236"/>
      <c r="D779" s="236"/>
      <c r="F779" s="236"/>
      <c r="H779" s="236"/>
    </row>
    <row r="780" spans="2:8" ht="13" x14ac:dyDescent="0.15">
      <c r="B780" s="236"/>
      <c r="D780" s="236"/>
      <c r="F780" s="236"/>
      <c r="H780" s="236"/>
    </row>
    <row r="781" spans="2:8" ht="13" x14ac:dyDescent="0.15">
      <c r="B781" s="236"/>
      <c r="D781" s="236"/>
      <c r="F781" s="236"/>
      <c r="H781" s="236"/>
    </row>
    <row r="782" spans="2:8" ht="13" x14ac:dyDescent="0.15">
      <c r="B782" s="236"/>
      <c r="D782" s="236"/>
      <c r="F782" s="236"/>
      <c r="H782" s="236"/>
    </row>
    <row r="783" spans="2:8" ht="13" x14ac:dyDescent="0.15">
      <c r="B783" s="236"/>
      <c r="D783" s="236"/>
      <c r="F783" s="236"/>
      <c r="H783" s="236"/>
    </row>
    <row r="784" spans="2:8" ht="13" x14ac:dyDescent="0.15">
      <c r="B784" s="236"/>
      <c r="D784" s="236"/>
      <c r="F784" s="236"/>
      <c r="H784" s="236"/>
    </row>
    <row r="785" spans="2:8" ht="13" x14ac:dyDescent="0.15">
      <c r="B785" s="236"/>
      <c r="D785" s="236"/>
      <c r="F785" s="236"/>
      <c r="H785" s="236"/>
    </row>
    <row r="786" spans="2:8" ht="13" x14ac:dyDescent="0.15">
      <c r="B786" s="236"/>
      <c r="D786" s="236"/>
      <c r="F786" s="236"/>
      <c r="H786" s="236"/>
    </row>
    <row r="787" spans="2:8" ht="13" x14ac:dyDescent="0.15">
      <c r="B787" s="236"/>
      <c r="D787" s="236"/>
      <c r="F787" s="236"/>
      <c r="H787" s="236"/>
    </row>
    <row r="788" spans="2:8" ht="13" x14ac:dyDescent="0.15">
      <c r="B788" s="236"/>
      <c r="D788" s="236"/>
      <c r="F788" s="236"/>
      <c r="H788" s="236"/>
    </row>
    <row r="789" spans="2:8" ht="13" x14ac:dyDescent="0.15">
      <c r="B789" s="236"/>
      <c r="D789" s="236"/>
      <c r="F789" s="236"/>
      <c r="H789" s="236"/>
    </row>
    <row r="790" spans="2:8" ht="13" x14ac:dyDescent="0.15">
      <c r="B790" s="236"/>
      <c r="D790" s="236"/>
      <c r="F790" s="236"/>
      <c r="H790" s="236"/>
    </row>
    <row r="791" spans="2:8" ht="13" x14ac:dyDescent="0.15">
      <c r="B791" s="236"/>
      <c r="D791" s="236"/>
      <c r="F791" s="236"/>
      <c r="H791" s="236"/>
    </row>
    <row r="792" spans="2:8" ht="13" x14ac:dyDescent="0.15">
      <c r="B792" s="236"/>
      <c r="D792" s="236"/>
      <c r="F792" s="236"/>
      <c r="H792" s="236"/>
    </row>
    <row r="793" spans="2:8" ht="13" x14ac:dyDescent="0.15">
      <c r="B793" s="236"/>
      <c r="D793" s="236"/>
      <c r="F793" s="236"/>
      <c r="H793" s="236"/>
    </row>
    <row r="794" spans="2:8" ht="13" x14ac:dyDescent="0.15">
      <c r="B794" s="236"/>
      <c r="D794" s="236"/>
      <c r="F794" s="236"/>
      <c r="H794" s="236"/>
    </row>
    <row r="795" spans="2:8" ht="13" x14ac:dyDescent="0.15">
      <c r="B795" s="236"/>
      <c r="D795" s="236"/>
      <c r="F795" s="236"/>
      <c r="H795" s="236"/>
    </row>
    <row r="796" spans="2:8" ht="13" x14ac:dyDescent="0.15">
      <c r="B796" s="236"/>
      <c r="D796" s="236"/>
      <c r="F796" s="236"/>
      <c r="H796" s="236"/>
    </row>
    <row r="797" spans="2:8" ht="13" x14ac:dyDescent="0.15">
      <c r="B797" s="236"/>
      <c r="D797" s="236"/>
      <c r="F797" s="236"/>
      <c r="H797" s="236"/>
    </row>
    <row r="798" spans="2:8" ht="13" x14ac:dyDescent="0.15">
      <c r="B798" s="236"/>
      <c r="D798" s="236"/>
      <c r="F798" s="236"/>
      <c r="H798" s="236"/>
    </row>
    <row r="799" spans="2:8" ht="13" x14ac:dyDescent="0.15">
      <c r="B799" s="236"/>
      <c r="D799" s="236"/>
      <c r="F799" s="236"/>
      <c r="H799" s="236"/>
    </row>
    <row r="800" spans="2:8" ht="13" x14ac:dyDescent="0.15">
      <c r="B800" s="236"/>
      <c r="D800" s="236"/>
      <c r="F800" s="236"/>
      <c r="H800" s="236"/>
    </row>
    <row r="801" spans="2:8" ht="13" x14ac:dyDescent="0.15">
      <c r="B801" s="236"/>
      <c r="D801" s="236"/>
      <c r="F801" s="236"/>
      <c r="H801" s="236"/>
    </row>
    <row r="802" spans="2:8" ht="13" x14ac:dyDescent="0.15">
      <c r="B802" s="236"/>
      <c r="D802" s="236"/>
      <c r="F802" s="236"/>
      <c r="H802" s="236"/>
    </row>
    <row r="803" spans="2:8" ht="13" x14ac:dyDescent="0.15">
      <c r="B803" s="236"/>
      <c r="D803" s="236"/>
      <c r="F803" s="236"/>
      <c r="H803" s="236"/>
    </row>
    <row r="804" spans="2:8" ht="13" x14ac:dyDescent="0.15">
      <c r="B804" s="236"/>
      <c r="D804" s="236"/>
      <c r="F804" s="236"/>
      <c r="H804" s="236"/>
    </row>
    <row r="805" spans="2:8" ht="13" x14ac:dyDescent="0.15">
      <c r="B805" s="236"/>
      <c r="D805" s="236"/>
      <c r="F805" s="236"/>
      <c r="H805" s="236"/>
    </row>
    <row r="806" spans="2:8" ht="13" x14ac:dyDescent="0.15">
      <c r="B806" s="236"/>
      <c r="D806" s="236"/>
      <c r="F806" s="236"/>
      <c r="H806" s="236"/>
    </row>
    <row r="807" spans="2:8" ht="13" x14ac:dyDescent="0.15">
      <c r="B807" s="236"/>
      <c r="D807" s="236"/>
      <c r="F807" s="236"/>
      <c r="H807" s="236"/>
    </row>
    <row r="808" spans="2:8" ht="13" x14ac:dyDescent="0.15">
      <c r="B808" s="236"/>
      <c r="D808" s="236"/>
      <c r="F808" s="236"/>
      <c r="H808" s="236"/>
    </row>
    <row r="809" spans="2:8" ht="13" x14ac:dyDescent="0.15">
      <c r="B809" s="236"/>
      <c r="D809" s="236"/>
      <c r="F809" s="236"/>
      <c r="H809" s="236"/>
    </row>
    <row r="810" spans="2:8" ht="13" x14ac:dyDescent="0.15">
      <c r="B810" s="236"/>
      <c r="D810" s="236"/>
      <c r="F810" s="236"/>
      <c r="H810" s="236"/>
    </row>
    <row r="811" spans="2:8" ht="13" x14ac:dyDescent="0.15">
      <c r="B811" s="236"/>
      <c r="D811" s="236"/>
      <c r="F811" s="236"/>
      <c r="H811" s="236"/>
    </row>
    <row r="812" spans="2:8" ht="13" x14ac:dyDescent="0.15">
      <c r="B812" s="236"/>
      <c r="D812" s="236"/>
      <c r="F812" s="236"/>
      <c r="H812" s="236"/>
    </row>
    <row r="813" spans="2:8" ht="13" x14ac:dyDescent="0.15">
      <c r="B813" s="236"/>
      <c r="D813" s="236"/>
      <c r="F813" s="236"/>
      <c r="H813" s="236"/>
    </row>
    <row r="814" spans="2:8" ht="13" x14ac:dyDescent="0.15">
      <c r="B814" s="236"/>
      <c r="D814" s="236"/>
      <c r="F814" s="236"/>
      <c r="H814" s="236"/>
    </row>
    <row r="815" spans="2:8" ht="13" x14ac:dyDescent="0.15">
      <c r="B815" s="236"/>
      <c r="D815" s="236"/>
      <c r="F815" s="236"/>
      <c r="H815" s="236"/>
    </row>
    <row r="816" spans="2:8" ht="13" x14ac:dyDescent="0.15">
      <c r="B816" s="236"/>
      <c r="D816" s="236"/>
      <c r="F816" s="236"/>
      <c r="H816" s="236"/>
    </row>
    <row r="817" spans="2:8" ht="13" x14ac:dyDescent="0.15">
      <c r="B817" s="236"/>
      <c r="D817" s="236"/>
      <c r="F817" s="236"/>
      <c r="H817" s="236"/>
    </row>
    <row r="818" spans="2:8" ht="13" x14ac:dyDescent="0.15">
      <c r="B818" s="236"/>
      <c r="D818" s="236"/>
      <c r="F818" s="236"/>
      <c r="H818" s="236"/>
    </row>
    <row r="819" spans="2:8" ht="13" x14ac:dyDescent="0.15">
      <c r="B819" s="236"/>
      <c r="D819" s="236"/>
      <c r="F819" s="236"/>
      <c r="H819" s="236"/>
    </row>
    <row r="820" spans="2:8" ht="13" x14ac:dyDescent="0.15">
      <c r="B820" s="236"/>
      <c r="D820" s="236"/>
      <c r="F820" s="236"/>
      <c r="H820" s="236"/>
    </row>
    <row r="821" spans="2:8" ht="13" x14ac:dyDescent="0.15">
      <c r="B821" s="236"/>
      <c r="D821" s="236"/>
      <c r="F821" s="236"/>
      <c r="H821" s="236"/>
    </row>
    <row r="822" spans="2:8" ht="13" x14ac:dyDescent="0.15">
      <c r="B822" s="236"/>
      <c r="D822" s="236"/>
      <c r="F822" s="236"/>
      <c r="H822" s="236"/>
    </row>
    <row r="823" spans="2:8" ht="13" x14ac:dyDescent="0.15">
      <c r="B823" s="236"/>
      <c r="D823" s="236"/>
      <c r="F823" s="236"/>
      <c r="H823" s="236"/>
    </row>
    <row r="824" spans="2:8" ht="13" x14ac:dyDescent="0.15">
      <c r="B824" s="236"/>
      <c r="D824" s="236"/>
      <c r="F824" s="236"/>
      <c r="H824" s="236"/>
    </row>
    <row r="825" spans="2:8" ht="13" x14ac:dyDescent="0.15">
      <c r="B825" s="236"/>
      <c r="D825" s="236"/>
      <c r="F825" s="236"/>
      <c r="H825" s="236"/>
    </row>
    <row r="826" spans="2:8" ht="13" x14ac:dyDescent="0.15">
      <c r="B826" s="236"/>
      <c r="D826" s="236"/>
      <c r="F826" s="236"/>
      <c r="H826" s="236"/>
    </row>
    <row r="827" spans="2:8" ht="13" x14ac:dyDescent="0.15">
      <c r="B827" s="236"/>
      <c r="D827" s="236"/>
      <c r="F827" s="236"/>
      <c r="H827" s="236"/>
    </row>
    <row r="828" spans="2:8" ht="13" x14ac:dyDescent="0.15">
      <c r="B828" s="236"/>
      <c r="D828" s="236"/>
      <c r="F828" s="236"/>
      <c r="H828" s="236"/>
    </row>
    <row r="829" spans="2:8" ht="13" x14ac:dyDescent="0.15">
      <c r="B829" s="236"/>
      <c r="D829" s="236"/>
      <c r="F829" s="236"/>
      <c r="H829" s="236"/>
    </row>
    <row r="830" spans="2:8" ht="13" x14ac:dyDescent="0.15">
      <c r="B830" s="236"/>
      <c r="D830" s="236"/>
      <c r="F830" s="236"/>
      <c r="H830" s="236"/>
    </row>
    <row r="831" spans="2:8" ht="13" x14ac:dyDescent="0.15">
      <c r="B831" s="236"/>
      <c r="D831" s="236"/>
      <c r="F831" s="236"/>
      <c r="H831" s="236"/>
    </row>
    <row r="832" spans="2:8" ht="13" x14ac:dyDescent="0.15">
      <c r="B832" s="236"/>
      <c r="D832" s="236"/>
      <c r="F832" s="236"/>
      <c r="H832" s="236"/>
    </row>
    <row r="833" spans="2:8" ht="13" x14ac:dyDescent="0.15">
      <c r="B833" s="236"/>
      <c r="D833" s="236"/>
      <c r="F833" s="236"/>
      <c r="H833" s="236"/>
    </row>
    <row r="834" spans="2:8" ht="13" x14ac:dyDescent="0.15">
      <c r="B834" s="236"/>
      <c r="D834" s="236"/>
      <c r="F834" s="236"/>
      <c r="H834" s="236"/>
    </row>
    <row r="835" spans="2:8" ht="13" x14ac:dyDescent="0.15">
      <c r="B835" s="236"/>
      <c r="D835" s="236"/>
      <c r="F835" s="236"/>
      <c r="H835" s="236"/>
    </row>
    <row r="836" spans="2:8" ht="13" x14ac:dyDescent="0.15">
      <c r="B836" s="236"/>
      <c r="D836" s="236"/>
      <c r="F836" s="236"/>
      <c r="H836" s="236"/>
    </row>
    <row r="837" spans="2:8" ht="13" x14ac:dyDescent="0.15">
      <c r="B837" s="236"/>
      <c r="D837" s="236"/>
      <c r="F837" s="236"/>
      <c r="H837" s="236"/>
    </row>
    <row r="838" spans="2:8" ht="13" x14ac:dyDescent="0.15">
      <c r="B838" s="236"/>
      <c r="D838" s="236"/>
      <c r="F838" s="236"/>
      <c r="H838" s="236"/>
    </row>
    <row r="839" spans="2:8" ht="13" x14ac:dyDescent="0.15">
      <c r="B839" s="236"/>
      <c r="D839" s="236"/>
      <c r="F839" s="236"/>
      <c r="H839" s="236"/>
    </row>
    <row r="840" spans="2:8" ht="13" x14ac:dyDescent="0.15">
      <c r="B840" s="236"/>
      <c r="D840" s="236"/>
      <c r="F840" s="236"/>
      <c r="H840" s="236"/>
    </row>
    <row r="841" spans="2:8" ht="13" x14ac:dyDescent="0.15">
      <c r="B841" s="236"/>
      <c r="D841" s="236"/>
      <c r="F841" s="236"/>
      <c r="H841" s="236"/>
    </row>
    <row r="842" spans="2:8" ht="13" x14ac:dyDescent="0.15">
      <c r="B842" s="236"/>
      <c r="D842" s="236"/>
      <c r="F842" s="236"/>
      <c r="H842" s="236"/>
    </row>
    <row r="843" spans="2:8" ht="13" x14ac:dyDescent="0.15">
      <c r="B843" s="236"/>
      <c r="D843" s="236"/>
      <c r="F843" s="236"/>
      <c r="H843" s="236"/>
    </row>
    <row r="844" spans="2:8" ht="13" x14ac:dyDescent="0.15">
      <c r="B844" s="236"/>
      <c r="D844" s="236"/>
      <c r="F844" s="236"/>
      <c r="H844" s="236"/>
    </row>
    <row r="845" spans="2:8" ht="13" x14ac:dyDescent="0.15">
      <c r="B845" s="236"/>
      <c r="D845" s="236"/>
      <c r="F845" s="236"/>
      <c r="H845" s="236"/>
    </row>
    <row r="846" spans="2:8" ht="13" x14ac:dyDescent="0.15">
      <c r="B846" s="236"/>
      <c r="D846" s="236"/>
      <c r="F846" s="236"/>
      <c r="H846" s="236"/>
    </row>
    <row r="847" spans="2:8" ht="13" x14ac:dyDescent="0.15">
      <c r="B847" s="236"/>
      <c r="D847" s="236"/>
      <c r="F847" s="236"/>
      <c r="H847" s="236"/>
    </row>
    <row r="848" spans="2:8" ht="13" x14ac:dyDescent="0.15">
      <c r="B848" s="236"/>
      <c r="D848" s="236"/>
      <c r="F848" s="236"/>
      <c r="H848" s="236"/>
    </row>
    <row r="849" spans="2:8" ht="13" x14ac:dyDescent="0.15">
      <c r="B849" s="236"/>
      <c r="D849" s="236"/>
      <c r="F849" s="236"/>
      <c r="H849" s="236"/>
    </row>
    <row r="850" spans="2:8" ht="13" x14ac:dyDescent="0.15">
      <c r="B850" s="236"/>
      <c r="D850" s="236"/>
      <c r="F850" s="236"/>
      <c r="H850" s="236"/>
    </row>
    <row r="851" spans="2:8" ht="13" x14ac:dyDescent="0.15">
      <c r="B851" s="236"/>
      <c r="D851" s="236"/>
      <c r="F851" s="236"/>
      <c r="H851" s="236"/>
    </row>
    <row r="852" spans="2:8" ht="13" x14ac:dyDescent="0.15">
      <c r="B852" s="236"/>
      <c r="D852" s="236"/>
      <c r="F852" s="236"/>
      <c r="H852" s="236"/>
    </row>
    <row r="853" spans="2:8" ht="13" x14ac:dyDescent="0.15">
      <c r="B853" s="236"/>
      <c r="D853" s="236"/>
      <c r="F853" s="236"/>
      <c r="H853" s="236"/>
    </row>
    <row r="854" spans="2:8" ht="13" x14ac:dyDescent="0.15">
      <c r="B854" s="236"/>
      <c r="D854" s="236"/>
      <c r="F854" s="236"/>
      <c r="H854" s="236"/>
    </row>
    <row r="855" spans="2:8" ht="13" x14ac:dyDescent="0.15">
      <c r="B855" s="236"/>
      <c r="D855" s="236"/>
      <c r="F855" s="236"/>
      <c r="H855" s="236"/>
    </row>
    <row r="856" spans="2:8" ht="13" x14ac:dyDescent="0.15">
      <c r="B856" s="236"/>
      <c r="D856" s="236"/>
      <c r="F856" s="236"/>
      <c r="H856" s="236"/>
    </row>
    <row r="857" spans="2:8" ht="13" x14ac:dyDescent="0.15">
      <c r="B857" s="236"/>
      <c r="D857" s="236"/>
      <c r="F857" s="236"/>
      <c r="H857" s="236"/>
    </row>
    <row r="858" spans="2:8" ht="13" x14ac:dyDescent="0.15">
      <c r="B858" s="236"/>
      <c r="D858" s="236"/>
      <c r="F858" s="236"/>
      <c r="H858" s="236"/>
    </row>
    <row r="859" spans="2:8" ht="13" x14ac:dyDescent="0.15">
      <c r="B859" s="236"/>
      <c r="D859" s="236"/>
      <c r="F859" s="236"/>
      <c r="H859" s="236"/>
    </row>
    <row r="860" spans="2:8" ht="13" x14ac:dyDescent="0.15">
      <c r="B860" s="236"/>
      <c r="D860" s="236"/>
      <c r="F860" s="236"/>
      <c r="H860" s="236"/>
    </row>
    <row r="861" spans="2:8" ht="13" x14ac:dyDescent="0.15">
      <c r="B861" s="236"/>
      <c r="D861" s="236"/>
      <c r="F861" s="236"/>
      <c r="H861" s="236"/>
    </row>
    <row r="862" spans="2:8" ht="13" x14ac:dyDescent="0.15">
      <c r="B862" s="236"/>
      <c r="D862" s="236"/>
      <c r="F862" s="236"/>
      <c r="H862" s="236"/>
    </row>
    <row r="863" spans="2:8" ht="13" x14ac:dyDescent="0.15">
      <c r="B863" s="236"/>
      <c r="D863" s="236"/>
      <c r="F863" s="236"/>
      <c r="H863" s="236"/>
    </row>
    <row r="864" spans="2:8" ht="13" x14ac:dyDescent="0.15">
      <c r="B864" s="236"/>
      <c r="D864" s="236"/>
      <c r="F864" s="236"/>
      <c r="H864" s="236"/>
    </row>
    <row r="865" spans="2:8" ht="13" x14ac:dyDescent="0.15">
      <c r="B865" s="236"/>
      <c r="D865" s="236"/>
      <c r="F865" s="236"/>
      <c r="H865" s="236"/>
    </row>
    <row r="866" spans="2:8" ht="13" x14ac:dyDescent="0.15">
      <c r="B866" s="236"/>
      <c r="D866" s="236"/>
      <c r="F866" s="236"/>
      <c r="H866" s="236"/>
    </row>
    <row r="867" spans="2:8" ht="13" x14ac:dyDescent="0.15">
      <c r="B867" s="236"/>
      <c r="D867" s="236"/>
      <c r="F867" s="236"/>
      <c r="H867" s="236"/>
    </row>
    <row r="868" spans="2:8" ht="13" x14ac:dyDescent="0.15">
      <c r="B868" s="236"/>
      <c r="D868" s="236"/>
      <c r="F868" s="236"/>
      <c r="H868" s="236"/>
    </row>
    <row r="869" spans="2:8" ht="13" x14ac:dyDescent="0.15">
      <c r="B869" s="236"/>
      <c r="D869" s="236"/>
      <c r="F869" s="236"/>
      <c r="H869" s="236"/>
    </row>
    <row r="870" spans="2:8" ht="13" x14ac:dyDescent="0.15">
      <c r="B870" s="236"/>
      <c r="D870" s="236"/>
      <c r="F870" s="236"/>
      <c r="H870" s="236"/>
    </row>
    <row r="871" spans="2:8" ht="13" x14ac:dyDescent="0.15">
      <c r="B871" s="236"/>
      <c r="D871" s="236"/>
      <c r="F871" s="236"/>
      <c r="H871" s="236"/>
    </row>
    <row r="872" spans="2:8" ht="13" x14ac:dyDescent="0.15">
      <c r="B872" s="236"/>
      <c r="D872" s="236"/>
      <c r="F872" s="236"/>
      <c r="H872" s="236"/>
    </row>
    <row r="873" spans="2:8" ht="13" x14ac:dyDescent="0.15">
      <c r="B873" s="236"/>
      <c r="D873" s="236"/>
      <c r="F873" s="236"/>
      <c r="H873" s="236"/>
    </row>
    <row r="874" spans="2:8" ht="13" x14ac:dyDescent="0.15">
      <c r="B874" s="236"/>
      <c r="D874" s="236"/>
      <c r="F874" s="236"/>
      <c r="H874" s="236"/>
    </row>
    <row r="875" spans="2:8" ht="13" x14ac:dyDescent="0.15">
      <c r="B875" s="236"/>
      <c r="D875" s="236"/>
      <c r="F875" s="236"/>
      <c r="H875" s="236"/>
    </row>
    <row r="876" spans="2:8" ht="13" x14ac:dyDescent="0.15">
      <c r="B876" s="236"/>
      <c r="D876" s="236"/>
      <c r="F876" s="236"/>
      <c r="H876" s="236"/>
    </row>
    <row r="877" spans="2:8" ht="13" x14ac:dyDescent="0.15">
      <c r="B877" s="236"/>
      <c r="D877" s="236"/>
      <c r="F877" s="236"/>
      <c r="H877" s="236"/>
    </row>
    <row r="878" spans="2:8" ht="13" x14ac:dyDescent="0.15">
      <c r="B878" s="236"/>
      <c r="D878" s="236"/>
      <c r="F878" s="236"/>
      <c r="H878" s="236"/>
    </row>
    <row r="879" spans="2:8" ht="13" x14ac:dyDescent="0.15">
      <c r="B879" s="236"/>
      <c r="D879" s="236"/>
      <c r="F879" s="236"/>
      <c r="H879" s="236"/>
    </row>
    <row r="880" spans="2:8" ht="13" x14ac:dyDescent="0.15">
      <c r="B880" s="236"/>
      <c r="D880" s="236"/>
      <c r="F880" s="236"/>
      <c r="H880" s="236"/>
    </row>
    <row r="881" spans="2:8" ht="13" x14ac:dyDescent="0.15">
      <c r="B881" s="236"/>
      <c r="D881" s="236"/>
      <c r="F881" s="236"/>
      <c r="H881" s="236"/>
    </row>
    <row r="882" spans="2:8" ht="13" x14ac:dyDescent="0.15">
      <c r="B882" s="236"/>
      <c r="D882" s="236"/>
      <c r="F882" s="236"/>
      <c r="H882" s="236"/>
    </row>
    <row r="883" spans="2:8" ht="13" x14ac:dyDescent="0.15">
      <c r="B883" s="236"/>
      <c r="D883" s="236"/>
      <c r="F883" s="236"/>
      <c r="H883" s="236"/>
    </row>
    <row r="884" spans="2:8" ht="13" x14ac:dyDescent="0.15">
      <c r="B884" s="236"/>
      <c r="D884" s="236"/>
      <c r="F884" s="236"/>
      <c r="H884" s="236"/>
    </row>
    <row r="885" spans="2:8" ht="13" x14ac:dyDescent="0.15">
      <c r="B885" s="236"/>
      <c r="D885" s="236"/>
      <c r="F885" s="236"/>
      <c r="H885" s="236"/>
    </row>
    <row r="886" spans="2:8" ht="13" x14ac:dyDescent="0.15">
      <c r="B886" s="236"/>
      <c r="D886" s="236"/>
      <c r="F886" s="236"/>
      <c r="H886" s="236"/>
    </row>
    <row r="887" spans="2:8" ht="13" x14ac:dyDescent="0.15">
      <c r="B887" s="236"/>
      <c r="D887" s="236"/>
      <c r="F887" s="236"/>
      <c r="H887" s="236"/>
    </row>
    <row r="888" spans="2:8" ht="13" x14ac:dyDescent="0.15">
      <c r="B888" s="236"/>
      <c r="D888" s="236"/>
      <c r="F888" s="236"/>
      <c r="H888" s="236"/>
    </row>
    <row r="889" spans="2:8" ht="13" x14ac:dyDescent="0.15">
      <c r="B889" s="236"/>
      <c r="D889" s="236"/>
      <c r="F889" s="236"/>
      <c r="H889" s="236"/>
    </row>
    <row r="890" spans="2:8" ht="13" x14ac:dyDescent="0.15">
      <c r="B890" s="236"/>
      <c r="D890" s="236"/>
      <c r="F890" s="236"/>
      <c r="H890" s="236"/>
    </row>
    <row r="891" spans="2:8" ht="13" x14ac:dyDescent="0.15">
      <c r="B891" s="236"/>
      <c r="D891" s="236"/>
      <c r="F891" s="236"/>
      <c r="H891" s="236"/>
    </row>
    <row r="892" spans="2:8" ht="13" x14ac:dyDescent="0.15">
      <c r="B892" s="236"/>
      <c r="D892" s="236"/>
      <c r="F892" s="236"/>
      <c r="H892" s="236"/>
    </row>
    <row r="893" spans="2:8" ht="13" x14ac:dyDescent="0.15">
      <c r="B893" s="236"/>
      <c r="D893" s="236"/>
      <c r="F893" s="236"/>
      <c r="H893" s="236"/>
    </row>
    <row r="894" spans="2:8" ht="13" x14ac:dyDescent="0.15">
      <c r="B894" s="236"/>
      <c r="D894" s="236"/>
      <c r="F894" s="236"/>
      <c r="H894" s="236"/>
    </row>
    <row r="895" spans="2:8" ht="13" x14ac:dyDescent="0.15">
      <c r="B895" s="236"/>
      <c r="D895" s="236"/>
      <c r="F895" s="236"/>
      <c r="H895" s="236"/>
    </row>
    <row r="896" spans="2:8" ht="13" x14ac:dyDescent="0.15">
      <c r="B896" s="236"/>
      <c r="D896" s="236"/>
      <c r="F896" s="236"/>
      <c r="H896" s="236"/>
    </row>
    <row r="897" spans="2:8" ht="13" x14ac:dyDescent="0.15">
      <c r="B897" s="236"/>
      <c r="D897" s="236"/>
      <c r="F897" s="236"/>
      <c r="H897" s="236"/>
    </row>
    <row r="898" spans="2:8" ht="13" x14ac:dyDescent="0.15">
      <c r="B898" s="236"/>
      <c r="D898" s="236"/>
      <c r="F898" s="236"/>
      <c r="H898" s="236"/>
    </row>
    <row r="899" spans="2:8" ht="13" x14ac:dyDescent="0.15">
      <c r="B899" s="236"/>
      <c r="D899" s="236"/>
      <c r="F899" s="236"/>
      <c r="H899" s="236"/>
    </row>
    <row r="900" spans="2:8" ht="13" x14ac:dyDescent="0.15">
      <c r="B900" s="236"/>
      <c r="D900" s="236"/>
      <c r="F900" s="236"/>
      <c r="H900" s="236"/>
    </row>
    <row r="901" spans="2:8" ht="13" x14ac:dyDescent="0.15">
      <c r="B901" s="236"/>
      <c r="D901" s="236"/>
      <c r="F901" s="236"/>
      <c r="H901" s="236"/>
    </row>
    <row r="902" spans="2:8" ht="13" x14ac:dyDescent="0.15">
      <c r="B902" s="236"/>
      <c r="D902" s="236"/>
      <c r="F902" s="236"/>
      <c r="H902" s="236"/>
    </row>
    <row r="903" spans="2:8" ht="13" x14ac:dyDescent="0.15">
      <c r="B903" s="236"/>
      <c r="D903" s="236"/>
      <c r="F903" s="236"/>
      <c r="H903" s="236"/>
    </row>
    <row r="904" spans="2:8" ht="13" x14ac:dyDescent="0.15">
      <c r="B904" s="236"/>
      <c r="D904" s="236"/>
      <c r="F904" s="236"/>
      <c r="H904" s="236"/>
    </row>
    <row r="905" spans="2:8" ht="13" x14ac:dyDescent="0.15">
      <c r="B905" s="236"/>
      <c r="D905" s="236"/>
      <c r="F905" s="236"/>
      <c r="H905" s="236"/>
    </row>
    <row r="906" spans="2:8" ht="13" x14ac:dyDescent="0.15">
      <c r="B906" s="236"/>
      <c r="D906" s="236"/>
      <c r="F906" s="236"/>
      <c r="H906" s="236"/>
    </row>
    <row r="907" spans="2:8" ht="13" x14ac:dyDescent="0.15">
      <c r="B907" s="236"/>
      <c r="D907" s="236"/>
      <c r="F907" s="236"/>
      <c r="H907" s="236"/>
    </row>
    <row r="908" spans="2:8" ht="13" x14ac:dyDescent="0.15">
      <c r="B908" s="236"/>
      <c r="D908" s="236"/>
      <c r="F908" s="236"/>
      <c r="H908" s="236"/>
    </row>
    <row r="909" spans="2:8" ht="13" x14ac:dyDescent="0.15">
      <c r="B909" s="236"/>
      <c r="D909" s="236"/>
      <c r="F909" s="236"/>
      <c r="H909" s="236"/>
    </row>
    <row r="910" spans="2:8" ht="13" x14ac:dyDescent="0.15">
      <c r="B910" s="236"/>
      <c r="D910" s="236"/>
      <c r="F910" s="236"/>
      <c r="H910" s="236"/>
    </row>
    <row r="911" spans="2:8" ht="13" x14ac:dyDescent="0.15">
      <c r="B911" s="236"/>
      <c r="D911" s="236"/>
      <c r="F911" s="236"/>
      <c r="H911" s="236"/>
    </row>
    <row r="912" spans="2:8" ht="13" x14ac:dyDescent="0.15">
      <c r="B912" s="236"/>
      <c r="D912" s="236"/>
      <c r="F912" s="236"/>
      <c r="H912" s="236"/>
    </row>
    <row r="913" spans="2:8" ht="13" x14ac:dyDescent="0.15">
      <c r="B913" s="236"/>
      <c r="D913" s="236"/>
      <c r="F913" s="236"/>
      <c r="H913" s="236"/>
    </row>
    <row r="914" spans="2:8" ht="13" x14ac:dyDescent="0.15">
      <c r="B914" s="236"/>
      <c r="D914" s="236"/>
      <c r="F914" s="236"/>
      <c r="H914" s="236"/>
    </row>
    <row r="915" spans="2:8" ht="13" x14ac:dyDescent="0.15">
      <c r="B915" s="236"/>
      <c r="D915" s="236"/>
      <c r="F915" s="236"/>
      <c r="H915" s="236"/>
    </row>
    <row r="916" spans="2:8" ht="13" x14ac:dyDescent="0.15">
      <c r="B916" s="236"/>
      <c r="D916" s="236"/>
      <c r="F916" s="236"/>
      <c r="H916" s="236"/>
    </row>
    <row r="917" spans="2:8" ht="13" x14ac:dyDescent="0.15">
      <c r="B917" s="236"/>
      <c r="D917" s="236"/>
      <c r="F917" s="236"/>
      <c r="H917" s="236"/>
    </row>
    <row r="918" spans="2:8" ht="13" x14ac:dyDescent="0.15">
      <c r="B918" s="236"/>
      <c r="D918" s="236"/>
      <c r="F918" s="236"/>
      <c r="H918" s="236"/>
    </row>
    <row r="919" spans="2:8" ht="13" x14ac:dyDescent="0.15">
      <c r="B919" s="236"/>
      <c r="D919" s="236"/>
      <c r="F919" s="236"/>
      <c r="H919" s="236"/>
    </row>
    <row r="920" spans="2:8" ht="13" x14ac:dyDescent="0.15">
      <c r="B920" s="236"/>
      <c r="D920" s="236"/>
      <c r="F920" s="236"/>
      <c r="H920" s="236"/>
    </row>
    <row r="921" spans="2:8" ht="13" x14ac:dyDescent="0.15">
      <c r="B921" s="236"/>
      <c r="D921" s="236"/>
      <c r="F921" s="236"/>
      <c r="H921" s="236"/>
    </row>
    <row r="922" spans="2:8" ht="13" x14ac:dyDescent="0.15">
      <c r="B922" s="236"/>
      <c r="D922" s="236"/>
      <c r="F922" s="236"/>
      <c r="H922" s="236"/>
    </row>
    <row r="923" spans="2:8" ht="13" x14ac:dyDescent="0.15">
      <c r="B923" s="236"/>
      <c r="D923" s="236"/>
      <c r="F923" s="236"/>
      <c r="H923" s="236"/>
    </row>
    <row r="924" spans="2:8" ht="13" x14ac:dyDescent="0.15">
      <c r="B924" s="236"/>
      <c r="D924" s="236"/>
      <c r="F924" s="236"/>
      <c r="H924" s="236"/>
    </row>
    <row r="925" spans="2:8" ht="13" x14ac:dyDescent="0.15">
      <c r="B925" s="236"/>
      <c r="D925" s="236"/>
      <c r="F925" s="236"/>
      <c r="H925" s="236"/>
    </row>
    <row r="926" spans="2:8" ht="13" x14ac:dyDescent="0.15">
      <c r="B926" s="236"/>
      <c r="D926" s="236"/>
      <c r="F926" s="236"/>
      <c r="H926" s="236"/>
    </row>
    <row r="927" spans="2:8" ht="13" x14ac:dyDescent="0.15">
      <c r="B927" s="236"/>
      <c r="D927" s="236"/>
      <c r="F927" s="236"/>
      <c r="H927" s="236"/>
    </row>
    <row r="928" spans="2:8" ht="13" x14ac:dyDescent="0.15">
      <c r="B928" s="236"/>
      <c r="D928" s="236"/>
      <c r="F928" s="236"/>
      <c r="H928" s="236"/>
    </row>
    <row r="929" spans="2:8" ht="13" x14ac:dyDescent="0.15">
      <c r="B929" s="236"/>
      <c r="D929" s="236"/>
      <c r="F929" s="236"/>
      <c r="H929" s="236"/>
    </row>
    <row r="930" spans="2:8" ht="13" x14ac:dyDescent="0.15">
      <c r="B930" s="236"/>
      <c r="D930" s="236"/>
      <c r="F930" s="236"/>
      <c r="H930" s="236"/>
    </row>
    <row r="931" spans="2:8" ht="13" x14ac:dyDescent="0.15">
      <c r="B931" s="236"/>
      <c r="D931" s="236"/>
      <c r="F931" s="236"/>
      <c r="H931" s="236"/>
    </row>
    <row r="932" spans="2:8" ht="13" x14ac:dyDescent="0.15">
      <c r="B932" s="236"/>
      <c r="D932" s="236"/>
      <c r="F932" s="236"/>
      <c r="H932" s="236"/>
    </row>
    <row r="933" spans="2:8" ht="13" x14ac:dyDescent="0.15">
      <c r="B933" s="236"/>
      <c r="D933" s="236"/>
      <c r="F933" s="236"/>
      <c r="H933" s="236"/>
    </row>
    <row r="934" spans="2:8" ht="13" x14ac:dyDescent="0.15">
      <c r="B934" s="236"/>
      <c r="D934" s="236"/>
      <c r="F934" s="236"/>
      <c r="H934" s="236"/>
    </row>
    <row r="935" spans="2:8" ht="13" x14ac:dyDescent="0.15">
      <c r="B935" s="236"/>
      <c r="D935" s="236"/>
      <c r="F935" s="236"/>
      <c r="H935" s="236"/>
    </row>
    <row r="936" spans="2:8" ht="13" x14ac:dyDescent="0.15">
      <c r="B936" s="236"/>
      <c r="D936" s="236"/>
      <c r="F936" s="236"/>
      <c r="H936" s="236"/>
    </row>
    <row r="937" spans="2:8" ht="13" x14ac:dyDescent="0.15">
      <c r="B937" s="236"/>
      <c r="D937" s="236"/>
      <c r="F937" s="236"/>
      <c r="H937" s="236"/>
    </row>
    <row r="938" spans="2:8" ht="13" x14ac:dyDescent="0.15">
      <c r="B938" s="236"/>
      <c r="D938" s="236"/>
      <c r="F938" s="236"/>
      <c r="H938" s="236"/>
    </row>
    <row r="939" spans="2:8" ht="13" x14ac:dyDescent="0.15">
      <c r="B939" s="236"/>
      <c r="D939" s="236"/>
      <c r="F939" s="236"/>
      <c r="H939" s="236"/>
    </row>
    <row r="940" spans="2:8" ht="13" x14ac:dyDescent="0.15">
      <c r="B940" s="236"/>
      <c r="D940" s="236"/>
      <c r="F940" s="236"/>
      <c r="H940" s="236"/>
    </row>
    <row r="941" spans="2:8" ht="13" x14ac:dyDescent="0.15">
      <c r="B941" s="236"/>
      <c r="D941" s="236"/>
      <c r="F941" s="236"/>
      <c r="H941" s="236"/>
    </row>
    <row r="942" spans="2:8" ht="13" x14ac:dyDescent="0.15">
      <c r="B942" s="236"/>
      <c r="D942" s="236"/>
      <c r="F942" s="236"/>
      <c r="H942" s="236"/>
    </row>
    <row r="943" spans="2:8" ht="13" x14ac:dyDescent="0.15">
      <c r="B943" s="236"/>
      <c r="D943" s="236"/>
      <c r="F943" s="236"/>
      <c r="H943" s="236"/>
    </row>
    <row r="944" spans="2:8" ht="13" x14ac:dyDescent="0.15">
      <c r="B944" s="236"/>
      <c r="D944" s="236"/>
      <c r="F944" s="236"/>
      <c r="H944" s="236"/>
    </row>
    <row r="945" spans="2:8" ht="13" x14ac:dyDescent="0.15">
      <c r="B945" s="236"/>
      <c r="D945" s="236"/>
      <c r="F945" s="236"/>
      <c r="H945" s="236"/>
    </row>
    <row r="946" spans="2:8" ht="13" x14ac:dyDescent="0.15">
      <c r="B946" s="236"/>
      <c r="D946" s="236"/>
      <c r="F946" s="236"/>
      <c r="H946" s="236"/>
    </row>
    <row r="947" spans="2:8" ht="13" x14ac:dyDescent="0.15">
      <c r="B947" s="236"/>
      <c r="D947" s="236"/>
      <c r="F947" s="236"/>
      <c r="H947" s="236"/>
    </row>
    <row r="948" spans="2:8" ht="13" x14ac:dyDescent="0.15">
      <c r="B948" s="236"/>
      <c r="D948" s="236"/>
      <c r="F948" s="236"/>
      <c r="H948" s="236"/>
    </row>
    <row r="949" spans="2:8" ht="13" x14ac:dyDescent="0.15">
      <c r="B949" s="236"/>
      <c r="D949" s="236"/>
      <c r="F949" s="236"/>
      <c r="H949" s="236"/>
    </row>
    <row r="950" spans="2:8" ht="13" x14ac:dyDescent="0.15">
      <c r="B950" s="236"/>
      <c r="D950" s="236"/>
      <c r="F950" s="236"/>
      <c r="H950" s="236"/>
    </row>
    <row r="951" spans="2:8" ht="13" x14ac:dyDescent="0.15">
      <c r="B951" s="236"/>
      <c r="D951" s="236"/>
      <c r="F951" s="236"/>
      <c r="H951" s="236"/>
    </row>
    <row r="952" spans="2:8" ht="13" x14ac:dyDescent="0.15">
      <c r="B952" s="236"/>
      <c r="D952" s="236"/>
      <c r="F952" s="236"/>
      <c r="H952" s="236"/>
    </row>
    <row r="953" spans="2:8" ht="13" x14ac:dyDescent="0.15">
      <c r="B953" s="236"/>
      <c r="D953" s="236"/>
      <c r="F953" s="236"/>
      <c r="H953" s="236"/>
    </row>
    <row r="954" spans="2:8" ht="13" x14ac:dyDescent="0.15">
      <c r="B954" s="236"/>
      <c r="D954" s="236"/>
      <c r="F954" s="236"/>
      <c r="H954" s="236"/>
    </row>
    <row r="955" spans="2:8" ht="13" x14ac:dyDescent="0.15">
      <c r="B955" s="236"/>
      <c r="D955" s="236"/>
      <c r="F955" s="236"/>
      <c r="H955" s="236"/>
    </row>
    <row r="956" spans="2:8" ht="13" x14ac:dyDescent="0.15">
      <c r="B956" s="236"/>
      <c r="D956" s="236"/>
      <c r="F956" s="236"/>
      <c r="H956" s="236"/>
    </row>
    <row r="957" spans="2:8" ht="13" x14ac:dyDescent="0.15">
      <c r="B957" s="236"/>
      <c r="D957" s="236"/>
      <c r="F957" s="236"/>
      <c r="H957" s="236"/>
    </row>
    <row r="958" spans="2:8" ht="13" x14ac:dyDescent="0.15">
      <c r="B958" s="236"/>
      <c r="D958" s="236"/>
      <c r="F958" s="236"/>
      <c r="H958" s="236"/>
    </row>
    <row r="959" spans="2:8" ht="13" x14ac:dyDescent="0.15">
      <c r="B959" s="236"/>
      <c r="D959" s="236"/>
      <c r="F959" s="236"/>
      <c r="H959" s="236"/>
    </row>
    <row r="960" spans="2:8" ht="13" x14ac:dyDescent="0.15">
      <c r="B960" s="236"/>
      <c r="D960" s="236"/>
      <c r="F960" s="236"/>
      <c r="H960" s="236"/>
    </row>
    <row r="961" spans="2:8" ht="13" x14ac:dyDescent="0.15">
      <c r="B961" s="236"/>
      <c r="D961" s="236"/>
      <c r="F961" s="236"/>
      <c r="H961" s="236"/>
    </row>
    <row r="962" spans="2:8" ht="13" x14ac:dyDescent="0.15">
      <c r="B962" s="236"/>
      <c r="D962" s="236"/>
      <c r="F962" s="236"/>
      <c r="H962" s="236"/>
    </row>
    <row r="963" spans="2:8" ht="13" x14ac:dyDescent="0.15">
      <c r="B963" s="236"/>
      <c r="D963" s="236"/>
      <c r="F963" s="236"/>
      <c r="H963" s="236"/>
    </row>
    <row r="964" spans="2:8" ht="13" x14ac:dyDescent="0.15">
      <c r="B964" s="236"/>
      <c r="D964" s="236"/>
      <c r="F964" s="236"/>
      <c r="H964" s="236"/>
    </row>
    <row r="965" spans="2:8" ht="13" x14ac:dyDescent="0.15">
      <c r="B965" s="236"/>
      <c r="D965" s="236"/>
      <c r="F965" s="236"/>
      <c r="H965" s="236"/>
    </row>
    <row r="966" spans="2:8" ht="13" x14ac:dyDescent="0.15">
      <c r="B966" s="236"/>
      <c r="D966" s="236"/>
      <c r="F966" s="236"/>
      <c r="H966" s="236"/>
    </row>
    <row r="967" spans="2:8" ht="13" x14ac:dyDescent="0.15">
      <c r="B967" s="236"/>
      <c r="D967" s="236"/>
      <c r="F967" s="236"/>
      <c r="H967" s="236"/>
    </row>
    <row r="968" spans="2:8" ht="13" x14ac:dyDescent="0.15">
      <c r="B968" s="236"/>
      <c r="D968" s="236"/>
      <c r="F968" s="236"/>
      <c r="H968" s="236"/>
    </row>
    <row r="969" spans="2:8" ht="13" x14ac:dyDescent="0.15">
      <c r="B969" s="236"/>
      <c r="D969" s="236"/>
      <c r="F969" s="236"/>
      <c r="H969" s="236"/>
    </row>
    <row r="970" spans="2:8" ht="13" x14ac:dyDescent="0.15">
      <c r="B970" s="236"/>
      <c r="D970" s="236"/>
      <c r="F970" s="236"/>
      <c r="H970" s="236"/>
    </row>
    <row r="971" spans="2:8" ht="13" x14ac:dyDescent="0.15">
      <c r="B971" s="236"/>
      <c r="D971" s="236"/>
      <c r="F971" s="236"/>
      <c r="H971" s="236"/>
    </row>
    <row r="972" spans="2:8" ht="13" x14ac:dyDescent="0.15">
      <c r="B972" s="236"/>
      <c r="D972" s="236"/>
      <c r="F972" s="236"/>
      <c r="H972" s="236"/>
    </row>
    <row r="973" spans="2:8" ht="13" x14ac:dyDescent="0.15">
      <c r="B973" s="236"/>
      <c r="D973" s="236"/>
      <c r="F973" s="236"/>
      <c r="H973" s="236"/>
    </row>
    <row r="974" spans="2:8" ht="13" x14ac:dyDescent="0.15">
      <c r="B974" s="236"/>
      <c r="D974" s="236"/>
      <c r="F974" s="236"/>
      <c r="H974" s="236"/>
    </row>
    <row r="975" spans="2:8" ht="13" x14ac:dyDescent="0.15">
      <c r="B975" s="236"/>
      <c r="D975" s="236"/>
      <c r="F975" s="236"/>
      <c r="H975" s="236"/>
    </row>
    <row r="976" spans="2:8" ht="13" x14ac:dyDescent="0.15">
      <c r="B976" s="236"/>
      <c r="D976" s="236"/>
      <c r="F976" s="236"/>
      <c r="H976" s="236"/>
    </row>
    <row r="977" spans="2:8" ht="13" x14ac:dyDescent="0.15">
      <c r="B977" s="236"/>
      <c r="D977" s="236"/>
      <c r="F977" s="236"/>
      <c r="H977" s="236"/>
    </row>
    <row r="978" spans="2:8" ht="13" x14ac:dyDescent="0.15">
      <c r="B978" s="236"/>
      <c r="D978" s="236"/>
      <c r="F978" s="236"/>
      <c r="H978" s="236"/>
    </row>
    <row r="979" spans="2:8" ht="13" x14ac:dyDescent="0.15">
      <c r="B979" s="236"/>
      <c r="D979" s="236"/>
      <c r="F979" s="236"/>
      <c r="H979" s="236"/>
    </row>
    <row r="980" spans="2:8" ht="13" x14ac:dyDescent="0.15">
      <c r="B980" s="236"/>
      <c r="D980" s="236"/>
      <c r="F980" s="236"/>
      <c r="H980" s="236"/>
    </row>
    <row r="981" spans="2:8" ht="13" x14ac:dyDescent="0.15">
      <c r="B981" s="236"/>
      <c r="D981" s="236"/>
      <c r="F981" s="236"/>
      <c r="H981" s="236"/>
    </row>
    <row r="982" spans="2:8" ht="13" x14ac:dyDescent="0.15">
      <c r="B982" s="236"/>
      <c r="D982" s="236"/>
      <c r="F982" s="236"/>
      <c r="H982" s="236"/>
    </row>
    <row r="983" spans="2:8" ht="13" x14ac:dyDescent="0.15">
      <c r="B983" s="236"/>
      <c r="D983" s="236"/>
      <c r="F983" s="236"/>
      <c r="H983" s="236"/>
    </row>
    <row r="984" spans="2:8" ht="13" x14ac:dyDescent="0.15">
      <c r="B984" s="236"/>
      <c r="D984" s="236"/>
      <c r="F984" s="236"/>
      <c r="H984" s="236"/>
    </row>
    <row r="985" spans="2:8" ht="13" x14ac:dyDescent="0.15">
      <c r="B985" s="236"/>
      <c r="D985" s="236"/>
      <c r="F985" s="236"/>
      <c r="H985" s="236"/>
    </row>
    <row r="986" spans="2:8" ht="13" x14ac:dyDescent="0.15">
      <c r="B986" s="236"/>
      <c r="D986" s="236"/>
      <c r="F986" s="236"/>
      <c r="H986" s="236"/>
    </row>
    <row r="987" spans="2:8" ht="13" x14ac:dyDescent="0.15">
      <c r="B987" s="236"/>
      <c r="D987" s="236"/>
      <c r="F987" s="236"/>
      <c r="H987" s="236"/>
    </row>
    <row r="988" spans="2:8" ht="13" x14ac:dyDescent="0.15">
      <c r="B988" s="236"/>
      <c r="D988" s="236"/>
      <c r="F988" s="236"/>
      <c r="H988" s="236"/>
    </row>
    <row r="989" spans="2:8" ht="13" x14ac:dyDescent="0.15">
      <c r="B989" s="236"/>
      <c r="D989" s="236"/>
      <c r="F989" s="236"/>
      <c r="H989" s="236"/>
    </row>
    <row r="990" spans="2:8" ht="13" x14ac:dyDescent="0.15">
      <c r="B990" s="236"/>
      <c r="D990" s="236"/>
      <c r="F990" s="236"/>
      <c r="H990" s="236"/>
    </row>
    <row r="991" spans="2:8" ht="13" x14ac:dyDescent="0.15">
      <c r="B991" s="236"/>
      <c r="D991" s="236"/>
      <c r="F991" s="236"/>
      <c r="H991" s="236"/>
    </row>
    <row r="992" spans="2:8" ht="13" x14ac:dyDescent="0.15">
      <c r="B992" s="236"/>
      <c r="D992" s="236"/>
      <c r="F992" s="236"/>
      <c r="H992" s="236"/>
    </row>
    <row r="993" spans="2:8" ht="13" x14ac:dyDescent="0.15">
      <c r="B993" s="236"/>
      <c r="D993" s="236"/>
      <c r="F993" s="236"/>
      <c r="H993" s="236"/>
    </row>
    <row r="994" spans="2:8" ht="13" x14ac:dyDescent="0.15">
      <c r="B994" s="236"/>
      <c r="D994" s="236"/>
      <c r="F994" s="236"/>
      <c r="H994" s="236"/>
    </row>
    <row r="995" spans="2:8" ht="13" x14ac:dyDescent="0.15">
      <c r="B995" s="236"/>
      <c r="D995" s="236"/>
      <c r="F995" s="236"/>
      <c r="H995" s="236"/>
    </row>
    <row r="996" spans="2:8" ht="13" x14ac:dyDescent="0.15">
      <c r="B996" s="236"/>
      <c r="D996" s="236"/>
      <c r="F996" s="236"/>
      <c r="H996" s="236"/>
    </row>
    <row r="997" spans="2:8" ht="13" x14ac:dyDescent="0.15">
      <c r="B997" s="236"/>
      <c r="D997" s="236"/>
      <c r="F997" s="236"/>
      <c r="H997" s="236"/>
    </row>
    <row r="998" spans="2:8" ht="13" x14ac:dyDescent="0.15">
      <c r="B998" s="236"/>
      <c r="D998" s="236"/>
      <c r="F998" s="236"/>
      <c r="H998" s="236"/>
    </row>
    <row r="999" spans="2:8" ht="13" x14ac:dyDescent="0.15">
      <c r="B999" s="236"/>
      <c r="D999" s="236"/>
      <c r="F999" s="236"/>
      <c r="H999" s="236"/>
    </row>
    <row r="1000" spans="2:8" ht="13" x14ac:dyDescent="0.15">
      <c r="B1000" s="236"/>
      <c r="D1000" s="236"/>
      <c r="F1000" s="236"/>
      <c r="H1000" s="236"/>
    </row>
    <row r="1001" spans="2:8" ht="13" x14ac:dyDescent="0.15">
      <c r="B1001" s="236"/>
      <c r="D1001" s="236"/>
      <c r="F1001" s="236"/>
      <c r="H1001" s="236"/>
    </row>
    <row r="1002" spans="2:8" ht="13" x14ac:dyDescent="0.15">
      <c r="B1002" s="236"/>
      <c r="D1002" s="236"/>
      <c r="F1002" s="236"/>
      <c r="H1002" s="236"/>
    </row>
    <row r="1003" spans="2:8" ht="13" x14ac:dyDescent="0.15">
      <c r="B1003" s="236"/>
      <c r="D1003" s="236"/>
      <c r="F1003" s="236"/>
      <c r="H1003" s="236"/>
    </row>
    <row r="1004" spans="2:8" ht="13" x14ac:dyDescent="0.15">
      <c r="B1004" s="236"/>
      <c r="D1004" s="236"/>
      <c r="F1004" s="236"/>
      <c r="H1004" s="236"/>
    </row>
    <row r="1005" spans="2:8" ht="13" x14ac:dyDescent="0.15">
      <c r="B1005" s="236"/>
      <c r="D1005" s="236"/>
      <c r="F1005" s="236"/>
      <c r="H1005" s="236"/>
    </row>
    <row r="1006" spans="2:8" ht="13" x14ac:dyDescent="0.15">
      <c r="B1006" s="236"/>
      <c r="D1006" s="236"/>
      <c r="F1006" s="236"/>
      <c r="H1006" s="2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00FF"/>
    <outlinePr summaryBelow="0" summaryRight="0"/>
  </sheetPr>
  <dimension ref="A1:K101"/>
  <sheetViews>
    <sheetView workbookViewId="0">
      <pane ySplit="7" topLeftCell="A8" activePane="bottomLeft" state="frozen"/>
      <selection activeCell="F3" sqref="F3:G3"/>
      <selection pane="bottomLeft" activeCell="F3" sqref="F3:G3"/>
    </sheetView>
  </sheetViews>
  <sheetFormatPr baseColWidth="10" defaultColWidth="12.6640625" defaultRowHeight="15.75" customHeight="1" x14ac:dyDescent="0.15"/>
  <sheetData>
    <row r="1" spans="1:11" ht="15.75" customHeight="1" x14ac:dyDescent="0.15">
      <c r="A1" s="238" t="s">
        <v>2336</v>
      </c>
      <c r="B1" s="238"/>
      <c r="C1" s="239"/>
      <c r="D1" s="239"/>
      <c r="E1" s="239"/>
      <c r="F1" s="239"/>
      <c r="G1" s="238"/>
      <c r="H1" s="238"/>
      <c r="I1" s="238"/>
      <c r="J1" s="238"/>
      <c r="K1" s="238"/>
    </row>
    <row r="2" spans="1:11" ht="15.75" customHeight="1" x14ac:dyDescent="0.15">
      <c r="A2" s="772" t="s">
        <v>2337</v>
      </c>
      <c r="B2" s="773"/>
      <c r="C2" s="773"/>
      <c r="D2" s="773"/>
      <c r="E2" s="773"/>
      <c r="F2" s="773"/>
      <c r="G2" s="773"/>
      <c r="H2" s="773"/>
      <c r="I2" s="773"/>
      <c r="J2" s="773"/>
      <c r="K2" s="773"/>
    </row>
    <row r="3" spans="1:11" ht="15.75" customHeight="1" x14ac:dyDescent="0.15">
      <c r="A3" s="774" t="s">
        <v>2338</v>
      </c>
      <c r="B3" s="773"/>
      <c r="C3" s="773"/>
      <c r="D3" s="773"/>
      <c r="E3" s="773"/>
      <c r="F3" s="773"/>
      <c r="G3" s="773"/>
      <c r="H3" s="773"/>
      <c r="I3" s="773"/>
      <c r="J3" s="773"/>
      <c r="K3" s="773"/>
    </row>
    <row r="4" spans="1:11" ht="15.75" customHeight="1" x14ac:dyDescent="0.15">
      <c r="A4" s="240"/>
      <c r="B4" s="240"/>
      <c r="C4" s="240"/>
      <c r="D4" s="240"/>
      <c r="E4" s="240"/>
      <c r="F4" s="240"/>
      <c r="G4" s="241"/>
      <c r="H4" s="241"/>
      <c r="I4" s="241"/>
      <c r="J4" s="240"/>
      <c r="K4" s="241"/>
    </row>
    <row r="5" spans="1:11" ht="15.75" customHeight="1" x14ac:dyDescent="0.15">
      <c r="A5" s="242" t="s">
        <v>7</v>
      </c>
      <c r="B5" s="242" t="s">
        <v>104</v>
      </c>
      <c r="C5" s="242" t="s">
        <v>2339</v>
      </c>
      <c r="D5" s="242" t="s">
        <v>2340</v>
      </c>
      <c r="E5" s="242" t="s">
        <v>2341</v>
      </c>
      <c r="F5" s="242" t="s">
        <v>2342</v>
      </c>
      <c r="G5" s="243" t="s">
        <v>2343</v>
      </c>
      <c r="H5" s="243" t="s">
        <v>2344</v>
      </c>
      <c r="I5" s="243" t="s">
        <v>2345</v>
      </c>
      <c r="J5" s="243" t="s">
        <v>2346</v>
      </c>
      <c r="K5" s="244"/>
    </row>
    <row r="6" spans="1:11" ht="15.75" customHeight="1" x14ac:dyDescent="0.15">
      <c r="A6" s="245"/>
      <c r="B6" s="245" t="s">
        <v>2347</v>
      </c>
      <c r="C6" s="245"/>
      <c r="D6" s="245" t="s">
        <v>2348</v>
      </c>
      <c r="E6" s="245" t="s">
        <v>2349</v>
      </c>
      <c r="F6" s="245"/>
      <c r="G6" s="246" t="s">
        <v>2350</v>
      </c>
      <c r="H6" s="246" t="s">
        <v>2351</v>
      </c>
      <c r="I6" s="246" t="s">
        <v>2352</v>
      </c>
      <c r="J6" s="246" t="s">
        <v>2353</v>
      </c>
      <c r="K6" s="246"/>
    </row>
    <row r="7" spans="1:11" ht="15.75" customHeight="1" x14ac:dyDescent="0.15">
      <c r="A7" s="245"/>
      <c r="B7" s="245" t="s">
        <v>206</v>
      </c>
      <c r="C7" s="245"/>
      <c r="D7" s="245"/>
      <c r="E7" s="245"/>
      <c r="F7" s="245"/>
      <c r="G7" s="246" t="s">
        <v>2354</v>
      </c>
      <c r="H7" s="246" t="s">
        <v>2355</v>
      </c>
      <c r="I7" s="246" t="s">
        <v>2356</v>
      </c>
      <c r="J7" s="246" t="s">
        <v>2357</v>
      </c>
      <c r="K7" s="246"/>
    </row>
    <row r="8" spans="1:11" ht="15.75" customHeight="1" x14ac:dyDescent="0.15">
      <c r="A8" s="240"/>
      <c r="B8" s="240"/>
      <c r="C8" s="240" t="s">
        <v>857</v>
      </c>
      <c r="D8" s="240" t="b">
        <f ca="1">IFERROR(__xludf.DUMMYFUNCTION("AND($F8=""allTime"",REGEXMATCH($G8,""total""))"),TRUE)</f>
        <v>1</v>
      </c>
      <c r="E8" s="240"/>
      <c r="F8" s="240" t="s">
        <v>2358</v>
      </c>
      <c r="G8" s="25" t="s">
        <v>2359</v>
      </c>
      <c r="H8" s="84" t="s">
        <v>2360</v>
      </c>
      <c r="I8" s="247"/>
      <c r="J8" s="247" t="s">
        <v>2361</v>
      </c>
      <c r="K8" s="247"/>
    </row>
    <row r="9" spans="1:11" ht="15.75" customHeight="1" x14ac:dyDescent="0.15">
      <c r="A9" s="240"/>
      <c r="B9" s="240"/>
      <c r="C9" s="240" t="s">
        <v>857</v>
      </c>
      <c r="D9" s="240" t="b">
        <f ca="1">IFERROR(__xludf.DUMMYFUNCTION("AND($F9=""allTime"",REGEXMATCH($G9,""total""))"),FALSE)</f>
        <v>0</v>
      </c>
      <c r="E9" s="240"/>
      <c r="F9" s="240" t="s">
        <v>2362</v>
      </c>
      <c r="G9" s="25" t="s">
        <v>2363</v>
      </c>
      <c r="H9" s="84" t="s">
        <v>2360</v>
      </c>
      <c r="I9" s="247"/>
      <c r="J9" s="247" t="s">
        <v>2361</v>
      </c>
      <c r="K9" s="247"/>
    </row>
    <row r="10" spans="1:11" ht="15.75" customHeight="1" x14ac:dyDescent="0.15">
      <c r="A10" s="240"/>
      <c r="B10" s="240" t="b">
        <v>1</v>
      </c>
      <c r="C10" s="240" t="s">
        <v>857</v>
      </c>
      <c r="D10" s="240" t="b">
        <f ca="1">IFERROR(__xludf.DUMMYFUNCTION("AND($F10=""allTime"",REGEXMATCH($G10,""total""))"),FALSE)</f>
        <v>0</v>
      </c>
      <c r="E10" s="240"/>
      <c r="F10" s="240" t="s">
        <v>2364</v>
      </c>
      <c r="G10" s="25" t="s">
        <v>2365</v>
      </c>
      <c r="H10" s="84" t="s">
        <v>2360</v>
      </c>
      <c r="I10" s="247"/>
      <c r="J10" s="247" t="s">
        <v>2366</v>
      </c>
      <c r="K10" s="247"/>
    </row>
    <row r="11" spans="1:11" ht="15.75" customHeight="1" x14ac:dyDescent="0.15">
      <c r="A11" s="240"/>
      <c r="B11" s="240"/>
      <c r="C11" s="240" t="s">
        <v>857</v>
      </c>
      <c r="D11" s="240" t="b">
        <f ca="1">IFERROR(__xludf.DUMMYFUNCTION("AND($F11=""allTime"",REGEXMATCH($G11,""total""))"),FALSE)</f>
        <v>0</v>
      </c>
      <c r="E11" s="240"/>
      <c r="F11" s="240" t="s">
        <v>2367</v>
      </c>
      <c r="G11" s="25" t="s">
        <v>2368</v>
      </c>
      <c r="H11" s="84" t="s">
        <v>2360</v>
      </c>
      <c r="I11" s="247"/>
      <c r="J11" s="247" t="s">
        <v>2361</v>
      </c>
      <c r="K11" s="247"/>
    </row>
    <row r="12" spans="1:11" ht="15.75" customHeight="1" x14ac:dyDescent="0.15">
      <c r="A12" s="240"/>
      <c r="B12" s="240"/>
      <c r="C12" s="240" t="s">
        <v>857</v>
      </c>
      <c r="D12" s="240" t="b">
        <f ca="1">IFERROR(__xludf.DUMMYFUNCTION("AND($F12=""allTime"",REGEXMATCH($G12,""total""))"),FALSE)</f>
        <v>0</v>
      </c>
      <c r="E12" s="240"/>
      <c r="F12" s="240" t="s">
        <v>2369</v>
      </c>
      <c r="G12" s="25" t="s">
        <v>2370</v>
      </c>
      <c r="H12" s="84" t="s">
        <v>2360</v>
      </c>
      <c r="I12" s="247"/>
      <c r="J12" s="247" t="s">
        <v>2361</v>
      </c>
      <c r="K12" s="247"/>
    </row>
    <row r="13" spans="1:11" ht="15.75" customHeight="1" x14ac:dyDescent="0.15">
      <c r="A13" s="240"/>
      <c r="B13" s="240" t="b">
        <v>1</v>
      </c>
      <c r="C13" s="240" t="s">
        <v>857</v>
      </c>
      <c r="D13" s="240" t="b">
        <f ca="1">IFERROR(__xludf.DUMMYFUNCTION("AND($F13=""allTime"",REGEXMATCH($G13,""total""))"),FALSE)</f>
        <v>0</v>
      </c>
      <c r="E13" s="240"/>
      <c r="F13" s="240" t="s">
        <v>2371</v>
      </c>
      <c r="G13" s="25" t="s">
        <v>2372</v>
      </c>
      <c r="H13" s="84" t="s">
        <v>2360</v>
      </c>
      <c r="I13" s="247"/>
      <c r="J13" s="247" t="s">
        <v>2361</v>
      </c>
      <c r="K13" s="247"/>
    </row>
    <row r="14" spans="1:11" ht="15.75" customHeight="1" x14ac:dyDescent="0.15">
      <c r="A14" s="240"/>
      <c r="B14" s="240" t="b">
        <v>1</v>
      </c>
      <c r="C14" s="240" t="s">
        <v>857</v>
      </c>
      <c r="D14" s="240" t="b">
        <f ca="1">IFERROR(__xludf.DUMMYFUNCTION("AND($F14=""allTime"",REGEXMATCH($G14,""total""))"),FALSE)</f>
        <v>0</v>
      </c>
      <c r="E14" s="240"/>
      <c r="F14" s="240" t="s">
        <v>2373</v>
      </c>
      <c r="G14" s="25" t="s">
        <v>2374</v>
      </c>
      <c r="H14" s="84" t="s">
        <v>2360</v>
      </c>
      <c r="I14" s="247"/>
      <c r="J14" s="247" t="s">
        <v>2361</v>
      </c>
      <c r="K14" s="247"/>
    </row>
    <row r="15" spans="1:11" ht="15.75" customHeight="1" x14ac:dyDescent="0.15">
      <c r="A15" s="248"/>
      <c r="B15" s="248"/>
      <c r="C15" s="248" t="s">
        <v>857</v>
      </c>
      <c r="D15" s="248" t="b">
        <f ca="1">IFERROR(__xludf.DUMMYFUNCTION("AND($F15=""allTime"",REGEXMATCH($G15,""total""))"),FALSE)</f>
        <v>0</v>
      </c>
      <c r="E15" s="248" t="b">
        <v>1</v>
      </c>
      <c r="F15" s="248" t="s">
        <v>2358</v>
      </c>
      <c r="G15" s="249" t="s">
        <v>2375</v>
      </c>
      <c r="H15" s="250" t="s">
        <v>2376</v>
      </c>
      <c r="I15" s="251"/>
      <c r="J15" s="251" t="s">
        <v>2361</v>
      </c>
      <c r="K15" s="251"/>
    </row>
    <row r="16" spans="1:11" ht="15.75" customHeight="1" x14ac:dyDescent="0.15">
      <c r="A16" s="240"/>
      <c r="B16" s="240"/>
      <c r="C16" s="240" t="s">
        <v>857</v>
      </c>
      <c r="D16" s="240" t="b">
        <f ca="1">IFERROR(__xludf.DUMMYFUNCTION("AND($F16=""allTime"",REGEXMATCH($G16,""total""))"),FALSE)</f>
        <v>0</v>
      </c>
      <c r="E16" s="240" t="b">
        <v>1</v>
      </c>
      <c r="F16" s="240" t="s">
        <v>2362</v>
      </c>
      <c r="G16" s="25" t="s">
        <v>2377</v>
      </c>
      <c r="H16" s="84" t="s">
        <v>2376</v>
      </c>
      <c r="I16" s="247"/>
      <c r="J16" s="247" t="s">
        <v>2361</v>
      </c>
      <c r="K16" s="247"/>
    </row>
    <row r="17" spans="1:11" ht="15.75" customHeight="1" x14ac:dyDescent="0.15">
      <c r="A17" s="240"/>
      <c r="B17" s="240" t="b">
        <v>1</v>
      </c>
      <c r="C17" s="240" t="s">
        <v>857</v>
      </c>
      <c r="D17" s="240" t="b">
        <f ca="1">IFERROR(__xludf.DUMMYFUNCTION("AND($F17=""allTime"",REGEXMATCH($G17,""total""))"),FALSE)</f>
        <v>0</v>
      </c>
      <c r="E17" s="240"/>
      <c r="F17" s="240" t="s">
        <v>2364</v>
      </c>
      <c r="G17" s="25" t="s">
        <v>2378</v>
      </c>
      <c r="H17" s="84" t="s">
        <v>2376</v>
      </c>
      <c r="I17" s="247"/>
      <c r="J17" s="247" t="s">
        <v>2366</v>
      </c>
      <c r="K17" s="247"/>
    </row>
    <row r="18" spans="1:11" ht="15.75" customHeight="1" x14ac:dyDescent="0.15">
      <c r="A18" s="240"/>
      <c r="B18" s="240"/>
      <c r="C18" s="240" t="s">
        <v>857</v>
      </c>
      <c r="D18" s="240" t="b">
        <f ca="1">IFERROR(__xludf.DUMMYFUNCTION("AND($F18=""allTime"",REGEXMATCH($G18,""total""))"),FALSE)</f>
        <v>0</v>
      </c>
      <c r="E18" s="240"/>
      <c r="F18" s="240" t="s">
        <v>2367</v>
      </c>
      <c r="G18" s="25" t="s">
        <v>2379</v>
      </c>
      <c r="H18" s="84" t="s">
        <v>2376</v>
      </c>
      <c r="I18" s="247"/>
      <c r="J18" s="247" t="s">
        <v>2361</v>
      </c>
      <c r="K18" s="247"/>
    </row>
    <row r="19" spans="1:11" ht="15.75" customHeight="1" x14ac:dyDescent="0.15">
      <c r="A19" s="240"/>
      <c r="B19" s="240"/>
      <c r="C19" s="240" t="s">
        <v>857</v>
      </c>
      <c r="D19" s="240" t="b">
        <f ca="1">IFERROR(__xludf.DUMMYFUNCTION("AND($F19=""allTime"",REGEXMATCH($G19,""total""))"),FALSE)</f>
        <v>0</v>
      </c>
      <c r="E19" s="240" t="b">
        <v>1</v>
      </c>
      <c r="F19" s="240" t="s">
        <v>2369</v>
      </c>
      <c r="G19" s="25" t="s">
        <v>2380</v>
      </c>
      <c r="H19" s="84" t="s">
        <v>2376</v>
      </c>
      <c r="I19" s="247"/>
      <c r="J19" s="247" t="s">
        <v>2361</v>
      </c>
      <c r="K19" s="247"/>
    </row>
    <row r="20" spans="1:11" ht="15.75" customHeight="1" x14ac:dyDescent="0.15">
      <c r="A20" s="240"/>
      <c r="B20" s="240" t="b">
        <v>1</v>
      </c>
      <c r="C20" s="240" t="s">
        <v>857</v>
      </c>
      <c r="D20" s="240" t="b">
        <f ca="1">IFERROR(__xludf.DUMMYFUNCTION("AND($F20=""allTime"",REGEXMATCH($G20,""total""))"),FALSE)</f>
        <v>0</v>
      </c>
      <c r="E20" s="240"/>
      <c r="F20" s="240" t="s">
        <v>2371</v>
      </c>
      <c r="G20" s="25" t="s">
        <v>2381</v>
      </c>
      <c r="H20" s="84" t="s">
        <v>2376</v>
      </c>
      <c r="I20" s="247"/>
      <c r="J20" s="247" t="s">
        <v>2361</v>
      </c>
      <c r="K20" s="247"/>
    </row>
    <row r="21" spans="1:11" ht="15.75" customHeight="1" x14ac:dyDescent="0.15">
      <c r="A21" s="240"/>
      <c r="B21" s="240" t="b">
        <v>1</v>
      </c>
      <c r="C21" s="240" t="s">
        <v>857</v>
      </c>
      <c r="D21" s="240" t="b">
        <f ca="1">IFERROR(__xludf.DUMMYFUNCTION("AND($F21=""allTime"",REGEXMATCH($G21,""total""))"),FALSE)</f>
        <v>0</v>
      </c>
      <c r="E21" s="240"/>
      <c r="F21" s="240" t="s">
        <v>2373</v>
      </c>
      <c r="G21" s="25" t="s">
        <v>2382</v>
      </c>
      <c r="H21" s="84" t="s">
        <v>2376</v>
      </c>
      <c r="I21" s="247"/>
      <c r="J21" s="247" t="s">
        <v>2361</v>
      </c>
      <c r="K21" s="247"/>
    </row>
    <row r="22" spans="1:11" ht="15.75" customHeight="1" x14ac:dyDescent="0.15">
      <c r="A22" s="248"/>
      <c r="B22" s="248"/>
      <c r="C22" s="248" t="s">
        <v>857</v>
      </c>
      <c r="D22" s="248" t="b">
        <f ca="1">IFERROR(__xludf.DUMMYFUNCTION("AND($F22=""allTime"",REGEXMATCH($G22,""total""))"),FALSE)</f>
        <v>0</v>
      </c>
      <c r="E22" s="248"/>
      <c r="F22" s="248" t="s">
        <v>2358</v>
      </c>
      <c r="G22" s="249" t="s">
        <v>2383</v>
      </c>
      <c r="H22" s="250" t="s">
        <v>2384</v>
      </c>
      <c r="I22" s="251"/>
      <c r="J22" s="251" t="s">
        <v>2361</v>
      </c>
      <c r="K22" s="251"/>
    </row>
    <row r="23" spans="1:11" ht="15.75" customHeight="1" x14ac:dyDescent="0.15">
      <c r="A23" s="240"/>
      <c r="B23" s="240"/>
      <c r="C23" s="240" t="s">
        <v>857</v>
      </c>
      <c r="D23" s="240" t="b">
        <f ca="1">IFERROR(__xludf.DUMMYFUNCTION("AND($F23=""allTime"",REGEXMATCH($G23,""total""))"),FALSE)</f>
        <v>0</v>
      </c>
      <c r="E23" s="240"/>
      <c r="F23" s="240" t="s">
        <v>2362</v>
      </c>
      <c r="G23" s="25" t="s">
        <v>2385</v>
      </c>
      <c r="H23" s="84" t="s">
        <v>2384</v>
      </c>
      <c r="I23" s="247"/>
      <c r="J23" s="247" t="s">
        <v>2361</v>
      </c>
      <c r="K23" s="247"/>
    </row>
    <row r="24" spans="1:11" ht="15.75" customHeight="1" x14ac:dyDescent="0.15">
      <c r="A24" s="240"/>
      <c r="B24" s="240" t="b">
        <v>1</v>
      </c>
      <c r="C24" s="240" t="s">
        <v>857</v>
      </c>
      <c r="D24" s="240" t="b">
        <f ca="1">IFERROR(__xludf.DUMMYFUNCTION("AND($F24=""allTime"",REGEXMATCH($G24,""total""))"),FALSE)</f>
        <v>0</v>
      </c>
      <c r="E24" s="240"/>
      <c r="F24" s="240" t="s">
        <v>2364</v>
      </c>
      <c r="G24" s="25" t="s">
        <v>2386</v>
      </c>
      <c r="H24" s="84" t="s">
        <v>2384</v>
      </c>
      <c r="I24" s="247"/>
      <c r="J24" s="247" t="s">
        <v>2366</v>
      </c>
      <c r="K24" s="247"/>
    </row>
    <row r="25" spans="1:11" ht="15.75" customHeight="1" x14ac:dyDescent="0.15">
      <c r="A25" s="240"/>
      <c r="B25" s="240"/>
      <c r="C25" s="240" t="s">
        <v>857</v>
      </c>
      <c r="D25" s="240" t="b">
        <f ca="1">IFERROR(__xludf.DUMMYFUNCTION("AND($F25=""allTime"",REGEXMATCH($G25,""total""))"),FALSE)</f>
        <v>0</v>
      </c>
      <c r="E25" s="240"/>
      <c r="F25" s="240" t="s">
        <v>2367</v>
      </c>
      <c r="G25" s="25" t="s">
        <v>2387</v>
      </c>
      <c r="H25" s="84" t="s">
        <v>2384</v>
      </c>
      <c r="I25" s="247"/>
      <c r="J25" s="247" t="s">
        <v>2361</v>
      </c>
      <c r="K25" s="247"/>
    </row>
    <row r="26" spans="1:11" ht="15.75" customHeight="1" x14ac:dyDescent="0.15">
      <c r="A26" s="240"/>
      <c r="B26" s="240"/>
      <c r="C26" s="240" t="s">
        <v>857</v>
      </c>
      <c r="D26" s="240" t="b">
        <f ca="1">IFERROR(__xludf.DUMMYFUNCTION("AND($F26=""allTime"",REGEXMATCH($G26,""total""))"),FALSE)</f>
        <v>0</v>
      </c>
      <c r="E26" s="240"/>
      <c r="F26" s="240" t="s">
        <v>2369</v>
      </c>
      <c r="G26" s="25" t="s">
        <v>2388</v>
      </c>
      <c r="H26" s="84" t="s">
        <v>2384</v>
      </c>
      <c r="I26" s="247"/>
      <c r="J26" s="247" t="s">
        <v>2361</v>
      </c>
      <c r="K26" s="247"/>
    </row>
    <row r="27" spans="1:11" ht="15.75" customHeight="1" x14ac:dyDescent="0.15">
      <c r="A27" s="240"/>
      <c r="B27" s="240" t="b">
        <v>1</v>
      </c>
      <c r="C27" s="240" t="s">
        <v>857</v>
      </c>
      <c r="D27" s="240" t="b">
        <f ca="1">IFERROR(__xludf.DUMMYFUNCTION("AND($F27=""allTime"",REGEXMATCH($G27,""total""))"),FALSE)</f>
        <v>0</v>
      </c>
      <c r="E27" s="240"/>
      <c r="F27" s="240" t="s">
        <v>2371</v>
      </c>
      <c r="G27" s="25" t="s">
        <v>2389</v>
      </c>
      <c r="H27" s="84" t="s">
        <v>2384</v>
      </c>
      <c r="I27" s="247"/>
      <c r="J27" s="247" t="s">
        <v>2361</v>
      </c>
      <c r="K27" s="247"/>
    </row>
    <row r="28" spans="1:11" ht="15.75" customHeight="1" x14ac:dyDescent="0.15">
      <c r="A28" s="252"/>
      <c r="B28" s="252" t="b">
        <v>1</v>
      </c>
      <c r="C28" s="252" t="s">
        <v>857</v>
      </c>
      <c r="D28" s="240" t="b">
        <f ca="1">IFERROR(__xludf.DUMMYFUNCTION("AND($F28=""allTime"",REGEXMATCH($G28,""total""))"),FALSE)</f>
        <v>0</v>
      </c>
      <c r="E28" s="240"/>
      <c r="F28" s="252" t="s">
        <v>2373</v>
      </c>
      <c r="G28" s="253" t="s">
        <v>2390</v>
      </c>
      <c r="H28" s="254" t="s">
        <v>2384</v>
      </c>
      <c r="I28" s="255"/>
      <c r="J28" s="255" t="s">
        <v>2361</v>
      </c>
      <c r="K28" s="255"/>
    </row>
    <row r="29" spans="1:11" ht="15.75" customHeight="1" x14ac:dyDescent="0.15">
      <c r="A29" s="240"/>
      <c r="B29" s="240"/>
      <c r="C29" s="256" t="s">
        <v>2391</v>
      </c>
      <c r="D29" s="257" t="b">
        <f ca="1">IFERROR(__xludf.DUMMYFUNCTION("AND($F29=""allTime"",REGEXMATCH($G29,""total""))"),TRUE)</f>
        <v>1</v>
      </c>
      <c r="E29" s="240"/>
      <c r="F29" s="240" t="s">
        <v>2358</v>
      </c>
      <c r="G29" s="25" t="s">
        <v>2392</v>
      </c>
      <c r="H29" s="84" t="s">
        <v>2360</v>
      </c>
      <c r="I29" s="247"/>
      <c r="J29" s="247" t="s">
        <v>2361</v>
      </c>
      <c r="K29" s="247"/>
    </row>
    <row r="30" spans="1:11" ht="15.75" customHeight="1" x14ac:dyDescent="0.15">
      <c r="A30" s="240"/>
      <c r="B30" s="240"/>
      <c r="C30" s="256" t="s">
        <v>2391</v>
      </c>
      <c r="D30" s="240" t="b">
        <f ca="1">IFERROR(__xludf.DUMMYFUNCTION("AND($F30=""allTime"",REGEXMATCH($G30,""total""))"),FALSE)</f>
        <v>0</v>
      </c>
      <c r="E30" s="240"/>
      <c r="F30" s="240" t="s">
        <v>2362</v>
      </c>
      <c r="G30" s="25" t="s">
        <v>2393</v>
      </c>
      <c r="H30" s="84" t="s">
        <v>2360</v>
      </c>
      <c r="I30" s="247"/>
      <c r="J30" s="247" t="s">
        <v>2361</v>
      </c>
      <c r="K30" s="247"/>
    </row>
    <row r="31" spans="1:11" ht="15.75" customHeight="1" x14ac:dyDescent="0.15">
      <c r="A31" s="240"/>
      <c r="B31" s="240" t="b">
        <v>1</v>
      </c>
      <c r="C31" s="256" t="s">
        <v>2391</v>
      </c>
      <c r="D31" s="240" t="b">
        <f ca="1">IFERROR(__xludf.DUMMYFUNCTION("AND($F31=""allTime"",REGEXMATCH($G31,""total""))"),FALSE)</f>
        <v>0</v>
      </c>
      <c r="E31" s="240"/>
      <c r="F31" s="240" t="s">
        <v>2364</v>
      </c>
      <c r="G31" s="25" t="s">
        <v>2394</v>
      </c>
      <c r="H31" s="84" t="s">
        <v>2360</v>
      </c>
      <c r="I31" s="247"/>
      <c r="J31" s="247" t="s">
        <v>2366</v>
      </c>
      <c r="K31" s="247"/>
    </row>
    <row r="32" spans="1:11" ht="15.75" customHeight="1" x14ac:dyDescent="0.15">
      <c r="A32" s="240"/>
      <c r="B32" s="240"/>
      <c r="C32" s="256" t="s">
        <v>2391</v>
      </c>
      <c r="D32" s="240" t="b">
        <f ca="1">IFERROR(__xludf.DUMMYFUNCTION("AND($F32=""allTime"",REGEXMATCH($G32,""total""))"),FALSE)</f>
        <v>0</v>
      </c>
      <c r="E32" s="240"/>
      <c r="F32" s="240" t="s">
        <v>2367</v>
      </c>
      <c r="G32" s="25" t="s">
        <v>2395</v>
      </c>
      <c r="H32" s="84" t="s">
        <v>2360</v>
      </c>
      <c r="I32" s="247"/>
      <c r="J32" s="247" t="s">
        <v>2361</v>
      </c>
      <c r="K32" s="247"/>
    </row>
    <row r="33" spans="1:11" ht="15.75" customHeight="1" x14ac:dyDescent="0.15">
      <c r="A33" s="240"/>
      <c r="B33" s="240"/>
      <c r="C33" s="256" t="s">
        <v>2391</v>
      </c>
      <c r="D33" s="240" t="b">
        <f ca="1">IFERROR(__xludf.DUMMYFUNCTION("AND($F33=""allTime"",REGEXMATCH($G33,""total""))"),FALSE)</f>
        <v>0</v>
      </c>
      <c r="E33" s="240"/>
      <c r="F33" s="240" t="s">
        <v>2369</v>
      </c>
      <c r="G33" s="25" t="s">
        <v>2396</v>
      </c>
      <c r="H33" s="84" t="s">
        <v>2360</v>
      </c>
      <c r="I33" s="247"/>
      <c r="J33" s="247" t="s">
        <v>2361</v>
      </c>
      <c r="K33" s="247"/>
    </row>
    <row r="34" spans="1:11" ht="15.75" customHeight="1" x14ac:dyDescent="0.15">
      <c r="A34" s="240"/>
      <c r="B34" s="240" t="b">
        <v>1</v>
      </c>
      <c r="C34" s="256" t="s">
        <v>2391</v>
      </c>
      <c r="D34" s="240" t="b">
        <f ca="1">IFERROR(__xludf.DUMMYFUNCTION("AND($F34=""allTime"",REGEXMATCH($G34,""total""))"),FALSE)</f>
        <v>0</v>
      </c>
      <c r="E34" s="240"/>
      <c r="F34" s="240" t="s">
        <v>2371</v>
      </c>
      <c r="G34" s="25" t="s">
        <v>2397</v>
      </c>
      <c r="H34" s="84" t="s">
        <v>2360</v>
      </c>
      <c r="I34" s="247"/>
      <c r="J34" s="247" t="s">
        <v>2361</v>
      </c>
      <c r="K34" s="247"/>
    </row>
    <row r="35" spans="1:11" ht="15.75" customHeight="1" x14ac:dyDescent="0.15">
      <c r="A35" s="240"/>
      <c r="B35" s="240" t="b">
        <v>1</v>
      </c>
      <c r="C35" s="256" t="s">
        <v>2391</v>
      </c>
      <c r="D35" s="240" t="b">
        <f ca="1">IFERROR(__xludf.DUMMYFUNCTION("AND($F35=""allTime"",REGEXMATCH($G35,""total""))"),FALSE)</f>
        <v>0</v>
      </c>
      <c r="E35" s="240"/>
      <c r="F35" s="240" t="s">
        <v>2373</v>
      </c>
      <c r="G35" s="25" t="s">
        <v>2398</v>
      </c>
      <c r="H35" s="84" t="s">
        <v>2360</v>
      </c>
      <c r="I35" s="247"/>
      <c r="J35" s="247" t="s">
        <v>2361</v>
      </c>
      <c r="K35" s="247"/>
    </row>
    <row r="36" spans="1:11" ht="15.75" customHeight="1" x14ac:dyDescent="0.15">
      <c r="A36" s="248"/>
      <c r="B36" s="248"/>
      <c r="C36" s="258" t="s">
        <v>2391</v>
      </c>
      <c r="D36" s="248" t="b">
        <f ca="1">IFERROR(__xludf.DUMMYFUNCTION("AND($F36=""allTime"",REGEXMATCH($G36,""total""))"),TRUE)</f>
        <v>1</v>
      </c>
      <c r="E36" s="248"/>
      <c r="F36" s="248" t="s">
        <v>2358</v>
      </c>
      <c r="G36" s="249" t="s">
        <v>2399</v>
      </c>
      <c r="H36" s="250" t="s">
        <v>2360</v>
      </c>
      <c r="I36" s="251"/>
      <c r="J36" s="251" t="s">
        <v>2361</v>
      </c>
      <c r="K36" s="251"/>
    </row>
    <row r="37" spans="1:11" ht="15.75" customHeight="1" x14ac:dyDescent="0.15">
      <c r="A37" s="240"/>
      <c r="B37" s="240"/>
      <c r="C37" s="256" t="s">
        <v>2391</v>
      </c>
      <c r="D37" s="240" t="b">
        <f ca="1">IFERROR(__xludf.DUMMYFUNCTION("AND($F37=""allTime"",REGEXMATCH($G37,""total""))"),FALSE)</f>
        <v>0</v>
      </c>
      <c r="E37" s="240"/>
      <c r="F37" s="240" t="s">
        <v>2362</v>
      </c>
      <c r="G37" s="25" t="s">
        <v>2400</v>
      </c>
      <c r="H37" s="84" t="s">
        <v>2360</v>
      </c>
      <c r="I37" s="247"/>
      <c r="J37" s="247" t="s">
        <v>2361</v>
      </c>
      <c r="K37" s="247"/>
    </row>
    <row r="38" spans="1:11" ht="15.75" customHeight="1" x14ac:dyDescent="0.15">
      <c r="A38" s="240"/>
      <c r="B38" s="240" t="b">
        <v>1</v>
      </c>
      <c r="C38" s="256" t="s">
        <v>2391</v>
      </c>
      <c r="D38" s="240" t="b">
        <f ca="1">IFERROR(__xludf.DUMMYFUNCTION("AND($F38=""allTime"",REGEXMATCH($G38,""total""))"),FALSE)</f>
        <v>0</v>
      </c>
      <c r="E38" s="240"/>
      <c r="F38" s="240" t="s">
        <v>2364</v>
      </c>
      <c r="G38" s="25" t="s">
        <v>2401</v>
      </c>
      <c r="H38" s="84" t="s">
        <v>2360</v>
      </c>
      <c r="I38" s="247"/>
      <c r="J38" s="247" t="s">
        <v>2366</v>
      </c>
      <c r="K38" s="247"/>
    </row>
    <row r="39" spans="1:11" ht="15.75" customHeight="1" x14ac:dyDescent="0.15">
      <c r="A39" s="240"/>
      <c r="B39" s="240"/>
      <c r="C39" s="256" t="s">
        <v>2391</v>
      </c>
      <c r="D39" s="240" t="b">
        <f ca="1">IFERROR(__xludf.DUMMYFUNCTION("AND($F39=""allTime"",REGEXMATCH($G39,""total""))"),FALSE)</f>
        <v>0</v>
      </c>
      <c r="E39" s="240"/>
      <c r="F39" s="240" t="s">
        <v>2367</v>
      </c>
      <c r="G39" s="25" t="s">
        <v>2402</v>
      </c>
      <c r="H39" s="84" t="s">
        <v>2360</v>
      </c>
      <c r="I39" s="247"/>
      <c r="J39" s="247" t="s">
        <v>2361</v>
      </c>
      <c r="K39" s="247"/>
    </row>
    <row r="40" spans="1:11" ht="15.75" customHeight="1" x14ac:dyDescent="0.15">
      <c r="A40" s="240"/>
      <c r="B40" s="240"/>
      <c r="C40" s="256" t="s">
        <v>2391</v>
      </c>
      <c r="D40" s="240" t="b">
        <f ca="1">IFERROR(__xludf.DUMMYFUNCTION("AND($F40=""allTime"",REGEXMATCH($G40,""total""))"),FALSE)</f>
        <v>0</v>
      </c>
      <c r="E40" s="240"/>
      <c r="F40" s="240" t="s">
        <v>2369</v>
      </c>
      <c r="G40" s="25" t="s">
        <v>2403</v>
      </c>
      <c r="H40" s="84" t="s">
        <v>2360</v>
      </c>
      <c r="I40" s="247"/>
      <c r="J40" s="247" t="s">
        <v>2361</v>
      </c>
      <c r="K40" s="247"/>
    </row>
    <row r="41" spans="1:11" ht="15.75" customHeight="1" x14ac:dyDescent="0.15">
      <c r="A41" s="240"/>
      <c r="B41" s="240" t="b">
        <v>1</v>
      </c>
      <c r="C41" s="256" t="s">
        <v>2391</v>
      </c>
      <c r="D41" s="240" t="b">
        <f ca="1">IFERROR(__xludf.DUMMYFUNCTION("AND($F41=""allTime"",REGEXMATCH($G41,""total""))"),FALSE)</f>
        <v>0</v>
      </c>
      <c r="E41" s="240"/>
      <c r="F41" s="240" t="s">
        <v>2371</v>
      </c>
      <c r="G41" s="25" t="s">
        <v>2404</v>
      </c>
      <c r="H41" s="84" t="s">
        <v>2360</v>
      </c>
      <c r="I41" s="247"/>
      <c r="J41" s="247" t="s">
        <v>2361</v>
      </c>
      <c r="K41" s="247"/>
    </row>
    <row r="42" spans="1:11" ht="15.75" customHeight="1" x14ac:dyDescent="0.15">
      <c r="A42" s="252"/>
      <c r="B42" s="252" t="b">
        <v>1</v>
      </c>
      <c r="C42" s="259" t="s">
        <v>2391</v>
      </c>
      <c r="D42" s="240" t="b">
        <f ca="1">IFERROR(__xludf.DUMMYFUNCTION("AND($F42=""allTime"",REGEXMATCH($G42,""total""))"),FALSE)</f>
        <v>0</v>
      </c>
      <c r="E42" s="240"/>
      <c r="F42" s="252" t="s">
        <v>2373</v>
      </c>
      <c r="G42" s="253" t="s">
        <v>2405</v>
      </c>
      <c r="H42" s="254" t="s">
        <v>2360</v>
      </c>
      <c r="I42" s="255"/>
      <c r="J42" s="255" t="s">
        <v>2361</v>
      </c>
      <c r="K42" s="255"/>
    </row>
    <row r="43" spans="1:11" ht="15.75" customHeight="1" x14ac:dyDescent="0.15">
      <c r="A43" s="240"/>
      <c r="B43" s="240" t="b">
        <v>1</v>
      </c>
      <c r="C43" s="256" t="s">
        <v>2406</v>
      </c>
      <c r="D43" s="257" t="b">
        <f ca="1">IFERROR(__xludf.DUMMYFUNCTION("AND($F43=""allTime"",REGEXMATCH($G43,""total""))"),FALSE)</f>
        <v>0</v>
      </c>
      <c r="E43" s="240"/>
      <c r="F43" s="240" t="s">
        <v>2358</v>
      </c>
      <c r="G43" s="25" t="s">
        <v>2407</v>
      </c>
      <c r="H43" s="260" t="s">
        <v>2384</v>
      </c>
      <c r="I43" s="247"/>
      <c r="J43" s="247" t="s">
        <v>2361</v>
      </c>
      <c r="K43" s="247"/>
    </row>
    <row r="44" spans="1:11" ht="15.75" customHeight="1" x14ac:dyDescent="0.15">
      <c r="A44" s="240"/>
      <c r="B44" s="240" t="b">
        <v>1</v>
      </c>
      <c r="C44" s="256" t="s">
        <v>2406</v>
      </c>
      <c r="D44" s="240" t="b">
        <f ca="1">IFERROR(__xludf.DUMMYFUNCTION("AND($F44=""allTime"",REGEXMATCH($G44,""total""))"),FALSE)</f>
        <v>0</v>
      </c>
      <c r="E44" s="240"/>
      <c r="F44" s="240" t="s">
        <v>2362</v>
      </c>
      <c r="G44" s="25" t="s">
        <v>2408</v>
      </c>
      <c r="H44" s="260" t="s">
        <v>2384</v>
      </c>
      <c r="I44" s="247"/>
      <c r="J44" s="247" t="s">
        <v>2361</v>
      </c>
      <c r="K44" s="247"/>
    </row>
    <row r="45" spans="1:11" ht="15.75" customHeight="1" x14ac:dyDescent="0.15">
      <c r="A45" s="240"/>
      <c r="B45" s="240" t="b">
        <v>1</v>
      </c>
      <c r="C45" s="256" t="s">
        <v>2406</v>
      </c>
      <c r="D45" s="240" t="b">
        <f ca="1">IFERROR(__xludf.DUMMYFUNCTION("AND($F45=""allTime"",REGEXMATCH($G45,""total""))"),FALSE)</f>
        <v>0</v>
      </c>
      <c r="E45" s="240"/>
      <c r="F45" s="240" t="s">
        <v>2364</v>
      </c>
      <c r="G45" s="25" t="s">
        <v>2409</v>
      </c>
      <c r="H45" s="260" t="s">
        <v>2384</v>
      </c>
      <c r="I45" s="247"/>
      <c r="J45" s="247" t="s">
        <v>2366</v>
      </c>
      <c r="K45" s="247"/>
    </row>
    <row r="46" spans="1:11" ht="15.75" customHeight="1" x14ac:dyDescent="0.15">
      <c r="A46" s="240"/>
      <c r="B46" s="240" t="b">
        <v>1</v>
      </c>
      <c r="C46" s="256" t="s">
        <v>2406</v>
      </c>
      <c r="D46" s="240" t="b">
        <f ca="1">IFERROR(__xludf.DUMMYFUNCTION("AND($F46=""allTime"",REGEXMATCH($G46,""total""))"),FALSE)</f>
        <v>0</v>
      </c>
      <c r="E46" s="240"/>
      <c r="F46" s="240" t="s">
        <v>2367</v>
      </c>
      <c r="G46" s="25" t="s">
        <v>2410</v>
      </c>
      <c r="H46" s="260" t="s">
        <v>2384</v>
      </c>
      <c r="I46" s="247"/>
      <c r="J46" s="247" t="s">
        <v>2361</v>
      </c>
      <c r="K46" s="247"/>
    </row>
    <row r="47" spans="1:11" ht="15.75" customHeight="1" x14ac:dyDescent="0.15">
      <c r="A47" s="240"/>
      <c r="B47" s="240" t="b">
        <v>1</v>
      </c>
      <c r="C47" s="256" t="s">
        <v>2406</v>
      </c>
      <c r="D47" s="240" t="b">
        <f ca="1">IFERROR(__xludf.DUMMYFUNCTION("AND($F47=""allTime"",REGEXMATCH($G47,""total""))"),FALSE)</f>
        <v>0</v>
      </c>
      <c r="E47" s="240"/>
      <c r="F47" s="240" t="s">
        <v>2369</v>
      </c>
      <c r="G47" s="25" t="s">
        <v>2411</v>
      </c>
      <c r="H47" s="260" t="s">
        <v>2384</v>
      </c>
      <c r="I47" s="247"/>
      <c r="J47" s="247" t="s">
        <v>2361</v>
      </c>
      <c r="K47" s="247"/>
    </row>
    <row r="48" spans="1:11" ht="15.75" customHeight="1" x14ac:dyDescent="0.15">
      <c r="A48" s="240"/>
      <c r="B48" s="240" t="b">
        <v>1</v>
      </c>
      <c r="C48" s="256" t="s">
        <v>2406</v>
      </c>
      <c r="D48" s="240" t="b">
        <f ca="1">IFERROR(__xludf.DUMMYFUNCTION("AND($F48=""allTime"",REGEXMATCH($G48,""total""))"),FALSE)</f>
        <v>0</v>
      </c>
      <c r="E48" s="240"/>
      <c r="F48" s="240" t="s">
        <v>2371</v>
      </c>
      <c r="G48" s="25" t="s">
        <v>2412</v>
      </c>
      <c r="H48" s="260" t="s">
        <v>2384</v>
      </c>
      <c r="I48" s="247"/>
      <c r="J48" s="247" t="s">
        <v>2361</v>
      </c>
      <c r="K48" s="247"/>
    </row>
    <row r="49" spans="1:11" ht="15.75" customHeight="1" x14ac:dyDescent="0.15">
      <c r="A49" s="240"/>
      <c r="B49" s="240" t="b">
        <v>1</v>
      </c>
      <c r="C49" s="256" t="s">
        <v>2406</v>
      </c>
      <c r="D49" s="240" t="b">
        <f ca="1">IFERROR(__xludf.DUMMYFUNCTION("AND($F49=""allTime"",REGEXMATCH($G49,""total""))"),FALSE)</f>
        <v>0</v>
      </c>
      <c r="E49" s="240"/>
      <c r="F49" s="240" t="s">
        <v>2373</v>
      </c>
      <c r="G49" s="25" t="s">
        <v>2413</v>
      </c>
      <c r="H49" s="260" t="s">
        <v>2384</v>
      </c>
      <c r="I49" s="247"/>
      <c r="J49" s="247" t="s">
        <v>2361</v>
      </c>
      <c r="K49" s="247"/>
    </row>
    <row r="50" spans="1:11" ht="15.75" customHeight="1" x14ac:dyDescent="0.15">
      <c r="A50" s="248"/>
      <c r="B50" s="248" t="b">
        <v>1</v>
      </c>
      <c r="C50" s="258" t="s">
        <v>2406</v>
      </c>
      <c r="D50" s="248" t="b">
        <f ca="1">IFERROR(__xludf.DUMMYFUNCTION("AND($F50=""allTime"",REGEXMATCH($G50,""total""))"),TRUE)</f>
        <v>1</v>
      </c>
      <c r="E50" s="248"/>
      <c r="F50" s="248" t="s">
        <v>2358</v>
      </c>
      <c r="G50" s="249" t="s">
        <v>2414</v>
      </c>
      <c r="H50" s="250" t="s">
        <v>2360</v>
      </c>
      <c r="I50" s="251"/>
      <c r="J50" s="251" t="s">
        <v>2361</v>
      </c>
      <c r="K50" s="251"/>
    </row>
    <row r="51" spans="1:11" ht="15.75" customHeight="1" x14ac:dyDescent="0.15">
      <c r="A51" s="240"/>
      <c r="B51" s="240" t="b">
        <v>1</v>
      </c>
      <c r="C51" s="256" t="s">
        <v>2406</v>
      </c>
      <c r="D51" s="240" t="b">
        <f ca="1">IFERROR(__xludf.DUMMYFUNCTION("AND($F51=""allTime"",REGEXMATCH($G51,""total""))"),FALSE)</f>
        <v>0</v>
      </c>
      <c r="E51" s="240"/>
      <c r="F51" s="240" t="s">
        <v>2362</v>
      </c>
      <c r="G51" s="25" t="s">
        <v>2415</v>
      </c>
      <c r="H51" s="84" t="s">
        <v>2360</v>
      </c>
      <c r="I51" s="247"/>
      <c r="J51" s="247" t="s">
        <v>2361</v>
      </c>
      <c r="K51" s="247"/>
    </row>
    <row r="52" spans="1:11" ht="15.75" customHeight="1" x14ac:dyDescent="0.15">
      <c r="A52" s="240"/>
      <c r="B52" s="240" t="b">
        <v>1</v>
      </c>
      <c r="C52" s="256" t="s">
        <v>2406</v>
      </c>
      <c r="D52" s="240" t="b">
        <f ca="1">IFERROR(__xludf.DUMMYFUNCTION("AND($F52=""allTime"",REGEXMATCH($G52,""total""))"),FALSE)</f>
        <v>0</v>
      </c>
      <c r="E52" s="240"/>
      <c r="F52" s="240" t="s">
        <v>2364</v>
      </c>
      <c r="G52" s="25" t="s">
        <v>2416</v>
      </c>
      <c r="H52" s="84" t="s">
        <v>2360</v>
      </c>
      <c r="I52" s="247"/>
      <c r="J52" s="247" t="s">
        <v>2366</v>
      </c>
      <c r="K52" s="247"/>
    </row>
    <row r="53" spans="1:11" ht="15.75" customHeight="1" x14ac:dyDescent="0.15">
      <c r="A53" s="240"/>
      <c r="B53" s="240" t="b">
        <v>1</v>
      </c>
      <c r="C53" s="256" t="s">
        <v>2406</v>
      </c>
      <c r="D53" s="240" t="b">
        <f ca="1">IFERROR(__xludf.DUMMYFUNCTION("AND($F53=""allTime"",REGEXMATCH($G53,""total""))"),FALSE)</f>
        <v>0</v>
      </c>
      <c r="E53" s="240"/>
      <c r="F53" s="240" t="s">
        <v>2367</v>
      </c>
      <c r="G53" s="25" t="s">
        <v>2417</v>
      </c>
      <c r="H53" s="84" t="s">
        <v>2360</v>
      </c>
      <c r="I53" s="247"/>
      <c r="J53" s="247" t="s">
        <v>2361</v>
      </c>
      <c r="K53" s="247"/>
    </row>
    <row r="54" spans="1:11" ht="15.75" customHeight="1" x14ac:dyDescent="0.15">
      <c r="A54" s="240"/>
      <c r="B54" s="240" t="b">
        <v>1</v>
      </c>
      <c r="C54" s="256" t="s">
        <v>2406</v>
      </c>
      <c r="D54" s="240" t="b">
        <f ca="1">IFERROR(__xludf.DUMMYFUNCTION("AND($F54=""allTime"",REGEXMATCH($G54,""total""))"),FALSE)</f>
        <v>0</v>
      </c>
      <c r="E54" s="240"/>
      <c r="F54" s="240" t="s">
        <v>2369</v>
      </c>
      <c r="G54" s="25" t="s">
        <v>2418</v>
      </c>
      <c r="H54" s="84" t="s">
        <v>2360</v>
      </c>
      <c r="I54" s="247"/>
      <c r="J54" s="247" t="s">
        <v>2361</v>
      </c>
      <c r="K54" s="247"/>
    </row>
    <row r="55" spans="1:11" ht="15.75" customHeight="1" x14ac:dyDescent="0.15">
      <c r="A55" s="240"/>
      <c r="B55" s="240" t="b">
        <v>1</v>
      </c>
      <c r="C55" s="256" t="s">
        <v>2406</v>
      </c>
      <c r="D55" s="240" t="b">
        <f ca="1">IFERROR(__xludf.DUMMYFUNCTION("AND($F55=""allTime"",REGEXMATCH($G55,""total""))"),FALSE)</f>
        <v>0</v>
      </c>
      <c r="E55" s="240"/>
      <c r="F55" s="240" t="s">
        <v>2371</v>
      </c>
      <c r="G55" s="25" t="s">
        <v>2419</v>
      </c>
      <c r="H55" s="84" t="s">
        <v>2360</v>
      </c>
      <c r="I55" s="247"/>
      <c r="J55" s="247" t="s">
        <v>2361</v>
      </c>
      <c r="K55" s="247"/>
    </row>
    <row r="56" spans="1:11" ht="15.75" customHeight="1" x14ac:dyDescent="0.15">
      <c r="A56" s="240"/>
      <c r="B56" s="240" t="b">
        <v>1</v>
      </c>
      <c r="C56" s="256" t="s">
        <v>2406</v>
      </c>
      <c r="D56" s="240" t="b">
        <f ca="1">IFERROR(__xludf.DUMMYFUNCTION("AND($F56=""allTime"",REGEXMATCH($G56,""total""))"),FALSE)</f>
        <v>0</v>
      </c>
      <c r="E56" s="240"/>
      <c r="F56" s="240" t="s">
        <v>2373</v>
      </c>
      <c r="G56" s="25" t="s">
        <v>2420</v>
      </c>
      <c r="H56" s="84" t="s">
        <v>2360</v>
      </c>
      <c r="I56" s="247"/>
      <c r="J56" s="247" t="s">
        <v>2361</v>
      </c>
      <c r="K56" s="247"/>
    </row>
    <row r="57" spans="1:11" ht="15.75" customHeight="1" x14ac:dyDescent="0.15">
      <c r="A57" s="248"/>
      <c r="B57" s="248" t="b">
        <v>1</v>
      </c>
      <c r="C57" s="258" t="s">
        <v>2406</v>
      </c>
      <c r="D57" s="248" t="b">
        <f ca="1">IFERROR(__xludf.DUMMYFUNCTION("AND($F57=""allTime"",REGEXMATCH($G57,""total""))"),TRUE)</f>
        <v>1</v>
      </c>
      <c r="E57" s="248"/>
      <c r="F57" s="248" t="s">
        <v>2358</v>
      </c>
      <c r="G57" s="249" t="s">
        <v>2421</v>
      </c>
      <c r="H57" s="250" t="s">
        <v>2360</v>
      </c>
      <c r="I57" s="251"/>
      <c r="J57" s="251" t="s">
        <v>2361</v>
      </c>
      <c r="K57" s="251"/>
    </row>
    <row r="58" spans="1:11" ht="15.75" customHeight="1" x14ac:dyDescent="0.15">
      <c r="A58" s="240"/>
      <c r="B58" s="240" t="b">
        <v>1</v>
      </c>
      <c r="C58" s="256" t="s">
        <v>2406</v>
      </c>
      <c r="D58" s="240" t="b">
        <f ca="1">IFERROR(__xludf.DUMMYFUNCTION("AND($F58=""allTime"",REGEXMATCH($G58,""total""))"),FALSE)</f>
        <v>0</v>
      </c>
      <c r="E58" s="240"/>
      <c r="F58" s="240" t="s">
        <v>2362</v>
      </c>
      <c r="G58" s="25" t="s">
        <v>2422</v>
      </c>
      <c r="H58" s="84" t="s">
        <v>2360</v>
      </c>
      <c r="I58" s="247"/>
      <c r="J58" s="247" t="s">
        <v>2361</v>
      </c>
      <c r="K58" s="247"/>
    </row>
    <row r="59" spans="1:11" ht="15.75" customHeight="1" x14ac:dyDescent="0.15">
      <c r="A59" s="240"/>
      <c r="B59" s="240" t="b">
        <v>1</v>
      </c>
      <c r="C59" s="256" t="s">
        <v>2406</v>
      </c>
      <c r="D59" s="240" t="b">
        <f ca="1">IFERROR(__xludf.DUMMYFUNCTION("AND($F59=""allTime"",REGEXMATCH($G59,""total""))"),FALSE)</f>
        <v>0</v>
      </c>
      <c r="E59" s="240"/>
      <c r="F59" s="240" t="s">
        <v>2364</v>
      </c>
      <c r="G59" s="25" t="s">
        <v>2423</v>
      </c>
      <c r="H59" s="84" t="s">
        <v>2360</v>
      </c>
      <c r="I59" s="247"/>
      <c r="J59" s="247" t="s">
        <v>2366</v>
      </c>
      <c r="K59" s="247"/>
    </row>
    <row r="60" spans="1:11" ht="28" x14ac:dyDescent="0.15">
      <c r="A60" s="240"/>
      <c r="B60" s="240" t="b">
        <v>1</v>
      </c>
      <c r="C60" s="256" t="s">
        <v>2406</v>
      </c>
      <c r="D60" s="240" t="b">
        <f ca="1">IFERROR(__xludf.DUMMYFUNCTION("AND($F60=""allTime"",REGEXMATCH($G60,""total""))"),FALSE)</f>
        <v>0</v>
      </c>
      <c r="E60" s="240"/>
      <c r="F60" s="240" t="s">
        <v>2367</v>
      </c>
      <c r="G60" s="25" t="s">
        <v>2424</v>
      </c>
      <c r="H60" s="84" t="s">
        <v>2360</v>
      </c>
      <c r="I60" s="247"/>
      <c r="J60" s="247" t="s">
        <v>2361</v>
      </c>
      <c r="K60" s="247"/>
    </row>
    <row r="61" spans="1:11" ht="28" x14ac:dyDescent="0.15">
      <c r="A61" s="240"/>
      <c r="B61" s="240" t="b">
        <v>1</v>
      </c>
      <c r="C61" s="256" t="s">
        <v>2406</v>
      </c>
      <c r="D61" s="240" t="b">
        <f ca="1">IFERROR(__xludf.DUMMYFUNCTION("AND($F61=""allTime"",REGEXMATCH($G61,""total""))"),FALSE)</f>
        <v>0</v>
      </c>
      <c r="E61" s="240"/>
      <c r="F61" s="240" t="s">
        <v>2369</v>
      </c>
      <c r="G61" s="25" t="s">
        <v>2425</v>
      </c>
      <c r="H61" s="84" t="s">
        <v>2360</v>
      </c>
      <c r="I61" s="247"/>
      <c r="J61" s="247" t="s">
        <v>2361</v>
      </c>
      <c r="K61" s="247"/>
    </row>
    <row r="62" spans="1:11" ht="28" x14ac:dyDescent="0.15">
      <c r="A62" s="240"/>
      <c r="B62" s="240" t="b">
        <v>1</v>
      </c>
      <c r="C62" s="256" t="s">
        <v>2406</v>
      </c>
      <c r="D62" s="240" t="b">
        <f ca="1">IFERROR(__xludf.DUMMYFUNCTION("AND($F62=""allTime"",REGEXMATCH($G62,""total""))"),FALSE)</f>
        <v>0</v>
      </c>
      <c r="E62" s="240"/>
      <c r="F62" s="240" t="s">
        <v>2371</v>
      </c>
      <c r="G62" s="25" t="s">
        <v>2426</v>
      </c>
      <c r="H62" s="84" t="s">
        <v>2360</v>
      </c>
      <c r="I62" s="247"/>
      <c r="J62" s="247" t="s">
        <v>2361</v>
      </c>
      <c r="K62" s="247"/>
    </row>
    <row r="63" spans="1:11" ht="28" x14ac:dyDescent="0.15">
      <c r="A63" s="240"/>
      <c r="B63" s="240" t="b">
        <v>1</v>
      </c>
      <c r="C63" s="256" t="s">
        <v>2406</v>
      </c>
      <c r="D63" s="240" t="b">
        <f ca="1">IFERROR(__xludf.DUMMYFUNCTION("AND($F63=""allTime"",REGEXMATCH($G63,""total""))"),FALSE)</f>
        <v>0</v>
      </c>
      <c r="E63" s="240"/>
      <c r="F63" s="240" t="s">
        <v>2373</v>
      </c>
      <c r="G63" s="25" t="s">
        <v>2427</v>
      </c>
      <c r="H63" s="84" t="s">
        <v>2360</v>
      </c>
      <c r="I63" s="247"/>
      <c r="J63" s="247" t="s">
        <v>2361</v>
      </c>
      <c r="K63" s="247"/>
    </row>
    <row r="64" spans="1:11" ht="28" x14ac:dyDescent="0.15">
      <c r="A64" s="248"/>
      <c r="B64" s="248" t="b">
        <v>1</v>
      </c>
      <c r="C64" s="258" t="s">
        <v>2406</v>
      </c>
      <c r="D64" s="248" t="b">
        <f ca="1">IFERROR(__xludf.DUMMYFUNCTION("AND($F64=""allTime"",REGEXMATCH($G64,""total""))"),TRUE)</f>
        <v>1</v>
      </c>
      <c r="E64" s="248"/>
      <c r="F64" s="248" t="s">
        <v>2358</v>
      </c>
      <c r="G64" s="249" t="s">
        <v>2428</v>
      </c>
      <c r="H64" s="250" t="s">
        <v>2360</v>
      </c>
      <c r="I64" s="251"/>
      <c r="J64" s="251" t="s">
        <v>2361</v>
      </c>
      <c r="K64" s="251"/>
    </row>
    <row r="65" spans="1:11" ht="28" x14ac:dyDescent="0.15">
      <c r="A65" s="240"/>
      <c r="B65" s="240" t="b">
        <v>1</v>
      </c>
      <c r="C65" s="256" t="s">
        <v>2406</v>
      </c>
      <c r="D65" s="240" t="b">
        <f ca="1">IFERROR(__xludf.DUMMYFUNCTION("AND($F65=""allTime"",REGEXMATCH($G65,""total""))"),FALSE)</f>
        <v>0</v>
      </c>
      <c r="E65" s="240"/>
      <c r="F65" s="240" t="s">
        <v>2362</v>
      </c>
      <c r="G65" s="25" t="s">
        <v>2429</v>
      </c>
      <c r="H65" s="84" t="s">
        <v>2360</v>
      </c>
      <c r="I65" s="247"/>
      <c r="J65" s="247" t="s">
        <v>2361</v>
      </c>
      <c r="K65" s="247"/>
    </row>
    <row r="66" spans="1:11" ht="28" x14ac:dyDescent="0.15">
      <c r="A66" s="240"/>
      <c r="B66" s="240" t="b">
        <v>1</v>
      </c>
      <c r="C66" s="256" t="s">
        <v>2406</v>
      </c>
      <c r="D66" s="240" t="b">
        <f ca="1">IFERROR(__xludf.DUMMYFUNCTION("AND($F66=""allTime"",REGEXMATCH($G66,""total""))"),FALSE)</f>
        <v>0</v>
      </c>
      <c r="E66" s="240"/>
      <c r="F66" s="240" t="s">
        <v>2364</v>
      </c>
      <c r="G66" s="25" t="s">
        <v>2430</v>
      </c>
      <c r="H66" s="84" t="s">
        <v>2360</v>
      </c>
      <c r="I66" s="247"/>
      <c r="J66" s="247" t="s">
        <v>2366</v>
      </c>
      <c r="K66" s="247"/>
    </row>
    <row r="67" spans="1:11" ht="42" x14ac:dyDescent="0.15">
      <c r="A67" s="240"/>
      <c r="B67" s="240" t="b">
        <v>1</v>
      </c>
      <c r="C67" s="256" t="s">
        <v>2406</v>
      </c>
      <c r="D67" s="240" t="b">
        <f ca="1">IFERROR(__xludf.DUMMYFUNCTION("AND($F67=""allTime"",REGEXMATCH($G67,""total""))"),FALSE)</f>
        <v>0</v>
      </c>
      <c r="E67" s="240"/>
      <c r="F67" s="240" t="s">
        <v>2367</v>
      </c>
      <c r="G67" s="25" t="s">
        <v>2431</v>
      </c>
      <c r="H67" s="84" t="s">
        <v>2360</v>
      </c>
      <c r="I67" s="247"/>
      <c r="J67" s="247" t="s">
        <v>2361</v>
      </c>
      <c r="K67" s="247"/>
    </row>
    <row r="68" spans="1:11" ht="42" x14ac:dyDescent="0.15">
      <c r="A68" s="240"/>
      <c r="B68" s="240" t="b">
        <v>1</v>
      </c>
      <c r="C68" s="256" t="s">
        <v>2406</v>
      </c>
      <c r="D68" s="240" t="b">
        <f ca="1">IFERROR(__xludf.DUMMYFUNCTION("AND($F68=""allTime"",REGEXMATCH($G68,""total""))"),FALSE)</f>
        <v>0</v>
      </c>
      <c r="E68" s="240"/>
      <c r="F68" s="240" t="s">
        <v>2369</v>
      </c>
      <c r="G68" s="25" t="s">
        <v>2432</v>
      </c>
      <c r="H68" s="84" t="s">
        <v>2360</v>
      </c>
      <c r="I68" s="247"/>
      <c r="J68" s="247" t="s">
        <v>2361</v>
      </c>
      <c r="K68" s="247"/>
    </row>
    <row r="69" spans="1:11" ht="28" x14ac:dyDescent="0.15">
      <c r="A69" s="240"/>
      <c r="B69" s="240" t="b">
        <v>1</v>
      </c>
      <c r="C69" s="256" t="s">
        <v>2406</v>
      </c>
      <c r="D69" s="240" t="b">
        <f ca="1">IFERROR(__xludf.DUMMYFUNCTION("AND($F69=""allTime"",REGEXMATCH($G69,""total""))"),FALSE)</f>
        <v>0</v>
      </c>
      <c r="E69" s="240"/>
      <c r="F69" s="240" t="s">
        <v>2371</v>
      </c>
      <c r="G69" s="25" t="s">
        <v>2433</v>
      </c>
      <c r="H69" s="84" t="s">
        <v>2360</v>
      </c>
      <c r="I69" s="247"/>
      <c r="J69" s="247" t="s">
        <v>2361</v>
      </c>
      <c r="K69" s="247"/>
    </row>
    <row r="70" spans="1:11" ht="28" x14ac:dyDescent="0.15">
      <c r="A70" s="252"/>
      <c r="B70" s="252" t="b">
        <v>1</v>
      </c>
      <c r="C70" s="259" t="s">
        <v>2406</v>
      </c>
      <c r="D70" s="240" t="b">
        <f ca="1">IFERROR(__xludf.DUMMYFUNCTION("AND($F70=""allTime"",REGEXMATCH($G70,""total""))"),FALSE)</f>
        <v>0</v>
      </c>
      <c r="E70" s="240"/>
      <c r="F70" s="252" t="s">
        <v>2373</v>
      </c>
      <c r="G70" s="253" t="s">
        <v>2434</v>
      </c>
      <c r="H70" s="254" t="s">
        <v>2360</v>
      </c>
      <c r="I70" s="255"/>
      <c r="J70" s="255" t="s">
        <v>2361</v>
      </c>
      <c r="K70" s="255"/>
    </row>
    <row r="71" spans="1:11" ht="30" x14ac:dyDescent="0.15">
      <c r="A71" s="240"/>
      <c r="B71" s="240"/>
      <c r="C71" s="261" t="s">
        <v>2435</v>
      </c>
      <c r="D71" s="257" t="b">
        <f ca="1">IFERROR(__xludf.DUMMYFUNCTION("AND($F71=""allTime"",REGEXMATCH($G71,""total""))"),TRUE)</f>
        <v>1</v>
      </c>
      <c r="E71" s="240"/>
      <c r="F71" s="240" t="s">
        <v>2358</v>
      </c>
      <c r="G71" s="84" t="s">
        <v>2436</v>
      </c>
      <c r="H71" s="84" t="s">
        <v>2360</v>
      </c>
      <c r="I71" s="247"/>
      <c r="J71" s="247" t="s">
        <v>2361</v>
      </c>
      <c r="K71" s="247"/>
    </row>
    <row r="72" spans="1:11" ht="28" x14ac:dyDescent="0.15">
      <c r="A72" s="240"/>
      <c r="B72" s="240"/>
      <c r="C72" s="261" t="s">
        <v>2435</v>
      </c>
      <c r="D72" s="240" t="b">
        <f ca="1">IFERROR(__xludf.DUMMYFUNCTION("AND($F72=""allTime"",REGEXMATCH($G72,""total""))"),FALSE)</f>
        <v>0</v>
      </c>
      <c r="E72" s="240"/>
      <c r="F72" s="240" t="s">
        <v>2362</v>
      </c>
      <c r="G72" s="25" t="s">
        <v>2437</v>
      </c>
      <c r="H72" s="84" t="s">
        <v>2360</v>
      </c>
      <c r="I72" s="247"/>
      <c r="J72" s="247" t="s">
        <v>2361</v>
      </c>
      <c r="K72" s="247"/>
    </row>
    <row r="73" spans="1:11" ht="28" x14ac:dyDescent="0.15">
      <c r="A73" s="240"/>
      <c r="B73" s="240" t="b">
        <v>1</v>
      </c>
      <c r="C73" s="261" t="s">
        <v>2435</v>
      </c>
      <c r="D73" s="240" t="b">
        <f ca="1">IFERROR(__xludf.DUMMYFUNCTION("AND($F73=""allTime"",REGEXMATCH($G73,""total""))"),FALSE)</f>
        <v>0</v>
      </c>
      <c r="E73" s="240"/>
      <c r="F73" s="240" t="s">
        <v>2364</v>
      </c>
      <c r="G73" s="25" t="s">
        <v>2438</v>
      </c>
      <c r="H73" s="84" t="s">
        <v>2360</v>
      </c>
      <c r="I73" s="247"/>
      <c r="J73" s="247" t="s">
        <v>2366</v>
      </c>
      <c r="K73" s="247"/>
    </row>
    <row r="74" spans="1:11" ht="28" x14ac:dyDescent="0.15">
      <c r="A74" s="240"/>
      <c r="B74" s="240"/>
      <c r="C74" s="261" t="s">
        <v>2435</v>
      </c>
      <c r="D74" s="240" t="b">
        <f ca="1">IFERROR(__xludf.DUMMYFUNCTION("AND($F74=""allTime"",REGEXMATCH($G74,""total""))"),FALSE)</f>
        <v>0</v>
      </c>
      <c r="E74" s="240"/>
      <c r="F74" s="240" t="s">
        <v>2367</v>
      </c>
      <c r="G74" s="25" t="s">
        <v>2439</v>
      </c>
      <c r="H74" s="84" t="s">
        <v>2360</v>
      </c>
      <c r="I74" s="247"/>
      <c r="J74" s="247" t="s">
        <v>2361</v>
      </c>
      <c r="K74" s="247"/>
    </row>
    <row r="75" spans="1:11" ht="28" x14ac:dyDescent="0.15">
      <c r="A75" s="240"/>
      <c r="B75" s="240"/>
      <c r="C75" s="261" t="s">
        <v>2435</v>
      </c>
      <c r="D75" s="240" t="b">
        <f ca="1">IFERROR(__xludf.DUMMYFUNCTION("AND($F75=""allTime"",REGEXMATCH($G75,""total""))"),FALSE)</f>
        <v>0</v>
      </c>
      <c r="E75" s="240"/>
      <c r="F75" s="240" t="s">
        <v>2369</v>
      </c>
      <c r="G75" s="25" t="s">
        <v>2440</v>
      </c>
      <c r="H75" s="84" t="s">
        <v>2360</v>
      </c>
      <c r="I75" s="247"/>
      <c r="J75" s="247" t="s">
        <v>2361</v>
      </c>
      <c r="K75" s="247"/>
    </row>
    <row r="76" spans="1:11" ht="28" x14ac:dyDescent="0.15">
      <c r="A76" s="240"/>
      <c r="B76" s="240" t="b">
        <v>1</v>
      </c>
      <c r="C76" s="261" t="s">
        <v>2435</v>
      </c>
      <c r="D76" s="240" t="b">
        <f ca="1">IFERROR(__xludf.DUMMYFUNCTION("AND($F76=""allTime"",REGEXMATCH($G76,""total""))"),FALSE)</f>
        <v>0</v>
      </c>
      <c r="E76" s="240"/>
      <c r="F76" s="240" t="s">
        <v>2371</v>
      </c>
      <c r="G76" s="25" t="s">
        <v>2441</v>
      </c>
      <c r="H76" s="84" t="s">
        <v>2360</v>
      </c>
      <c r="I76" s="247"/>
      <c r="J76" s="247" t="s">
        <v>2361</v>
      </c>
      <c r="K76" s="247"/>
    </row>
    <row r="77" spans="1:11" ht="28" x14ac:dyDescent="0.15">
      <c r="A77" s="240"/>
      <c r="B77" s="240" t="b">
        <v>1</v>
      </c>
      <c r="C77" s="261" t="s">
        <v>2435</v>
      </c>
      <c r="D77" s="240" t="b">
        <f ca="1">IFERROR(__xludf.DUMMYFUNCTION("AND($F77=""allTime"",REGEXMATCH($G77,""total""))"),FALSE)</f>
        <v>0</v>
      </c>
      <c r="E77" s="240"/>
      <c r="F77" s="240" t="s">
        <v>2373</v>
      </c>
      <c r="G77" s="25" t="s">
        <v>2442</v>
      </c>
      <c r="H77" s="84" t="s">
        <v>2360</v>
      </c>
      <c r="I77" s="247"/>
      <c r="J77" s="247" t="s">
        <v>2361</v>
      </c>
      <c r="K77" s="247"/>
    </row>
    <row r="78" spans="1:11" ht="30" x14ac:dyDescent="0.15">
      <c r="A78" s="248"/>
      <c r="B78" s="248"/>
      <c r="C78" s="262" t="s">
        <v>2435</v>
      </c>
      <c r="D78" s="248" t="b">
        <f ca="1">IFERROR(__xludf.DUMMYFUNCTION("AND($F78=""allTime"",REGEXMATCH($G78,""total""))"),TRUE)</f>
        <v>1</v>
      </c>
      <c r="E78" s="248"/>
      <c r="F78" s="248" t="s">
        <v>2358</v>
      </c>
      <c r="G78" s="250" t="s">
        <v>2443</v>
      </c>
      <c r="H78" s="250" t="s">
        <v>2360</v>
      </c>
      <c r="I78" s="251"/>
      <c r="J78" s="251" t="s">
        <v>2361</v>
      </c>
      <c r="K78" s="251"/>
    </row>
    <row r="79" spans="1:11" ht="28" x14ac:dyDescent="0.15">
      <c r="A79" s="240"/>
      <c r="B79" s="240"/>
      <c r="C79" s="261" t="s">
        <v>2435</v>
      </c>
      <c r="D79" s="240" t="b">
        <f ca="1">IFERROR(__xludf.DUMMYFUNCTION("AND($F79=""allTime"",REGEXMATCH($G79,""total""))"),FALSE)</f>
        <v>0</v>
      </c>
      <c r="E79" s="240"/>
      <c r="F79" s="240" t="s">
        <v>2362</v>
      </c>
      <c r="G79" s="25" t="s">
        <v>2444</v>
      </c>
      <c r="H79" s="84" t="s">
        <v>2360</v>
      </c>
      <c r="I79" s="247"/>
      <c r="J79" s="247" t="s">
        <v>2361</v>
      </c>
      <c r="K79" s="247"/>
    </row>
    <row r="80" spans="1:11" ht="28" x14ac:dyDescent="0.15">
      <c r="A80" s="240"/>
      <c r="B80" s="240" t="b">
        <v>1</v>
      </c>
      <c r="C80" s="261" t="s">
        <v>2435</v>
      </c>
      <c r="D80" s="240" t="b">
        <f ca="1">IFERROR(__xludf.DUMMYFUNCTION("AND($F80=""allTime"",REGEXMATCH($G80,""total""))"),FALSE)</f>
        <v>0</v>
      </c>
      <c r="E80" s="240"/>
      <c r="F80" s="240" t="s">
        <v>2364</v>
      </c>
      <c r="G80" s="25" t="s">
        <v>2445</v>
      </c>
      <c r="H80" s="84" t="s">
        <v>2360</v>
      </c>
      <c r="I80" s="247"/>
      <c r="J80" s="247" t="s">
        <v>2366</v>
      </c>
      <c r="K80" s="247"/>
    </row>
    <row r="81" spans="1:11" ht="28" x14ac:dyDescent="0.15">
      <c r="A81" s="240"/>
      <c r="B81" s="240"/>
      <c r="C81" s="261" t="s">
        <v>2435</v>
      </c>
      <c r="D81" s="240" t="b">
        <f ca="1">IFERROR(__xludf.DUMMYFUNCTION("AND($F81=""allTime"",REGEXMATCH($G81,""total""))"),FALSE)</f>
        <v>0</v>
      </c>
      <c r="E81" s="240"/>
      <c r="F81" s="240" t="s">
        <v>2367</v>
      </c>
      <c r="G81" s="25" t="s">
        <v>2446</v>
      </c>
      <c r="H81" s="84" t="s">
        <v>2360</v>
      </c>
      <c r="I81" s="247"/>
      <c r="J81" s="247" t="s">
        <v>2361</v>
      </c>
      <c r="K81" s="247"/>
    </row>
    <row r="82" spans="1:11" ht="28" x14ac:dyDescent="0.15">
      <c r="A82" s="240"/>
      <c r="B82" s="240"/>
      <c r="C82" s="261" t="s">
        <v>2435</v>
      </c>
      <c r="D82" s="240" t="b">
        <f ca="1">IFERROR(__xludf.DUMMYFUNCTION("AND($F82=""allTime"",REGEXMATCH($G82,""total""))"),FALSE)</f>
        <v>0</v>
      </c>
      <c r="E82" s="240"/>
      <c r="F82" s="240" t="s">
        <v>2369</v>
      </c>
      <c r="G82" s="25" t="s">
        <v>2447</v>
      </c>
      <c r="H82" s="84" t="s">
        <v>2360</v>
      </c>
      <c r="I82" s="247"/>
      <c r="J82" s="247" t="s">
        <v>2361</v>
      </c>
      <c r="K82" s="247"/>
    </row>
    <row r="83" spans="1:11" ht="28" x14ac:dyDescent="0.15">
      <c r="A83" s="240"/>
      <c r="B83" s="240" t="b">
        <v>1</v>
      </c>
      <c r="C83" s="261" t="s">
        <v>2435</v>
      </c>
      <c r="D83" s="240" t="b">
        <f ca="1">IFERROR(__xludf.DUMMYFUNCTION("AND($F83=""allTime"",REGEXMATCH($G83,""total""))"),FALSE)</f>
        <v>0</v>
      </c>
      <c r="E83" s="240"/>
      <c r="F83" s="240" t="s">
        <v>2371</v>
      </c>
      <c r="G83" s="25" t="s">
        <v>2448</v>
      </c>
      <c r="H83" s="84" t="s">
        <v>2360</v>
      </c>
      <c r="I83" s="247"/>
      <c r="J83" s="247" t="s">
        <v>2361</v>
      </c>
      <c r="K83" s="247"/>
    </row>
    <row r="84" spans="1:11" ht="28" x14ac:dyDescent="0.15">
      <c r="A84" s="240"/>
      <c r="B84" s="240" t="b">
        <v>1</v>
      </c>
      <c r="C84" s="261" t="s">
        <v>2435</v>
      </c>
      <c r="D84" s="240" t="b">
        <f ca="1">IFERROR(__xludf.DUMMYFUNCTION("AND($F84=""allTime"",REGEXMATCH($G84,""total""))"),FALSE)</f>
        <v>0</v>
      </c>
      <c r="E84" s="240"/>
      <c r="F84" s="240" t="s">
        <v>2373</v>
      </c>
      <c r="G84" s="25" t="s">
        <v>2449</v>
      </c>
      <c r="H84" s="84" t="s">
        <v>2360</v>
      </c>
      <c r="I84" s="247"/>
      <c r="J84" s="247" t="s">
        <v>2361</v>
      </c>
      <c r="K84" s="247"/>
    </row>
    <row r="85" spans="1:11" ht="30" x14ac:dyDescent="0.15">
      <c r="A85" s="248"/>
      <c r="B85" s="248"/>
      <c r="C85" s="262" t="s">
        <v>2435</v>
      </c>
      <c r="D85" s="248" t="b">
        <f ca="1">IFERROR(__xludf.DUMMYFUNCTION("AND($F85=""allTime"",REGEXMATCH($G85,""total""))"),TRUE)</f>
        <v>1</v>
      </c>
      <c r="E85" s="248"/>
      <c r="F85" s="248" t="s">
        <v>2358</v>
      </c>
      <c r="G85" s="250" t="s">
        <v>2450</v>
      </c>
      <c r="H85" s="250" t="s">
        <v>2360</v>
      </c>
      <c r="I85" s="251"/>
      <c r="J85" s="251" t="s">
        <v>2361</v>
      </c>
      <c r="K85" s="251"/>
    </row>
    <row r="86" spans="1:11" ht="28" x14ac:dyDescent="0.15">
      <c r="A86" s="240"/>
      <c r="B86" s="240"/>
      <c r="C86" s="261" t="s">
        <v>2435</v>
      </c>
      <c r="D86" s="240" t="b">
        <f ca="1">IFERROR(__xludf.DUMMYFUNCTION("AND($F86=""allTime"",REGEXMATCH($G86,""total""))"),FALSE)</f>
        <v>0</v>
      </c>
      <c r="E86" s="240"/>
      <c r="F86" s="240" t="s">
        <v>2362</v>
      </c>
      <c r="G86" s="25" t="s">
        <v>2451</v>
      </c>
      <c r="H86" s="84" t="s">
        <v>2360</v>
      </c>
      <c r="I86" s="247"/>
      <c r="J86" s="247" t="s">
        <v>2361</v>
      </c>
      <c r="K86" s="247"/>
    </row>
    <row r="87" spans="1:11" ht="28" x14ac:dyDescent="0.15">
      <c r="A87" s="240"/>
      <c r="B87" s="240" t="b">
        <v>1</v>
      </c>
      <c r="C87" s="261" t="s">
        <v>2435</v>
      </c>
      <c r="D87" s="240" t="b">
        <f ca="1">IFERROR(__xludf.DUMMYFUNCTION("AND($F87=""allTime"",REGEXMATCH($G87,""total""))"),FALSE)</f>
        <v>0</v>
      </c>
      <c r="E87" s="240"/>
      <c r="F87" s="240" t="s">
        <v>2364</v>
      </c>
      <c r="G87" s="25" t="s">
        <v>2452</v>
      </c>
      <c r="H87" s="84" t="s">
        <v>2360</v>
      </c>
      <c r="I87" s="247"/>
      <c r="J87" s="247" t="s">
        <v>2366</v>
      </c>
      <c r="K87" s="247"/>
    </row>
    <row r="88" spans="1:11" ht="28" x14ac:dyDescent="0.15">
      <c r="A88" s="240"/>
      <c r="B88" s="240"/>
      <c r="C88" s="261" t="s">
        <v>2435</v>
      </c>
      <c r="D88" s="240" t="b">
        <f ca="1">IFERROR(__xludf.DUMMYFUNCTION("AND($F88=""allTime"",REGEXMATCH($G88,""total""))"),FALSE)</f>
        <v>0</v>
      </c>
      <c r="E88" s="240"/>
      <c r="F88" s="240" t="s">
        <v>2367</v>
      </c>
      <c r="G88" s="25" t="s">
        <v>2453</v>
      </c>
      <c r="H88" s="84" t="s">
        <v>2360</v>
      </c>
      <c r="I88" s="247"/>
      <c r="J88" s="247" t="s">
        <v>2361</v>
      </c>
      <c r="K88" s="247"/>
    </row>
    <row r="89" spans="1:11" ht="42" x14ac:dyDescent="0.15">
      <c r="A89" s="240"/>
      <c r="B89" s="240"/>
      <c r="C89" s="261" t="s">
        <v>2435</v>
      </c>
      <c r="D89" s="240" t="b">
        <f ca="1">IFERROR(__xludf.DUMMYFUNCTION("AND($F89=""allTime"",REGEXMATCH($G89,""total""))"),FALSE)</f>
        <v>0</v>
      </c>
      <c r="E89" s="240"/>
      <c r="F89" s="240" t="s">
        <v>2369</v>
      </c>
      <c r="G89" s="25" t="s">
        <v>2454</v>
      </c>
      <c r="H89" s="84" t="s">
        <v>2360</v>
      </c>
      <c r="I89" s="247"/>
      <c r="J89" s="247" t="s">
        <v>2361</v>
      </c>
      <c r="K89" s="247"/>
    </row>
    <row r="90" spans="1:11" ht="28" x14ac:dyDescent="0.15">
      <c r="A90" s="240"/>
      <c r="B90" s="240" t="b">
        <v>1</v>
      </c>
      <c r="C90" s="261" t="s">
        <v>2435</v>
      </c>
      <c r="D90" s="240" t="b">
        <f ca="1">IFERROR(__xludf.DUMMYFUNCTION("AND($F90=""allTime"",REGEXMATCH($G90,""total""))"),FALSE)</f>
        <v>0</v>
      </c>
      <c r="E90" s="240"/>
      <c r="F90" s="240" t="s">
        <v>2371</v>
      </c>
      <c r="G90" s="25" t="s">
        <v>2455</v>
      </c>
      <c r="H90" s="84" t="s">
        <v>2360</v>
      </c>
      <c r="I90" s="247"/>
      <c r="J90" s="247" t="s">
        <v>2361</v>
      </c>
      <c r="K90" s="247"/>
    </row>
    <row r="91" spans="1:11" ht="28" x14ac:dyDescent="0.15">
      <c r="A91" s="240"/>
      <c r="B91" s="240" t="b">
        <v>1</v>
      </c>
      <c r="C91" s="261" t="s">
        <v>2435</v>
      </c>
      <c r="D91" s="240" t="b">
        <f ca="1">IFERROR(__xludf.DUMMYFUNCTION("AND($F91=""allTime"",REGEXMATCH($G91,""total""))"),FALSE)</f>
        <v>0</v>
      </c>
      <c r="E91" s="240"/>
      <c r="F91" s="240" t="s">
        <v>2373</v>
      </c>
      <c r="G91" s="25" t="s">
        <v>2456</v>
      </c>
      <c r="H91" s="84" t="s">
        <v>2360</v>
      </c>
      <c r="I91" s="247"/>
      <c r="J91" s="247" t="s">
        <v>2361</v>
      </c>
      <c r="K91" s="247"/>
    </row>
    <row r="92" spans="1:11" ht="30" x14ac:dyDescent="0.15">
      <c r="A92" s="248"/>
      <c r="B92" s="248"/>
      <c r="C92" s="262" t="s">
        <v>2435</v>
      </c>
      <c r="D92" s="248" t="b">
        <f ca="1">IFERROR(__xludf.DUMMYFUNCTION("AND($F92=""allTime"",REGEXMATCH($G92,""total""))"),TRUE)</f>
        <v>1</v>
      </c>
      <c r="E92" s="248"/>
      <c r="F92" s="248" t="s">
        <v>2358</v>
      </c>
      <c r="G92" s="250" t="s">
        <v>2457</v>
      </c>
      <c r="H92" s="250" t="s">
        <v>2360</v>
      </c>
      <c r="I92" s="251"/>
      <c r="J92" s="251" t="s">
        <v>2361</v>
      </c>
      <c r="K92" s="251"/>
    </row>
    <row r="93" spans="1:11" ht="28" x14ac:dyDescent="0.15">
      <c r="A93" s="240"/>
      <c r="B93" s="240"/>
      <c r="C93" s="261" t="s">
        <v>2435</v>
      </c>
      <c r="D93" s="240" t="b">
        <f ca="1">IFERROR(__xludf.DUMMYFUNCTION("AND($F93=""allTime"",REGEXMATCH($G93,""total""))"),FALSE)</f>
        <v>0</v>
      </c>
      <c r="E93" s="240"/>
      <c r="F93" s="240" t="s">
        <v>2362</v>
      </c>
      <c r="G93" s="25" t="s">
        <v>2458</v>
      </c>
      <c r="H93" s="84" t="s">
        <v>2360</v>
      </c>
      <c r="I93" s="247"/>
      <c r="J93" s="247" t="s">
        <v>2361</v>
      </c>
      <c r="K93" s="247"/>
    </row>
    <row r="94" spans="1:11" ht="42" x14ac:dyDescent="0.15">
      <c r="A94" s="240"/>
      <c r="B94" s="240" t="b">
        <v>1</v>
      </c>
      <c r="C94" s="261" t="s">
        <v>2435</v>
      </c>
      <c r="D94" s="240" t="b">
        <f ca="1">IFERROR(__xludf.DUMMYFUNCTION("AND($F94=""allTime"",REGEXMATCH($G94,""total""))"),FALSE)</f>
        <v>0</v>
      </c>
      <c r="E94" s="240"/>
      <c r="F94" s="240" t="s">
        <v>2364</v>
      </c>
      <c r="G94" s="25" t="s">
        <v>2459</v>
      </c>
      <c r="H94" s="84" t="s">
        <v>2360</v>
      </c>
      <c r="I94" s="247"/>
      <c r="J94" s="247" t="s">
        <v>2366</v>
      </c>
      <c r="K94" s="247"/>
    </row>
    <row r="95" spans="1:11" ht="42" x14ac:dyDescent="0.15">
      <c r="A95" s="240"/>
      <c r="B95" s="240"/>
      <c r="C95" s="261" t="s">
        <v>2435</v>
      </c>
      <c r="D95" s="240" t="b">
        <f ca="1">IFERROR(__xludf.DUMMYFUNCTION("AND($F95=""allTime"",REGEXMATCH($G95,""total""))"),FALSE)</f>
        <v>0</v>
      </c>
      <c r="E95" s="240"/>
      <c r="F95" s="240" t="s">
        <v>2367</v>
      </c>
      <c r="G95" s="25" t="s">
        <v>2460</v>
      </c>
      <c r="H95" s="84" t="s">
        <v>2360</v>
      </c>
      <c r="I95" s="247"/>
      <c r="J95" s="247" t="s">
        <v>2361</v>
      </c>
      <c r="K95" s="247"/>
    </row>
    <row r="96" spans="1:11" ht="42" x14ac:dyDescent="0.15">
      <c r="A96" s="240"/>
      <c r="B96" s="240"/>
      <c r="C96" s="261" t="s">
        <v>2435</v>
      </c>
      <c r="D96" s="240" t="b">
        <f ca="1">IFERROR(__xludf.DUMMYFUNCTION("AND($F96=""allTime"",REGEXMATCH($G96,""total""))"),FALSE)</f>
        <v>0</v>
      </c>
      <c r="E96" s="240"/>
      <c r="F96" s="240" t="s">
        <v>2369</v>
      </c>
      <c r="G96" s="25" t="s">
        <v>2461</v>
      </c>
      <c r="H96" s="84" t="s">
        <v>2360</v>
      </c>
      <c r="I96" s="247"/>
      <c r="J96" s="247" t="s">
        <v>2361</v>
      </c>
      <c r="K96" s="247"/>
    </row>
    <row r="97" spans="1:11" ht="42" x14ac:dyDescent="0.15">
      <c r="A97" s="240"/>
      <c r="B97" s="240" t="b">
        <v>1</v>
      </c>
      <c r="C97" s="261" t="s">
        <v>2435</v>
      </c>
      <c r="D97" s="240" t="b">
        <f ca="1">IFERROR(__xludf.DUMMYFUNCTION("AND($F97=""allTime"",REGEXMATCH($G97,""total""))"),FALSE)</f>
        <v>0</v>
      </c>
      <c r="E97" s="240"/>
      <c r="F97" s="240" t="s">
        <v>2371</v>
      </c>
      <c r="G97" s="25" t="s">
        <v>2462</v>
      </c>
      <c r="H97" s="84" t="s">
        <v>2360</v>
      </c>
      <c r="I97" s="247"/>
      <c r="J97" s="247" t="s">
        <v>2361</v>
      </c>
      <c r="K97" s="247"/>
    </row>
    <row r="98" spans="1:11" ht="42" x14ac:dyDescent="0.15">
      <c r="A98" s="240"/>
      <c r="B98" s="240" t="b">
        <v>1</v>
      </c>
      <c r="C98" s="261" t="s">
        <v>2435</v>
      </c>
      <c r="D98" s="240" t="b">
        <f ca="1">IFERROR(__xludf.DUMMYFUNCTION("AND($F98=""allTime"",REGEXMATCH($G98,""total""))"),FALSE)</f>
        <v>0</v>
      </c>
      <c r="E98" s="240"/>
      <c r="F98" s="240" t="s">
        <v>2373</v>
      </c>
      <c r="G98" s="25" t="s">
        <v>2463</v>
      </c>
      <c r="H98" s="84" t="s">
        <v>2360</v>
      </c>
      <c r="I98" s="247"/>
      <c r="J98" s="247" t="s">
        <v>2361</v>
      </c>
      <c r="K98" s="247"/>
    </row>
    <row r="99" spans="1:11" ht="16" x14ac:dyDescent="0.15">
      <c r="A99" s="240"/>
      <c r="B99" s="240"/>
      <c r="C99" s="261"/>
      <c r="D99" s="261"/>
      <c r="E99" s="261"/>
      <c r="F99" s="261"/>
      <c r="G99" s="25"/>
      <c r="H99" s="84"/>
      <c r="I99" s="247"/>
      <c r="J99" s="247"/>
      <c r="K99" s="247"/>
    </row>
    <row r="100" spans="1:11" ht="16" x14ac:dyDescent="0.15">
      <c r="A100" s="240"/>
      <c r="B100" s="240"/>
      <c r="C100" s="261"/>
      <c r="D100" s="261"/>
      <c r="E100" s="261"/>
      <c r="F100" s="261"/>
      <c r="G100" s="25"/>
      <c r="H100" s="84"/>
      <c r="I100" s="247"/>
      <c r="J100" s="247"/>
      <c r="K100" s="247"/>
    </row>
    <row r="101" spans="1:11" ht="16" x14ac:dyDescent="0.15">
      <c r="A101" s="240"/>
      <c r="B101" s="240"/>
      <c r="C101" s="261"/>
      <c r="D101" s="261"/>
      <c r="E101" s="261"/>
      <c r="F101" s="261"/>
      <c r="G101" s="25"/>
      <c r="H101" s="84"/>
      <c r="I101" s="247"/>
      <c r="J101" s="247"/>
      <c r="K101" s="247"/>
    </row>
  </sheetData>
  <customSheetViews>
    <customSheetView guid="{24512F7D-A9F8-42A8-81B5-944B888E4D98}" filter="1" showAutoFilter="1">
      <pageMargins left="0.7" right="0.7" top="0.75" bottom="0.75" header="0.3" footer="0.3"/>
      <autoFilter ref="F5:F98" xr:uid="{14AD9A39-C819-0441-9982-378881CDDBCE}">
        <filterColumn colId="0">
          <filters>
            <filter val="month"/>
          </filters>
        </filterColumn>
      </autoFilter>
    </customSheetView>
    <customSheetView guid="{84CF649D-5431-4CA7-A5D8-0F4D3EC394BA}" filter="1" showAutoFilter="1">
      <pageMargins left="0.7" right="0.7" top="0.75" bottom="0.75" header="0.3" footer="0.3"/>
      <autoFilter ref="C5:C98" xr:uid="{D90509C8-2663-8B40-A6C4-76F19090DF7E}">
        <filterColumn colId="0">
          <filters>
            <filter val="skills"/>
          </filters>
        </filterColumn>
      </autoFilter>
    </customSheetView>
    <customSheetView guid="{81660A9B-96AA-4BFD-BD94-638258D27411}" filter="1" showAutoFilter="1">
      <pageMargins left="0.7" right="0.7" top="0.75" bottom="0.75" header="0.3" footer="0.3"/>
      <autoFilter ref="H5:H98" xr:uid="{92A996FE-E02C-524B-A44C-38CB9B685181}">
        <filterColumn colId="0">
          <filters>
            <filter val="Last"/>
          </filters>
        </filterColumn>
      </autoFilter>
    </customSheetView>
    <customSheetView guid="{760F52C7-A691-4A9E-A593-7FCE817559F4}" filter="1" showAutoFilter="1">
      <pageMargins left="0.7" right="0.7" top="0.75" bottom="0.75" header="0.3" footer="0.3"/>
      <autoFilter ref="C5:C98" xr:uid="{4264C584-71BE-9640-8DF1-1A7B499C7EC4}">
        <filterColumn colId="0">
          <filters>
            <filter val="teams"/>
          </filters>
        </filterColumn>
      </autoFilter>
    </customSheetView>
    <customSheetView guid="{DCEDFBD4-B0C6-41F5-92CD-A5C9F8CE1581}" filter="1" showAutoFilter="1">
      <pageMargins left="0.7" right="0.7" top="0.75" bottom="0.75" header="0.3" footer="0.3"/>
      <autoFilter ref="H5:H98" xr:uid="{6B64C402-FC8F-3247-AD57-877243F0610E}">
        <filterColumn colId="0">
          <filters>
            <filter val="Max"/>
          </filters>
        </filterColumn>
      </autoFilter>
    </customSheetView>
    <customSheetView guid="{8EB29808-FBC3-44D7-AEE4-1687FCDFB29C}" filter="1" showAutoFilter="1">
      <pageMargins left="0.7" right="0.7" top="0.75" bottom="0.75" header="0.3" footer="0.3"/>
      <autoFilter ref="B5:B98" xr:uid="{A753D5C7-9DA9-B243-91E5-EEE8D7EA7C16}">
        <filterColumn colId="0">
          <filters>
            <filter val="TRUE"/>
          </filters>
        </filterColumn>
      </autoFilter>
    </customSheetView>
    <customSheetView guid="{3084AF04-DCF9-401C-BD4D-496DF43BA2C8}" filter="1" showAutoFilter="1">
      <pageMargins left="0.7" right="0.7" top="0.75" bottom="0.75" header="0.3" footer="0.3"/>
      <autoFilter ref="F5:F98" xr:uid="{D7E0193D-FF7D-9E44-8A83-4E4813DB9B93}">
        <filterColumn colId="0">
          <filters>
            <filter val="year"/>
          </filters>
        </filterColumn>
      </autoFilter>
    </customSheetView>
    <customSheetView guid="{E3C5029F-7FF6-4EB6-9327-1A0E63D2277F}" filter="1" showAutoFilter="1">
      <pageMargins left="0.7" right="0.7" top="0.75" bottom="0.75" header="0.3" footer="0.3"/>
      <autoFilter ref="F5:F98" xr:uid="{C07F2851-709D-4441-B4DF-A8B163EA8EAE}">
        <filterColumn colId="0">
          <filters>
            <filter val="season"/>
          </filters>
        </filterColumn>
      </autoFilter>
    </customSheetView>
    <customSheetView guid="{2512712C-62B4-4639-A0E8-BDE940883EE2}" filter="1" showAutoFilter="1">
      <pageMargins left="0.7" right="0.7" top="0.75" bottom="0.75" header="0.3" footer="0.3"/>
      <autoFilter ref="B5:B98" xr:uid="{E3965588-3FD7-DA47-8A2C-33C51DFA2015}"/>
    </customSheetView>
    <customSheetView guid="{7CC2758C-2C4F-4A1D-889C-A6F6296EA66F}" filter="1" showAutoFilter="1">
      <pageMargins left="0.7" right="0.7" top="0.75" bottom="0.75" header="0.3" footer="0.3"/>
      <autoFilter ref="F5:F98" xr:uid="{B65A20D5-BB33-4D41-A3F3-F7EA501FB5D9}">
        <filterColumn colId="0">
          <filters>
            <filter val="day"/>
          </filters>
        </filterColumn>
      </autoFilter>
    </customSheetView>
    <customSheetView guid="{34841E2D-A1B2-401D-87F6-8A809050B6A1}" filter="1" showAutoFilter="1">
      <pageMargins left="0.7" right="0.7" top="0.75" bottom="0.75" header="0.3" footer="0.3"/>
      <autoFilter ref="F5:F98" xr:uid="{82D0AABA-3696-5945-8E41-EFA2365EFE43}">
        <filterColumn colId="0">
          <filters>
            <filter val="hour"/>
          </filters>
        </filterColumn>
      </autoFilter>
    </customSheetView>
    <customSheetView guid="{47491BE6-A007-42EF-BCC0-C502DE733847}" filter="1" showAutoFilter="1">
      <pageMargins left="0.7" right="0.7" top="0.75" bottom="0.75" header="0.3" footer="0.3"/>
      <autoFilter ref="C5:C98" xr:uid="{7FC66BB1-10E1-2243-90EE-3901DA4E7F98}">
        <filterColumn colId="0">
          <filters>
            <filter val="points"/>
          </filters>
        </filterColumn>
      </autoFilter>
    </customSheetView>
    <customSheetView guid="{52C875B8-F94D-4850-9C88-931AE74B4ED0}" filter="1" showAutoFilter="1">
      <pageMargins left="0.7" right="0.7" top="0.75" bottom="0.75" header="0.3" footer="0.3"/>
      <autoFilter ref="H5:H98" xr:uid="{382FA1DA-BC81-3B44-A6C6-C135D70D8A6E}">
        <filterColumn colId="0">
          <filters>
            <filter val="Sum"/>
          </filters>
        </filterColumn>
      </autoFilter>
    </customSheetView>
    <customSheetView guid="{9746690C-3D6C-4863-9755-0EDD911B9391}" filter="1" showAutoFilter="1">
      <pageMargins left="0.7" right="0.7" top="0.75" bottom="0.75" header="0.3" footer="0.3"/>
      <autoFilter ref="C5:C98" xr:uid="{B0E96D9C-34F9-4E4C-8D67-543B9B291A51}">
        <filterColumn colId="0">
          <filters>
            <filter val="blocks"/>
          </filters>
        </filterColumn>
      </autoFilter>
    </customSheetView>
    <customSheetView guid="{26DC00A0-D431-42A4-A1A3-4EB4FE1D0D1B}" filter="1" showAutoFilter="1">
      <pageMargins left="0.7" right="0.7" top="0.75" bottom="0.75" header="0.3" footer="0.3"/>
      <autoFilter ref="H5:H98" xr:uid="{FAE56953-F10F-BB43-8437-968CC4F0EDBC}"/>
    </customSheetView>
    <customSheetView guid="{0671E1C3-8539-4239-948F-6F50160AD1FB}" filter="1" showAutoFilter="1">
      <pageMargins left="0.7" right="0.7" top="0.75" bottom="0.75" header="0.3" footer="0.3"/>
      <autoFilter ref="F5:F98" xr:uid="{9B04743B-0E10-D44B-8042-59F20514C9D9}">
        <filterColumn colId="0">
          <filters>
            <filter val="week"/>
          </filters>
        </filterColumn>
      </autoFilter>
    </customSheetView>
    <customSheetView guid="{8FAD456A-EB98-4EF0-9699-781D09FE7B3A}" filter="1" showAutoFilter="1">
      <pageMargins left="0.7" right="0.7" top="0.75" bottom="0.75" header="0.3" footer="0.3"/>
      <autoFilter ref="F5:F98" xr:uid="{B52716D9-9120-6E44-8BD2-A99FE79493C6}">
        <filterColumn colId="0">
          <filters>
            <filter val="allTime"/>
          </filters>
        </filterColumn>
      </autoFilter>
    </customSheetView>
  </customSheetViews>
  <mergeCells count="2">
    <mergeCell ref="A2:K2"/>
    <mergeCell ref="A3:K3"/>
  </mergeCells>
  <conditionalFormatting sqref="A8:K101">
    <cfRule type="expression" dxfId="76" priority="1">
      <formula>$B8</formula>
    </cfRule>
  </conditionalFormatting>
  <conditionalFormatting sqref="A8:K101">
    <cfRule type="expression" dxfId="75" priority="2">
      <formula>AND($C8="points")</formula>
    </cfRule>
  </conditionalFormatting>
  <conditionalFormatting sqref="A8:K101">
    <cfRule type="expression" dxfId="74" priority="3">
      <formula>AND($C8="blocks")</formula>
    </cfRule>
  </conditionalFormatting>
  <conditionalFormatting sqref="A8:K101">
    <cfRule type="expression" dxfId="73" priority="4">
      <formula>AND($C8="teams")</formula>
    </cfRule>
  </conditionalFormatting>
  <conditionalFormatting sqref="A8:K101">
    <cfRule type="expression" dxfId="72" priority="5">
      <formula>AND($C8="skills")</formula>
    </cfRule>
  </conditionalFormatting>
  <dataValidations count="2">
    <dataValidation type="list" allowBlank="1" sqref="H8:H101" xr:uid="{00000000-0002-0000-0300-000000000000}">
      <formula1>DataValidation_PlayFabAggregationMethod</formula1>
    </dataValidation>
    <dataValidation type="list" allowBlank="1" sqref="J8:J101" xr:uid="{00000000-0002-0000-0300-000001000000}">
      <formula1>DataValidation_PlayFabResetInterval</formula1>
    </dataValidation>
  </dataValidations>
  <hyperlinks>
    <hyperlink ref="A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900FF"/>
    <outlinePr summaryBelow="0" summaryRight="0"/>
  </sheetPr>
  <dimension ref="A1:J25"/>
  <sheetViews>
    <sheetView workbookViewId="0">
      <pane xSplit="5" ySplit="8" topLeftCell="F9" activePane="bottomRight" state="frozen"/>
      <selection activeCell="F3" sqref="F3:G3"/>
      <selection pane="topRight" activeCell="F3" sqref="F3:G3"/>
      <selection pane="bottomLeft" activeCell="F3" sqref="F3:G3"/>
      <selection pane="bottomRight" activeCell="F3" sqref="F3:G3"/>
    </sheetView>
  </sheetViews>
  <sheetFormatPr baseColWidth="10" defaultColWidth="12.6640625" defaultRowHeight="15.75" customHeight="1" x14ac:dyDescent="0.15"/>
  <sheetData>
    <row r="1" spans="1:10" ht="15.75" customHeight="1" x14ac:dyDescent="0.15">
      <c r="A1" s="263" t="s">
        <v>2464</v>
      </c>
      <c r="B1" s="263"/>
      <c r="C1" s="263"/>
      <c r="D1" s="263"/>
      <c r="E1" s="263"/>
      <c r="F1" s="263"/>
      <c r="G1" s="263"/>
      <c r="H1" s="263"/>
      <c r="I1" s="263"/>
      <c r="J1" s="263"/>
    </row>
    <row r="2" spans="1:10" ht="15.75" customHeight="1" x14ac:dyDescent="0.15">
      <c r="A2" s="264" t="s">
        <v>2465</v>
      </c>
      <c r="B2" s="264"/>
      <c r="C2" s="264"/>
      <c r="D2" s="264"/>
      <c r="E2" s="264"/>
      <c r="F2" s="264"/>
      <c r="G2" s="264"/>
      <c r="H2" s="264"/>
      <c r="I2" s="264"/>
      <c r="J2" s="264"/>
    </row>
    <row r="3" spans="1:10" ht="15.75" customHeight="1" x14ac:dyDescent="0.15">
      <c r="A3" s="265" t="s">
        <v>2466</v>
      </c>
      <c r="B3" s="265"/>
      <c r="C3" s="265"/>
      <c r="D3" s="265"/>
      <c r="E3" s="265"/>
      <c r="F3" s="265"/>
      <c r="G3" s="265"/>
      <c r="H3" s="265"/>
      <c r="I3" s="265"/>
      <c r="J3" s="265"/>
    </row>
    <row r="4" spans="1:10" ht="15.75" customHeight="1" x14ac:dyDescent="0.15">
      <c r="A4" s="266"/>
      <c r="B4" s="266"/>
      <c r="C4" s="266"/>
      <c r="D4" s="266"/>
      <c r="E4" s="266"/>
      <c r="F4" s="266"/>
      <c r="G4" s="266"/>
      <c r="H4" s="266"/>
      <c r="I4" s="266"/>
      <c r="J4" s="266"/>
    </row>
    <row r="5" spans="1:10" ht="15.75" customHeight="1" x14ac:dyDescent="0.15">
      <c r="A5" s="267" t="s">
        <v>7</v>
      </c>
      <c r="B5" s="267" t="s">
        <v>2467</v>
      </c>
      <c r="C5" s="268" t="s">
        <v>2468</v>
      </c>
      <c r="D5" s="268" t="s">
        <v>2469</v>
      </c>
      <c r="E5" s="268" t="s">
        <v>2470</v>
      </c>
      <c r="F5" s="775" t="s">
        <v>2471</v>
      </c>
      <c r="G5" s="773"/>
      <c r="H5" s="773"/>
      <c r="I5" s="773"/>
      <c r="J5" s="773"/>
    </row>
    <row r="6" spans="1:10" ht="15.75" customHeight="1" x14ac:dyDescent="0.15">
      <c r="A6" s="269"/>
      <c r="B6" s="269"/>
      <c r="C6" s="270"/>
      <c r="D6" s="270"/>
      <c r="E6" s="270"/>
      <c r="F6" s="776" t="s">
        <v>5</v>
      </c>
      <c r="G6" s="773"/>
      <c r="H6" s="776" t="s">
        <v>2472</v>
      </c>
      <c r="I6" s="773"/>
      <c r="J6" s="270"/>
    </row>
    <row r="7" spans="1:10" ht="15.75" customHeight="1" x14ac:dyDescent="0.15">
      <c r="A7" s="271"/>
      <c r="B7" s="271"/>
      <c r="C7" s="272"/>
      <c r="D7" s="272"/>
      <c r="E7" s="272"/>
      <c r="F7" s="273" t="s">
        <v>2473</v>
      </c>
      <c r="G7" s="273" t="s">
        <v>23</v>
      </c>
      <c r="H7" s="273" t="s">
        <v>2473</v>
      </c>
      <c r="I7" s="273" t="s">
        <v>23</v>
      </c>
      <c r="J7" s="272"/>
    </row>
    <row r="8" spans="1:10" ht="15.75" customHeight="1" x14ac:dyDescent="0.15">
      <c r="A8" s="274"/>
      <c r="B8" s="274" t="s">
        <v>206</v>
      </c>
      <c r="C8" s="275" t="s">
        <v>2474</v>
      </c>
      <c r="D8" s="275" t="s">
        <v>2475</v>
      </c>
      <c r="E8" s="275" t="s">
        <v>2476</v>
      </c>
      <c r="F8" s="275" t="s">
        <v>2477</v>
      </c>
      <c r="G8" s="275" t="s">
        <v>2478</v>
      </c>
      <c r="H8" s="275" t="s">
        <v>2479</v>
      </c>
      <c r="I8" s="275" t="s">
        <v>2480</v>
      </c>
      <c r="J8" s="275"/>
    </row>
    <row r="9" spans="1:10" ht="15.75" customHeight="1" x14ac:dyDescent="0.15">
      <c r="A9" s="240" t="s">
        <v>2481</v>
      </c>
      <c r="B9" s="240"/>
      <c r="C9" s="247" t="s">
        <v>2482</v>
      </c>
      <c r="D9" s="247" t="s">
        <v>2483</v>
      </c>
      <c r="E9" s="276" t="s">
        <v>2484</v>
      </c>
      <c r="F9" s="247"/>
      <c r="G9" s="247"/>
      <c r="H9" s="247"/>
      <c r="I9" s="247"/>
      <c r="J9" s="247"/>
    </row>
    <row r="10" spans="1:10" ht="15.75" customHeight="1" x14ac:dyDescent="0.15">
      <c r="A10" s="240" t="s">
        <v>2481</v>
      </c>
      <c r="B10" s="240"/>
      <c r="C10" s="247" t="s">
        <v>2485</v>
      </c>
      <c r="D10" s="247" t="s">
        <v>2483</v>
      </c>
      <c r="E10" s="276" t="s">
        <v>2486</v>
      </c>
      <c r="F10" s="247"/>
      <c r="G10" s="247"/>
      <c r="H10" s="247"/>
      <c r="I10" s="247"/>
      <c r="J10" s="247"/>
    </row>
    <row r="11" spans="1:10" ht="15.75" customHeight="1" x14ac:dyDescent="0.15">
      <c r="A11" s="240" t="s">
        <v>2481</v>
      </c>
      <c r="B11" s="240"/>
      <c r="C11" s="247" t="s">
        <v>2487</v>
      </c>
      <c r="D11" s="247" t="s">
        <v>2483</v>
      </c>
      <c r="E11" s="276" t="s">
        <v>2488</v>
      </c>
      <c r="F11" s="247"/>
      <c r="G11" s="247"/>
      <c r="H11" s="247"/>
      <c r="I11" s="247"/>
      <c r="J11" s="247"/>
    </row>
    <row r="12" spans="1:10" ht="15.75" customHeight="1" x14ac:dyDescent="0.15">
      <c r="A12" s="240" t="s">
        <v>2481</v>
      </c>
      <c r="B12" s="240"/>
      <c r="C12" s="247" t="s">
        <v>2489</v>
      </c>
      <c r="D12" s="247" t="s">
        <v>2483</v>
      </c>
      <c r="E12" s="276" t="s">
        <v>2490</v>
      </c>
      <c r="F12" s="247"/>
      <c r="G12" s="247"/>
      <c r="H12" s="247"/>
      <c r="I12" s="247"/>
      <c r="J12" s="247"/>
    </row>
    <row r="13" spans="1:10" ht="15.75" customHeight="1" x14ac:dyDescent="0.15">
      <c r="A13" s="240"/>
      <c r="B13" s="240"/>
      <c r="C13" s="247" t="s">
        <v>2491</v>
      </c>
      <c r="D13" s="247" t="s">
        <v>2483</v>
      </c>
      <c r="E13" s="276" t="s">
        <v>2492</v>
      </c>
      <c r="F13" s="247"/>
      <c r="G13" s="247"/>
      <c r="H13" s="247"/>
      <c r="I13" s="247"/>
      <c r="J13" s="247"/>
    </row>
    <row r="14" spans="1:10" ht="15.75" customHeight="1" x14ac:dyDescent="0.15">
      <c r="A14" s="240" t="s">
        <v>2481</v>
      </c>
      <c r="B14" s="240"/>
      <c r="C14" s="247" t="s">
        <v>2493</v>
      </c>
      <c r="D14" s="247" t="s">
        <v>2483</v>
      </c>
      <c r="E14" s="276" t="s">
        <v>2494</v>
      </c>
      <c r="F14" s="247"/>
      <c r="G14" s="247"/>
      <c r="H14" s="247"/>
      <c r="I14" s="247"/>
      <c r="J14" s="247"/>
    </row>
    <row r="15" spans="1:10" ht="15.75" customHeight="1" x14ac:dyDescent="0.15">
      <c r="A15" s="240"/>
      <c r="B15" s="240"/>
      <c r="C15" s="247" t="s">
        <v>2495</v>
      </c>
      <c r="D15" s="247" t="s">
        <v>2496</v>
      </c>
      <c r="E15" s="276" t="s">
        <v>2497</v>
      </c>
      <c r="F15" s="247"/>
      <c r="G15" s="247"/>
      <c r="H15" s="247"/>
      <c r="I15" s="247"/>
      <c r="J15" s="247"/>
    </row>
    <row r="16" spans="1:10" ht="15.75" customHeight="1" x14ac:dyDescent="0.15">
      <c r="A16" s="240"/>
      <c r="B16" s="240"/>
      <c r="C16" s="247" t="s">
        <v>2498</v>
      </c>
      <c r="D16" s="247" t="s">
        <v>2496</v>
      </c>
      <c r="E16" s="276" t="s">
        <v>2499</v>
      </c>
      <c r="F16" s="247"/>
      <c r="G16" s="247"/>
      <c r="H16" s="247"/>
      <c r="I16" s="247"/>
      <c r="J16" s="247"/>
    </row>
    <row r="17" spans="1:10" ht="15.75" customHeight="1" x14ac:dyDescent="0.15">
      <c r="A17" s="240"/>
      <c r="B17" s="240"/>
      <c r="C17" s="247" t="s">
        <v>2500</v>
      </c>
      <c r="D17" s="247" t="s">
        <v>2496</v>
      </c>
      <c r="E17" s="276" t="s">
        <v>2501</v>
      </c>
      <c r="F17" s="247"/>
      <c r="G17" s="247"/>
      <c r="H17" s="247"/>
      <c r="I17" s="247"/>
      <c r="J17" s="247"/>
    </row>
    <row r="18" spans="1:10" ht="15.75" customHeight="1" x14ac:dyDescent="0.15">
      <c r="A18" s="240"/>
      <c r="B18" s="240"/>
      <c r="C18" s="247"/>
      <c r="D18" s="247"/>
      <c r="E18" s="276"/>
      <c r="F18" s="247"/>
      <c r="G18" s="247"/>
      <c r="H18" s="247"/>
      <c r="I18" s="247"/>
      <c r="J18" s="247"/>
    </row>
    <row r="19" spans="1:10" ht="15.75" customHeight="1" x14ac:dyDescent="0.15">
      <c r="A19" s="240"/>
      <c r="B19" s="240"/>
      <c r="C19" s="247"/>
      <c r="D19" s="247"/>
      <c r="E19" s="276"/>
      <c r="F19" s="247"/>
      <c r="G19" s="247"/>
      <c r="H19" s="247"/>
      <c r="I19" s="247"/>
      <c r="J19" s="247"/>
    </row>
    <row r="20" spans="1:10" ht="15.75" customHeight="1" x14ac:dyDescent="0.15">
      <c r="A20" s="240"/>
      <c r="B20" s="240"/>
      <c r="C20" s="247"/>
      <c r="D20" s="247"/>
      <c r="E20" s="276"/>
      <c r="F20" s="247"/>
      <c r="G20" s="247"/>
      <c r="H20" s="247"/>
      <c r="I20" s="247"/>
      <c r="J20" s="247"/>
    </row>
    <row r="21" spans="1:10" ht="15.75" customHeight="1" x14ac:dyDescent="0.15">
      <c r="A21" s="240"/>
      <c r="B21" s="240"/>
      <c r="C21" s="247"/>
      <c r="D21" s="247"/>
      <c r="E21" s="276"/>
      <c r="F21" s="247"/>
      <c r="G21" s="247"/>
      <c r="H21" s="247"/>
      <c r="I21" s="247"/>
      <c r="J21" s="247"/>
    </row>
    <row r="22" spans="1:10" ht="15.75" customHeight="1" x14ac:dyDescent="0.15">
      <c r="A22" s="240"/>
      <c r="B22" s="240"/>
      <c r="C22" s="247"/>
      <c r="D22" s="247"/>
      <c r="E22" s="276"/>
      <c r="F22" s="247"/>
      <c r="G22" s="247"/>
      <c r="H22" s="247"/>
      <c r="I22" s="247"/>
      <c r="J22" s="247"/>
    </row>
    <row r="23" spans="1:10" ht="15.75" customHeight="1" x14ac:dyDescent="0.15">
      <c r="A23" s="240"/>
      <c r="B23" s="240"/>
      <c r="C23" s="247"/>
      <c r="D23" s="247"/>
      <c r="E23" s="276"/>
      <c r="F23" s="247"/>
      <c r="G23" s="247"/>
      <c r="H23" s="247"/>
      <c r="I23" s="247"/>
      <c r="J23" s="247"/>
    </row>
    <row r="24" spans="1:10" ht="15.75" customHeight="1" x14ac:dyDescent="0.15">
      <c r="A24" s="240"/>
      <c r="B24" s="240"/>
      <c r="C24" s="247"/>
      <c r="D24" s="247"/>
      <c r="E24" s="276"/>
      <c r="F24" s="247"/>
      <c r="G24" s="247"/>
      <c r="H24" s="247"/>
      <c r="I24" s="247"/>
      <c r="J24" s="247"/>
    </row>
    <row r="25" spans="1:10" ht="15.75" customHeight="1" x14ac:dyDescent="0.15">
      <c r="A25" s="240"/>
      <c r="B25" s="240"/>
      <c r="C25" s="247"/>
      <c r="D25" s="247"/>
      <c r="E25" s="276"/>
      <c r="F25" s="247"/>
      <c r="G25" s="247"/>
      <c r="H25" s="247"/>
      <c r="I25" s="247"/>
      <c r="J25" s="247"/>
    </row>
  </sheetData>
  <mergeCells count="3">
    <mergeCell ref="F5:J5"/>
    <mergeCell ref="F6:G6"/>
    <mergeCell ref="H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00FF"/>
    <outlinePr summaryBelow="0" summaryRight="0"/>
  </sheetPr>
  <dimension ref="A1:E7"/>
  <sheetViews>
    <sheetView workbookViewId="0">
      <pane ySplit="4" topLeftCell="A5" activePane="bottomLeft" state="frozen"/>
      <selection activeCell="F3" sqref="F3:G3"/>
      <selection pane="bottomLeft" activeCell="F3" sqref="F3:G3"/>
    </sheetView>
  </sheetViews>
  <sheetFormatPr baseColWidth="10" defaultColWidth="12.6640625" defaultRowHeight="15.75" customHeight="1" x14ac:dyDescent="0.15"/>
  <sheetData>
    <row r="1" spans="1:5" ht="15.75" customHeight="1" x14ac:dyDescent="0.15">
      <c r="A1" s="277"/>
      <c r="B1" s="278"/>
      <c r="C1" s="278"/>
      <c r="D1" s="279"/>
      <c r="E1" s="279"/>
    </row>
    <row r="2" spans="1:5" ht="15.75" customHeight="1" x14ac:dyDescent="0.15">
      <c r="A2" s="277"/>
      <c r="B2" s="278"/>
      <c r="C2" s="278"/>
      <c r="D2" s="279"/>
      <c r="E2" s="279"/>
    </row>
    <row r="3" spans="1:5" ht="15.75" customHeight="1" x14ac:dyDescent="0.15">
      <c r="A3" s="280" t="s">
        <v>104</v>
      </c>
      <c r="B3" s="281" t="s">
        <v>2473</v>
      </c>
      <c r="C3" s="281" t="s">
        <v>2502</v>
      </c>
      <c r="D3" s="282"/>
      <c r="E3" s="282"/>
    </row>
    <row r="4" spans="1:5" ht="15.75" customHeight="1" x14ac:dyDescent="0.15">
      <c r="A4" s="283" t="s">
        <v>206</v>
      </c>
      <c r="B4" s="284" t="s">
        <v>2503</v>
      </c>
      <c r="C4" s="284" t="s">
        <v>2504</v>
      </c>
      <c r="D4" s="284" t="s">
        <v>2505</v>
      </c>
      <c r="E4" s="284" t="s">
        <v>2506</v>
      </c>
    </row>
    <row r="5" spans="1:5" ht="15.75" customHeight="1" x14ac:dyDescent="0.15">
      <c r="A5" s="285"/>
      <c r="B5" s="286" t="s">
        <v>283</v>
      </c>
      <c r="C5" s="286" t="s">
        <v>2507</v>
      </c>
      <c r="D5" s="286" t="s">
        <v>2508</v>
      </c>
      <c r="E5" s="286" t="s">
        <v>2509</v>
      </c>
    </row>
    <row r="6" spans="1:5" ht="15.75" customHeight="1" x14ac:dyDescent="0.15">
      <c r="A6" s="287"/>
      <c r="B6" s="288" t="s">
        <v>2510</v>
      </c>
      <c r="C6" s="288" t="s">
        <v>2511</v>
      </c>
      <c r="D6" s="286"/>
      <c r="E6" s="286"/>
    </row>
    <row r="7" spans="1:5" ht="15.75" customHeight="1" x14ac:dyDescent="0.15">
      <c r="A7" s="285"/>
      <c r="B7" s="286" t="s">
        <v>2512</v>
      </c>
      <c r="C7" s="286" t="s">
        <v>2513</v>
      </c>
      <c r="D7" s="286"/>
      <c r="E7" s="28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900FF"/>
    <outlinePr summaryBelow="0" summaryRight="0"/>
  </sheetPr>
  <dimension ref="A1:M17"/>
  <sheetViews>
    <sheetView workbookViewId="0">
      <pane ySplit="8" topLeftCell="A9" activePane="bottomLeft" state="frozen"/>
      <selection activeCell="F3" sqref="F3:G3"/>
      <selection pane="bottomLeft" activeCell="F3" sqref="F3:G3"/>
    </sheetView>
  </sheetViews>
  <sheetFormatPr baseColWidth="10" defaultColWidth="12.6640625" defaultRowHeight="15.75" customHeight="1" x14ac:dyDescent="0.15"/>
  <cols>
    <col min="7" max="7" width="30.5" customWidth="1"/>
    <col min="8" max="8" width="39.6640625" customWidth="1"/>
    <col min="10" max="10" width="30.1640625" customWidth="1"/>
    <col min="12" max="12" width="34.6640625" customWidth="1"/>
  </cols>
  <sheetData>
    <row r="1" spans="1:13" ht="15.75" customHeight="1" x14ac:dyDescent="0.15">
      <c r="A1" s="263" t="s">
        <v>2514</v>
      </c>
      <c r="B1" s="263"/>
      <c r="C1" s="263"/>
      <c r="D1" s="263"/>
      <c r="E1" s="263"/>
      <c r="F1" s="263"/>
      <c r="G1" s="263"/>
      <c r="H1" s="263"/>
      <c r="I1" s="263"/>
      <c r="J1" s="263"/>
      <c r="K1" s="263"/>
      <c r="L1" s="263"/>
      <c r="M1" s="263"/>
    </row>
    <row r="2" spans="1:13" ht="15.75" customHeight="1" x14ac:dyDescent="0.15">
      <c r="A2" s="264" t="s">
        <v>2465</v>
      </c>
      <c r="B2" s="264"/>
      <c r="C2" s="264"/>
      <c r="D2" s="264"/>
      <c r="E2" s="264"/>
      <c r="F2" s="264"/>
      <c r="G2" s="264"/>
      <c r="H2" s="264"/>
      <c r="I2" s="264"/>
      <c r="J2" s="264"/>
      <c r="K2" s="264"/>
      <c r="L2" s="264"/>
      <c r="M2" s="264"/>
    </row>
    <row r="3" spans="1:13" ht="15.75" customHeight="1" x14ac:dyDescent="0.15">
      <c r="A3" s="289"/>
      <c r="B3" s="289"/>
      <c r="C3" s="289"/>
      <c r="D3" s="289"/>
      <c r="E3" s="289"/>
      <c r="F3" s="289"/>
      <c r="G3" s="289"/>
      <c r="H3" s="289"/>
      <c r="I3" s="289"/>
      <c r="J3" s="289"/>
      <c r="K3" s="289"/>
      <c r="L3" s="289"/>
      <c r="M3" s="289"/>
    </row>
    <row r="4" spans="1:13" ht="15.75" customHeight="1" x14ac:dyDescent="0.15">
      <c r="A4" s="266"/>
      <c r="B4" s="266" t="s">
        <v>2515</v>
      </c>
      <c r="C4" s="266"/>
      <c r="D4" s="266"/>
      <c r="E4" s="266"/>
      <c r="F4" s="266" t="s">
        <v>2516</v>
      </c>
      <c r="G4" s="265" t="s">
        <v>2517</v>
      </c>
      <c r="H4" s="266"/>
      <c r="I4" s="266"/>
      <c r="J4" s="266" t="s">
        <v>2518</v>
      </c>
      <c r="K4" s="266"/>
      <c r="L4" s="266"/>
      <c r="M4" s="266"/>
    </row>
    <row r="5" spans="1:13" ht="15.75" customHeight="1" x14ac:dyDescent="0.15">
      <c r="A5" s="267" t="s">
        <v>7</v>
      </c>
      <c r="B5" s="267" t="s">
        <v>104</v>
      </c>
      <c r="C5" s="268" t="s">
        <v>2468</v>
      </c>
      <c r="D5" s="268" t="s">
        <v>2469</v>
      </c>
      <c r="E5" s="268" t="s">
        <v>2519</v>
      </c>
      <c r="F5" s="268" t="s">
        <v>2520</v>
      </c>
      <c r="G5" s="268" t="s">
        <v>2521</v>
      </c>
      <c r="H5" s="268" t="s">
        <v>2522</v>
      </c>
      <c r="I5" s="775" t="s">
        <v>2471</v>
      </c>
      <c r="J5" s="773"/>
      <c r="K5" s="773"/>
      <c r="L5" s="773"/>
      <c r="M5" s="773"/>
    </row>
    <row r="6" spans="1:13" ht="15.75" customHeight="1" x14ac:dyDescent="0.15">
      <c r="A6" s="269"/>
      <c r="B6" s="269"/>
      <c r="C6" s="270"/>
      <c r="D6" s="270"/>
      <c r="E6" s="270"/>
      <c r="F6" s="270"/>
      <c r="G6" s="270"/>
      <c r="H6" s="270"/>
      <c r="I6" s="776" t="s">
        <v>5</v>
      </c>
      <c r="J6" s="773"/>
      <c r="K6" s="776" t="s">
        <v>2472</v>
      </c>
      <c r="L6" s="773"/>
      <c r="M6" s="270"/>
    </row>
    <row r="7" spans="1:13" ht="15.75" customHeight="1" x14ac:dyDescent="0.15">
      <c r="A7" s="271"/>
      <c r="B7" s="271"/>
      <c r="C7" s="272"/>
      <c r="D7" s="272"/>
      <c r="E7" s="272"/>
      <c r="F7" s="272"/>
      <c r="G7" s="272"/>
      <c r="H7" s="272"/>
      <c r="I7" s="273" t="s">
        <v>2473</v>
      </c>
      <c r="J7" s="273" t="s">
        <v>23</v>
      </c>
      <c r="K7" s="273" t="s">
        <v>2473</v>
      </c>
      <c r="L7" s="273" t="s">
        <v>23</v>
      </c>
      <c r="M7" s="272"/>
    </row>
    <row r="8" spans="1:13" ht="15.75" customHeight="1" x14ac:dyDescent="0.15">
      <c r="A8" s="274"/>
      <c r="B8" s="274" t="s">
        <v>206</v>
      </c>
      <c r="C8" s="275" t="s">
        <v>2474</v>
      </c>
      <c r="D8" s="275" t="s">
        <v>2475</v>
      </c>
      <c r="E8" s="275" t="s">
        <v>2523</v>
      </c>
      <c r="F8" s="275" t="s">
        <v>2524</v>
      </c>
      <c r="G8" s="275" t="s">
        <v>2525</v>
      </c>
      <c r="H8" s="275" t="s">
        <v>2526</v>
      </c>
      <c r="I8" s="275" t="s">
        <v>2477</v>
      </c>
      <c r="J8" s="275" t="s">
        <v>2478</v>
      </c>
      <c r="K8" s="275" t="s">
        <v>2479</v>
      </c>
      <c r="L8" s="275" t="s">
        <v>2480</v>
      </c>
      <c r="M8" s="275"/>
    </row>
    <row r="9" spans="1:13" ht="15.75" customHeight="1" x14ac:dyDescent="0.15">
      <c r="A9" s="240"/>
      <c r="B9" s="240"/>
      <c r="C9" s="247" t="s">
        <v>2527</v>
      </c>
      <c r="D9" s="247" t="s">
        <v>2528</v>
      </c>
      <c r="E9" s="247" t="s">
        <v>2529</v>
      </c>
      <c r="F9" s="247" t="s">
        <v>2530</v>
      </c>
      <c r="G9" s="247">
        <v>400</v>
      </c>
      <c r="H9" s="247" t="str">
        <f t="shared" ref="H9:H11" si="0">"file://path/to/font"</f>
        <v>file://path/to/font</v>
      </c>
      <c r="I9" s="247" t="s">
        <v>283</v>
      </c>
      <c r="J9" s="247" t="s">
        <v>2531</v>
      </c>
      <c r="K9" s="247"/>
      <c r="L9" s="247"/>
      <c r="M9" s="247"/>
    </row>
    <row r="10" spans="1:13" ht="15.75" customHeight="1" x14ac:dyDescent="0.15">
      <c r="A10" s="240"/>
      <c r="B10" s="240"/>
      <c r="C10" s="247" t="s">
        <v>2532</v>
      </c>
      <c r="D10" s="247" t="s">
        <v>2533</v>
      </c>
      <c r="E10" s="247" t="s">
        <v>2534</v>
      </c>
      <c r="F10" s="247" t="s">
        <v>2530</v>
      </c>
      <c r="G10" s="247">
        <v>700</v>
      </c>
      <c r="H10" s="247" t="str">
        <f t="shared" si="0"/>
        <v>file://path/to/font</v>
      </c>
      <c r="I10" s="247" t="s">
        <v>283</v>
      </c>
      <c r="J10" s="247" t="s">
        <v>2531</v>
      </c>
      <c r="K10" s="247"/>
      <c r="L10" s="247"/>
      <c r="M10" s="247"/>
    </row>
    <row r="11" spans="1:13" ht="15.75" customHeight="1" x14ac:dyDescent="0.15">
      <c r="A11" s="240"/>
      <c r="B11" s="240"/>
      <c r="C11" s="247" t="s">
        <v>2535</v>
      </c>
      <c r="D11" s="247" t="s">
        <v>2533</v>
      </c>
      <c r="E11" s="247" t="s">
        <v>2536</v>
      </c>
      <c r="F11" s="247" t="s">
        <v>2537</v>
      </c>
      <c r="G11" s="247">
        <v>700</v>
      </c>
      <c r="H11" s="247" t="str">
        <f t="shared" si="0"/>
        <v>file://path/to/font</v>
      </c>
      <c r="I11" s="247" t="s">
        <v>283</v>
      </c>
      <c r="J11" s="247" t="s">
        <v>2531</v>
      </c>
      <c r="K11" s="247"/>
      <c r="L11" s="247"/>
      <c r="M11" s="247"/>
    </row>
    <row r="12" spans="1:13" ht="15.75" customHeight="1" x14ac:dyDescent="0.15">
      <c r="A12" s="240"/>
      <c r="B12" s="240"/>
      <c r="C12" s="247"/>
      <c r="D12" s="247"/>
      <c r="E12" s="247"/>
      <c r="F12" s="247"/>
      <c r="G12" s="247"/>
      <c r="H12" s="247"/>
      <c r="I12" s="247"/>
      <c r="J12" s="247"/>
      <c r="K12" s="247"/>
      <c r="L12" s="247"/>
      <c r="M12" s="247"/>
    </row>
    <row r="13" spans="1:13" ht="15.75" customHeight="1" x14ac:dyDescent="0.15">
      <c r="A13" s="240"/>
      <c r="B13" s="240"/>
      <c r="C13" s="247"/>
      <c r="D13" s="247"/>
      <c r="E13" s="247"/>
      <c r="F13" s="247"/>
      <c r="G13" s="247"/>
      <c r="H13" s="247"/>
      <c r="I13" s="247"/>
      <c r="J13" s="247"/>
      <c r="K13" s="247"/>
      <c r="L13" s="247"/>
      <c r="M13" s="247"/>
    </row>
    <row r="14" spans="1:13" ht="15.75" customHeight="1" x14ac:dyDescent="0.15">
      <c r="A14" s="240"/>
      <c r="B14" s="240"/>
      <c r="C14" s="247"/>
      <c r="D14" s="247"/>
      <c r="E14" s="247"/>
      <c r="F14" s="247"/>
      <c r="G14" s="247"/>
      <c r="H14" s="247"/>
      <c r="I14" s="247"/>
      <c r="J14" s="247"/>
      <c r="K14" s="247"/>
      <c r="L14" s="247"/>
      <c r="M14" s="247"/>
    </row>
    <row r="15" spans="1:13" ht="15.75" customHeight="1" x14ac:dyDescent="0.15">
      <c r="A15" s="240"/>
      <c r="B15" s="240"/>
      <c r="C15" s="247"/>
      <c r="D15" s="247"/>
      <c r="E15" s="247"/>
      <c r="F15" s="247"/>
      <c r="G15" s="247"/>
      <c r="H15" s="247"/>
      <c r="I15" s="247"/>
      <c r="J15" s="247"/>
      <c r="K15" s="247"/>
      <c r="L15" s="247"/>
      <c r="M15" s="247"/>
    </row>
    <row r="16" spans="1:13" ht="15.75" customHeight="1" x14ac:dyDescent="0.15">
      <c r="A16" s="240"/>
      <c r="B16" s="240"/>
      <c r="C16" s="247"/>
      <c r="D16" s="247"/>
      <c r="E16" s="247"/>
      <c r="F16" s="247"/>
      <c r="G16" s="247"/>
      <c r="H16" s="247"/>
      <c r="I16" s="247"/>
      <c r="J16" s="247"/>
      <c r="K16" s="247"/>
      <c r="L16" s="247"/>
      <c r="M16" s="247"/>
    </row>
    <row r="17" spans="1:13" ht="15.75" customHeight="1" x14ac:dyDescent="0.15">
      <c r="A17" s="240"/>
      <c r="B17" s="240"/>
      <c r="C17" s="247"/>
      <c r="D17" s="247"/>
      <c r="E17" s="247"/>
      <c r="F17" s="247"/>
      <c r="G17" s="247"/>
      <c r="H17" s="247"/>
      <c r="I17" s="247"/>
      <c r="J17" s="247"/>
      <c r="K17" s="247"/>
      <c r="L17" s="247"/>
      <c r="M17" s="247"/>
    </row>
  </sheetData>
  <mergeCells count="3">
    <mergeCell ref="I5:M5"/>
    <mergeCell ref="I6:J6"/>
    <mergeCell ref="K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900FF"/>
    <outlinePr summaryBelow="0" summaryRight="0"/>
  </sheetPr>
  <dimension ref="A1:J29"/>
  <sheetViews>
    <sheetView workbookViewId="0">
      <pane xSplit="5" ySplit="5" topLeftCell="F6" activePane="bottomRight" state="frozen"/>
      <selection activeCell="F3" sqref="F3"/>
      <selection pane="topRight" activeCell="F3" sqref="F3"/>
      <selection pane="bottomLeft" activeCell="F3" sqref="F3"/>
      <selection pane="bottomRight" activeCell="F3" sqref="F3:G3"/>
    </sheetView>
  </sheetViews>
  <sheetFormatPr baseColWidth="10" defaultColWidth="12.6640625" defaultRowHeight="15.75" customHeight="1" x14ac:dyDescent="0.15"/>
  <cols>
    <col min="5" max="5" width="22.83203125" customWidth="1"/>
    <col min="7" max="7" width="30.1640625" customWidth="1"/>
    <col min="9" max="9" width="34.6640625" customWidth="1"/>
  </cols>
  <sheetData>
    <row r="1" spans="1:10" ht="15.75" customHeight="1" x14ac:dyDescent="0.15">
      <c r="A1" s="290"/>
      <c r="B1" s="290" t="s">
        <v>2515</v>
      </c>
      <c r="C1" s="291"/>
      <c r="D1" s="291"/>
      <c r="E1" s="290" t="s">
        <v>2538</v>
      </c>
      <c r="F1" s="291"/>
      <c r="G1" s="291"/>
      <c r="H1" s="291"/>
      <c r="I1" s="291"/>
      <c r="J1" s="291"/>
    </row>
    <row r="2" spans="1:10" ht="15.75" customHeight="1" x14ac:dyDescent="0.15">
      <c r="A2" s="292" t="s">
        <v>7</v>
      </c>
      <c r="B2" s="292" t="s">
        <v>2467</v>
      </c>
      <c r="C2" s="293" t="s">
        <v>2468</v>
      </c>
      <c r="D2" s="294" t="s">
        <v>2469</v>
      </c>
      <c r="E2" s="293" t="s">
        <v>2522</v>
      </c>
      <c r="F2" s="777" t="s">
        <v>2471</v>
      </c>
      <c r="G2" s="773"/>
      <c r="H2" s="773"/>
      <c r="I2" s="773"/>
      <c r="J2" s="773"/>
    </row>
    <row r="3" spans="1:10" ht="15.75" customHeight="1" x14ac:dyDescent="0.15">
      <c r="A3" s="295"/>
      <c r="B3" s="295"/>
      <c r="C3" s="296"/>
      <c r="D3" s="296"/>
      <c r="E3" s="296"/>
      <c r="F3" s="778" t="s">
        <v>5</v>
      </c>
      <c r="G3" s="773"/>
      <c r="H3" s="778" t="s">
        <v>2472</v>
      </c>
      <c r="I3" s="773"/>
      <c r="J3" s="296"/>
    </row>
    <row r="4" spans="1:10" ht="15.75" customHeight="1" x14ac:dyDescent="0.15">
      <c r="A4" s="297"/>
      <c r="B4" s="297"/>
      <c r="C4" s="298"/>
      <c r="D4" s="298"/>
      <c r="E4" s="298"/>
      <c r="F4" s="299" t="s">
        <v>2473</v>
      </c>
      <c r="G4" s="299" t="s">
        <v>23</v>
      </c>
      <c r="H4" s="299" t="s">
        <v>2473</v>
      </c>
      <c r="I4" s="299" t="s">
        <v>23</v>
      </c>
      <c r="J4" s="298"/>
    </row>
    <row r="5" spans="1:10" ht="15.75" customHeight="1" x14ac:dyDescent="0.15">
      <c r="A5" s="300"/>
      <c r="B5" s="300"/>
      <c r="C5" s="301" t="s">
        <v>2474</v>
      </c>
      <c r="D5" s="302" t="s">
        <v>2475</v>
      </c>
      <c r="E5" s="301" t="s">
        <v>2526</v>
      </c>
      <c r="F5" s="301" t="s">
        <v>2477</v>
      </c>
      <c r="G5" s="301" t="s">
        <v>2478</v>
      </c>
      <c r="H5" s="301" t="s">
        <v>2479</v>
      </c>
      <c r="I5" s="301" t="s">
        <v>2480</v>
      </c>
      <c r="J5" s="301"/>
    </row>
    <row r="6" spans="1:10" ht="15.75" customHeight="1" x14ac:dyDescent="0.15">
      <c r="A6" s="303"/>
      <c r="B6" s="303"/>
      <c r="C6" s="304" t="s">
        <v>2539</v>
      </c>
      <c r="D6" s="305" t="s">
        <v>2483</v>
      </c>
      <c r="E6" s="304" t="s">
        <v>2539</v>
      </c>
      <c r="F6" s="305" t="s">
        <v>283</v>
      </c>
      <c r="G6" s="305" t="s">
        <v>2540</v>
      </c>
      <c r="H6" s="305" t="s">
        <v>2510</v>
      </c>
      <c r="I6" s="305" t="s">
        <v>2540</v>
      </c>
      <c r="J6" s="306"/>
    </row>
    <row r="7" spans="1:10" ht="15.75" customHeight="1" x14ac:dyDescent="0.15">
      <c r="A7" s="303"/>
      <c r="B7" s="303"/>
      <c r="C7" s="304" t="s">
        <v>2310</v>
      </c>
      <c r="D7" s="305" t="s">
        <v>2483</v>
      </c>
      <c r="E7" s="304" t="s">
        <v>2310</v>
      </c>
      <c r="F7" s="305" t="s">
        <v>283</v>
      </c>
      <c r="G7" s="305" t="s">
        <v>2541</v>
      </c>
      <c r="H7" s="305" t="s">
        <v>2510</v>
      </c>
      <c r="I7" s="305" t="s">
        <v>2541</v>
      </c>
      <c r="J7" s="306"/>
    </row>
    <row r="8" spans="1:10" ht="15.75" customHeight="1" x14ac:dyDescent="0.15">
      <c r="A8" s="303"/>
      <c r="B8" s="303"/>
      <c r="C8" s="304" t="s">
        <v>2312</v>
      </c>
      <c r="D8" s="305" t="s">
        <v>2483</v>
      </c>
      <c r="E8" s="304" t="s">
        <v>2312</v>
      </c>
      <c r="F8" s="305" t="s">
        <v>283</v>
      </c>
      <c r="G8" s="305" t="s">
        <v>2542</v>
      </c>
      <c r="H8" s="305" t="s">
        <v>2510</v>
      </c>
      <c r="I8" s="305" t="s">
        <v>2542</v>
      </c>
      <c r="J8" s="306"/>
    </row>
    <row r="9" spans="1:10" ht="15.75" customHeight="1" x14ac:dyDescent="0.15">
      <c r="A9" s="303"/>
      <c r="B9" s="303"/>
      <c r="C9" s="304" t="s">
        <v>2325</v>
      </c>
      <c r="D9" s="305" t="s">
        <v>2483</v>
      </c>
      <c r="E9" s="304" t="s">
        <v>2325</v>
      </c>
      <c r="F9" s="305" t="s">
        <v>283</v>
      </c>
      <c r="G9" s="305" t="s">
        <v>2543</v>
      </c>
      <c r="H9" s="305" t="s">
        <v>2510</v>
      </c>
      <c r="I9" s="305" t="s">
        <v>2543</v>
      </c>
      <c r="J9" s="306"/>
    </row>
    <row r="10" spans="1:10" ht="15.75" customHeight="1" x14ac:dyDescent="0.15">
      <c r="A10" s="303"/>
      <c r="B10" s="303"/>
      <c r="C10" s="304" t="s">
        <v>2327</v>
      </c>
      <c r="D10" s="305" t="s">
        <v>2483</v>
      </c>
      <c r="E10" s="304" t="s">
        <v>2327</v>
      </c>
      <c r="F10" s="305" t="s">
        <v>283</v>
      </c>
      <c r="G10" s="305" t="s">
        <v>2544</v>
      </c>
      <c r="H10" s="305" t="s">
        <v>2510</v>
      </c>
      <c r="I10" s="305" t="s">
        <v>2544</v>
      </c>
      <c r="J10" s="306"/>
    </row>
    <row r="11" spans="1:10" ht="15.75" customHeight="1" x14ac:dyDescent="0.15">
      <c r="A11" s="303"/>
      <c r="B11" s="303"/>
      <c r="C11" s="304" t="s">
        <v>2328</v>
      </c>
      <c r="D11" s="305" t="s">
        <v>2483</v>
      </c>
      <c r="E11" s="304" t="s">
        <v>2328</v>
      </c>
      <c r="F11" s="305" t="s">
        <v>283</v>
      </c>
      <c r="G11" s="305" t="s">
        <v>2545</v>
      </c>
      <c r="H11" s="305" t="s">
        <v>2510</v>
      </c>
      <c r="I11" s="305" t="s">
        <v>2545</v>
      </c>
      <c r="J11" s="306"/>
    </row>
    <row r="12" spans="1:10" ht="15.75" customHeight="1" x14ac:dyDescent="0.15">
      <c r="A12" s="303"/>
      <c r="B12" s="303"/>
      <c r="C12" s="304" t="s">
        <v>2546</v>
      </c>
      <c r="D12" s="305" t="s">
        <v>2483</v>
      </c>
      <c r="E12" s="304" t="s">
        <v>2546</v>
      </c>
      <c r="F12" s="305" t="s">
        <v>283</v>
      </c>
      <c r="G12" s="305" t="s">
        <v>2547</v>
      </c>
      <c r="H12" s="305" t="s">
        <v>2510</v>
      </c>
      <c r="I12" s="305" t="s">
        <v>2547</v>
      </c>
      <c r="J12" s="306"/>
    </row>
    <row r="13" spans="1:10" ht="15.75" customHeight="1" x14ac:dyDescent="0.15">
      <c r="A13" s="303"/>
      <c r="B13" s="303"/>
      <c r="C13" s="304" t="s">
        <v>2548</v>
      </c>
      <c r="D13" s="305" t="s">
        <v>2483</v>
      </c>
      <c r="E13" s="304" t="s">
        <v>2548</v>
      </c>
      <c r="F13" s="305" t="s">
        <v>283</v>
      </c>
      <c r="G13" s="305" t="s">
        <v>2549</v>
      </c>
      <c r="H13" s="305" t="s">
        <v>2510</v>
      </c>
      <c r="I13" s="305" t="s">
        <v>2549</v>
      </c>
      <c r="J13" s="306"/>
    </row>
    <row r="14" spans="1:10" ht="15.75" customHeight="1" x14ac:dyDescent="0.15">
      <c r="A14" s="303"/>
      <c r="B14" s="303"/>
      <c r="C14" s="304" t="s">
        <v>2550</v>
      </c>
      <c r="D14" s="305" t="s">
        <v>2483</v>
      </c>
      <c r="E14" s="304" t="s">
        <v>2550</v>
      </c>
      <c r="F14" s="305" t="s">
        <v>283</v>
      </c>
      <c r="G14" s="305" t="s">
        <v>2551</v>
      </c>
      <c r="H14" s="305" t="s">
        <v>2510</v>
      </c>
      <c r="I14" s="305" t="s">
        <v>2551</v>
      </c>
      <c r="J14" s="306"/>
    </row>
    <row r="15" spans="1:10" ht="15.75" customHeight="1" x14ac:dyDescent="0.15">
      <c r="A15" s="303"/>
      <c r="B15" s="303"/>
      <c r="C15" s="304" t="s">
        <v>2552</v>
      </c>
      <c r="D15" s="305" t="s">
        <v>2483</v>
      </c>
      <c r="E15" s="304" t="s">
        <v>2552</v>
      </c>
      <c r="F15" s="305" t="s">
        <v>283</v>
      </c>
      <c r="G15" s="305" t="s">
        <v>2553</v>
      </c>
      <c r="H15" s="305" t="s">
        <v>2510</v>
      </c>
      <c r="I15" s="305" t="s">
        <v>2553</v>
      </c>
      <c r="J15" s="306"/>
    </row>
    <row r="16" spans="1:10" ht="15.75" customHeight="1" x14ac:dyDescent="0.15">
      <c r="A16" s="303"/>
      <c r="B16" s="303"/>
      <c r="C16" s="304" t="s">
        <v>2554</v>
      </c>
      <c r="D16" s="305" t="s">
        <v>2483</v>
      </c>
      <c r="E16" s="304" t="s">
        <v>2554</v>
      </c>
      <c r="F16" s="305" t="s">
        <v>283</v>
      </c>
      <c r="G16" s="305" t="s">
        <v>2555</v>
      </c>
      <c r="H16" s="305" t="s">
        <v>2510</v>
      </c>
      <c r="I16" s="305" t="s">
        <v>2555</v>
      </c>
      <c r="J16" s="306"/>
    </row>
    <row r="17" spans="1:10" ht="15.75" customHeight="1" x14ac:dyDescent="0.15">
      <c r="A17" s="303"/>
      <c r="B17" s="303"/>
      <c r="C17" s="304" t="s">
        <v>2556</v>
      </c>
      <c r="D17" s="305" t="s">
        <v>2483</v>
      </c>
      <c r="E17" s="304" t="s">
        <v>2556</v>
      </c>
      <c r="F17" s="305" t="s">
        <v>283</v>
      </c>
      <c r="G17" s="305" t="s">
        <v>2557</v>
      </c>
      <c r="H17" s="305" t="s">
        <v>2510</v>
      </c>
      <c r="I17" s="305" t="s">
        <v>2557</v>
      </c>
      <c r="J17" s="306"/>
    </row>
    <row r="18" spans="1:10" ht="15.75" customHeight="1" x14ac:dyDescent="0.15">
      <c r="A18" s="303"/>
      <c r="B18" s="303"/>
      <c r="C18" s="304" t="s">
        <v>2558</v>
      </c>
      <c r="D18" s="305" t="s">
        <v>2559</v>
      </c>
      <c r="E18" s="304" t="s">
        <v>2558</v>
      </c>
      <c r="F18" s="305" t="s">
        <v>283</v>
      </c>
      <c r="G18" s="305" t="s">
        <v>2560</v>
      </c>
      <c r="H18" s="305" t="s">
        <v>2510</v>
      </c>
      <c r="I18" s="305" t="s">
        <v>2560</v>
      </c>
      <c r="J18" s="306"/>
    </row>
    <row r="19" spans="1:10" ht="15.75" customHeight="1" x14ac:dyDescent="0.15">
      <c r="A19" s="303"/>
      <c r="B19" s="303"/>
      <c r="C19" s="304" t="s">
        <v>2561</v>
      </c>
      <c r="D19" s="305" t="s">
        <v>2559</v>
      </c>
      <c r="E19" s="304" t="s">
        <v>2561</v>
      </c>
      <c r="F19" s="305" t="s">
        <v>283</v>
      </c>
      <c r="G19" s="305" t="s">
        <v>2562</v>
      </c>
      <c r="H19" s="305" t="s">
        <v>2510</v>
      </c>
      <c r="I19" s="305" t="s">
        <v>2562</v>
      </c>
      <c r="J19" s="306"/>
    </row>
    <row r="20" spans="1:10" ht="15.75" customHeight="1" x14ac:dyDescent="0.15">
      <c r="A20" s="303"/>
      <c r="B20" s="303"/>
      <c r="C20" s="304" t="s">
        <v>2563</v>
      </c>
      <c r="D20" s="305" t="s">
        <v>2559</v>
      </c>
      <c r="E20" s="304" t="s">
        <v>2563</v>
      </c>
      <c r="F20" s="305" t="s">
        <v>283</v>
      </c>
      <c r="G20" s="305" t="s">
        <v>2564</v>
      </c>
      <c r="H20" s="305" t="s">
        <v>2510</v>
      </c>
      <c r="I20" s="305" t="s">
        <v>2564</v>
      </c>
      <c r="J20" s="306"/>
    </row>
    <row r="21" spans="1:10" ht="15.75" customHeight="1" x14ac:dyDescent="0.15">
      <c r="A21" s="303"/>
      <c r="B21" s="303"/>
      <c r="C21" s="304" t="s">
        <v>2565</v>
      </c>
      <c r="D21" s="305" t="s">
        <v>2559</v>
      </c>
      <c r="E21" s="304" t="s">
        <v>2565</v>
      </c>
      <c r="F21" s="305" t="s">
        <v>283</v>
      </c>
      <c r="G21" s="305" t="s">
        <v>2566</v>
      </c>
      <c r="H21" s="305" t="s">
        <v>2510</v>
      </c>
      <c r="I21" s="305" t="s">
        <v>2566</v>
      </c>
      <c r="J21" s="306"/>
    </row>
    <row r="22" spans="1:10" ht="15.75" customHeight="1" x14ac:dyDescent="0.15">
      <c r="A22" s="303"/>
      <c r="B22" s="303"/>
      <c r="C22" s="304" t="s">
        <v>2567</v>
      </c>
      <c r="D22" s="305" t="s">
        <v>2559</v>
      </c>
      <c r="E22" s="304" t="s">
        <v>2567</v>
      </c>
      <c r="F22" s="305" t="s">
        <v>283</v>
      </c>
      <c r="G22" s="305" t="s">
        <v>2568</v>
      </c>
      <c r="H22" s="305" t="s">
        <v>2510</v>
      </c>
      <c r="I22" s="305" t="s">
        <v>2568</v>
      </c>
      <c r="J22" s="306"/>
    </row>
    <row r="23" spans="1:10" ht="15.75" customHeight="1" x14ac:dyDescent="0.15">
      <c r="A23" s="303"/>
      <c r="B23" s="303"/>
      <c r="C23" s="304" t="s">
        <v>2569</v>
      </c>
      <c r="D23" s="305" t="s">
        <v>2559</v>
      </c>
      <c r="E23" s="304" t="s">
        <v>2569</v>
      </c>
      <c r="F23" s="305" t="s">
        <v>283</v>
      </c>
      <c r="G23" s="305" t="s">
        <v>2570</v>
      </c>
      <c r="H23" s="305" t="s">
        <v>2510</v>
      </c>
      <c r="I23" s="305" t="s">
        <v>2570</v>
      </c>
      <c r="J23" s="306"/>
    </row>
    <row r="24" spans="1:10" ht="15.75" customHeight="1" x14ac:dyDescent="0.15">
      <c r="A24" s="303"/>
      <c r="B24" s="303"/>
      <c r="C24" s="304" t="s">
        <v>2571</v>
      </c>
      <c r="D24" s="305" t="s">
        <v>2559</v>
      </c>
      <c r="E24" s="304" t="s">
        <v>2571</v>
      </c>
      <c r="F24" s="305" t="s">
        <v>283</v>
      </c>
      <c r="G24" s="305" t="s">
        <v>2572</v>
      </c>
      <c r="H24" s="305" t="s">
        <v>2510</v>
      </c>
      <c r="I24" s="305" t="s">
        <v>2572</v>
      </c>
      <c r="J24" s="306"/>
    </row>
    <row r="25" spans="1:10" ht="15.75" customHeight="1" x14ac:dyDescent="0.15">
      <c r="A25" s="303"/>
      <c r="B25" s="303"/>
      <c r="C25" s="304" t="s">
        <v>2573</v>
      </c>
      <c r="D25" s="305" t="s">
        <v>2559</v>
      </c>
      <c r="E25" s="304" t="s">
        <v>2573</v>
      </c>
      <c r="F25" s="305" t="s">
        <v>283</v>
      </c>
      <c r="G25" s="305" t="s">
        <v>2574</v>
      </c>
      <c r="H25" s="305" t="s">
        <v>2510</v>
      </c>
      <c r="I25" s="305" t="s">
        <v>2574</v>
      </c>
      <c r="J25" s="306"/>
    </row>
    <row r="26" spans="1:10" ht="15.75" customHeight="1" x14ac:dyDescent="0.15">
      <c r="A26" s="303"/>
      <c r="B26" s="303"/>
      <c r="C26" s="304" t="s">
        <v>2575</v>
      </c>
      <c r="D26" s="305" t="s">
        <v>2559</v>
      </c>
      <c r="E26" s="304" t="s">
        <v>2575</v>
      </c>
      <c r="F26" s="305" t="s">
        <v>283</v>
      </c>
      <c r="G26" s="305" t="s">
        <v>2576</v>
      </c>
      <c r="H26" s="305" t="s">
        <v>2510</v>
      </c>
      <c r="I26" s="305" t="s">
        <v>2576</v>
      </c>
      <c r="J26" s="306"/>
    </row>
    <row r="27" spans="1:10" ht="15.75" customHeight="1" x14ac:dyDescent="0.15">
      <c r="A27" s="303"/>
      <c r="B27" s="303"/>
      <c r="C27" s="304" t="s">
        <v>2577</v>
      </c>
      <c r="D27" s="305" t="s">
        <v>2559</v>
      </c>
      <c r="E27" s="304" t="s">
        <v>2577</v>
      </c>
      <c r="F27" s="305" t="s">
        <v>283</v>
      </c>
      <c r="G27" s="305" t="s">
        <v>2578</v>
      </c>
      <c r="H27" s="305" t="s">
        <v>2510</v>
      </c>
      <c r="I27" s="305" t="s">
        <v>2578</v>
      </c>
      <c r="J27" s="306"/>
    </row>
    <row r="28" spans="1:10" ht="15.75" customHeight="1" x14ac:dyDescent="0.15">
      <c r="A28" s="303"/>
      <c r="B28" s="303"/>
      <c r="C28" s="304" t="s">
        <v>2579</v>
      </c>
      <c r="D28" s="305" t="s">
        <v>2559</v>
      </c>
      <c r="E28" s="304" t="s">
        <v>2579</v>
      </c>
      <c r="F28" s="305" t="s">
        <v>283</v>
      </c>
      <c r="G28" s="305" t="s">
        <v>2580</v>
      </c>
      <c r="H28" s="305" t="s">
        <v>2510</v>
      </c>
      <c r="I28" s="305" t="s">
        <v>2580</v>
      </c>
      <c r="J28" s="306"/>
    </row>
    <row r="29" spans="1:10" ht="15.75" customHeight="1" x14ac:dyDescent="0.15">
      <c r="A29" s="303"/>
      <c r="B29" s="303"/>
      <c r="C29" s="304" t="s">
        <v>2581</v>
      </c>
      <c r="D29" s="305" t="s">
        <v>2559</v>
      </c>
      <c r="E29" s="304" t="s">
        <v>2581</v>
      </c>
      <c r="F29" s="305" t="s">
        <v>283</v>
      </c>
      <c r="G29" s="305" t="s">
        <v>2582</v>
      </c>
      <c r="H29" s="305" t="s">
        <v>2510</v>
      </c>
      <c r="I29" s="305" t="s">
        <v>2582</v>
      </c>
      <c r="J29" s="306"/>
    </row>
  </sheetData>
  <mergeCells count="3">
    <mergeCell ref="F2:J2"/>
    <mergeCell ref="F3:G3"/>
    <mergeCell ref="H3: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00FF"/>
    <outlinePr summaryBelow="0" summaryRight="0"/>
  </sheetPr>
  <dimension ref="A1:J17"/>
  <sheetViews>
    <sheetView workbookViewId="0">
      <pane ySplit="8" topLeftCell="A9" activePane="bottomLeft" state="frozen"/>
      <selection activeCell="B10" sqref="B10"/>
      <selection pane="bottomLeft" activeCell="B10" sqref="B10"/>
    </sheetView>
  </sheetViews>
  <sheetFormatPr baseColWidth="10" defaultColWidth="12.6640625" defaultRowHeight="15.75" customHeight="1" x14ac:dyDescent="0.15"/>
  <cols>
    <col min="5" max="5" width="39.6640625" customWidth="1"/>
    <col min="7" max="7" width="30.1640625" customWidth="1"/>
    <col min="9" max="9" width="34.6640625" customWidth="1"/>
  </cols>
  <sheetData>
    <row r="1" spans="1:10" ht="15.75" customHeight="1" x14ac:dyDescent="0.15">
      <c r="A1" s="263" t="s">
        <v>2583</v>
      </c>
      <c r="B1" s="263"/>
      <c r="C1" s="263"/>
      <c r="D1" s="263"/>
      <c r="E1" s="263"/>
      <c r="F1" s="263"/>
      <c r="G1" s="263"/>
      <c r="H1" s="263"/>
      <c r="I1" s="263"/>
      <c r="J1" s="263"/>
    </row>
    <row r="2" spans="1:10" ht="15.75" customHeight="1" x14ac:dyDescent="0.15">
      <c r="A2" s="264" t="s">
        <v>2465</v>
      </c>
      <c r="B2" s="264"/>
      <c r="C2" s="264"/>
      <c r="D2" s="264"/>
      <c r="E2" s="264"/>
      <c r="F2" s="264"/>
      <c r="G2" s="264"/>
      <c r="H2" s="264"/>
      <c r="I2" s="264"/>
      <c r="J2" s="264"/>
    </row>
    <row r="3" spans="1:10" ht="15.75" customHeight="1" x14ac:dyDescent="0.15">
      <c r="A3" s="289"/>
      <c r="B3" s="289"/>
      <c r="C3" s="289"/>
      <c r="D3" s="289"/>
      <c r="E3" s="289"/>
      <c r="F3" s="289"/>
      <c r="G3" s="289"/>
      <c r="H3" s="289"/>
      <c r="I3" s="289"/>
      <c r="J3" s="289"/>
    </row>
    <row r="4" spans="1:10" ht="15.75" customHeight="1" x14ac:dyDescent="0.15">
      <c r="A4" s="266"/>
      <c r="B4" s="266" t="s">
        <v>2515</v>
      </c>
      <c r="C4" s="266"/>
      <c r="D4" s="266"/>
      <c r="E4" s="266"/>
      <c r="F4" s="266"/>
      <c r="G4" s="266"/>
      <c r="H4" s="266"/>
      <c r="I4" s="266"/>
      <c r="J4" s="266"/>
    </row>
    <row r="5" spans="1:10" ht="15.75" customHeight="1" x14ac:dyDescent="0.15">
      <c r="A5" s="267" t="s">
        <v>7</v>
      </c>
      <c r="B5" s="267" t="s">
        <v>104</v>
      </c>
      <c r="C5" s="268" t="s">
        <v>2468</v>
      </c>
      <c r="D5" s="268" t="s">
        <v>2469</v>
      </c>
      <c r="E5" s="268" t="s">
        <v>2522</v>
      </c>
      <c r="F5" s="775" t="s">
        <v>2471</v>
      </c>
      <c r="G5" s="773"/>
      <c r="H5" s="773"/>
      <c r="I5" s="773"/>
      <c r="J5" s="773"/>
    </row>
    <row r="6" spans="1:10" ht="15.75" customHeight="1" x14ac:dyDescent="0.15">
      <c r="A6" s="269"/>
      <c r="B6" s="269"/>
      <c r="C6" s="270"/>
      <c r="D6" s="270"/>
      <c r="E6" s="270"/>
      <c r="F6" s="776" t="s">
        <v>5</v>
      </c>
      <c r="G6" s="773"/>
      <c r="H6" s="776" t="s">
        <v>2472</v>
      </c>
      <c r="I6" s="773"/>
      <c r="J6" s="270"/>
    </row>
    <row r="7" spans="1:10" ht="15.75" customHeight="1" x14ac:dyDescent="0.15">
      <c r="A7" s="271"/>
      <c r="B7" s="271"/>
      <c r="C7" s="272"/>
      <c r="D7" s="272"/>
      <c r="E7" s="272"/>
      <c r="F7" s="273" t="s">
        <v>2473</v>
      </c>
      <c r="G7" s="273" t="s">
        <v>23</v>
      </c>
      <c r="H7" s="273" t="s">
        <v>2473</v>
      </c>
      <c r="I7" s="273" t="s">
        <v>23</v>
      </c>
      <c r="J7" s="272"/>
    </row>
    <row r="8" spans="1:10" ht="15.75" customHeight="1" x14ac:dyDescent="0.15">
      <c r="A8" s="274"/>
      <c r="B8" s="274" t="s">
        <v>206</v>
      </c>
      <c r="C8" s="275" t="s">
        <v>2474</v>
      </c>
      <c r="D8" s="275" t="s">
        <v>2475</v>
      </c>
      <c r="E8" s="275" t="s">
        <v>2526</v>
      </c>
      <c r="F8" s="275" t="s">
        <v>2477</v>
      </c>
      <c r="G8" s="275" t="s">
        <v>2478</v>
      </c>
      <c r="H8" s="275" t="s">
        <v>2479</v>
      </c>
      <c r="I8" s="275" t="s">
        <v>2480</v>
      </c>
      <c r="J8" s="275"/>
    </row>
    <row r="9" spans="1:10" ht="15.75" customHeight="1" x14ac:dyDescent="0.15">
      <c r="A9" s="240"/>
      <c r="B9" s="240"/>
      <c r="C9" s="247" t="s">
        <v>2584</v>
      </c>
      <c r="D9" s="247" t="s">
        <v>2585</v>
      </c>
      <c r="E9" s="247" t="str">
        <f t="shared" ref="E9:E13" si="0">"file://path/to/"&amp;$C9&amp;".png"</f>
        <v>file://path/to/logo.1.png</v>
      </c>
      <c r="F9" s="247"/>
      <c r="G9" s="247"/>
      <c r="H9" s="247"/>
      <c r="I9" s="247"/>
      <c r="J9" s="247"/>
    </row>
    <row r="10" spans="1:10" ht="15.75" customHeight="1" x14ac:dyDescent="0.15">
      <c r="A10" s="240"/>
      <c r="B10" s="240"/>
      <c r="C10" s="247" t="s">
        <v>2586</v>
      </c>
      <c r="D10" s="247" t="s">
        <v>2587</v>
      </c>
      <c r="E10" s="247" t="str">
        <f t="shared" si="0"/>
        <v>file://path/to/icon.1.png</v>
      </c>
      <c r="F10" s="247"/>
      <c r="G10" s="247"/>
      <c r="H10" s="247"/>
      <c r="I10" s="247"/>
      <c r="J10" s="247"/>
    </row>
    <row r="11" spans="1:10" ht="15.75" customHeight="1" x14ac:dyDescent="0.15">
      <c r="A11" s="240"/>
      <c r="B11" s="240"/>
      <c r="C11" s="247" t="s">
        <v>2588</v>
      </c>
      <c r="D11" s="247" t="s">
        <v>2587</v>
      </c>
      <c r="E11" s="247" t="str">
        <f t="shared" si="0"/>
        <v>file://path/to/icon.2.png</v>
      </c>
      <c r="F11" s="247"/>
      <c r="G11" s="247"/>
      <c r="H11" s="247"/>
      <c r="I11" s="247"/>
      <c r="J11" s="247"/>
    </row>
    <row r="12" spans="1:10" ht="15.75" customHeight="1" x14ac:dyDescent="0.15">
      <c r="A12" s="240"/>
      <c r="B12" s="240"/>
      <c r="C12" s="247" t="s">
        <v>2589</v>
      </c>
      <c r="D12" s="247" t="s">
        <v>2587</v>
      </c>
      <c r="E12" s="247" t="str">
        <f t="shared" si="0"/>
        <v>file://path/to/icon.3.png</v>
      </c>
      <c r="F12" s="247"/>
      <c r="G12" s="247"/>
      <c r="H12" s="247"/>
      <c r="I12" s="247"/>
      <c r="J12" s="247"/>
    </row>
    <row r="13" spans="1:10" ht="15.75" customHeight="1" x14ac:dyDescent="0.15">
      <c r="A13" s="240"/>
      <c r="B13" s="240"/>
      <c r="C13" s="247" t="s">
        <v>2590</v>
      </c>
      <c r="D13" s="247" t="s">
        <v>17</v>
      </c>
      <c r="E13" s="247" t="str">
        <f t="shared" si="0"/>
        <v>file://path/to/button.1.png</v>
      </c>
      <c r="F13" s="247"/>
      <c r="G13" s="247"/>
      <c r="H13" s="247"/>
      <c r="I13" s="247"/>
      <c r="J13" s="247"/>
    </row>
    <row r="14" spans="1:10" ht="15.75" customHeight="1" x14ac:dyDescent="0.15">
      <c r="A14" s="240"/>
      <c r="B14" s="240"/>
      <c r="C14" s="247"/>
      <c r="D14" s="247"/>
      <c r="E14" s="247"/>
      <c r="F14" s="247"/>
      <c r="G14" s="247"/>
      <c r="H14" s="247"/>
      <c r="I14" s="247"/>
      <c r="J14" s="247"/>
    </row>
    <row r="15" spans="1:10" ht="15.75" customHeight="1" x14ac:dyDescent="0.15">
      <c r="A15" s="240"/>
      <c r="B15" s="240"/>
      <c r="C15" s="247"/>
      <c r="D15" s="247"/>
      <c r="E15" s="247"/>
      <c r="F15" s="247"/>
      <c r="G15" s="247"/>
      <c r="H15" s="247"/>
      <c r="I15" s="247"/>
      <c r="J15" s="247"/>
    </row>
    <row r="16" spans="1:10" ht="15.75" customHeight="1" x14ac:dyDescent="0.15">
      <c r="A16" s="240"/>
      <c r="B16" s="240"/>
      <c r="C16" s="247"/>
      <c r="D16" s="247"/>
      <c r="E16" s="247"/>
      <c r="F16" s="247"/>
      <c r="G16" s="247"/>
      <c r="H16" s="247"/>
      <c r="I16" s="247"/>
      <c r="J16" s="247"/>
    </row>
    <row r="17" spans="1:10" ht="15.75" customHeight="1" x14ac:dyDescent="0.15">
      <c r="A17" s="240"/>
      <c r="B17" s="240"/>
      <c r="C17" s="247"/>
      <c r="D17" s="247"/>
      <c r="E17" s="247"/>
      <c r="F17" s="247"/>
      <c r="G17" s="247"/>
      <c r="H17" s="247"/>
      <c r="I17" s="247"/>
      <c r="J17" s="247"/>
    </row>
  </sheetData>
  <mergeCells count="3">
    <mergeCell ref="F5:J5"/>
    <mergeCell ref="F6:G6"/>
    <mergeCell ref="H6:I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H23"/>
  <sheetViews>
    <sheetView workbookViewId="0">
      <pane ySplit="5" topLeftCell="A6" activePane="bottomLeft" state="frozen"/>
      <selection activeCell="B10" sqref="B10"/>
      <selection pane="bottomLeft" activeCell="B10" sqref="B10"/>
    </sheetView>
  </sheetViews>
  <sheetFormatPr baseColWidth="10" defaultColWidth="12.6640625" defaultRowHeight="15.75" customHeight="1" x14ac:dyDescent="0.15"/>
  <sheetData>
    <row r="1" spans="1:8" ht="15.75" customHeight="1" x14ac:dyDescent="0.3">
      <c r="A1" s="307" t="s">
        <v>2591</v>
      </c>
      <c r="B1" s="307"/>
      <c r="C1" s="307"/>
      <c r="D1" s="307"/>
      <c r="E1" s="307"/>
      <c r="F1" s="307"/>
      <c r="G1" s="307"/>
      <c r="H1" s="307"/>
    </row>
    <row r="2" spans="1:8" ht="15.75" customHeight="1" x14ac:dyDescent="0.3">
      <c r="A2" s="307" t="s">
        <v>2592</v>
      </c>
      <c r="B2" s="307"/>
      <c r="C2" s="307"/>
      <c r="D2" s="307"/>
      <c r="E2" s="307"/>
      <c r="F2" s="307"/>
      <c r="G2" s="307"/>
      <c r="H2" s="307"/>
    </row>
    <row r="3" spans="1:8" ht="15.75" customHeight="1" x14ac:dyDescent="0.15">
      <c r="A3" s="308"/>
      <c r="B3" s="308"/>
      <c r="C3" s="308"/>
      <c r="D3" s="308"/>
      <c r="E3" s="308"/>
      <c r="F3" s="308"/>
      <c r="G3" s="308"/>
      <c r="H3" s="308"/>
    </row>
    <row r="4" spans="1:8" ht="15.75" customHeight="1" x14ac:dyDescent="0.15">
      <c r="A4" s="309" t="s">
        <v>7</v>
      </c>
      <c r="B4" s="309" t="s">
        <v>104</v>
      </c>
      <c r="C4" s="310" t="s">
        <v>2593</v>
      </c>
      <c r="D4" s="310" t="s">
        <v>2594</v>
      </c>
      <c r="E4" s="310" t="s">
        <v>2595</v>
      </c>
      <c r="F4" s="310" t="s">
        <v>2596</v>
      </c>
      <c r="G4" s="310" t="s">
        <v>2597</v>
      </c>
      <c r="H4" s="310" t="s">
        <v>2598</v>
      </c>
    </row>
    <row r="5" spans="1:8" ht="15.75" customHeight="1" x14ac:dyDescent="0.15">
      <c r="A5" s="311"/>
      <c r="B5" s="311"/>
      <c r="C5" s="312" t="s">
        <v>2475</v>
      </c>
      <c r="D5" s="312" t="s">
        <v>2599</v>
      </c>
      <c r="E5" s="312" t="s">
        <v>2600</v>
      </c>
      <c r="F5" s="312" t="s">
        <v>2601</v>
      </c>
      <c r="G5" s="312" t="s">
        <v>2602</v>
      </c>
      <c r="H5" s="312" t="s">
        <v>2603</v>
      </c>
    </row>
    <row r="6" spans="1:8" ht="15.75" customHeight="1" x14ac:dyDescent="0.15">
      <c r="A6" s="313"/>
      <c r="B6" s="313"/>
      <c r="C6" s="314" t="s">
        <v>808</v>
      </c>
      <c r="D6" s="314" t="s">
        <v>808</v>
      </c>
      <c r="E6" s="315"/>
      <c r="F6" s="315"/>
      <c r="G6" s="315"/>
      <c r="H6" s="315"/>
    </row>
    <row r="7" spans="1:8" ht="15.75" customHeight="1" x14ac:dyDescent="0.15">
      <c r="A7" s="13"/>
      <c r="B7" s="13"/>
      <c r="C7" s="316" t="s">
        <v>2604</v>
      </c>
      <c r="D7" s="314" t="s">
        <v>270</v>
      </c>
      <c r="E7" s="11" t="s">
        <v>434</v>
      </c>
      <c r="F7" s="11" t="s">
        <v>625</v>
      </c>
      <c r="G7" s="11" t="s">
        <v>315</v>
      </c>
      <c r="H7" s="11" t="s">
        <v>570</v>
      </c>
    </row>
    <row r="8" spans="1:8" ht="15.75" customHeight="1" x14ac:dyDescent="0.15">
      <c r="A8" s="13"/>
      <c r="B8" s="13"/>
      <c r="C8" s="11" t="s">
        <v>2605</v>
      </c>
      <c r="D8" s="11" t="s">
        <v>1549</v>
      </c>
      <c r="E8" s="13"/>
      <c r="F8" s="13"/>
      <c r="G8" s="13"/>
      <c r="H8" s="13"/>
    </row>
    <row r="9" spans="1:8" ht="15.75" customHeight="1" x14ac:dyDescent="0.15">
      <c r="A9" s="13"/>
      <c r="B9" s="13"/>
      <c r="C9" s="11" t="s">
        <v>2606</v>
      </c>
      <c r="D9" s="11" t="s">
        <v>851</v>
      </c>
      <c r="E9" s="13"/>
      <c r="F9" s="13"/>
      <c r="G9" s="13"/>
      <c r="H9" s="13"/>
    </row>
    <row r="10" spans="1:8" ht="15.75" customHeight="1" x14ac:dyDescent="0.15">
      <c r="A10" s="13"/>
      <c r="B10" s="13"/>
      <c r="C10" s="13"/>
      <c r="D10" s="13"/>
      <c r="E10" s="13"/>
      <c r="F10" s="13"/>
      <c r="G10" s="13"/>
      <c r="H10" s="13"/>
    </row>
    <row r="11" spans="1:8" ht="15.75" customHeight="1" x14ac:dyDescent="0.15">
      <c r="A11" s="13"/>
      <c r="B11" s="13"/>
      <c r="C11" s="13"/>
      <c r="D11" s="13"/>
      <c r="E11" s="13"/>
      <c r="F11" s="13"/>
      <c r="G11" s="13"/>
      <c r="H11" s="13"/>
    </row>
    <row r="12" spans="1:8" ht="15.75" customHeight="1" x14ac:dyDescent="0.15">
      <c r="A12" s="13"/>
      <c r="B12" s="13"/>
      <c r="C12" s="13"/>
      <c r="D12" s="13"/>
      <c r="E12" s="13"/>
      <c r="F12" s="13"/>
      <c r="G12" s="13"/>
      <c r="H12" s="13"/>
    </row>
    <row r="13" spans="1:8" ht="15.75" customHeight="1" x14ac:dyDescent="0.15">
      <c r="A13" s="13"/>
      <c r="B13" s="13"/>
      <c r="C13" s="13"/>
      <c r="D13" s="13"/>
      <c r="E13" s="13"/>
      <c r="F13" s="13"/>
      <c r="G13" s="13"/>
      <c r="H13" s="13"/>
    </row>
    <row r="14" spans="1:8" ht="15.75" customHeight="1" x14ac:dyDescent="0.15">
      <c r="A14" s="13"/>
      <c r="B14" s="13"/>
      <c r="C14" s="13"/>
      <c r="D14" s="13"/>
      <c r="E14" s="13"/>
      <c r="F14" s="13"/>
      <c r="G14" s="13"/>
      <c r="H14" s="13"/>
    </row>
    <row r="15" spans="1:8" ht="15.75" customHeight="1" x14ac:dyDescent="0.15">
      <c r="A15" s="13"/>
      <c r="B15" s="13"/>
      <c r="C15" s="13"/>
      <c r="D15" s="13"/>
      <c r="E15" s="13"/>
      <c r="F15" s="13"/>
      <c r="G15" s="13"/>
      <c r="H15" s="13"/>
    </row>
    <row r="16" spans="1:8" ht="15.75" customHeight="1" x14ac:dyDescent="0.15">
      <c r="A16" s="13"/>
      <c r="B16" s="13"/>
      <c r="C16" s="13"/>
      <c r="D16" s="13"/>
      <c r="E16" s="13"/>
      <c r="F16" s="13"/>
      <c r="G16" s="13"/>
      <c r="H16" s="13"/>
    </row>
    <row r="17" spans="1:8" ht="15.75" customHeight="1" x14ac:dyDescent="0.15">
      <c r="A17" s="13"/>
      <c r="B17" s="13"/>
      <c r="C17" s="13"/>
      <c r="D17" s="13"/>
      <c r="E17" s="13"/>
      <c r="F17" s="13"/>
      <c r="G17" s="13"/>
      <c r="H17" s="13"/>
    </row>
    <row r="18" spans="1:8" ht="15.75" customHeight="1" x14ac:dyDescent="0.15">
      <c r="A18" s="13"/>
      <c r="B18" s="13"/>
      <c r="C18" s="13"/>
      <c r="D18" s="13"/>
      <c r="E18" s="13"/>
      <c r="F18" s="13"/>
      <c r="G18" s="13"/>
      <c r="H18" s="13"/>
    </row>
    <row r="19" spans="1:8" ht="15.75" customHeight="1" x14ac:dyDescent="0.15">
      <c r="A19" s="13"/>
      <c r="B19" s="13"/>
      <c r="C19" s="13"/>
      <c r="D19" s="13"/>
      <c r="E19" s="13"/>
      <c r="F19" s="13"/>
      <c r="G19" s="13"/>
      <c r="H19" s="13"/>
    </row>
    <row r="20" spans="1:8" ht="15.75" customHeight="1" x14ac:dyDescent="0.15">
      <c r="A20" s="13"/>
      <c r="B20" s="13"/>
      <c r="C20" s="13"/>
      <c r="D20" s="13"/>
      <c r="E20" s="13"/>
      <c r="F20" s="13"/>
      <c r="G20" s="13"/>
      <c r="H20" s="13"/>
    </row>
    <row r="21" spans="1:8" ht="15.75" customHeight="1" x14ac:dyDescent="0.15">
      <c r="A21" s="13"/>
      <c r="B21" s="13"/>
      <c r="C21" s="13"/>
      <c r="D21" s="13"/>
      <c r="E21" s="13"/>
      <c r="F21" s="13"/>
      <c r="G21" s="13"/>
      <c r="H21" s="13"/>
    </row>
    <row r="22" spans="1:8" ht="15.75" customHeight="1" x14ac:dyDescent="0.15">
      <c r="A22" s="13"/>
      <c r="B22" s="13"/>
      <c r="C22" s="13"/>
      <c r="D22" s="13"/>
      <c r="E22" s="13"/>
      <c r="F22" s="13"/>
      <c r="G22" s="13"/>
      <c r="H22" s="13"/>
    </row>
    <row r="23" spans="1:8" ht="15.75" customHeight="1" x14ac:dyDescent="0.15">
      <c r="A23" s="13"/>
      <c r="B23" s="13"/>
      <c r="C23" s="13"/>
      <c r="D23" s="13"/>
      <c r="E23" s="13"/>
      <c r="F23" s="13"/>
      <c r="G23" s="13"/>
      <c r="H23" s="13"/>
    </row>
  </sheetData>
  <dataValidations count="2">
    <dataValidation type="list" allowBlank="1" sqref="B6:B23" xr:uid="{00000000-0002-0000-0900-000000000000}">
      <formula1>DataValidation_TrueOrFalse</formula1>
    </dataValidation>
    <dataValidation type="list" allowBlank="1" sqref="D6:H23" xr:uid="{00000000-0002-0000-0900-000001000000}">
      <formula1>DataValidation_CatalogClass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D9D2E9"/>
    <outlinePr summaryBelow="0" summaryRight="0"/>
  </sheetPr>
  <dimension ref="A1:AE536"/>
  <sheetViews>
    <sheetView workbookViewId="0">
      <pane xSplit="3" ySplit="4" topLeftCell="D5" activePane="bottomRight" state="frozen"/>
      <selection activeCell="B10" sqref="B10"/>
      <selection pane="topRight" activeCell="B10" sqref="B10"/>
      <selection pane="bottomLeft" activeCell="B10" sqref="B10"/>
      <selection pane="bottomRight" activeCell="B10" sqref="B10"/>
    </sheetView>
  </sheetViews>
  <sheetFormatPr baseColWidth="10" defaultColWidth="12.6640625" defaultRowHeight="15.75" customHeight="1" outlineLevelRow="1" outlineLevelCol="2" x14ac:dyDescent="0.15"/>
  <cols>
    <col min="1" max="1" width="62.33203125" customWidth="1"/>
    <col min="2" max="2" width="13.33203125" customWidth="1"/>
    <col min="3" max="4" width="20.83203125" customWidth="1"/>
    <col min="5" max="8" width="20.33203125" customWidth="1"/>
    <col min="9" max="9" width="18.33203125" customWidth="1"/>
    <col min="10" max="10" width="19.1640625" customWidth="1"/>
    <col min="11" max="11" width="29.6640625" customWidth="1" outlineLevel="1"/>
    <col min="12" max="12" width="34.1640625" customWidth="1" outlineLevel="2"/>
    <col min="13" max="13" width="16.83203125" customWidth="1" outlineLevel="2"/>
    <col min="14" max="14" width="56.1640625" customWidth="1" outlineLevel="1"/>
    <col min="15" max="15" width="22.1640625" customWidth="1" outlineLevel="2"/>
    <col min="16" max="16" width="15.83203125" customWidth="1" outlineLevel="2"/>
    <col min="17" max="17" width="53.6640625" customWidth="1" collapsed="1"/>
    <col min="18" max="18" width="48.33203125" hidden="1" customWidth="1" outlineLevel="1"/>
    <col min="19" max="19" width="48.33203125" hidden="1" customWidth="1" outlineLevel="2"/>
    <col min="20" max="20" width="16.83203125" hidden="1" customWidth="1" outlineLevel="2"/>
    <col min="21" max="21" width="48.33203125" hidden="1" customWidth="1" outlineLevel="1"/>
    <col min="22" max="23" width="48.33203125" hidden="1" customWidth="1" outlineLevel="2"/>
    <col min="24" max="24" width="48.33203125" customWidth="1"/>
    <col min="25" max="25" width="79.33203125" customWidth="1" collapsed="1"/>
    <col min="26" max="26" width="48.33203125" hidden="1" customWidth="1" outlineLevel="1"/>
    <col min="27" max="28" width="48.33203125" hidden="1" customWidth="1" outlineLevel="2"/>
    <col min="29" max="29" width="48.33203125" hidden="1" customWidth="1" outlineLevel="1"/>
    <col min="30" max="31" width="48.33203125" hidden="1" customWidth="1" outlineLevel="2"/>
  </cols>
  <sheetData>
    <row r="1" spans="1:31" ht="23" x14ac:dyDescent="0.25">
      <c r="A1" s="317" t="s">
        <v>2607</v>
      </c>
      <c r="B1" s="318"/>
      <c r="C1" s="318"/>
      <c r="D1" s="318"/>
      <c r="E1" s="318"/>
      <c r="F1" s="318"/>
      <c r="G1" s="318"/>
      <c r="H1" s="318"/>
      <c r="I1" s="318"/>
      <c r="J1" s="318"/>
      <c r="K1" s="318"/>
      <c r="L1" s="318"/>
      <c r="M1" s="318"/>
      <c r="N1" s="318"/>
      <c r="O1" s="318"/>
      <c r="P1" s="318"/>
      <c r="Q1" s="318"/>
      <c r="R1" s="319"/>
      <c r="S1" s="319"/>
      <c r="T1" s="319"/>
      <c r="U1" s="319"/>
      <c r="V1" s="319"/>
      <c r="W1" s="319"/>
      <c r="X1" s="319"/>
      <c r="Y1" s="21"/>
      <c r="Z1" s="319"/>
      <c r="AA1" s="319"/>
      <c r="AB1" s="319"/>
      <c r="AC1" s="319"/>
      <c r="AD1" s="319"/>
      <c r="AE1" s="319"/>
    </row>
    <row r="2" spans="1:31" ht="43.5" customHeight="1" x14ac:dyDescent="0.25">
      <c r="A2" s="320"/>
      <c r="B2" s="321"/>
      <c r="C2" s="321"/>
      <c r="D2" s="321"/>
      <c r="E2" s="321"/>
      <c r="F2" s="321"/>
      <c r="G2" s="321"/>
      <c r="H2" s="321"/>
      <c r="I2" s="321"/>
      <c r="J2" s="321"/>
      <c r="K2" s="321"/>
      <c r="L2" s="321"/>
      <c r="M2" s="321"/>
      <c r="N2" s="321"/>
      <c r="O2" s="321"/>
      <c r="P2" s="321"/>
      <c r="Q2" s="321"/>
      <c r="R2" s="322"/>
      <c r="S2" s="322"/>
      <c r="T2" s="322"/>
      <c r="U2" s="322"/>
      <c r="V2" s="322"/>
      <c r="W2" s="322"/>
      <c r="X2" s="322"/>
      <c r="Y2" s="323" t="s">
        <v>2608</v>
      </c>
      <c r="Z2" s="322"/>
      <c r="AA2" s="322"/>
      <c r="AB2" s="322"/>
      <c r="AC2" s="322"/>
      <c r="AD2" s="322"/>
      <c r="AE2" s="322"/>
    </row>
    <row r="3" spans="1:31" ht="114" x14ac:dyDescent="0.15">
      <c r="A3" s="324" t="s">
        <v>2609</v>
      </c>
      <c r="B3" s="325" t="s">
        <v>104</v>
      </c>
      <c r="C3" s="324" t="s">
        <v>2610</v>
      </c>
      <c r="D3" s="324" t="s">
        <v>2611</v>
      </c>
      <c r="E3" s="324" t="s">
        <v>2612</v>
      </c>
      <c r="F3" s="324" t="s">
        <v>2613</v>
      </c>
      <c r="G3" s="324" t="s">
        <v>2614</v>
      </c>
      <c r="H3" s="324" t="s">
        <v>2615</v>
      </c>
      <c r="I3" s="324" t="s">
        <v>2616</v>
      </c>
      <c r="J3" s="326" t="s">
        <v>2617</v>
      </c>
      <c r="K3" s="326" t="s">
        <v>2618</v>
      </c>
      <c r="L3" s="326" t="s">
        <v>2619</v>
      </c>
      <c r="M3" s="326" t="s">
        <v>2620</v>
      </c>
      <c r="N3" s="326" t="s">
        <v>2621</v>
      </c>
      <c r="O3" s="326" t="s">
        <v>2622</v>
      </c>
      <c r="P3" s="326" t="s">
        <v>2623</v>
      </c>
      <c r="Q3" s="326" t="s">
        <v>2624</v>
      </c>
      <c r="R3" s="327" t="s">
        <v>2625</v>
      </c>
      <c r="S3" s="327" t="s">
        <v>2626</v>
      </c>
      <c r="T3" s="327" t="s">
        <v>2627</v>
      </c>
      <c r="U3" s="327" t="s">
        <v>2628</v>
      </c>
      <c r="V3" s="327" t="s">
        <v>2629</v>
      </c>
      <c r="W3" s="327" t="s">
        <v>2630</v>
      </c>
      <c r="X3" s="327" t="s">
        <v>2631</v>
      </c>
      <c r="Y3" s="327" t="s">
        <v>2632</v>
      </c>
      <c r="Z3" s="327" t="s">
        <v>2633</v>
      </c>
      <c r="AA3" s="327" t="s">
        <v>2634</v>
      </c>
      <c r="AB3" s="327" t="s">
        <v>2635</v>
      </c>
      <c r="AC3" s="327" t="s">
        <v>2636</v>
      </c>
      <c r="AD3" s="327" t="s">
        <v>2637</v>
      </c>
      <c r="AE3" s="327" t="s">
        <v>2638</v>
      </c>
    </row>
    <row r="4" spans="1:31" ht="45" x14ac:dyDescent="0.15">
      <c r="A4" s="328"/>
      <c r="B4" s="329" t="s">
        <v>206</v>
      </c>
      <c r="C4" s="328"/>
      <c r="D4" s="328"/>
      <c r="E4" s="328"/>
      <c r="F4" s="328"/>
      <c r="G4" s="328"/>
      <c r="H4" s="328"/>
      <c r="I4" s="330"/>
      <c r="J4" s="329" t="s">
        <v>2639</v>
      </c>
      <c r="K4" s="329" t="s">
        <v>2640</v>
      </c>
      <c r="L4" s="329" t="s">
        <v>2641</v>
      </c>
      <c r="M4" s="329" t="s">
        <v>2642</v>
      </c>
      <c r="N4" s="329" t="s">
        <v>2643</v>
      </c>
      <c r="O4" s="329" t="s">
        <v>2644</v>
      </c>
      <c r="P4" s="329" t="s">
        <v>2645</v>
      </c>
      <c r="Q4" s="329" t="s">
        <v>2646</v>
      </c>
      <c r="R4" s="331" t="s">
        <v>2647</v>
      </c>
      <c r="S4" s="331" t="s">
        <v>2648</v>
      </c>
      <c r="T4" s="331" t="s">
        <v>2649</v>
      </c>
      <c r="U4" s="331" t="s">
        <v>2650</v>
      </c>
      <c r="V4" s="331" t="s">
        <v>2651</v>
      </c>
      <c r="W4" s="331" t="s">
        <v>2652</v>
      </c>
      <c r="X4" s="331" t="s">
        <v>2653</v>
      </c>
      <c r="Y4" s="331" t="s">
        <v>2654</v>
      </c>
      <c r="Z4" s="331" t="s">
        <v>2655</v>
      </c>
      <c r="AA4" s="331" t="s">
        <v>2656</v>
      </c>
      <c r="AB4" s="331" t="s">
        <v>2657</v>
      </c>
      <c r="AC4" s="331" t="s">
        <v>2658</v>
      </c>
      <c r="AD4" s="331" t="s">
        <v>2659</v>
      </c>
      <c r="AE4" s="331" t="s">
        <v>2660</v>
      </c>
    </row>
    <row r="5" spans="1:31" ht="15" x14ac:dyDescent="0.15">
      <c r="A5" s="261" t="s">
        <v>2661</v>
      </c>
      <c r="B5" s="25"/>
      <c r="C5" s="261" t="s">
        <v>2662</v>
      </c>
      <c r="D5" s="261" t="s">
        <v>2359</v>
      </c>
      <c r="E5" s="261"/>
      <c r="F5" s="261"/>
      <c r="G5" s="261"/>
      <c r="H5" s="261"/>
      <c r="I5" s="261" t="s">
        <v>2663</v>
      </c>
      <c r="J5" s="84"/>
      <c r="K5" s="84"/>
      <c r="L5" s="84"/>
      <c r="M5" s="332"/>
      <c r="N5" s="332"/>
      <c r="O5" s="332"/>
      <c r="P5" s="22"/>
      <c r="Q5" s="84"/>
      <c r="R5" s="25"/>
      <c r="S5" s="25"/>
      <c r="T5" s="22"/>
      <c r="U5" s="25"/>
      <c r="V5" s="25"/>
      <c r="W5" s="25"/>
      <c r="X5" s="84" t="str">
        <f t="shared" ref="X5:X99" si="0">IF(D5&lt;&gt;"", "grantPlayerStatistics", "grantPlayerItems")</f>
        <v>grantPlayerStatistics</v>
      </c>
      <c r="Y5" s="333" t="s">
        <v>2664</v>
      </c>
      <c r="Z5" s="25"/>
      <c r="AA5" s="25"/>
      <c r="AB5" s="25"/>
      <c r="AC5" s="25"/>
      <c r="AD5" s="25"/>
      <c r="AE5" s="25"/>
    </row>
    <row r="6" spans="1:31" ht="30" x14ac:dyDescent="0.15">
      <c r="A6" s="261" t="s">
        <v>2665</v>
      </c>
      <c r="B6" s="25"/>
      <c r="C6" s="261" t="s">
        <v>2666</v>
      </c>
      <c r="D6" s="261"/>
      <c r="E6" s="261" t="s">
        <v>937</v>
      </c>
      <c r="F6" s="261"/>
      <c r="G6" s="261" t="s">
        <v>2667</v>
      </c>
      <c r="H6" s="261"/>
      <c r="I6" s="261" t="s">
        <v>2668</v>
      </c>
      <c r="J6" s="84" t="s">
        <v>2669</v>
      </c>
      <c r="K6" s="84" t="s">
        <v>2670</v>
      </c>
      <c r="L6" s="84" t="s">
        <v>2671</v>
      </c>
      <c r="M6" s="332" t="s">
        <v>2672</v>
      </c>
      <c r="N6" s="332"/>
      <c r="O6" s="332"/>
      <c r="P6" s="22"/>
      <c r="Q6" s="84"/>
      <c r="R6" s="25"/>
      <c r="S6" s="25"/>
      <c r="T6" s="22"/>
      <c r="U6" s="25"/>
      <c r="V6" s="25"/>
      <c r="W6" s="25"/>
      <c r="X6" s="84" t="str">
        <f t="shared" si="0"/>
        <v>grantPlayerItems</v>
      </c>
      <c r="Y6" s="333" t="s">
        <v>2673</v>
      </c>
      <c r="Z6" s="25"/>
      <c r="AA6" s="25"/>
      <c r="AB6" s="25"/>
      <c r="AC6" s="25"/>
      <c r="AD6" s="25"/>
      <c r="AE6" s="25"/>
    </row>
    <row r="7" spans="1:31" ht="30" outlineLevel="1" x14ac:dyDescent="0.15">
      <c r="A7" s="261" t="s">
        <v>2674</v>
      </c>
      <c r="B7" s="332"/>
      <c r="C7" s="261" t="s">
        <v>2666</v>
      </c>
      <c r="D7" s="261"/>
      <c r="E7" s="261"/>
      <c r="F7" s="261" t="s">
        <v>937</v>
      </c>
      <c r="G7" s="261" t="s">
        <v>2675</v>
      </c>
      <c r="H7" s="261" t="s">
        <v>2676</v>
      </c>
      <c r="I7" s="261" t="s">
        <v>2668</v>
      </c>
      <c r="J7" s="84" t="s">
        <v>2669</v>
      </c>
      <c r="K7" s="84" t="s">
        <v>2670</v>
      </c>
      <c r="L7" s="84" t="s">
        <v>2671</v>
      </c>
      <c r="M7" s="332" t="s">
        <v>2672</v>
      </c>
      <c r="N7" s="332" t="s">
        <v>2677</v>
      </c>
      <c r="O7" s="332"/>
      <c r="P7" s="334" t="s">
        <v>2678</v>
      </c>
      <c r="Q7" s="84"/>
      <c r="R7" s="25"/>
      <c r="S7" s="25"/>
      <c r="T7" s="22"/>
      <c r="U7" s="25"/>
      <c r="V7" s="25"/>
      <c r="W7" s="25"/>
      <c r="X7" s="84" t="str">
        <f t="shared" si="0"/>
        <v>grantPlayerItems</v>
      </c>
      <c r="Y7" s="333" t="s">
        <v>2679</v>
      </c>
      <c r="Z7" s="25"/>
      <c r="AA7" s="25"/>
      <c r="AB7" s="25"/>
      <c r="AC7" s="25"/>
      <c r="AD7" s="25"/>
      <c r="AE7" s="25"/>
    </row>
    <row r="8" spans="1:31" ht="30" outlineLevel="1" x14ac:dyDescent="0.15">
      <c r="A8" s="261" t="s">
        <v>2680</v>
      </c>
      <c r="B8" s="19"/>
      <c r="C8" s="261" t="s">
        <v>2666</v>
      </c>
      <c r="D8" s="261"/>
      <c r="E8" s="261"/>
      <c r="F8" s="261" t="s">
        <v>937</v>
      </c>
      <c r="G8" s="261" t="s">
        <v>2681</v>
      </c>
      <c r="H8" s="261" t="s">
        <v>2682</v>
      </c>
      <c r="I8" s="261" t="s">
        <v>2668</v>
      </c>
      <c r="J8" s="84" t="s">
        <v>2669</v>
      </c>
      <c r="K8" s="84" t="s">
        <v>2670</v>
      </c>
      <c r="L8" s="84" t="s">
        <v>2671</v>
      </c>
      <c r="M8" s="332" t="s">
        <v>2672</v>
      </c>
      <c r="N8" s="332" t="s">
        <v>2683</v>
      </c>
      <c r="O8" s="332"/>
      <c r="P8" s="334" t="s">
        <v>2678</v>
      </c>
      <c r="Q8" s="84"/>
      <c r="R8" s="25"/>
      <c r="S8" s="25"/>
      <c r="T8" s="22"/>
      <c r="U8" s="25"/>
      <c r="V8" s="25"/>
      <c r="W8" s="25"/>
      <c r="X8" s="84" t="str">
        <f t="shared" si="0"/>
        <v>grantPlayerItems</v>
      </c>
      <c r="Y8" s="333" t="s">
        <v>2684</v>
      </c>
      <c r="Z8" s="25"/>
      <c r="AA8" s="25"/>
      <c r="AB8" s="25"/>
      <c r="AC8" s="25"/>
      <c r="AD8" s="25"/>
      <c r="AE8" s="25"/>
    </row>
    <row r="9" spans="1:31" ht="30" outlineLevel="1" x14ac:dyDescent="0.15">
      <c r="A9" s="261" t="s">
        <v>2685</v>
      </c>
      <c r="B9" s="19"/>
      <c r="C9" s="261" t="s">
        <v>2666</v>
      </c>
      <c r="D9" s="261"/>
      <c r="E9" s="261"/>
      <c r="F9" s="261" t="s">
        <v>937</v>
      </c>
      <c r="G9" s="261" t="s">
        <v>2686</v>
      </c>
      <c r="H9" s="261" t="s">
        <v>2687</v>
      </c>
      <c r="I9" s="261" t="s">
        <v>2668</v>
      </c>
      <c r="J9" s="84" t="s">
        <v>2669</v>
      </c>
      <c r="K9" s="84" t="s">
        <v>2670</v>
      </c>
      <c r="L9" s="84" t="s">
        <v>2671</v>
      </c>
      <c r="M9" s="332" t="s">
        <v>2672</v>
      </c>
      <c r="N9" s="332" t="s">
        <v>2688</v>
      </c>
      <c r="O9" s="332"/>
      <c r="P9" s="334" t="s">
        <v>2678</v>
      </c>
      <c r="Q9" s="84"/>
      <c r="R9" s="25"/>
      <c r="S9" s="25"/>
      <c r="T9" s="22"/>
      <c r="U9" s="25"/>
      <c r="V9" s="25"/>
      <c r="W9" s="25"/>
      <c r="X9" s="84" t="str">
        <f t="shared" si="0"/>
        <v>grantPlayerItems</v>
      </c>
      <c r="Y9" s="333" t="s">
        <v>2689</v>
      </c>
      <c r="Z9" s="25"/>
      <c r="AA9" s="25"/>
      <c r="AB9" s="25"/>
      <c r="AC9" s="25"/>
      <c r="AD9" s="25"/>
      <c r="AE9" s="25"/>
    </row>
    <row r="10" spans="1:31" ht="30" outlineLevel="1" x14ac:dyDescent="0.15">
      <c r="A10" s="261" t="s">
        <v>2690</v>
      </c>
      <c r="B10" s="19"/>
      <c r="C10" s="261" t="s">
        <v>2666</v>
      </c>
      <c r="D10" s="261"/>
      <c r="E10" s="261"/>
      <c r="F10" s="261" t="s">
        <v>937</v>
      </c>
      <c r="G10" s="261" t="s">
        <v>2691</v>
      </c>
      <c r="H10" s="261" t="s">
        <v>2692</v>
      </c>
      <c r="I10" s="261" t="s">
        <v>2668</v>
      </c>
      <c r="J10" s="84" t="s">
        <v>2669</v>
      </c>
      <c r="K10" s="84" t="s">
        <v>2670</v>
      </c>
      <c r="L10" s="84" t="s">
        <v>2671</v>
      </c>
      <c r="M10" s="332" t="s">
        <v>2672</v>
      </c>
      <c r="N10" s="332" t="s">
        <v>2693</v>
      </c>
      <c r="O10" s="332"/>
      <c r="P10" s="334" t="s">
        <v>2678</v>
      </c>
      <c r="Q10" s="84"/>
      <c r="R10" s="25"/>
      <c r="S10" s="25"/>
      <c r="T10" s="22"/>
      <c r="U10" s="25"/>
      <c r="V10" s="25"/>
      <c r="W10" s="25"/>
      <c r="X10" s="84" t="str">
        <f t="shared" si="0"/>
        <v>grantPlayerItems</v>
      </c>
      <c r="Y10" s="333" t="s">
        <v>2694</v>
      </c>
      <c r="Z10" s="25"/>
      <c r="AA10" s="25"/>
      <c r="AB10" s="25"/>
      <c r="AC10" s="25"/>
      <c r="AD10" s="25"/>
      <c r="AE10" s="25"/>
    </row>
    <row r="11" spans="1:31" ht="30" outlineLevel="1" x14ac:dyDescent="0.15">
      <c r="A11" s="261" t="s">
        <v>2695</v>
      </c>
      <c r="B11" s="19"/>
      <c r="C11" s="261" t="s">
        <v>2666</v>
      </c>
      <c r="D11" s="261"/>
      <c r="E11" s="261"/>
      <c r="F11" s="261" t="s">
        <v>937</v>
      </c>
      <c r="G11" s="261" t="s">
        <v>2696</v>
      </c>
      <c r="H11" s="261" t="s">
        <v>2697</v>
      </c>
      <c r="I11" s="261" t="s">
        <v>2668</v>
      </c>
      <c r="J11" s="84" t="s">
        <v>2669</v>
      </c>
      <c r="K11" s="84" t="s">
        <v>2670</v>
      </c>
      <c r="L11" s="84" t="s">
        <v>2671</v>
      </c>
      <c r="M11" s="332" t="s">
        <v>2672</v>
      </c>
      <c r="N11" s="332" t="s">
        <v>2698</v>
      </c>
      <c r="O11" s="332"/>
      <c r="P11" s="334" t="s">
        <v>2678</v>
      </c>
      <c r="Q11" s="84"/>
      <c r="R11" s="25"/>
      <c r="S11" s="25"/>
      <c r="T11" s="22"/>
      <c r="U11" s="25"/>
      <c r="V11" s="25"/>
      <c r="W11" s="25"/>
      <c r="X11" s="84" t="str">
        <f t="shared" si="0"/>
        <v>grantPlayerItems</v>
      </c>
      <c r="Y11" s="333" t="s">
        <v>2699</v>
      </c>
      <c r="Z11" s="25"/>
      <c r="AA11" s="25"/>
      <c r="AB11" s="25"/>
      <c r="AC11" s="25"/>
      <c r="AD11" s="25"/>
      <c r="AE11" s="25"/>
    </row>
    <row r="12" spans="1:31" ht="409.6" outlineLevel="1" x14ac:dyDescent="0.15">
      <c r="A12" s="261" t="s">
        <v>2700</v>
      </c>
      <c r="B12" s="19"/>
      <c r="C12" s="261" t="s">
        <v>2666</v>
      </c>
      <c r="D12" s="261"/>
      <c r="E12" s="261"/>
      <c r="F12" s="261" t="s">
        <v>937</v>
      </c>
      <c r="G12" s="261" t="s">
        <v>2701</v>
      </c>
      <c r="H12" s="261" t="s">
        <v>2702</v>
      </c>
      <c r="I12" s="261" t="s">
        <v>2668</v>
      </c>
      <c r="J12" s="84" t="s">
        <v>2669</v>
      </c>
      <c r="K12" s="84" t="s">
        <v>2670</v>
      </c>
      <c r="L12" s="84" t="s">
        <v>2671</v>
      </c>
      <c r="M12" s="332" t="s">
        <v>2672</v>
      </c>
      <c r="N12" s="332" t="s">
        <v>2703</v>
      </c>
      <c r="O12" s="332"/>
      <c r="P12" s="334" t="s">
        <v>2678</v>
      </c>
      <c r="Q12" s="84"/>
      <c r="R12" s="25"/>
      <c r="S12" s="25"/>
      <c r="T12" s="22"/>
      <c r="U12" s="25"/>
      <c r="V12" s="25"/>
      <c r="W12" s="25"/>
      <c r="X12" s="84" t="str">
        <f t="shared" si="0"/>
        <v>grantPlayerItems</v>
      </c>
      <c r="Y12" s="335" t="s">
        <v>2704</v>
      </c>
      <c r="Z12" s="25"/>
      <c r="AA12" s="25"/>
      <c r="AB12" s="25"/>
      <c r="AC12" s="25"/>
      <c r="AD12" s="25"/>
      <c r="AE12" s="25"/>
    </row>
    <row r="13" spans="1:31" ht="409.6" outlineLevel="1" x14ac:dyDescent="0.15">
      <c r="A13" s="261" t="s">
        <v>2705</v>
      </c>
      <c r="B13" s="19"/>
      <c r="C13" s="261" t="s">
        <v>2666</v>
      </c>
      <c r="D13" s="336"/>
      <c r="E13" s="336"/>
      <c r="F13" s="261" t="s">
        <v>937</v>
      </c>
      <c r="G13" s="261" t="s">
        <v>2706</v>
      </c>
      <c r="H13" s="261" t="s">
        <v>2707</v>
      </c>
      <c r="I13" s="261" t="s">
        <v>2668</v>
      </c>
      <c r="J13" s="84" t="s">
        <v>2669</v>
      </c>
      <c r="K13" s="84" t="s">
        <v>2670</v>
      </c>
      <c r="L13" s="84" t="s">
        <v>2671</v>
      </c>
      <c r="M13" s="332" t="s">
        <v>2672</v>
      </c>
      <c r="N13" s="332" t="s">
        <v>2708</v>
      </c>
      <c r="O13" s="332"/>
      <c r="P13" s="334" t="s">
        <v>2678</v>
      </c>
      <c r="Q13" s="84"/>
      <c r="R13" s="25"/>
      <c r="S13" s="25"/>
      <c r="T13" s="22"/>
      <c r="U13" s="25"/>
      <c r="V13" s="25"/>
      <c r="W13" s="25"/>
      <c r="X13" s="84" t="str">
        <f t="shared" si="0"/>
        <v>grantPlayerItems</v>
      </c>
      <c r="Y13" s="335" t="s">
        <v>2709</v>
      </c>
      <c r="Z13" s="25"/>
      <c r="AA13" s="25"/>
      <c r="AB13" s="25"/>
      <c r="AC13" s="25"/>
      <c r="AD13" s="25"/>
      <c r="AE13" s="25"/>
    </row>
    <row r="14" spans="1:31" ht="30" x14ac:dyDescent="0.15">
      <c r="A14" s="261" t="s">
        <v>2710</v>
      </c>
      <c r="B14" s="25"/>
      <c r="C14" s="261" t="s">
        <v>2662</v>
      </c>
      <c r="D14" s="261"/>
      <c r="E14" s="261" t="s">
        <v>1018</v>
      </c>
      <c r="F14" s="261"/>
      <c r="G14" s="261" t="s">
        <v>2667</v>
      </c>
      <c r="H14" s="261"/>
      <c r="I14" s="261" t="s">
        <v>2711</v>
      </c>
      <c r="J14" s="84" t="s">
        <v>2669</v>
      </c>
      <c r="K14" s="84" t="s">
        <v>2670</v>
      </c>
      <c r="L14" s="84" t="s">
        <v>2712</v>
      </c>
      <c r="M14" s="332" t="s">
        <v>2672</v>
      </c>
      <c r="N14" s="332"/>
      <c r="O14" s="332"/>
      <c r="P14" s="22"/>
      <c r="Q14" s="84"/>
      <c r="R14" s="25"/>
      <c r="S14" s="25"/>
      <c r="T14" s="22"/>
      <c r="U14" s="25"/>
      <c r="V14" s="25"/>
      <c r="W14" s="25"/>
      <c r="X14" s="84" t="str">
        <f t="shared" si="0"/>
        <v>grantPlayerItems</v>
      </c>
      <c r="Y14" s="333" t="s">
        <v>2713</v>
      </c>
      <c r="Z14" s="25"/>
      <c r="AA14" s="25"/>
      <c r="AB14" s="25"/>
      <c r="AC14" s="25"/>
      <c r="AD14" s="25"/>
      <c r="AE14" s="25"/>
    </row>
    <row r="15" spans="1:31" ht="30" outlineLevel="1" x14ac:dyDescent="0.15">
      <c r="A15" s="261" t="s">
        <v>2714</v>
      </c>
      <c r="B15" s="332"/>
      <c r="C15" s="261" t="s">
        <v>2715</v>
      </c>
      <c r="D15" s="261"/>
      <c r="E15" s="261"/>
      <c r="F15" s="261" t="s">
        <v>1018</v>
      </c>
      <c r="G15" s="261" t="s">
        <v>2675</v>
      </c>
      <c r="H15" s="261" t="s">
        <v>2715</v>
      </c>
      <c r="I15" s="261" t="s">
        <v>2711</v>
      </c>
      <c r="J15" s="84" t="s">
        <v>2669</v>
      </c>
      <c r="K15" s="84" t="s">
        <v>2670</v>
      </c>
      <c r="L15" s="84" t="s">
        <v>2712</v>
      </c>
      <c r="M15" s="332" t="s">
        <v>2672</v>
      </c>
      <c r="N15" s="332" t="s">
        <v>2716</v>
      </c>
      <c r="O15" s="332"/>
      <c r="P15" s="334" t="s">
        <v>2678</v>
      </c>
      <c r="Q15" s="84"/>
      <c r="R15" s="25"/>
      <c r="S15" s="25"/>
      <c r="T15" s="22"/>
      <c r="U15" s="25"/>
      <c r="V15" s="25"/>
      <c r="W15" s="25"/>
      <c r="X15" s="84" t="str">
        <f t="shared" si="0"/>
        <v>grantPlayerItems</v>
      </c>
      <c r="Y15" s="333" t="s">
        <v>2717</v>
      </c>
      <c r="Z15" s="25"/>
      <c r="AA15" s="25"/>
      <c r="AB15" s="25"/>
      <c r="AC15" s="25"/>
      <c r="AD15" s="25"/>
      <c r="AE15" s="25"/>
    </row>
    <row r="16" spans="1:31" ht="30" outlineLevel="1" x14ac:dyDescent="0.15">
      <c r="A16" s="261" t="s">
        <v>2718</v>
      </c>
      <c r="B16" s="19"/>
      <c r="C16" s="261" t="s">
        <v>2715</v>
      </c>
      <c r="D16" s="261"/>
      <c r="E16" s="261"/>
      <c r="F16" s="261" t="s">
        <v>1018</v>
      </c>
      <c r="G16" s="261" t="s">
        <v>2681</v>
      </c>
      <c r="H16" s="261" t="s">
        <v>2715</v>
      </c>
      <c r="I16" s="261" t="s">
        <v>2711</v>
      </c>
      <c r="J16" s="84" t="s">
        <v>2669</v>
      </c>
      <c r="K16" s="84" t="s">
        <v>2670</v>
      </c>
      <c r="L16" s="84" t="s">
        <v>2712</v>
      </c>
      <c r="M16" s="332" t="s">
        <v>2672</v>
      </c>
      <c r="N16" s="332" t="s">
        <v>2719</v>
      </c>
      <c r="O16" s="332"/>
      <c r="P16" s="334" t="s">
        <v>2678</v>
      </c>
      <c r="Q16" s="84"/>
      <c r="R16" s="25"/>
      <c r="S16" s="25"/>
      <c r="T16" s="22"/>
      <c r="U16" s="25"/>
      <c r="V16" s="25"/>
      <c r="W16" s="25"/>
      <c r="X16" s="84" t="str">
        <f t="shared" si="0"/>
        <v>grantPlayerItems</v>
      </c>
      <c r="Y16" s="333" t="s">
        <v>2720</v>
      </c>
      <c r="Z16" s="25"/>
      <c r="AA16" s="25"/>
      <c r="AB16" s="25"/>
      <c r="AC16" s="25"/>
      <c r="AD16" s="25"/>
      <c r="AE16" s="25"/>
    </row>
    <row r="17" spans="1:31" ht="30" outlineLevel="1" x14ac:dyDescent="0.15">
      <c r="A17" s="261" t="s">
        <v>2721</v>
      </c>
      <c r="B17" s="19"/>
      <c r="C17" s="261" t="s">
        <v>2715</v>
      </c>
      <c r="D17" s="261"/>
      <c r="E17" s="261"/>
      <c r="F17" s="261" t="s">
        <v>1018</v>
      </c>
      <c r="G17" s="261" t="s">
        <v>2686</v>
      </c>
      <c r="H17" s="261" t="s">
        <v>2715</v>
      </c>
      <c r="I17" s="261" t="s">
        <v>2711</v>
      </c>
      <c r="J17" s="84" t="s">
        <v>2669</v>
      </c>
      <c r="K17" s="84" t="s">
        <v>2670</v>
      </c>
      <c r="L17" s="84" t="s">
        <v>2712</v>
      </c>
      <c r="M17" s="332" t="s">
        <v>2672</v>
      </c>
      <c r="N17" s="332" t="s">
        <v>2722</v>
      </c>
      <c r="O17" s="332"/>
      <c r="P17" s="334" t="s">
        <v>2678</v>
      </c>
      <c r="Q17" s="84"/>
      <c r="R17" s="25"/>
      <c r="S17" s="25"/>
      <c r="T17" s="22"/>
      <c r="U17" s="25"/>
      <c r="V17" s="25"/>
      <c r="W17" s="25"/>
      <c r="X17" s="84" t="str">
        <f t="shared" si="0"/>
        <v>grantPlayerItems</v>
      </c>
      <c r="Y17" s="333" t="s">
        <v>2723</v>
      </c>
      <c r="Z17" s="25"/>
      <c r="AA17" s="25"/>
      <c r="AB17" s="25"/>
      <c r="AC17" s="25"/>
      <c r="AD17" s="25"/>
      <c r="AE17" s="25"/>
    </row>
    <row r="18" spans="1:31" ht="30" outlineLevel="1" x14ac:dyDescent="0.15">
      <c r="A18" s="261" t="s">
        <v>2724</v>
      </c>
      <c r="B18" s="19"/>
      <c r="C18" s="261" t="s">
        <v>2715</v>
      </c>
      <c r="D18" s="261"/>
      <c r="E18" s="261"/>
      <c r="F18" s="261" t="s">
        <v>1018</v>
      </c>
      <c r="G18" s="261" t="s">
        <v>2691</v>
      </c>
      <c r="H18" s="261" t="s">
        <v>2715</v>
      </c>
      <c r="I18" s="261" t="s">
        <v>2711</v>
      </c>
      <c r="J18" s="84" t="s">
        <v>2669</v>
      </c>
      <c r="K18" s="84" t="s">
        <v>2670</v>
      </c>
      <c r="L18" s="84" t="s">
        <v>2712</v>
      </c>
      <c r="M18" s="332" t="s">
        <v>2672</v>
      </c>
      <c r="N18" s="332" t="s">
        <v>2725</v>
      </c>
      <c r="O18" s="332"/>
      <c r="P18" s="334" t="s">
        <v>2678</v>
      </c>
      <c r="Q18" s="84"/>
      <c r="R18" s="25"/>
      <c r="S18" s="25"/>
      <c r="T18" s="22"/>
      <c r="U18" s="25"/>
      <c r="V18" s="25"/>
      <c r="W18" s="25"/>
      <c r="X18" s="84" t="str">
        <f t="shared" si="0"/>
        <v>grantPlayerItems</v>
      </c>
      <c r="Y18" s="333" t="s">
        <v>2726</v>
      </c>
      <c r="Z18" s="25"/>
      <c r="AA18" s="25"/>
      <c r="AB18" s="25"/>
      <c r="AC18" s="25"/>
      <c r="AD18" s="25"/>
      <c r="AE18" s="25"/>
    </row>
    <row r="19" spans="1:31" ht="30" outlineLevel="1" x14ac:dyDescent="0.15">
      <c r="A19" s="261" t="s">
        <v>2727</v>
      </c>
      <c r="B19" s="19"/>
      <c r="C19" s="261" t="s">
        <v>2715</v>
      </c>
      <c r="D19" s="261"/>
      <c r="E19" s="261"/>
      <c r="F19" s="261" t="s">
        <v>1018</v>
      </c>
      <c r="G19" s="261" t="s">
        <v>2696</v>
      </c>
      <c r="H19" s="261" t="s">
        <v>2715</v>
      </c>
      <c r="I19" s="261" t="s">
        <v>2711</v>
      </c>
      <c r="J19" s="84" t="s">
        <v>2669</v>
      </c>
      <c r="K19" s="84" t="s">
        <v>2670</v>
      </c>
      <c r="L19" s="84" t="s">
        <v>2712</v>
      </c>
      <c r="M19" s="332" t="s">
        <v>2672</v>
      </c>
      <c r="N19" s="332" t="s">
        <v>2728</v>
      </c>
      <c r="O19" s="332"/>
      <c r="P19" s="334" t="s">
        <v>2678</v>
      </c>
      <c r="Q19" s="84"/>
      <c r="R19" s="25"/>
      <c r="S19" s="25"/>
      <c r="T19" s="22"/>
      <c r="U19" s="25"/>
      <c r="V19" s="25"/>
      <c r="W19" s="25"/>
      <c r="X19" s="84" t="str">
        <f t="shared" si="0"/>
        <v>grantPlayerItems</v>
      </c>
      <c r="Y19" s="333" t="s">
        <v>2729</v>
      </c>
      <c r="Z19" s="25"/>
      <c r="AA19" s="25"/>
      <c r="AB19" s="25"/>
      <c r="AC19" s="25"/>
      <c r="AD19" s="25"/>
      <c r="AE19" s="25"/>
    </row>
    <row r="20" spans="1:31" ht="30" outlineLevel="1" x14ac:dyDescent="0.15">
      <c r="A20" s="261" t="s">
        <v>2730</v>
      </c>
      <c r="B20" s="19"/>
      <c r="C20" s="261" t="s">
        <v>2715</v>
      </c>
      <c r="D20" s="261"/>
      <c r="E20" s="261"/>
      <c r="F20" s="261" t="s">
        <v>1018</v>
      </c>
      <c r="G20" s="261" t="s">
        <v>2701</v>
      </c>
      <c r="H20" s="261" t="s">
        <v>2715</v>
      </c>
      <c r="I20" s="261" t="s">
        <v>2711</v>
      </c>
      <c r="J20" s="84" t="s">
        <v>2669</v>
      </c>
      <c r="K20" s="84" t="s">
        <v>2670</v>
      </c>
      <c r="L20" s="84" t="s">
        <v>2712</v>
      </c>
      <c r="M20" s="332" t="s">
        <v>2672</v>
      </c>
      <c r="N20" s="332" t="s">
        <v>2719</v>
      </c>
      <c r="O20" s="332"/>
      <c r="P20" s="334" t="s">
        <v>2678</v>
      </c>
      <c r="Q20" s="84"/>
      <c r="R20" s="25"/>
      <c r="S20" s="25"/>
      <c r="T20" s="22"/>
      <c r="U20" s="25"/>
      <c r="V20" s="25"/>
      <c r="W20" s="25"/>
      <c r="X20" s="84" t="str">
        <f t="shared" si="0"/>
        <v>grantPlayerItems</v>
      </c>
      <c r="Y20" s="333" t="s">
        <v>2731</v>
      </c>
      <c r="Z20" s="25"/>
      <c r="AA20" s="25"/>
      <c r="AB20" s="25"/>
      <c r="AC20" s="25"/>
      <c r="AD20" s="25"/>
      <c r="AE20" s="25"/>
    </row>
    <row r="21" spans="1:31" ht="310" outlineLevel="1" x14ac:dyDescent="0.15">
      <c r="A21" s="261" t="s">
        <v>2732</v>
      </c>
      <c r="B21" s="19"/>
      <c r="C21" s="261" t="s">
        <v>2715</v>
      </c>
      <c r="D21" s="336"/>
      <c r="E21" s="336"/>
      <c r="F21" s="261" t="s">
        <v>1018</v>
      </c>
      <c r="G21" s="261" t="s">
        <v>2706</v>
      </c>
      <c r="H21" s="261" t="s">
        <v>2715</v>
      </c>
      <c r="I21" s="261" t="s">
        <v>2711</v>
      </c>
      <c r="J21" s="84" t="s">
        <v>2669</v>
      </c>
      <c r="K21" s="84" t="s">
        <v>2670</v>
      </c>
      <c r="L21" s="84" t="s">
        <v>2712</v>
      </c>
      <c r="M21" s="332" t="s">
        <v>2672</v>
      </c>
      <c r="N21" s="332" t="s">
        <v>2733</v>
      </c>
      <c r="O21" s="332"/>
      <c r="P21" s="334" t="s">
        <v>2678</v>
      </c>
      <c r="Q21" s="84"/>
      <c r="R21" s="25"/>
      <c r="S21" s="25"/>
      <c r="T21" s="22"/>
      <c r="U21" s="25"/>
      <c r="V21" s="25"/>
      <c r="W21" s="25"/>
      <c r="X21" s="84" t="str">
        <f t="shared" si="0"/>
        <v>grantPlayerItems</v>
      </c>
      <c r="Y21" s="337" t="s">
        <v>2734</v>
      </c>
      <c r="Z21" s="25"/>
      <c r="AA21" s="25"/>
      <c r="AB21" s="25"/>
      <c r="AC21" s="25"/>
      <c r="AD21" s="25"/>
      <c r="AE21" s="25"/>
    </row>
    <row r="22" spans="1:31" ht="300" x14ac:dyDescent="0.15">
      <c r="A22" s="261" t="s">
        <v>2735</v>
      </c>
      <c r="B22" s="25"/>
      <c r="C22" s="261" t="s">
        <v>2715</v>
      </c>
      <c r="D22" s="261"/>
      <c r="E22" s="261" t="s">
        <v>990</v>
      </c>
      <c r="F22" s="261"/>
      <c r="G22" s="261" t="s">
        <v>2667</v>
      </c>
      <c r="H22" s="261"/>
      <c r="I22" s="261" t="s">
        <v>2711</v>
      </c>
      <c r="J22" s="84" t="s">
        <v>2669</v>
      </c>
      <c r="K22" s="84" t="s">
        <v>2670</v>
      </c>
      <c r="L22" s="84" t="s">
        <v>2736</v>
      </c>
      <c r="M22" s="332" t="s">
        <v>2672</v>
      </c>
      <c r="N22" s="332"/>
      <c r="O22" s="332"/>
      <c r="P22" s="22"/>
      <c r="Q22" s="84"/>
      <c r="R22" s="25"/>
      <c r="S22" s="25"/>
      <c r="T22" s="22"/>
      <c r="U22" s="25"/>
      <c r="V22" s="25"/>
      <c r="W22" s="25"/>
      <c r="X22" s="84" t="str">
        <f t="shared" si="0"/>
        <v>grantPlayerItems</v>
      </c>
      <c r="Y22" s="337" t="s">
        <v>2737</v>
      </c>
      <c r="Z22" s="25"/>
      <c r="AA22" s="25"/>
      <c r="AB22" s="25"/>
      <c r="AC22" s="25"/>
      <c r="AD22" s="25"/>
      <c r="AE22" s="25"/>
    </row>
    <row r="23" spans="1:31" ht="310" outlineLevel="1" x14ac:dyDescent="0.15">
      <c r="A23" s="261" t="s">
        <v>2738</v>
      </c>
      <c r="B23" s="332"/>
      <c r="C23" s="261" t="s">
        <v>2715</v>
      </c>
      <c r="D23" s="261"/>
      <c r="E23" s="261"/>
      <c r="F23" s="261" t="s">
        <v>990</v>
      </c>
      <c r="G23" s="261" t="s">
        <v>2675</v>
      </c>
      <c r="H23" s="261" t="s">
        <v>2715</v>
      </c>
      <c r="I23" s="261" t="s">
        <v>2711</v>
      </c>
      <c r="J23" s="84" t="s">
        <v>2669</v>
      </c>
      <c r="K23" s="84" t="s">
        <v>2670</v>
      </c>
      <c r="L23" s="84" t="s">
        <v>2736</v>
      </c>
      <c r="M23" s="332" t="s">
        <v>2672</v>
      </c>
      <c r="N23" s="332" t="s">
        <v>2739</v>
      </c>
      <c r="O23" s="332"/>
      <c r="P23" s="334" t="s">
        <v>2678</v>
      </c>
      <c r="Q23" s="84"/>
      <c r="R23" s="25"/>
      <c r="S23" s="25"/>
      <c r="T23" s="22"/>
      <c r="U23" s="25"/>
      <c r="V23" s="25"/>
      <c r="W23" s="25"/>
      <c r="X23" s="84" t="str">
        <f t="shared" si="0"/>
        <v>grantPlayerItems</v>
      </c>
      <c r="Y23" s="337" t="s">
        <v>2740</v>
      </c>
      <c r="Z23" s="25"/>
      <c r="AA23" s="25"/>
      <c r="AB23" s="25"/>
      <c r="AC23" s="25"/>
      <c r="AD23" s="25"/>
      <c r="AE23" s="25"/>
    </row>
    <row r="24" spans="1:31" ht="310" outlineLevel="1" x14ac:dyDescent="0.15">
      <c r="A24" s="261" t="s">
        <v>2741</v>
      </c>
      <c r="B24" s="19"/>
      <c r="C24" s="261" t="s">
        <v>2715</v>
      </c>
      <c r="D24" s="261"/>
      <c r="E24" s="261"/>
      <c r="F24" s="261" t="s">
        <v>990</v>
      </c>
      <c r="G24" s="261" t="s">
        <v>2681</v>
      </c>
      <c r="H24" s="261" t="s">
        <v>2715</v>
      </c>
      <c r="I24" s="261" t="s">
        <v>2711</v>
      </c>
      <c r="J24" s="84" t="s">
        <v>2669</v>
      </c>
      <c r="K24" s="84" t="s">
        <v>2670</v>
      </c>
      <c r="L24" s="84" t="s">
        <v>2736</v>
      </c>
      <c r="M24" s="332" t="s">
        <v>2672</v>
      </c>
      <c r="N24" s="332" t="s">
        <v>2742</v>
      </c>
      <c r="O24" s="332"/>
      <c r="P24" s="334" t="s">
        <v>2678</v>
      </c>
      <c r="Q24" s="84"/>
      <c r="R24" s="25"/>
      <c r="S24" s="25"/>
      <c r="T24" s="22"/>
      <c r="U24" s="25"/>
      <c r="V24" s="25"/>
      <c r="W24" s="25"/>
      <c r="X24" s="84" t="str">
        <f t="shared" si="0"/>
        <v>grantPlayerItems</v>
      </c>
      <c r="Y24" s="337" t="s">
        <v>2743</v>
      </c>
      <c r="Z24" s="25"/>
      <c r="AA24" s="25"/>
      <c r="AB24" s="25"/>
      <c r="AC24" s="25"/>
      <c r="AD24" s="25"/>
      <c r="AE24" s="25"/>
    </row>
    <row r="25" spans="1:31" ht="310" outlineLevel="1" x14ac:dyDescent="0.15">
      <c r="A25" s="261" t="s">
        <v>2744</v>
      </c>
      <c r="B25" s="19"/>
      <c r="C25" s="261" t="s">
        <v>2715</v>
      </c>
      <c r="D25" s="261"/>
      <c r="E25" s="261"/>
      <c r="F25" s="261" t="s">
        <v>990</v>
      </c>
      <c r="G25" s="261" t="s">
        <v>2686</v>
      </c>
      <c r="H25" s="261" t="s">
        <v>2715</v>
      </c>
      <c r="I25" s="261" t="s">
        <v>2711</v>
      </c>
      <c r="J25" s="84" t="s">
        <v>2669</v>
      </c>
      <c r="K25" s="84" t="s">
        <v>2670</v>
      </c>
      <c r="L25" s="84" t="s">
        <v>2736</v>
      </c>
      <c r="M25" s="332" t="s">
        <v>2672</v>
      </c>
      <c r="N25" s="332" t="s">
        <v>2745</v>
      </c>
      <c r="O25" s="332"/>
      <c r="P25" s="334" t="s">
        <v>2678</v>
      </c>
      <c r="Q25" s="84"/>
      <c r="R25" s="25"/>
      <c r="S25" s="25"/>
      <c r="T25" s="22"/>
      <c r="U25" s="25"/>
      <c r="V25" s="25"/>
      <c r="W25" s="25"/>
      <c r="X25" s="84" t="str">
        <f t="shared" si="0"/>
        <v>grantPlayerItems</v>
      </c>
      <c r="Y25" s="337" t="s">
        <v>2746</v>
      </c>
      <c r="Z25" s="25"/>
      <c r="AA25" s="25"/>
      <c r="AB25" s="25"/>
      <c r="AC25" s="25"/>
      <c r="AD25" s="25"/>
      <c r="AE25" s="25"/>
    </row>
    <row r="26" spans="1:31" ht="310" outlineLevel="1" x14ac:dyDescent="0.15">
      <c r="A26" s="261" t="s">
        <v>2747</v>
      </c>
      <c r="B26" s="19"/>
      <c r="C26" s="261" t="s">
        <v>2715</v>
      </c>
      <c r="D26" s="261"/>
      <c r="E26" s="261"/>
      <c r="F26" s="261" t="s">
        <v>990</v>
      </c>
      <c r="G26" s="261" t="s">
        <v>2691</v>
      </c>
      <c r="H26" s="261" t="s">
        <v>2715</v>
      </c>
      <c r="I26" s="261" t="s">
        <v>2711</v>
      </c>
      <c r="J26" s="84" t="s">
        <v>2669</v>
      </c>
      <c r="K26" s="84" t="s">
        <v>2670</v>
      </c>
      <c r="L26" s="84" t="s">
        <v>2736</v>
      </c>
      <c r="M26" s="332" t="s">
        <v>2672</v>
      </c>
      <c r="N26" s="332" t="s">
        <v>2748</v>
      </c>
      <c r="O26" s="332"/>
      <c r="P26" s="334" t="s">
        <v>2678</v>
      </c>
      <c r="Q26" s="84"/>
      <c r="R26" s="25"/>
      <c r="S26" s="25"/>
      <c r="T26" s="22"/>
      <c r="U26" s="25"/>
      <c r="V26" s="25"/>
      <c r="W26" s="25"/>
      <c r="X26" s="84" t="str">
        <f t="shared" si="0"/>
        <v>grantPlayerItems</v>
      </c>
      <c r="Y26" s="337" t="s">
        <v>2749</v>
      </c>
      <c r="Z26" s="25"/>
      <c r="AA26" s="25"/>
      <c r="AB26" s="25"/>
      <c r="AC26" s="25"/>
      <c r="AD26" s="25"/>
      <c r="AE26" s="25"/>
    </row>
    <row r="27" spans="1:31" ht="310" outlineLevel="1" x14ac:dyDescent="0.15">
      <c r="A27" s="261" t="s">
        <v>2750</v>
      </c>
      <c r="B27" s="19"/>
      <c r="C27" s="261" t="s">
        <v>2715</v>
      </c>
      <c r="D27" s="261"/>
      <c r="E27" s="261"/>
      <c r="F27" s="261" t="s">
        <v>990</v>
      </c>
      <c r="G27" s="261" t="s">
        <v>2696</v>
      </c>
      <c r="H27" s="261" t="s">
        <v>2715</v>
      </c>
      <c r="I27" s="261" t="s">
        <v>2711</v>
      </c>
      <c r="J27" s="84" t="s">
        <v>2669</v>
      </c>
      <c r="K27" s="84" t="s">
        <v>2670</v>
      </c>
      <c r="L27" s="84" t="s">
        <v>2736</v>
      </c>
      <c r="M27" s="332" t="s">
        <v>2672</v>
      </c>
      <c r="N27" s="332" t="s">
        <v>2751</v>
      </c>
      <c r="O27" s="332"/>
      <c r="P27" s="334" t="s">
        <v>2678</v>
      </c>
      <c r="Q27" s="84"/>
      <c r="R27" s="25"/>
      <c r="S27" s="25"/>
      <c r="T27" s="22"/>
      <c r="U27" s="25"/>
      <c r="V27" s="25"/>
      <c r="W27" s="25"/>
      <c r="X27" s="84" t="str">
        <f t="shared" si="0"/>
        <v>grantPlayerItems</v>
      </c>
      <c r="Y27" s="337" t="s">
        <v>2752</v>
      </c>
      <c r="Z27" s="25"/>
      <c r="AA27" s="25"/>
      <c r="AB27" s="25"/>
      <c r="AC27" s="25"/>
      <c r="AD27" s="25"/>
      <c r="AE27" s="25"/>
    </row>
    <row r="28" spans="1:31" ht="310" outlineLevel="1" x14ac:dyDescent="0.15">
      <c r="A28" s="261" t="s">
        <v>2753</v>
      </c>
      <c r="B28" s="19"/>
      <c r="C28" s="261" t="s">
        <v>2715</v>
      </c>
      <c r="D28" s="261"/>
      <c r="E28" s="261"/>
      <c r="F28" s="261" t="s">
        <v>990</v>
      </c>
      <c r="G28" s="261" t="s">
        <v>2701</v>
      </c>
      <c r="H28" s="261" t="s">
        <v>2715</v>
      </c>
      <c r="I28" s="261" t="s">
        <v>2711</v>
      </c>
      <c r="J28" s="84" t="s">
        <v>2669</v>
      </c>
      <c r="K28" s="84" t="s">
        <v>2670</v>
      </c>
      <c r="L28" s="84" t="s">
        <v>2736</v>
      </c>
      <c r="M28" s="332" t="s">
        <v>2672</v>
      </c>
      <c r="N28" s="332" t="s">
        <v>2754</v>
      </c>
      <c r="O28" s="332"/>
      <c r="P28" s="334" t="s">
        <v>2678</v>
      </c>
      <c r="Q28" s="84"/>
      <c r="R28" s="25"/>
      <c r="S28" s="25"/>
      <c r="T28" s="22"/>
      <c r="U28" s="25"/>
      <c r="V28" s="25"/>
      <c r="W28" s="25"/>
      <c r="X28" s="84" t="str">
        <f t="shared" si="0"/>
        <v>grantPlayerItems</v>
      </c>
      <c r="Y28" s="337" t="s">
        <v>2755</v>
      </c>
      <c r="Z28" s="25"/>
      <c r="AA28" s="25"/>
      <c r="AB28" s="25"/>
      <c r="AC28" s="25"/>
      <c r="AD28" s="25"/>
      <c r="AE28" s="25"/>
    </row>
    <row r="29" spans="1:31" ht="310" outlineLevel="1" x14ac:dyDescent="0.15">
      <c r="A29" s="261" t="s">
        <v>2756</v>
      </c>
      <c r="B29" s="19"/>
      <c r="C29" s="261" t="s">
        <v>2715</v>
      </c>
      <c r="D29" s="336"/>
      <c r="E29" s="336"/>
      <c r="F29" s="261" t="s">
        <v>990</v>
      </c>
      <c r="G29" s="261" t="s">
        <v>2706</v>
      </c>
      <c r="H29" s="261" t="s">
        <v>2715</v>
      </c>
      <c r="I29" s="261" t="s">
        <v>2711</v>
      </c>
      <c r="J29" s="84" t="s">
        <v>2669</v>
      </c>
      <c r="K29" s="84" t="s">
        <v>2670</v>
      </c>
      <c r="L29" s="84" t="s">
        <v>2736</v>
      </c>
      <c r="M29" s="332" t="s">
        <v>2672</v>
      </c>
      <c r="N29" s="332" t="s">
        <v>2757</v>
      </c>
      <c r="O29" s="332"/>
      <c r="P29" s="334" t="s">
        <v>2678</v>
      </c>
      <c r="Q29" s="84"/>
      <c r="R29" s="25"/>
      <c r="S29" s="25"/>
      <c r="T29" s="22"/>
      <c r="U29" s="25"/>
      <c r="V29" s="25"/>
      <c r="W29" s="25"/>
      <c r="X29" s="84" t="str">
        <f t="shared" si="0"/>
        <v>grantPlayerItems</v>
      </c>
      <c r="Y29" s="337" t="s">
        <v>2758</v>
      </c>
      <c r="Z29" s="25"/>
      <c r="AA29" s="25"/>
      <c r="AB29" s="25"/>
      <c r="AC29" s="25"/>
      <c r="AD29" s="25"/>
      <c r="AE29" s="25"/>
    </row>
    <row r="30" spans="1:31" ht="300" x14ac:dyDescent="0.15">
      <c r="A30" s="261" t="s">
        <v>2759</v>
      </c>
      <c r="B30" s="25"/>
      <c r="C30" s="261" t="s">
        <v>2662</v>
      </c>
      <c r="D30" s="261"/>
      <c r="E30" s="261" t="s">
        <v>1099</v>
      </c>
      <c r="F30" s="261"/>
      <c r="G30" s="261" t="s">
        <v>2667</v>
      </c>
      <c r="H30" s="261"/>
      <c r="I30" s="261" t="s">
        <v>2668</v>
      </c>
      <c r="J30" s="84" t="s">
        <v>2669</v>
      </c>
      <c r="K30" s="84" t="s">
        <v>2670</v>
      </c>
      <c r="L30" s="84" t="s">
        <v>2760</v>
      </c>
      <c r="M30" s="332" t="s">
        <v>2672</v>
      </c>
      <c r="N30" s="332"/>
      <c r="O30" s="332"/>
      <c r="P30" s="22"/>
      <c r="Q30" s="84"/>
      <c r="R30" s="25"/>
      <c r="S30" s="25"/>
      <c r="T30" s="22"/>
      <c r="U30" s="25"/>
      <c r="V30" s="25"/>
      <c r="W30" s="25"/>
      <c r="X30" s="84" t="str">
        <f t="shared" si="0"/>
        <v>grantPlayerItems</v>
      </c>
      <c r="Y30" s="337" t="s">
        <v>2761</v>
      </c>
      <c r="Z30" s="25"/>
      <c r="AA30" s="25"/>
      <c r="AB30" s="25"/>
      <c r="AC30" s="25"/>
      <c r="AD30" s="25"/>
      <c r="AE30" s="25"/>
    </row>
    <row r="31" spans="1:31" ht="409.6" outlineLevel="1" x14ac:dyDescent="0.15">
      <c r="A31" s="261" t="s">
        <v>2762</v>
      </c>
      <c r="B31" s="332"/>
      <c r="C31" s="261" t="s">
        <v>2662</v>
      </c>
      <c r="D31" s="261"/>
      <c r="E31" s="261"/>
      <c r="F31" s="261" t="s">
        <v>1099</v>
      </c>
      <c r="G31" s="261" t="s">
        <v>2675</v>
      </c>
      <c r="H31" s="261" t="s">
        <v>2763</v>
      </c>
      <c r="I31" s="261" t="s">
        <v>2668</v>
      </c>
      <c r="J31" s="84" t="s">
        <v>2669</v>
      </c>
      <c r="K31" s="84" t="s">
        <v>2670</v>
      </c>
      <c r="L31" s="84" t="s">
        <v>2760</v>
      </c>
      <c r="M31" s="332" t="s">
        <v>2672</v>
      </c>
      <c r="N31" s="332" t="s">
        <v>2764</v>
      </c>
      <c r="O31" s="332"/>
      <c r="P31" s="334" t="s">
        <v>2678</v>
      </c>
      <c r="Q31" s="84"/>
      <c r="R31" s="25"/>
      <c r="S31" s="25"/>
      <c r="T31" s="22"/>
      <c r="U31" s="25"/>
      <c r="V31" s="25"/>
      <c r="W31" s="25"/>
      <c r="X31" s="84" t="str">
        <f t="shared" si="0"/>
        <v>grantPlayerItems</v>
      </c>
      <c r="Y31" s="337" t="s">
        <v>2765</v>
      </c>
      <c r="Z31" s="25"/>
      <c r="AA31" s="25"/>
      <c r="AB31" s="25"/>
      <c r="AC31" s="25"/>
      <c r="AD31" s="25"/>
      <c r="AE31" s="25"/>
    </row>
    <row r="32" spans="1:31" ht="409.6" outlineLevel="1" x14ac:dyDescent="0.15">
      <c r="A32" s="261" t="s">
        <v>2766</v>
      </c>
      <c r="B32" s="19"/>
      <c r="C32" s="261" t="s">
        <v>2662</v>
      </c>
      <c r="D32" s="261"/>
      <c r="E32" s="261"/>
      <c r="F32" s="261" t="s">
        <v>1099</v>
      </c>
      <c r="G32" s="261" t="s">
        <v>2681</v>
      </c>
      <c r="H32" s="261" t="s">
        <v>2763</v>
      </c>
      <c r="I32" s="261" t="s">
        <v>2668</v>
      </c>
      <c r="J32" s="84" t="s">
        <v>2669</v>
      </c>
      <c r="K32" s="84" t="s">
        <v>2670</v>
      </c>
      <c r="L32" s="84" t="s">
        <v>2760</v>
      </c>
      <c r="M32" s="332" t="s">
        <v>2672</v>
      </c>
      <c r="N32" s="332" t="s">
        <v>2767</v>
      </c>
      <c r="O32" s="332"/>
      <c r="P32" s="334" t="s">
        <v>2678</v>
      </c>
      <c r="Q32" s="84"/>
      <c r="R32" s="25"/>
      <c r="S32" s="25"/>
      <c r="T32" s="22"/>
      <c r="U32" s="25"/>
      <c r="V32" s="25"/>
      <c r="W32" s="25"/>
      <c r="X32" s="84" t="str">
        <f t="shared" si="0"/>
        <v>grantPlayerItems</v>
      </c>
      <c r="Y32" s="337" t="s">
        <v>2768</v>
      </c>
      <c r="Z32" s="25"/>
      <c r="AA32" s="25"/>
      <c r="AB32" s="25"/>
      <c r="AC32" s="25"/>
      <c r="AD32" s="25"/>
      <c r="AE32" s="25"/>
    </row>
    <row r="33" spans="1:31" ht="409.6" outlineLevel="1" x14ac:dyDescent="0.15">
      <c r="A33" s="261" t="s">
        <v>2769</v>
      </c>
      <c r="B33" s="19"/>
      <c r="C33" s="261" t="s">
        <v>2662</v>
      </c>
      <c r="D33" s="261"/>
      <c r="E33" s="261"/>
      <c r="F33" s="261" t="s">
        <v>1099</v>
      </c>
      <c r="G33" s="261" t="s">
        <v>2686</v>
      </c>
      <c r="H33" s="261" t="s">
        <v>2763</v>
      </c>
      <c r="I33" s="261" t="s">
        <v>2668</v>
      </c>
      <c r="J33" s="84" t="s">
        <v>2669</v>
      </c>
      <c r="K33" s="84" t="s">
        <v>2670</v>
      </c>
      <c r="L33" s="84" t="s">
        <v>2760</v>
      </c>
      <c r="M33" s="332" t="s">
        <v>2672</v>
      </c>
      <c r="N33" s="332" t="s">
        <v>2770</v>
      </c>
      <c r="O33" s="332"/>
      <c r="P33" s="334" t="s">
        <v>2678</v>
      </c>
      <c r="Q33" s="84"/>
      <c r="R33" s="25"/>
      <c r="S33" s="25"/>
      <c r="T33" s="22"/>
      <c r="U33" s="25"/>
      <c r="V33" s="25"/>
      <c r="W33" s="25"/>
      <c r="X33" s="84" t="str">
        <f t="shared" si="0"/>
        <v>grantPlayerItems</v>
      </c>
      <c r="Y33" s="337" t="s">
        <v>2771</v>
      </c>
      <c r="Z33" s="25"/>
      <c r="AA33" s="25"/>
      <c r="AB33" s="25"/>
      <c r="AC33" s="25"/>
      <c r="AD33" s="25"/>
      <c r="AE33" s="25"/>
    </row>
    <row r="34" spans="1:31" ht="409.6" outlineLevel="1" x14ac:dyDescent="0.15">
      <c r="A34" s="261" t="s">
        <v>2772</v>
      </c>
      <c r="B34" s="19"/>
      <c r="C34" s="261" t="s">
        <v>2662</v>
      </c>
      <c r="D34" s="261"/>
      <c r="E34" s="261"/>
      <c r="F34" s="261" t="s">
        <v>1099</v>
      </c>
      <c r="G34" s="261" t="s">
        <v>2691</v>
      </c>
      <c r="H34" s="261" t="s">
        <v>2763</v>
      </c>
      <c r="I34" s="261" t="s">
        <v>2668</v>
      </c>
      <c r="J34" s="84" t="s">
        <v>2669</v>
      </c>
      <c r="K34" s="84" t="s">
        <v>2670</v>
      </c>
      <c r="L34" s="84" t="s">
        <v>2760</v>
      </c>
      <c r="M34" s="332" t="s">
        <v>2672</v>
      </c>
      <c r="N34" s="332" t="s">
        <v>2773</v>
      </c>
      <c r="O34" s="332"/>
      <c r="P34" s="334" t="s">
        <v>2678</v>
      </c>
      <c r="Q34" s="84"/>
      <c r="R34" s="25"/>
      <c r="S34" s="25"/>
      <c r="T34" s="22"/>
      <c r="U34" s="25"/>
      <c r="V34" s="25"/>
      <c r="W34" s="25"/>
      <c r="X34" s="84" t="str">
        <f t="shared" si="0"/>
        <v>grantPlayerItems</v>
      </c>
      <c r="Y34" s="337" t="s">
        <v>2774</v>
      </c>
      <c r="Z34" s="25"/>
      <c r="AA34" s="25"/>
      <c r="AB34" s="25"/>
      <c r="AC34" s="25"/>
      <c r="AD34" s="25"/>
      <c r="AE34" s="25"/>
    </row>
    <row r="35" spans="1:31" ht="409.6" outlineLevel="1" x14ac:dyDescent="0.15">
      <c r="A35" s="261" t="s">
        <v>2775</v>
      </c>
      <c r="B35" s="19"/>
      <c r="C35" s="261" t="s">
        <v>2662</v>
      </c>
      <c r="D35" s="261"/>
      <c r="E35" s="261"/>
      <c r="F35" s="261" t="s">
        <v>1099</v>
      </c>
      <c r="G35" s="261" t="s">
        <v>2696</v>
      </c>
      <c r="H35" s="261" t="s">
        <v>2776</v>
      </c>
      <c r="I35" s="261" t="s">
        <v>2668</v>
      </c>
      <c r="J35" s="84" t="s">
        <v>2669</v>
      </c>
      <c r="K35" s="84" t="s">
        <v>2670</v>
      </c>
      <c r="L35" s="84" t="s">
        <v>2760</v>
      </c>
      <c r="M35" s="332" t="s">
        <v>2672</v>
      </c>
      <c r="N35" s="332" t="s">
        <v>2777</v>
      </c>
      <c r="O35" s="332"/>
      <c r="P35" s="334" t="s">
        <v>2678</v>
      </c>
      <c r="Q35" s="84"/>
      <c r="R35" s="25"/>
      <c r="S35" s="25"/>
      <c r="T35" s="22"/>
      <c r="U35" s="25"/>
      <c r="V35" s="25"/>
      <c r="W35" s="25"/>
      <c r="X35" s="84" t="str">
        <f t="shared" si="0"/>
        <v>grantPlayerItems</v>
      </c>
      <c r="Y35" s="337" t="s">
        <v>2778</v>
      </c>
      <c r="Z35" s="25"/>
      <c r="AA35" s="25"/>
      <c r="AB35" s="25"/>
      <c r="AC35" s="25"/>
      <c r="AD35" s="25"/>
      <c r="AE35" s="25"/>
    </row>
    <row r="36" spans="1:31" ht="409.6" outlineLevel="1" x14ac:dyDescent="0.15">
      <c r="A36" s="261" t="s">
        <v>2779</v>
      </c>
      <c r="B36" s="19"/>
      <c r="C36" s="261" t="s">
        <v>2662</v>
      </c>
      <c r="D36" s="261"/>
      <c r="E36" s="261"/>
      <c r="F36" s="261" t="s">
        <v>1099</v>
      </c>
      <c r="G36" s="261" t="s">
        <v>2701</v>
      </c>
      <c r="H36" s="261" t="s">
        <v>2763</v>
      </c>
      <c r="I36" s="261" t="s">
        <v>2668</v>
      </c>
      <c r="J36" s="84" t="s">
        <v>2669</v>
      </c>
      <c r="K36" s="84" t="s">
        <v>2670</v>
      </c>
      <c r="L36" s="84" t="s">
        <v>2760</v>
      </c>
      <c r="M36" s="332" t="s">
        <v>2672</v>
      </c>
      <c r="N36" s="332" t="s">
        <v>2780</v>
      </c>
      <c r="O36" s="332"/>
      <c r="P36" s="334" t="s">
        <v>2678</v>
      </c>
      <c r="Q36" s="84"/>
      <c r="R36" s="25"/>
      <c r="S36" s="25"/>
      <c r="T36" s="22"/>
      <c r="U36" s="25"/>
      <c r="V36" s="25"/>
      <c r="W36" s="25"/>
      <c r="X36" s="84" t="str">
        <f t="shared" si="0"/>
        <v>grantPlayerItems</v>
      </c>
      <c r="Y36" s="337" t="s">
        <v>2781</v>
      </c>
      <c r="Z36" s="25"/>
      <c r="AA36" s="25"/>
      <c r="AB36" s="25"/>
      <c r="AC36" s="25"/>
      <c r="AD36" s="25"/>
      <c r="AE36" s="25"/>
    </row>
    <row r="37" spans="1:31" ht="409.6" outlineLevel="1" x14ac:dyDescent="0.15">
      <c r="A37" s="261" t="s">
        <v>2782</v>
      </c>
      <c r="B37" s="19"/>
      <c r="C37" s="261" t="s">
        <v>2662</v>
      </c>
      <c r="D37" s="336"/>
      <c r="E37" s="336"/>
      <c r="F37" s="261" t="s">
        <v>1099</v>
      </c>
      <c r="G37" s="261" t="s">
        <v>2706</v>
      </c>
      <c r="H37" s="261" t="s">
        <v>2763</v>
      </c>
      <c r="I37" s="261" t="s">
        <v>2668</v>
      </c>
      <c r="J37" s="84" t="s">
        <v>2669</v>
      </c>
      <c r="K37" s="84" t="s">
        <v>2670</v>
      </c>
      <c r="L37" s="84" t="s">
        <v>2760</v>
      </c>
      <c r="M37" s="332" t="s">
        <v>2672</v>
      </c>
      <c r="N37" s="332" t="s">
        <v>2783</v>
      </c>
      <c r="O37" s="332"/>
      <c r="P37" s="334" t="s">
        <v>2678</v>
      </c>
      <c r="Q37" s="84"/>
      <c r="R37" s="25"/>
      <c r="S37" s="25"/>
      <c r="T37" s="22"/>
      <c r="U37" s="25"/>
      <c r="V37" s="25"/>
      <c r="W37" s="25"/>
      <c r="X37" s="84" t="str">
        <f t="shared" si="0"/>
        <v>grantPlayerItems</v>
      </c>
      <c r="Y37" s="337" t="s">
        <v>2784</v>
      </c>
      <c r="Z37" s="25"/>
      <c r="AA37" s="25"/>
      <c r="AB37" s="25"/>
      <c r="AC37" s="25"/>
      <c r="AD37" s="25"/>
      <c r="AE37" s="25"/>
    </row>
    <row r="38" spans="1:31" ht="300" x14ac:dyDescent="0.15">
      <c r="A38" s="261" t="s">
        <v>2785</v>
      </c>
      <c r="B38" s="25"/>
      <c r="C38" s="261" t="s">
        <v>2715</v>
      </c>
      <c r="D38" s="336"/>
      <c r="E38" s="261" t="s">
        <v>1144</v>
      </c>
      <c r="F38" s="336"/>
      <c r="G38" s="261" t="s">
        <v>2786</v>
      </c>
      <c r="H38" s="261"/>
      <c r="I38" s="261" t="s">
        <v>2711</v>
      </c>
      <c r="J38" s="84"/>
      <c r="K38" s="84"/>
      <c r="L38" s="82"/>
      <c r="M38" s="332"/>
      <c r="N38" s="332"/>
      <c r="O38" s="332"/>
      <c r="P38" s="22"/>
      <c r="Q38" s="84"/>
      <c r="R38" s="25"/>
      <c r="S38" s="25"/>
      <c r="T38" s="22"/>
      <c r="U38" s="25"/>
      <c r="V38" s="25"/>
      <c r="W38" s="25"/>
      <c r="X38" s="84" t="str">
        <f t="shared" si="0"/>
        <v>grantPlayerItems</v>
      </c>
      <c r="Y38" s="337" t="s">
        <v>2787</v>
      </c>
      <c r="Z38" s="25"/>
      <c r="AA38" s="25"/>
      <c r="AB38" s="25"/>
      <c r="AC38" s="25"/>
      <c r="AD38" s="25"/>
      <c r="AE38" s="25"/>
    </row>
    <row r="39" spans="1:31" ht="310" outlineLevel="1" x14ac:dyDescent="0.15">
      <c r="A39" s="261" t="s">
        <v>2788</v>
      </c>
      <c r="B39" s="25"/>
      <c r="C39" s="261" t="s">
        <v>2715</v>
      </c>
      <c r="D39" s="336"/>
      <c r="E39" s="336"/>
      <c r="F39" s="261" t="s">
        <v>1144</v>
      </c>
      <c r="G39" s="261" t="s">
        <v>2675</v>
      </c>
      <c r="H39" s="261" t="s">
        <v>2789</v>
      </c>
      <c r="I39" s="261" t="s">
        <v>2711</v>
      </c>
      <c r="J39" s="84" t="s">
        <v>2669</v>
      </c>
      <c r="K39" s="84" t="s">
        <v>2790</v>
      </c>
      <c r="L39" s="82"/>
      <c r="M39" s="306"/>
      <c r="N39" s="332"/>
      <c r="O39" s="332"/>
      <c r="P39" s="22"/>
      <c r="Q39" s="84"/>
      <c r="R39" s="25"/>
      <c r="S39" s="25"/>
      <c r="T39" s="22"/>
      <c r="U39" s="25"/>
      <c r="V39" s="25"/>
      <c r="W39" s="25"/>
      <c r="X39" s="84" t="str">
        <f t="shared" si="0"/>
        <v>grantPlayerItems</v>
      </c>
      <c r="Y39" s="337" t="s">
        <v>2791</v>
      </c>
      <c r="Z39" s="25"/>
      <c r="AA39" s="25"/>
      <c r="AB39" s="25"/>
      <c r="AC39" s="25"/>
      <c r="AD39" s="25"/>
      <c r="AE39" s="25"/>
    </row>
    <row r="40" spans="1:31" ht="310" outlineLevel="1" x14ac:dyDescent="0.15">
      <c r="A40" s="261" t="s">
        <v>2792</v>
      </c>
      <c r="B40" s="25"/>
      <c r="C40" s="261" t="s">
        <v>2715</v>
      </c>
      <c r="D40" s="336"/>
      <c r="E40" s="336"/>
      <c r="F40" s="261" t="s">
        <v>1144</v>
      </c>
      <c r="G40" s="261" t="s">
        <v>2681</v>
      </c>
      <c r="H40" s="261" t="s">
        <v>2789</v>
      </c>
      <c r="I40" s="261" t="s">
        <v>2711</v>
      </c>
      <c r="J40" s="84" t="s">
        <v>2669</v>
      </c>
      <c r="K40" s="84" t="s">
        <v>2793</v>
      </c>
      <c r="L40" s="82"/>
      <c r="M40" s="306"/>
      <c r="N40" s="332"/>
      <c r="O40" s="332"/>
      <c r="P40" s="22"/>
      <c r="Q40" s="84"/>
      <c r="R40" s="25"/>
      <c r="S40" s="25"/>
      <c r="T40" s="22"/>
      <c r="U40" s="25"/>
      <c r="V40" s="25"/>
      <c r="W40" s="25"/>
      <c r="X40" s="84" t="str">
        <f t="shared" si="0"/>
        <v>grantPlayerItems</v>
      </c>
      <c r="Y40" s="337" t="s">
        <v>2794</v>
      </c>
      <c r="Z40" s="25"/>
      <c r="AA40" s="25"/>
      <c r="AB40" s="25"/>
      <c r="AC40" s="25"/>
      <c r="AD40" s="25"/>
      <c r="AE40" s="25"/>
    </row>
    <row r="41" spans="1:31" ht="310" outlineLevel="1" x14ac:dyDescent="0.15">
      <c r="A41" s="261" t="s">
        <v>2795</v>
      </c>
      <c r="B41" s="25"/>
      <c r="C41" s="261" t="s">
        <v>2715</v>
      </c>
      <c r="D41" s="336"/>
      <c r="E41" s="336"/>
      <c r="F41" s="261" t="s">
        <v>1144</v>
      </c>
      <c r="G41" s="261" t="s">
        <v>2686</v>
      </c>
      <c r="H41" s="261" t="s">
        <v>2789</v>
      </c>
      <c r="I41" s="261" t="s">
        <v>2711</v>
      </c>
      <c r="J41" s="84" t="s">
        <v>2669</v>
      </c>
      <c r="K41" s="84" t="s">
        <v>2796</v>
      </c>
      <c r="L41" s="82"/>
      <c r="M41" s="306"/>
      <c r="N41" s="332"/>
      <c r="O41" s="332"/>
      <c r="P41" s="22"/>
      <c r="Q41" s="84"/>
      <c r="R41" s="25"/>
      <c r="S41" s="25"/>
      <c r="T41" s="22"/>
      <c r="U41" s="25"/>
      <c r="V41" s="25"/>
      <c r="W41" s="25"/>
      <c r="X41" s="84" t="str">
        <f t="shared" si="0"/>
        <v>grantPlayerItems</v>
      </c>
      <c r="Y41" s="337" t="s">
        <v>2797</v>
      </c>
      <c r="Z41" s="25"/>
      <c r="AA41" s="25"/>
      <c r="AB41" s="25"/>
      <c r="AC41" s="25"/>
      <c r="AD41" s="25"/>
      <c r="AE41" s="25"/>
    </row>
    <row r="42" spans="1:31" ht="310" outlineLevel="1" x14ac:dyDescent="0.15">
      <c r="A42" s="261" t="s">
        <v>2798</v>
      </c>
      <c r="B42" s="25"/>
      <c r="C42" s="261" t="s">
        <v>2715</v>
      </c>
      <c r="D42" s="336"/>
      <c r="E42" s="336"/>
      <c r="F42" s="261" t="s">
        <v>1144</v>
      </c>
      <c r="G42" s="261" t="s">
        <v>2691</v>
      </c>
      <c r="H42" s="261" t="s">
        <v>2789</v>
      </c>
      <c r="I42" s="261" t="s">
        <v>2711</v>
      </c>
      <c r="J42" s="84" t="s">
        <v>2669</v>
      </c>
      <c r="K42" s="84" t="s">
        <v>2799</v>
      </c>
      <c r="L42" s="82"/>
      <c r="M42" s="306"/>
      <c r="N42" s="332"/>
      <c r="O42" s="332"/>
      <c r="P42" s="22"/>
      <c r="Q42" s="84"/>
      <c r="R42" s="25"/>
      <c r="S42" s="25"/>
      <c r="T42" s="22"/>
      <c r="U42" s="25"/>
      <c r="V42" s="25"/>
      <c r="W42" s="25"/>
      <c r="X42" s="84" t="str">
        <f t="shared" si="0"/>
        <v>grantPlayerItems</v>
      </c>
      <c r="Y42" s="337" t="s">
        <v>2800</v>
      </c>
      <c r="Z42" s="25"/>
      <c r="AA42" s="25"/>
      <c r="AB42" s="25"/>
      <c r="AC42" s="25"/>
      <c r="AD42" s="25"/>
      <c r="AE42" s="25"/>
    </row>
    <row r="43" spans="1:31" ht="310" outlineLevel="1" x14ac:dyDescent="0.15">
      <c r="A43" s="261" t="s">
        <v>2801</v>
      </c>
      <c r="B43" s="25"/>
      <c r="C43" s="261" t="s">
        <v>2715</v>
      </c>
      <c r="D43" s="336"/>
      <c r="E43" s="336"/>
      <c r="F43" s="261" t="s">
        <v>1144</v>
      </c>
      <c r="G43" s="261" t="s">
        <v>2696</v>
      </c>
      <c r="H43" s="261" t="s">
        <v>2789</v>
      </c>
      <c r="I43" s="261" t="s">
        <v>2711</v>
      </c>
      <c r="J43" s="84" t="s">
        <v>2669</v>
      </c>
      <c r="K43" s="84" t="s">
        <v>2802</v>
      </c>
      <c r="L43" s="82"/>
      <c r="M43" s="306"/>
      <c r="N43" s="332"/>
      <c r="O43" s="332"/>
      <c r="P43" s="22"/>
      <c r="Q43" s="84"/>
      <c r="R43" s="25"/>
      <c r="S43" s="25"/>
      <c r="T43" s="22"/>
      <c r="U43" s="25"/>
      <c r="V43" s="25"/>
      <c r="W43" s="25"/>
      <c r="X43" s="84" t="str">
        <f t="shared" si="0"/>
        <v>grantPlayerItems</v>
      </c>
      <c r="Y43" s="337" t="s">
        <v>2803</v>
      </c>
      <c r="Z43" s="25"/>
      <c r="AA43" s="25"/>
      <c r="AB43" s="25"/>
      <c r="AC43" s="25"/>
      <c r="AD43" s="25"/>
      <c r="AE43" s="25"/>
    </row>
    <row r="44" spans="1:31" ht="310" outlineLevel="1" x14ac:dyDescent="0.15">
      <c r="A44" s="261" t="s">
        <v>2804</v>
      </c>
      <c r="B44" s="25"/>
      <c r="C44" s="261" t="s">
        <v>2715</v>
      </c>
      <c r="D44" s="336"/>
      <c r="E44" s="336"/>
      <c r="F44" s="261" t="s">
        <v>1144</v>
      </c>
      <c r="G44" s="261" t="s">
        <v>2701</v>
      </c>
      <c r="H44" s="261" t="s">
        <v>2789</v>
      </c>
      <c r="I44" s="261" t="s">
        <v>2711</v>
      </c>
      <c r="J44" s="84" t="s">
        <v>2669</v>
      </c>
      <c r="K44" s="84" t="s">
        <v>2805</v>
      </c>
      <c r="L44" s="82"/>
      <c r="M44" s="306"/>
      <c r="N44" s="332"/>
      <c r="O44" s="332"/>
      <c r="P44" s="22"/>
      <c r="Q44" s="84"/>
      <c r="R44" s="25"/>
      <c r="S44" s="25"/>
      <c r="T44" s="22"/>
      <c r="U44" s="25"/>
      <c r="V44" s="25"/>
      <c r="W44" s="25"/>
      <c r="X44" s="84" t="str">
        <f t="shared" si="0"/>
        <v>grantPlayerItems</v>
      </c>
      <c r="Y44" s="337" t="s">
        <v>2806</v>
      </c>
      <c r="Z44" s="25"/>
      <c r="AA44" s="25"/>
      <c r="AB44" s="25"/>
      <c r="AC44" s="25"/>
      <c r="AD44" s="25"/>
      <c r="AE44" s="25"/>
    </row>
    <row r="45" spans="1:31" ht="310" outlineLevel="1" x14ac:dyDescent="0.15">
      <c r="A45" s="261" t="s">
        <v>2807</v>
      </c>
      <c r="B45" s="25"/>
      <c r="C45" s="261" t="s">
        <v>2715</v>
      </c>
      <c r="D45" s="336"/>
      <c r="E45" s="336"/>
      <c r="F45" s="261" t="s">
        <v>1144</v>
      </c>
      <c r="G45" s="261" t="s">
        <v>2706</v>
      </c>
      <c r="H45" s="261" t="s">
        <v>2789</v>
      </c>
      <c r="I45" s="261" t="s">
        <v>2711</v>
      </c>
      <c r="J45" s="84" t="s">
        <v>2669</v>
      </c>
      <c r="K45" s="84" t="s">
        <v>2808</v>
      </c>
      <c r="L45" s="82"/>
      <c r="M45" s="306"/>
      <c r="N45" s="332"/>
      <c r="O45" s="332"/>
      <c r="P45" s="22"/>
      <c r="Q45" s="84"/>
      <c r="R45" s="25"/>
      <c r="S45" s="25"/>
      <c r="T45" s="22"/>
      <c r="U45" s="25"/>
      <c r="V45" s="25"/>
      <c r="W45" s="25"/>
      <c r="X45" s="84" t="str">
        <f t="shared" si="0"/>
        <v>grantPlayerItems</v>
      </c>
      <c r="Y45" s="337" t="s">
        <v>2809</v>
      </c>
      <c r="Z45" s="25"/>
      <c r="AA45" s="25"/>
      <c r="AB45" s="25"/>
      <c r="AC45" s="25"/>
      <c r="AD45" s="25"/>
      <c r="AE45" s="25"/>
    </row>
    <row r="46" spans="1:31" ht="300" x14ac:dyDescent="0.15">
      <c r="A46" s="261" t="s">
        <v>2810</v>
      </c>
      <c r="B46" s="25"/>
      <c r="C46" s="261" t="s">
        <v>2811</v>
      </c>
      <c r="D46" s="336"/>
      <c r="E46" s="261" t="s">
        <v>907</v>
      </c>
      <c r="F46" s="336"/>
      <c r="G46" s="261" t="s">
        <v>2812</v>
      </c>
      <c r="H46" s="261"/>
      <c r="I46" s="261" t="s">
        <v>2711</v>
      </c>
      <c r="J46" s="84" t="s">
        <v>2669</v>
      </c>
      <c r="K46" s="84" t="s">
        <v>2670</v>
      </c>
      <c r="L46" s="84" t="s">
        <v>2813</v>
      </c>
      <c r="M46" s="332" t="s">
        <v>2672</v>
      </c>
      <c r="N46" s="332"/>
      <c r="O46" s="332"/>
      <c r="P46" s="22"/>
      <c r="Q46" s="84"/>
      <c r="R46" s="25"/>
      <c r="S46" s="25"/>
      <c r="T46" s="22"/>
      <c r="U46" s="25"/>
      <c r="V46" s="25"/>
      <c r="W46" s="25"/>
      <c r="X46" s="84" t="str">
        <f t="shared" si="0"/>
        <v>grantPlayerItems</v>
      </c>
      <c r="Y46" s="337" t="s">
        <v>2814</v>
      </c>
      <c r="Z46" s="25"/>
      <c r="AA46" s="25"/>
      <c r="AB46" s="25"/>
      <c r="AC46" s="25"/>
      <c r="AD46" s="25"/>
      <c r="AE46" s="25"/>
    </row>
    <row r="47" spans="1:31" ht="409.6" outlineLevel="1" x14ac:dyDescent="0.15">
      <c r="A47" s="261" t="s">
        <v>2815</v>
      </c>
      <c r="B47" s="25"/>
      <c r="C47" s="261" t="s">
        <v>2816</v>
      </c>
      <c r="D47" s="336"/>
      <c r="E47" s="336"/>
      <c r="F47" s="261" t="s">
        <v>907</v>
      </c>
      <c r="G47" s="261" t="s">
        <v>2675</v>
      </c>
      <c r="H47" s="261" t="s">
        <v>2817</v>
      </c>
      <c r="I47" s="261" t="s">
        <v>2711</v>
      </c>
      <c r="J47" s="84" t="s">
        <v>2669</v>
      </c>
      <c r="K47" s="84" t="s">
        <v>2670</v>
      </c>
      <c r="L47" s="84" t="s">
        <v>2813</v>
      </c>
      <c r="M47" s="332" t="s">
        <v>2672</v>
      </c>
      <c r="N47" s="84" t="s">
        <v>2818</v>
      </c>
      <c r="O47" s="332"/>
      <c r="P47" s="334" t="s">
        <v>2678</v>
      </c>
      <c r="Q47" s="84"/>
      <c r="R47" s="25"/>
      <c r="S47" s="25"/>
      <c r="T47" s="22"/>
      <c r="U47" s="25"/>
      <c r="V47" s="25"/>
      <c r="W47" s="25"/>
      <c r="X47" s="84" t="str">
        <f t="shared" si="0"/>
        <v>grantPlayerItems</v>
      </c>
      <c r="Y47" s="337" t="s">
        <v>2819</v>
      </c>
      <c r="Z47" s="25"/>
      <c r="AA47" s="25"/>
      <c r="AB47" s="25"/>
      <c r="AC47" s="25"/>
      <c r="AD47" s="25"/>
      <c r="AE47" s="25"/>
    </row>
    <row r="48" spans="1:31" ht="409.6" outlineLevel="1" x14ac:dyDescent="0.15">
      <c r="A48" s="261" t="s">
        <v>2820</v>
      </c>
      <c r="B48" s="25"/>
      <c r="C48" s="261" t="s">
        <v>2816</v>
      </c>
      <c r="D48" s="336"/>
      <c r="E48" s="336"/>
      <c r="F48" s="261" t="s">
        <v>907</v>
      </c>
      <c r="G48" s="261" t="s">
        <v>2681</v>
      </c>
      <c r="H48" s="261" t="s">
        <v>2817</v>
      </c>
      <c r="I48" s="261" t="s">
        <v>2711</v>
      </c>
      <c r="J48" s="84" t="s">
        <v>2669</v>
      </c>
      <c r="K48" s="84" t="s">
        <v>2670</v>
      </c>
      <c r="L48" s="84" t="s">
        <v>2813</v>
      </c>
      <c r="M48" s="332" t="s">
        <v>2672</v>
      </c>
      <c r="N48" s="84" t="s">
        <v>2821</v>
      </c>
      <c r="O48" s="332"/>
      <c r="P48" s="334" t="s">
        <v>2678</v>
      </c>
      <c r="Q48" s="84"/>
      <c r="R48" s="25"/>
      <c r="S48" s="25"/>
      <c r="T48" s="22"/>
      <c r="U48" s="25"/>
      <c r="V48" s="25"/>
      <c r="W48" s="25"/>
      <c r="X48" s="84" t="str">
        <f t="shared" si="0"/>
        <v>grantPlayerItems</v>
      </c>
      <c r="Y48" s="337" t="s">
        <v>2822</v>
      </c>
      <c r="Z48" s="25"/>
      <c r="AA48" s="25"/>
      <c r="AB48" s="25"/>
      <c r="AC48" s="25"/>
      <c r="AD48" s="25"/>
      <c r="AE48" s="25"/>
    </row>
    <row r="49" spans="1:31" ht="409.6" outlineLevel="1" x14ac:dyDescent="0.15">
      <c r="A49" s="261" t="s">
        <v>2823</v>
      </c>
      <c r="B49" s="25"/>
      <c r="C49" s="261" t="s">
        <v>2816</v>
      </c>
      <c r="D49" s="336"/>
      <c r="E49" s="336"/>
      <c r="F49" s="261" t="s">
        <v>907</v>
      </c>
      <c r="G49" s="261" t="s">
        <v>2686</v>
      </c>
      <c r="H49" s="261" t="s">
        <v>2817</v>
      </c>
      <c r="I49" s="261" t="s">
        <v>2711</v>
      </c>
      <c r="J49" s="84" t="s">
        <v>2669</v>
      </c>
      <c r="K49" s="84" t="s">
        <v>2670</v>
      </c>
      <c r="L49" s="84" t="s">
        <v>2813</v>
      </c>
      <c r="M49" s="332" t="s">
        <v>2672</v>
      </c>
      <c r="N49" s="84" t="s">
        <v>2824</v>
      </c>
      <c r="O49" s="332"/>
      <c r="P49" s="334" t="s">
        <v>2678</v>
      </c>
      <c r="Q49" s="84"/>
      <c r="R49" s="25"/>
      <c r="S49" s="25"/>
      <c r="T49" s="22"/>
      <c r="U49" s="25"/>
      <c r="V49" s="25"/>
      <c r="W49" s="25"/>
      <c r="X49" s="84" t="str">
        <f t="shared" si="0"/>
        <v>grantPlayerItems</v>
      </c>
      <c r="Y49" s="337" t="s">
        <v>2825</v>
      </c>
      <c r="Z49" s="25"/>
      <c r="AA49" s="25"/>
      <c r="AB49" s="25"/>
      <c r="AC49" s="25"/>
      <c r="AD49" s="25"/>
      <c r="AE49" s="25"/>
    </row>
    <row r="50" spans="1:31" ht="409.6" outlineLevel="1" x14ac:dyDescent="0.15">
      <c r="A50" s="261" t="s">
        <v>2826</v>
      </c>
      <c r="B50" s="25"/>
      <c r="C50" s="261" t="s">
        <v>2816</v>
      </c>
      <c r="D50" s="336"/>
      <c r="E50" s="336"/>
      <c r="F50" s="261" t="s">
        <v>907</v>
      </c>
      <c r="G50" s="261" t="s">
        <v>2691</v>
      </c>
      <c r="H50" s="261" t="s">
        <v>2817</v>
      </c>
      <c r="I50" s="261" t="s">
        <v>2711</v>
      </c>
      <c r="J50" s="84" t="s">
        <v>2669</v>
      </c>
      <c r="K50" s="84" t="s">
        <v>2670</v>
      </c>
      <c r="L50" s="84" t="s">
        <v>2813</v>
      </c>
      <c r="M50" s="332" t="s">
        <v>2672</v>
      </c>
      <c r="N50" s="84" t="s">
        <v>2827</v>
      </c>
      <c r="O50" s="332"/>
      <c r="P50" s="334" t="s">
        <v>2678</v>
      </c>
      <c r="Q50" s="84"/>
      <c r="R50" s="25"/>
      <c r="S50" s="25"/>
      <c r="T50" s="22"/>
      <c r="U50" s="25"/>
      <c r="V50" s="25"/>
      <c r="W50" s="25"/>
      <c r="X50" s="84" t="str">
        <f t="shared" si="0"/>
        <v>grantPlayerItems</v>
      </c>
      <c r="Y50" s="337" t="s">
        <v>2828</v>
      </c>
      <c r="Z50" s="25"/>
      <c r="AA50" s="25"/>
      <c r="AB50" s="25"/>
      <c r="AC50" s="25"/>
      <c r="AD50" s="25"/>
      <c r="AE50" s="25"/>
    </row>
    <row r="51" spans="1:31" ht="409.6" outlineLevel="1" x14ac:dyDescent="0.15">
      <c r="A51" s="261" t="s">
        <v>2829</v>
      </c>
      <c r="B51" s="25"/>
      <c r="C51" s="261" t="s">
        <v>2816</v>
      </c>
      <c r="D51" s="336"/>
      <c r="E51" s="336"/>
      <c r="F51" s="261" t="s">
        <v>907</v>
      </c>
      <c r="G51" s="261" t="s">
        <v>2696</v>
      </c>
      <c r="H51" s="261" t="s">
        <v>2817</v>
      </c>
      <c r="I51" s="261" t="s">
        <v>2711</v>
      </c>
      <c r="J51" s="84" t="s">
        <v>2669</v>
      </c>
      <c r="K51" s="84" t="s">
        <v>2670</v>
      </c>
      <c r="L51" s="84" t="s">
        <v>2813</v>
      </c>
      <c r="M51" s="332" t="s">
        <v>2672</v>
      </c>
      <c r="N51" s="84" t="s">
        <v>2830</v>
      </c>
      <c r="O51" s="332"/>
      <c r="P51" s="334" t="s">
        <v>2678</v>
      </c>
      <c r="Q51" s="84"/>
      <c r="R51" s="25"/>
      <c r="S51" s="25"/>
      <c r="T51" s="22"/>
      <c r="U51" s="25"/>
      <c r="V51" s="25"/>
      <c r="W51" s="25"/>
      <c r="X51" s="84" t="str">
        <f t="shared" si="0"/>
        <v>grantPlayerItems</v>
      </c>
      <c r="Y51" s="337" t="s">
        <v>2831</v>
      </c>
      <c r="Z51" s="25"/>
      <c r="AA51" s="25"/>
      <c r="AB51" s="25"/>
      <c r="AC51" s="25"/>
      <c r="AD51" s="25"/>
      <c r="AE51" s="25"/>
    </row>
    <row r="52" spans="1:31" ht="409.6" outlineLevel="1" x14ac:dyDescent="0.15">
      <c r="A52" s="261" t="s">
        <v>2832</v>
      </c>
      <c r="B52" s="25"/>
      <c r="C52" s="261" t="s">
        <v>2816</v>
      </c>
      <c r="D52" s="336"/>
      <c r="E52" s="336"/>
      <c r="F52" s="261" t="s">
        <v>907</v>
      </c>
      <c r="G52" s="261" t="s">
        <v>2701</v>
      </c>
      <c r="H52" s="261" t="s">
        <v>2817</v>
      </c>
      <c r="I52" s="261" t="s">
        <v>2711</v>
      </c>
      <c r="J52" s="84" t="s">
        <v>2669</v>
      </c>
      <c r="K52" s="84" t="s">
        <v>2670</v>
      </c>
      <c r="L52" s="84" t="s">
        <v>2813</v>
      </c>
      <c r="M52" s="332" t="s">
        <v>2672</v>
      </c>
      <c r="N52" s="84" t="s">
        <v>2833</v>
      </c>
      <c r="O52" s="332"/>
      <c r="P52" s="334" t="s">
        <v>2678</v>
      </c>
      <c r="Q52" s="84"/>
      <c r="R52" s="25"/>
      <c r="S52" s="25"/>
      <c r="T52" s="22"/>
      <c r="U52" s="25"/>
      <c r="V52" s="25"/>
      <c r="W52" s="25"/>
      <c r="X52" s="84" t="str">
        <f t="shared" si="0"/>
        <v>grantPlayerItems</v>
      </c>
      <c r="Y52" s="337" t="s">
        <v>2834</v>
      </c>
      <c r="Z52" s="25"/>
      <c r="AA52" s="25"/>
      <c r="AB52" s="25"/>
      <c r="AC52" s="25"/>
      <c r="AD52" s="25"/>
      <c r="AE52" s="25"/>
    </row>
    <row r="53" spans="1:31" ht="409.6" outlineLevel="1" x14ac:dyDescent="0.15">
      <c r="A53" s="261" t="s">
        <v>2835</v>
      </c>
      <c r="B53" s="25"/>
      <c r="C53" s="261" t="s">
        <v>2816</v>
      </c>
      <c r="D53" s="336"/>
      <c r="E53" s="336"/>
      <c r="F53" s="261" t="s">
        <v>907</v>
      </c>
      <c r="G53" s="261" t="s">
        <v>2706</v>
      </c>
      <c r="H53" s="261" t="s">
        <v>2817</v>
      </c>
      <c r="I53" s="261" t="s">
        <v>2711</v>
      </c>
      <c r="J53" s="84" t="s">
        <v>2669</v>
      </c>
      <c r="K53" s="84" t="s">
        <v>2670</v>
      </c>
      <c r="L53" s="84" t="s">
        <v>2813</v>
      </c>
      <c r="M53" s="332" t="s">
        <v>2672</v>
      </c>
      <c r="N53" s="84" t="s">
        <v>2808</v>
      </c>
      <c r="O53" s="332"/>
      <c r="P53" s="334" t="s">
        <v>2678</v>
      </c>
      <c r="Q53" s="84"/>
      <c r="R53" s="25"/>
      <c r="S53" s="25"/>
      <c r="T53" s="22"/>
      <c r="U53" s="25"/>
      <c r="V53" s="25"/>
      <c r="W53" s="25"/>
      <c r="X53" s="84" t="str">
        <f t="shared" si="0"/>
        <v>grantPlayerItems</v>
      </c>
      <c r="Y53" s="337" t="s">
        <v>2836</v>
      </c>
      <c r="Z53" s="25"/>
      <c r="AA53" s="25"/>
      <c r="AB53" s="25"/>
      <c r="AC53" s="25"/>
      <c r="AD53" s="25"/>
      <c r="AE53" s="25"/>
    </row>
    <row r="54" spans="1:31" ht="300" x14ac:dyDescent="0.15">
      <c r="A54" s="261" t="s">
        <v>2837</v>
      </c>
      <c r="B54" s="25"/>
      <c r="C54" s="261" t="s">
        <v>2838</v>
      </c>
      <c r="D54" s="336"/>
      <c r="E54" s="261" t="s">
        <v>1045</v>
      </c>
      <c r="F54" s="336"/>
      <c r="G54" s="261" t="s">
        <v>2812</v>
      </c>
      <c r="H54" s="261"/>
      <c r="I54" s="261" t="s">
        <v>2711</v>
      </c>
      <c r="J54" s="84" t="s">
        <v>2669</v>
      </c>
      <c r="K54" s="84" t="s">
        <v>2670</v>
      </c>
      <c r="L54" s="84" t="s">
        <v>2839</v>
      </c>
      <c r="M54" s="332" t="s">
        <v>2672</v>
      </c>
      <c r="N54" s="332"/>
      <c r="O54" s="332"/>
      <c r="P54" s="22"/>
      <c r="Q54" s="84"/>
      <c r="R54" s="25"/>
      <c r="S54" s="25"/>
      <c r="T54" s="22"/>
      <c r="U54" s="25"/>
      <c r="V54" s="25"/>
      <c r="W54" s="25"/>
      <c r="X54" s="84" t="str">
        <f t="shared" si="0"/>
        <v>grantPlayerItems</v>
      </c>
      <c r="Y54" s="337" t="s">
        <v>2840</v>
      </c>
      <c r="Z54" s="25"/>
      <c r="AA54" s="25"/>
      <c r="AB54" s="25"/>
      <c r="AC54" s="25"/>
      <c r="AD54" s="25"/>
      <c r="AE54" s="25"/>
    </row>
    <row r="55" spans="1:31" ht="409.6" outlineLevel="1" x14ac:dyDescent="0.15">
      <c r="A55" s="261" t="s">
        <v>2841</v>
      </c>
      <c r="B55" s="25"/>
      <c r="C55" s="261" t="s">
        <v>2838</v>
      </c>
      <c r="D55" s="336"/>
      <c r="E55" s="336"/>
      <c r="F55" s="261" t="s">
        <v>1045</v>
      </c>
      <c r="G55" s="261" t="s">
        <v>2675</v>
      </c>
      <c r="H55" s="261" t="s">
        <v>2842</v>
      </c>
      <c r="I55" s="261" t="s">
        <v>2711</v>
      </c>
      <c r="J55" s="84" t="s">
        <v>2669</v>
      </c>
      <c r="K55" s="84" t="s">
        <v>2670</v>
      </c>
      <c r="L55" s="84" t="s">
        <v>2839</v>
      </c>
      <c r="M55" s="332" t="s">
        <v>2672</v>
      </c>
      <c r="N55" s="84" t="s">
        <v>2843</v>
      </c>
      <c r="O55" s="332"/>
      <c r="P55" s="334" t="s">
        <v>2678</v>
      </c>
      <c r="Q55" s="84"/>
      <c r="R55" s="25"/>
      <c r="S55" s="25"/>
      <c r="T55" s="22"/>
      <c r="U55" s="25"/>
      <c r="V55" s="25"/>
      <c r="W55" s="25"/>
      <c r="X55" s="84" t="str">
        <f t="shared" si="0"/>
        <v>grantPlayerItems</v>
      </c>
      <c r="Y55" s="337" t="s">
        <v>2844</v>
      </c>
      <c r="Z55" s="25"/>
      <c r="AA55" s="25"/>
      <c r="AB55" s="25"/>
      <c r="AC55" s="25"/>
      <c r="AD55" s="25"/>
      <c r="AE55" s="25"/>
    </row>
    <row r="56" spans="1:31" ht="409.6" outlineLevel="1" x14ac:dyDescent="0.15">
      <c r="A56" s="261" t="s">
        <v>2845</v>
      </c>
      <c r="B56" s="25"/>
      <c r="C56" s="261" t="s">
        <v>2838</v>
      </c>
      <c r="D56" s="336"/>
      <c r="E56" s="336"/>
      <c r="F56" s="261" t="s">
        <v>1045</v>
      </c>
      <c r="G56" s="261" t="s">
        <v>2681</v>
      </c>
      <c r="H56" s="261" t="s">
        <v>2842</v>
      </c>
      <c r="I56" s="261" t="s">
        <v>2711</v>
      </c>
      <c r="J56" s="84" t="s">
        <v>2669</v>
      </c>
      <c r="K56" s="84" t="s">
        <v>2670</v>
      </c>
      <c r="L56" s="84" t="s">
        <v>2839</v>
      </c>
      <c r="M56" s="332" t="s">
        <v>2672</v>
      </c>
      <c r="N56" s="84" t="s">
        <v>2846</v>
      </c>
      <c r="O56" s="332"/>
      <c r="P56" s="334" t="s">
        <v>2678</v>
      </c>
      <c r="Q56" s="84"/>
      <c r="R56" s="25"/>
      <c r="S56" s="25"/>
      <c r="T56" s="22"/>
      <c r="U56" s="25"/>
      <c r="V56" s="25"/>
      <c r="W56" s="25"/>
      <c r="X56" s="84" t="str">
        <f t="shared" si="0"/>
        <v>grantPlayerItems</v>
      </c>
      <c r="Y56" s="337" t="s">
        <v>2847</v>
      </c>
      <c r="Z56" s="25"/>
      <c r="AA56" s="25"/>
      <c r="AB56" s="25"/>
      <c r="AC56" s="25"/>
      <c r="AD56" s="25"/>
      <c r="AE56" s="25"/>
    </row>
    <row r="57" spans="1:31" ht="409.6" outlineLevel="1" x14ac:dyDescent="0.15">
      <c r="A57" s="261" t="s">
        <v>2848</v>
      </c>
      <c r="B57" s="25"/>
      <c r="C57" s="261" t="s">
        <v>2838</v>
      </c>
      <c r="D57" s="336"/>
      <c r="E57" s="336"/>
      <c r="F57" s="261" t="s">
        <v>1045</v>
      </c>
      <c r="G57" s="261" t="s">
        <v>2686</v>
      </c>
      <c r="H57" s="261" t="s">
        <v>2842</v>
      </c>
      <c r="I57" s="261" t="s">
        <v>2711</v>
      </c>
      <c r="J57" s="84" t="s">
        <v>2669</v>
      </c>
      <c r="K57" s="84" t="s">
        <v>2670</v>
      </c>
      <c r="L57" s="84" t="s">
        <v>2839</v>
      </c>
      <c r="M57" s="332" t="s">
        <v>2672</v>
      </c>
      <c r="N57" s="84" t="s">
        <v>2849</v>
      </c>
      <c r="O57" s="332"/>
      <c r="P57" s="334" t="s">
        <v>2678</v>
      </c>
      <c r="Q57" s="84"/>
      <c r="R57" s="25"/>
      <c r="S57" s="25"/>
      <c r="T57" s="22"/>
      <c r="U57" s="25"/>
      <c r="V57" s="25"/>
      <c r="W57" s="25"/>
      <c r="X57" s="84" t="str">
        <f t="shared" si="0"/>
        <v>grantPlayerItems</v>
      </c>
      <c r="Y57" s="337" t="s">
        <v>2850</v>
      </c>
      <c r="Z57" s="25"/>
      <c r="AA57" s="25"/>
      <c r="AB57" s="25"/>
      <c r="AC57" s="25"/>
      <c r="AD57" s="25"/>
      <c r="AE57" s="25"/>
    </row>
    <row r="58" spans="1:31" ht="409.6" outlineLevel="1" x14ac:dyDescent="0.15">
      <c r="A58" s="261" t="s">
        <v>2851</v>
      </c>
      <c r="B58" s="25"/>
      <c r="C58" s="261" t="s">
        <v>2838</v>
      </c>
      <c r="D58" s="336"/>
      <c r="E58" s="336"/>
      <c r="F58" s="261" t="s">
        <v>1045</v>
      </c>
      <c r="G58" s="261" t="s">
        <v>2691</v>
      </c>
      <c r="H58" s="261" t="s">
        <v>2842</v>
      </c>
      <c r="I58" s="261" t="s">
        <v>2711</v>
      </c>
      <c r="J58" s="84" t="s">
        <v>2669</v>
      </c>
      <c r="K58" s="84" t="s">
        <v>2670</v>
      </c>
      <c r="L58" s="84" t="s">
        <v>2839</v>
      </c>
      <c r="M58" s="332" t="s">
        <v>2672</v>
      </c>
      <c r="N58" s="84" t="s">
        <v>2852</v>
      </c>
      <c r="O58" s="332"/>
      <c r="P58" s="334" t="s">
        <v>2678</v>
      </c>
      <c r="Q58" s="84"/>
      <c r="R58" s="25"/>
      <c r="S58" s="25"/>
      <c r="T58" s="22"/>
      <c r="U58" s="25"/>
      <c r="V58" s="25"/>
      <c r="W58" s="25"/>
      <c r="X58" s="84" t="str">
        <f t="shared" si="0"/>
        <v>grantPlayerItems</v>
      </c>
      <c r="Y58" s="337" t="s">
        <v>2853</v>
      </c>
      <c r="Z58" s="25"/>
      <c r="AA58" s="25"/>
      <c r="AB58" s="25"/>
      <c r="AC58" s="25"/>
      <c r="AD58" s="25"/>
      <c r="AE58" s="25"/>
    </row>
    <row r="59" spans="1:31" ht="409.6" outlineLevel="1" x14ac:dyDescent="0.15">
      <c r="A59" s="261" t="s">
        <v>2854</v>
      </c>
      <c r="B59" s="25"/>
      <c r="C59" s="261" t="s">
        <v>2838</v>
      </c>
      <c r="D59" s="336"/>
      <c r="E59" s="336"/>
      <c r="F59" s="261" t="s">
        <v>1045</v>
      </c>
      <c r="G59" s="261" t="s">
        <v>2696</v>
      </c>
      <c r="H59" s="261" t="s">
        <v>2842</v>
      </c>
      <c r="I59" s="261" t="s">
        <v>2711</v>
      </c>
      <c r="J59" s="84" t="s">
        <v>2669</v>
      </c>
      <c r="K59" s="84" t="s">
        <v>2670</v>
      </c>
      <c r="L59" s="84" t="s">
        <v>2839</v>
      </c>
      <c r="M59" s="332" t="s">
        <v>2672</v>
      </c>
      <c r="N59" s="84" t="s">
        <v>2855</v>
      </c>
      <c r="O59" s="332"/>
      <c r="P59" s="334" t="s">
        <v>2678</v>
      </c>
      <c r="Q59" s="84"/>
      <c r="R59" s="25"/>
      <c r="S59" s="25"/>
      <c r="T59" s="22"/>
      <c r="U59" s="25"/>
      <c r="V59" s="25"/>
      <c r="W59" s="25"/>
      <c r="X59" s="84" t="str">
        <f t="shared" si="0"/>
        <v>grantPlayerItems</v>
      </c>
      <c r="Y59" s="337" t="s">
        <v>2856</v>
      </c>
      <c r="Z59" s="25"/>
      <c r="AA59" s="25"/>
      <c r="AB59" s="25"/>
      <c r="AC59" s="25"/>
      <c r="AD59" s="25"/>
      <c r="AE59" s="25"/>
    </row>
    <row r="60" spans="1:31" ht="409.6" outlineLevel="1" x14ac:dyDescent="0.15">
      <c r="A60" s="261" t="s">
        <v>2857</v>
      </c>
      <c r="B60" s="25"/>
      <c r="C60" s="261" t="s">
        <v>2838</v>
      </c>
      <c r="D60" s="336"/>
      <c r="E60" s="336"/>
      <c r="F60" s="261" t="s">
        <v>1045</v>
      </c>
      <c r="G60" s="261" t="s">
        <v>2701</v>
      </c>
      <c r="H60" s="261" t="s">
        <v>2842</v>
      </c>
      <c r="I60" s="261" t="s">
        <v>2711</v>
      </c>
      <c r="J60" s="84" t="s">
        <v>2669</v>
      </c>
      <c r="K60" s="84" t="s">
        <v>2670</v>
      </c>
      <c r="L60" s="84" t="s">
        <v>2839</v>
      </c>
      <c r="M60" s="332" t="s">
        <v>2672</v>
      </c>
      <c r="N60" s="84" t="s">
        <v>2858</v>
      </c>
      <c r="O60" s="332"/>
      <c r="P60" s="334" t="s">
        <v>2678</v>
      </c>
      <c r="Q60" s="84"/>
      <c r="R60" s="25"/>
      <c r="S60" s="25"/>
      <c r="T60" s="22"/>
      <c r="U60" s="25"/>
      <c r="V60" s="25"/>
      <c r="W60" s="25"/>
      <c r="X60" s="84" t="str">
        <f t="shared" si="0"/>
        <v>grantPlayerItems</v>
      </c>
      <c r="Y60" s="337" t="s">
        <v>2859</v>
      </c>
      <c r="Z60" s="25"/>
      <c r="AA60" s="25"/>
      <c r="AB60" s="25"/>
      <c r="AC60" s="25"/>
      <c r="AD60" s="25"/>
      <c r="AE60" s="25"/>
    </row>
    <row r="61" spans="1:31" ht="409.6" outlineLevel="1" x14ac:dyDescent="0.15">
      <c r="A61" s="261" t="s">
        <v>2860</v>
      </c>
      <c r="B61" s="25"/>
      <c r="C61" s="261" t="s">
        <v>2838</v>
      </c>
      <c r="D61" s="336"/>
      <c r="E61" s="336"/>
      <c r="F61" s="261" t="s">
        <v>1045</v>
      </c>
      <c r="G61" s="261" t="s">
        <v>2706</v>
      </c>
      <c r="H61" s="261" t="s">
        <v>2842</v>
      </c>
      <c r="I61" s="261" t="s">
        <v>2711</v>
      </c>
      <c r="J61" s="84" t="s">
        <v>2669</v>
      </c>
      <c r="K61" s="84" t="s">
        <v>2670</v>
      </c>
      <c r="L61" s="84" t="s">
        <v>2839</v>
      </c>
      <c r="M61" s="332" t="s">
        <v>2672</v>
      </c>
      <c r="N61" s="84" t="s">
        <v>2861</v>
      </c>
      <c r="O61" s="332"/>
      <c r="P61" s="334" t="s">
        <v>2678</v>
      </c>
      <c r="Q61" s="84"/>
      <c r="R61" s="25"/>
      <c r="S61" s="25"/>
      <c r="T61" s="22"/>
      <c r="U61" s="25"/>
      <c r="V61" s="25"/>
      <c r="W61" s="25"/>
      <c r="X61" s="84" t="str">
        <f t="shared" si="0"/>
        <v>grantPlayerItems</v>
      </c>
      <c r="Y61" s="337" t="s">
        <v>2862</v>
      </c>
      <c r="Z61" s="25"/>
      <c r="AA61" s="25"/>
      <c r="AB61" s="25"/>
      <c r="AC61" s="25"/>
      <c r="AD61" s="25"/>
      <c r="AE61" s="25"/>
    </row>
    <row r="62" spans="1:31" ht="300" x14ac:dyDescent="0.15">
      <c r="A62" s="261" t="s">
        <v>2811</v>
      </c>
      <c r="B62" s="25"/>
      <c r="C62" s="261" t="s">
        <v>2838</v>
      </c>
      <c r="D62" s="336"/>
      <c r="E62" s="261" t="s">
        <v>1072</v>
      </c>
      <c r="F62" s="336"/>
      <c r="G62" s="261" t="s">
        <v>2812</v>
      </c>
      <c r="H62" s="261"/>
      <c r="I62" s="261" t="s">
        <v>2711</v>
      </c>
      <c r="J62" s="84" t="s">
        <v>2669</v>
      </c>
      <c r="K62" s="84" t="s">
        <v>2670</v>
      </c>
      <c r="L62" s="84" t="s">
        <v>2863</v>
      </c>
      <c r="M62" s="332" t="s">
        <v>2672</v>
      </c>
      <c r="N62" s="332"/>
      <c r="O62" s="332"/>
      <c r="P62" s="22"/>
      <c r="Q62" s="84"/>
      <c r="R62" s="25"/>
      <c r="S62" s="25"/>
      <c r="T62" s="22"/>
      <c r="U62" s="25"/>
      <c r="V62" s="25"/>
      <c r="W62" s="25"/>
      <c r="X62" s="84" t="str">
        <f t="shared" si="0"/>
        <v>grantPlayerItems</v>
      </c>
      <c r="Y62" s="337" t="s">
        <v>2864</v>
      </c>
      <c r="Z62" s="25"/>
      <c r="AA62" s="25"/>
      <c r="AB62" s="25"/>
      <c r="AC62" s="25"/>
      <c r="AD62" s="25"/>
      <c r="AE62" s="25"/>
    </row>
    <row r="63" spans="1:31" ht="409.6" outlineLevel="1" x14ac:dyDescent="0.15">
      <c r="A63" s="261" t="s">
        <v>2865</v>
      </c>
      <c r="B63" s="25"/>
      <c r="C63" s="261" t="s">
        <v>2838</v>
      </c>
      <c r="D63" s="336"/>
      <c r="E63" s="336"/>
      <c r="F63" s="261" t="s">
        <v>1072</v>
      </c>
      <c r="G63" s="261" t="s">
        <v>2675</v>
      </c>
      <c r="H63" s="261" t="s">
        <v>2842</v>
      </c>
      <c r="I63" s="261" t="s">
        <v>2711</v>
      </c>
      <c r="J63" s="84" t="s">
        <v>2669</v>
      </c>
      <c r="K63" s="84" t="s">
        <v>2670</v>
      </c>
      <c r="L63" s="84" t="s">
        <v>2863</v>
      </c>
      <c r="M63" s="332" t="s">
        <v>2672</v>
      </c>
      <c r="N63" s="84" t="s">
        <v>2866</v>
      </c>
      <c r="O63" s="332"/>
      <c r="P63" s="334" t="s">
        <v>2678</v>
      </c>
      <c r="Q63" s="84"/>
      <c r="R63" s="25"/>
      <c r="S63" s="25"/>
      <c r="T63" s="22"/>
      <c r="U63" s="25"/>
      <c r="V63" s="25"/>
      <c r="W63" s="25"/>
      <c r="X63" s="84" t="str">
        <f t="shared" si="0"/>
        <v>grantPlayerItems</v>
      </c>
      <c r="Y63" s="337" t="s">
        <v>2867</v>
      </c>
      <c r="Z63" s="25"/>
      <c r="AA63" s="25"/>
      <c r="AB63" s="25"/>
      <c r="AC63" s="25"/>
      <c r="AD63" s="25"/>
      <c r="AE63" s="25"/>
    </row>
    <row r="64" spans="1:31" ht="409.6" outlineLevel="1" x14ac:dyDescent="0.15">
      <c r="A64" s="261" t="s">
        <v>2868</v>
      </c>
      <c r="B64" s="25"/>
      <c r="C64" s="261" t="s">
        <v>2869</v>
      </c>
      <c r="D64" s="336"/>
      <c r="E64" s="336"/>
      <c r="F64" s="261" t="s">
        <v>1072</v>
      </c>
      <c r="G64" s="261" t="s">
        <v>2681</v>
      </c>
      <c r="H64" s="261" t="s">
        <v>2842</v>
      </c>
      <c r="I64" s="261" t="s">
        <v>2711</v>
      </c>
      <c r="J64" s="84" t="s">
        <v>2669</v>
      </c>
      <c r="K64" s="84" t="s">
        <v>2670</v>
      </c>
      <c r="L64" s="84" t="s">
        <v>2863</v>
      </c>
      <c r="M64" s="332" t="s">
        <v>2672</v>
      </c>
      <c r="N64" s="84" t="s">
        <v>2870</v>
      </c>
      <c r="O64" s="332"/>
      <c r="P64" s="334" t="s">
        <v>2678</v>
      </c>
      <c r="Q64" s="84"/>
      <c r="R64" s="25"/>
      <c r="S64" s="25"/>
      <c r="T64" s="22"/>
      <c r="U64" s="25"/>
      <c r="V64" s="25"/>
      <c r="W64" s="25"/>
      <c r="X64" s="84" t="str">
        <f t="shared" si="0"/>
        <v>grantPlayerItems</v>
      </c>
      <c r="Y64" s="337" t="s">
        <v>2871</v>
      </c>
      <c r="Z64" s="25"/>
      <c r="AA64" s="25"/>
      <c r="AB64" s="25"/>
      <c r="AC64" s="25"/>
      <c r="AD64" s="25"/>
      <c r="AE64" s="25"/>
    </row>
    <row r="65" spans="1:31" ht="409.6" outlineLevel="1" x14ac:dyDescent="0.15">
      <c r="A65" s="261" t="s">
        <v>2872</v>
      </c>
      <c r="B65" s="25"/>
      <c r="C65" s="261" t="s">
        <v>2838</v>
      </c>
      <c r="D65" s="336"/>
      <c r="E65" s="336"/>
      <c r="F65" s="261" t="s">
        <v>1072</v>
      </c>
      <c r="G65" s="261" t="s">
        <v>2686</v>
      </c>
      <c r="H65" s="261" t="s">
        <v>2842</v>
      </c>
      <c r="I65" s="261" t="s">
        <v>2711</v>
      </c>
      <c r="J65" s="84" t="s">
        <v>2669</v>
      </c>
      <c r="K65" s="84" t="s">
        <v>2670</v>
      </c>
      <c r="L65" s="84" t="s">
        <v>2863</v>
      </c>
      <c r="M65" s="332" t="s">
        <v>2672</v>
      </c>
      <c r="N65" s="84" t="s">
        <v>2873</v>
      </c>
      <c r="O65" s="332"/>
      <c r="P65" s="334" t="s">
        <v>2678</v>
      </c>
      <c r="Q65" s="84"/>
      <c r="R65" s="25"/>
      <c r="S65" s="25"/>
      <c r="T65" s="22"/>
      <c r="U65" s="25"/>
      <c r="V65" s="25"/>
      <c r="W65" s="25"/>
      <c r="X65" s="84" t="str">
        <f t="shared" si="0"/>
        <v>grantPlayerItems</v>
      </c>
      <c r="Y65" s="337" t="s">
        <v>2874</v>
      </c>
      <c r="Z65" s="25"/>
      <c r="AA65" s="25"/>
      <c r="AB65" s="25"/>
      <c r="AC65" s="25"/>
      <c r="AD65" s="25"/>
      <c r="AE65" s="25"/>
    </row>
    <row r="66" spans="1:31" ht="409.6" outlineLevel="1" x14ac:dyDescent="0.15">
      <c r="A66" s="261" t="s">
        <v>2875</v>
      </c>
      <c r="B66" s="25"/>
      <c r="C66" s="261" t="s">
        <v>2838</v>
      </c>
      <c r="D66" s="336"/>
      <c r="E66" s="336"/>
      <c r="F66" s="261" t="s">
        <v>1072</v>
      </c>
      <c r="G66" s="261" t="s">
        <v>2691</v>
      </c>
      <c r="H66" s="261" t="s">
        <v>2842</v>
      </c>
      <c r="I66" s="261" t="s">
        <v>2711</v>
      </c>
      <c r="J66" s="84" t="s">
        <v>2669</v>
      </c>
      <c r="K66" s="84" t="s">
        <v>2670</v>
      </c>
      <c r="L66" s="84" t="s">
        <v>2863</v>
      </c>
      <c r="M66" s="332" t="s">
        <v>2672</v>
      </c>
      <c r="N66" s="84" t="s">
        <v>2876</v>
      </c>
      <c r="O66" s="332"/>
      <c r="P66" s="334" t="s">
        <v>2678</v>
      </c>
      <c r="Q66" s="84"/>
      <c r="R66" s="25"/>
      <c r="S66" s="25"/>
      <c r="T66" s="22"/>
      <c r="U66" s="25"/>
      <c r="V66" s="25"/>
      <c r="W66" s="25"/>
      <c r="X66" s="84" t="str">
        <f t="shared" si="0"/>
        <v>grantPlayerItems</v>
      </c>
      <c r="Y66" s="337" t="s">
        <v>2877</v>
      </c>
      <c r="Z66" s="25"/>
      <c r="AA66" s="25"/>
      <c r="AB66" s="25"/>
      <c r="AC66" s="25"/>
      <c r="AD66" s="25"/>
      <c r="AE66" s="25"/>
    </row>
    <row r="67" spans="1:31" ht="409.6" outlineLevel="1" x14ac:dyDescent="0.15">
      <c r="A67" s="261" t="s">
        <v>2878</v>
      </c>
      <c r="B67" s="25"/>
      <c r="C67" s="261" t="s">
        <v>2838</v>
      </c>
      <c r="D67" s="336"/>
      <c r="E67" s="336"/>
      <c r="F67" s="261" t="s">
        <v>1072</v>
      </c>
      <c r="G67" s="261" t="s">
        <v>2696</v>
      </c>
      <c r="H67" s="261" t="s">
        <v>2842</v>
      </c>
      <c r="I67" s="261" t="s">
        <v>2711</v>
      </c>
      <c r="J67" s="84" t="s">
        <v>2669</v>
      </c>
      <c r="K67" s="84" t="s">
        <v>2670</v>
      </c>
      <c r="L67" s="84" t="s">
        <v>2863</v>
      </c>
      <c r="M67" s="332" t="s">
        <v>2672</v>
      </c>
      <c r="N67" s="84" t="s">
        <v>2879</v>
      </c>
      <c r="O67" s="332"/>
      <c r="P67" s="334" t="s">
        <v>2678</v>
      </c>
      <c r="Q67" s="84"/>
      <c r="R67" s="25"/>
      <c r="S67" s="25"/>
      <c r="T67" s="22"/>
      <c r="U67" s="25"/>
      <c r="V67" s="25"/>
      <c r="W67" s="25"/>
      <c r="X67" s="84" t="str">
        <f t="shared" si="0"/>
        <v>grantPlayerItems</v>
      </c>
      <c r="Y67" s="337" t="s">
        <v>2880</v>
      </c>
      <c r="Z67" s="25"/>
      <c r="AA67" s="25"/>
      <c r="AB67" s="25"/>
      <c r="AC67" s="25"/>
      <c r="AD67" s="25"/>
      <c r="AE67" s="25"/>
    </row>
    <row r="68" spans="1:31" ht="409.6" outlineLevel="1" x14ac:dyDescent="0.15">
      <c r="A68" s="261" t="s">
        <v>2881</v>
      </c>
      <c r="B68" s="25"/>
      <c r="C68" s="261" t="s">
        <v>2838</v>
      </c>
      <c r="D68" s="336"/>
      <c r="E68" s="336"/>
      <c r="F68" s="261" t="s">
        <v>1072</v>
      </c>
      <c r="G68" s="261" t="s">
        <v>2701</v>
      </c>
      <c r="H68" s="261" t="s">
        <v>2842</v>
      </c>
      <c r="I68" s="261" t="s">
        <v>2711</v>
      </c>
      <c r="J68" s="84" t="s">
        <v>2669</v>
      </c>
      <c r="K68" s="84" t="s">
        <v>2670</v>
      </c>
      <c r="L68" s="84" t="s">
        <v>2863</v>
      </c>
      <c r="M68" s="332" t="s">
        <v>2672</v>
      </c>
      <c r="N68" s="84" t="s">
        <v>2882</v>
      </c>
      <c r="O68" s="332"/>
      <c r="P68" s="334" t="s">
        <v>2678</v>
      </c>
      <c r="Q68" s="84"/>
      <c r="R68" s="25"/>
      <c r="S68" s="25"/>
      <c r="T68" s="22"/>
      <c r="U68" s="25"/>
      <c r="V68" s="25"/>
      <c r="W68" s="25"/>
      <c r="X68" s="84" t="str">
        <f t="shared" si="0"/>
        <v>grantPlayerItems</v>
      </c>
      <c r="Y68" s="337" t="s">
        <v>2883</v>
      </c>
      <c r="Z68" s="25"/>
      <c r="AA68" s="25"/>
      <c r="AB68" s="25"/>
      <c r="AC68" s="25"/>
      <c r="AD68" s="25"/>
      <c r="AE68" s="25"/>
    </row>
    <row r="69" spans="1:31" ht="409.6" outlineLevel="1" x14ac:dyDescent="0.15">
      <c r="A69" s="261" t="s">
        <v>2884</v>
      </c>
      <c r="B69" s="25"/>
      <c r="C69" s="261" t="s">
        <v>2838</v>
      </c>
      <c r="D69" s="336"/>
      <c r="E69" s="336"/>
      <c r="F69" s="261" t="s">
        <v>1072</v>
      </c>
      <c r="G69" s="261" t="s">
        <v>2706</v>
      </c>
      <c r="H69" s="261" t="s">
        <v>2842</v>
      </c>
      <c r="I69" s="261" t="s">
        <v>2711</v>
      </c>
      <c r="J69" s="84" t="s">
        <v>2669</v>
      </c>
      <c r="K69" s="84" t="s">
        <v>2670</v>
      </c>
      <c r="L69" s="84" t="s">
        <v>2863</v>
      </c>
      <c r="M69" s="332" t="s">
        <v>2672</v>
      </c>
      <c r="N69" s="84" t="s">
        <v>2885</v>
      </c>
      <c r="O69" s="332"/>
      <c r="P69" s="334" t="s">
        <v>2678</v>
      </c>
      <c r="Q69" s="84"/>
      <c r="R69" s="25"/>
      <c r="S69" s="25"/>
      <c r="T69" s="22"/>
      <c r="U69" s="25"/>
      <c r="V69" s="25"/>
      <c r="W69" s="25"/>
      <c r="X69" s="84" t="str">
        <f t="shared" si="0"/>
        <v>grantPlayerItems</v>
      </c>
      <c r="Y69" s="337" t="s">
        <v>2886</v>
      </c>
      <c r="Z69" s="25"/>
      <c r="AA69" s="25"/>
      <c r="AB69" s="25"/>
      <c r="AC69" s="25"/>
      <c r="AD69" s="25"/>
      <c r="AE69" s="25"/>
    </row>
    <row r="70" spans="1:31" ht="300" x14ac:dyDescent="0.15">
      <c r="A70" s="261" t="s">
        <v>2887</v>
      </c>
      <c r="B70" s="25"/>
      <c r="C70" s="261" t="s">
        <v>2715</v>
      </c>
      <c r="D70" s="336"/>
      <c r="E70" s="261" t="s">
        <v>844</v>
      </c>
      <c r="F70" s="336"/>
      <c r="G70" s="261" t="s">
        <v>2786</v>
      </c>
      <c r="H70" s="261"/>
      <c r="I70" s="261" t="s">
        <v>2711</v>
      </c>
      <c r="J70" s="84" t="s">
        <v>2669</v>
      </c>
      <c r="K70" s="84" t="s">
        <v>2670</v>
      </c>
      <c r="L70" s="84" t="s">
        <v>2888</v>
      </c>
      <c r="M70" s="332" t="s">
        <v>2672</v>
      </c>
      <c r="N70" s="332"/>
      <c r="O70" s="332"/>
      <c r="P70" s="22"/>
      <c r="Q70" s="84"/>
      <c r="R70" s="25"/>
      <c r="S70" s="25"/>
      <c r="T70" s="22"/>
      <c r="U70" s="25"/>
      <c r="V70" s="25"/>
      <c r="W70" s="25"/>
      <c r="X70" s="84" t="str">
        <f t="shared" si="0"/>
        <v>grantPlayerItems</v>
      </c>
      <c r="Y70" s="337" t="s">
        <v>2889</v>
      </c>
      <c r="Z70" s="25"/>
      <c r="AA70" s="25"/>
      <c r="AB70" s="25"/>
      <c r="AC70" s="25"/>
      <c r="AD70" s="25"/>
      <c r="AE70" s="25"/>
    </row>
    <row r="71" spans="1:31" ht="409.6" outlineLevel="1" x14ac:dyDescent="0.15">
      <c r="A71" s="261" t="s">
        <v>2890</v>
      </c>
      <c r="B71" s="25"/>
      <c r="C71" s="261" t="s">
        <v>2715</v>
      </c>
      <c r="D71" s="336"/>
      <c r="E71" s="336"/>
      <c r="F71" s="261" t="s">
        <v>844</v>
      </c>
      <c r="G71" s="261" t="s">
        <v>2675</v>
      </c>
      <c r="H71" s="261" t="s">
        <v>2891</v>
      </c>
      <c r="I71" s="261" t="s">
        <v>2711</v>
      </c>
      <c r="J71" s="84" t="s">
        <v>2669</v>
      </c>
      <c r="K71" s="84" t="s">
        <v>2670</v>
      </c>
      <c r="L71" s="84" t="s">
        <v>2888</v>
      </c>
      <c r="M71" s="332" t="s">
        <v>2672</v>
      </c>
      <c r="N71" s="84" t="s">
        <v>2892</v>
      </c>
      <c r="O71" s="332"/>
      <c r="P71" s="334" t="s">
        <v>2678</v>
      </c>
      <c r="Q71" s="84"/>
      <c r="R71" s="25"/>
      <c r="S71" s="25"/>
      <c r="T71" s="22"/>
      <c r="U71" s="25"/>
      <c r="V71" s="25"/>
      <c r="W71" s="25"/>
      <c r="X71" s="84" t="str">
        <f t="shared" si="0"/>
        <v>grantPlayerItems</v>
      </c>
      <c r="Y71" s="337" t="s">
        <v>2893</v>
      </c>
      <c r="Z71" s="25"/>
      <c r="AA71" s="25"/>
      <c r="AB71" s="25"/>
      <c r="AC71" s="25"/>
      <c r="AD71" s="25"/>
      <c r="AE71" s="25"/>
    </row>
    <row r="72" spans="1:31" ht="409.6" outlineLevel="1" x14ac:dyDescent="0.15">
      <c r="A72" s="261" t="s">
        <v>2894</v>
      </c>
      <c r="B72" s="25"/>
      <c r="C72" s="261" t="s">
        <v>2715</v>
      </c>
      <c r="D72" s="336"/>
      <c r="E72" s="336"/>
      <c r="F72" s="261" t="s">
        <v>844</v>
      </c>
      <c r="G72" s="261" t="s">
        <v>2681</v>
      </c>
      <c r="H72" s="261" t="s">
        <v>2891</v>
      </c>
      <c r="I72" s="261" t="s">
        <v>2711</v>
      </c>
      <c r="J72" s="84" t="s">
        <v>2669</v>
      </c>
      <c r="K72" s="84" t="s">
        <v>2670</v>
      </c>
      <c r="L72" s="84" t="s">
        <v>2888</v>
      </c>
      <c r="M72" s="332" t="s">
        <v>2672</v>
      </c>
      <c r="N72" s="84" t="s">
        <v>2895</v>
      </c>
      <c r="O72" s="332"/>
      <c r="P72" s="334" t="s">
        <v>2678</v>
      </c>
      <c r="Q72" s="84"/>
      <c r="R72" s="25"/>
      <c r="S72" s="25"/>
      <c r="T72" s="22"/>
      <c r="U72" s="25"/>
      <c r="V72" s="25"/>
      <c r="W72" s="25"/>
      <c r="X72" s="84" t="str">
        <f t="shared" si="0"/>
        <v>grantPlayerItems</v>
      </c>
      <c r="Y72" s="337" t="s">
        <v>2896</v>
      </c>
      <c r="Z72" s="25"/>
      <c r="AA72" s="25"/>
      <c r="AB72" s="25"/>
      <c r="AC72" s="25"/>
      <c r="AD72" s="25"/>
      <c r="AE72" s="25"/>
    </row>
    <row r="73" spans="1:31" ht="409.6" outlineLevel="1" x14ac:dyDescent="0.15">
      <c r="A73" s="261" t="s">
        <v>2897</v>
      </c>
      <c r="B73" s="25"/>
      <c r="C73" s="261" t="s">
        <v>2715</v>
      </c>
      <c r="D73" s="336"/>
      <c r="E73" s="336"/>
      <c r="F73" s="261" t="s">
        <v>844</v>
      </c>
      <c r="G73" s="261" t="s">
        <v>2686</v>
      </c>
      <c r="H73" s="261" t="s">
        <v>2891</v>
      </c>
      <c r="I73" s="261" t="s">
        <v>2711</v>
      </c>
      <c r="J73" s="84" t="s">
        <v>2669</v>
      </c>
      <c r="K73" s="84" t="s">
        <v>2670</v>
      </c>
      <c r="L73" s="84" t="s">
        <v>2888</v>
      </c>
      <c r="M73" s="332" t="s">
        <v>2672</v>
      </c>
      <c r="N73" s="84" t="s">
        <v>2898</v>
      </c>
      <c r="O73" s="332"/>
      <c r="P73" s="334" t="s">
        <v>2678</v>
      </c>
      <c r="Q73" s="84"/>
      <c r="R73" s="25"/>
      <c r="S73" s="25"/>
      <c r="T73" s="22"/>
      <c r="U73" s="25"/>
      <c r="V73" s="25"/>
      <c r="W73" s="25"/>
      <c r="X73" s="84" t="str">
        <f t="shared" si="0"/>
        <v>grantPlayerItems</v>
      </c>
      <c r="Y73" s="337" t="s">
        <v>2899</v>
      </c>
      <c r="Z73" s="25"/>
      <c r="AA73" s="25"/>
      <c r="AB73" s="25"/>
      <c r="AC73" s="25"/>
      <c r="AD73" s="25"/>
      <c r="AE73" s="25"/>
    </row>
    <row r="74" spans="1:31" ht="409.6" outlineLevel="1" x14ac:dyDescent="0.15">
      <c r="A74" s="261" t="s">
        <v>2900</v>
      </c>
      <c r="B74" s="25"/>
      <c r="C74" s="261" t="s">
        <v>2715</v>
      </c>
      <c r="D74" s="336"/>
      <c r="E74" s="336"/>
      <c r="F74" s="261" t="s">
        <v>844</v>
      </c>
      <c r="G74" s="261" t="s">
        <v>2691</v>
      </c>
      <c r="H74" s="261" t="s">
        <v>2891</v>
      </c>
      <c r="I74" s="261" t="s">
        <v>2711</v>
      </c>
      <c r="J74" s="84" t="s">
        <v>2669</v>
      </c>
      <c r="K74" s="84" t="s">
        <v>2670</v>
      </c>
      <c r="L74" s="84" t="s">
        <v>2888</v>
      </c>
      <c r="M74" s="332" t="s">
        <v>2672</v>
      </c>
      <c r="N74" s="84" t="s">
        <v>2901</v>
      </c>
      <c r="O74" s="332"/>
      <c r="P74" s="334" t="s">
        <v>2678</v>
      </c>
      <c r="Q74" s="84"/>
      <c r="R74" s="25"/>
      <c r="S74" s="25"/>
      <c r="T74" s="22"/>
      <c r="U74" s="25"/>
      <c r="V74" s="25"/>
      <c r="W74" s="25"/>
      <c r="X74" s="84" t="str">
        <f t="shared" si="0"/>
        <v>grantPlayerItems</v>
      </c>
      <c r="Y74" s="337" t="s">
        <v>2902</v>
      </c>
      <c r="Z74" s="25"/>
      <c r="AA74" s="25"/>
      <c r="AB74" s="25"/>
      <c r="AC74" s="25"/>
      <c r="AD74" s="25"/>
      <c r="AE74" s="25"/>
    </row>
    <row r="75" spans="1:31" ht="409.6" outlineLevel="1" x14ac:dyDescent="0.15">
      <c r="A75" s="261" t="s">
        <v>2903</v>
      </c>
      <c r="B75" s="25"/>
      <c r="C75" s="261" t="s">
        <v>2715</v>
      </c>
      <c r="D75" s="336"/>
      <c r="E75" s="336"/>
      <c r="F75" s="261" t="s">
        <v>844</v>
      </c>
      <c r="G75" s="261" t="s">
        <v>2696</v>
      </c>
      <c r="H75" s="261" t="s">
        <v>2891</v>
      </c>
      <c r="I75" s="261" t="s">
        <v>2711</v>
      </c>
      <c r="J75" s="84" t="s">
        <v>2669</v>
      </c>
      <c r="K75" s="84" t="s">
        <v>2670</v>
      </c>
      <c r="L75" s="84" t="s">
        <v>2888</v>
      </c>
      <c r="M75" s="332" t="s">
        <v>2672</v>
      </c>
      <c r="N75" s="84" t="s">
        <v>2904</v>
      </c>
      <c r="O75" s="332"/>
      <c r="P75" s="334" t="s">
        <v>2678</v>
      </c>
      <c r="Q75" s="84"/>
      <c r="R75" s="25"/>
      <c r="S75" s="25"/>
      <c r="T75" s="22"/>
      <c r="U75" s="25"/>
      <c r="V75" s="25"/>
      <c r="W75" s="25"/>
      <c r="X75" s="84" t="str">
        <f t="shared" si="0"/>
        <v>grantPlayerItems</v>
      </c>
      <c r="Y75" s="337" t="s">
        <v>2905</v>
      </c>
      <c r="Z75" s="25"/>
      <c r="AA75" s="25"/>
      <c r="AB75" s="25"/>
      <c r="AC75" s="25"/>
      <c r="AD75" s="25"/>
      <c r="AE75" s="25"/>
    </row>
    <row r="76" spans="1:31" ht="409.6" outlineLevel="1" x14ac:dyDescent="0.15">
      <c r="A76" s="261" t="s">
        <v>2906</v>
      </c>
      <c r="B76" s="25"/>
      <c r="C76" s="261" t="s">
        <v>2715</v>
      </c>
      <c r="D76" s="336"/>
      <c r="E76" s="336"/>
      <c r="F76" s="261" t="s">
        <v>844</v>
      </c>
      <c r="G76" s="261" t="s">
        <v>2701</v>
      </c>
      <c r="H76" s="261" t="s">
        <v>2891</v>
      </c>
      <c r="I76" s="261" t="s">
        <v>2711</v>
      </c>
      <c r="J76" s="84" t="s">
        <v>2669</v>
      </c>
      <c r="K76" s="84" t="s">
        <v>2670</v>
      </c>
      <c r="L76" s="84" t="s">
        <v>2888</v>
      </c>
      <c r="M76" s="332" t="s">
        <v>2672</v>
      </c>
      <c r="N76" s="84" t="s">
        <v>2907</v>
      </c>
      <c r="O76" s="332"/>
      <c r="P76" s="334" t="s">
        <v>2678</v>
      </c>
      <c r="Q76" s="84"/>
      <c r="R76" s="25"/>
      <c r="S76" s="25"/>
      <c r="T76" s="22"/>
      <c r="U76" s="25"/>
      <c r="V76" s="25"/>
      <c r="W76" s="25"/>
      <c r="X76" s="84" t="str">
        <f t="shared" si="0"/>
        <v>grantPlayerItems</v>
      </c>
      <c r="Y76" s="337" t="s">
        <v>2908</v>
      </c>
      <c r="Z76" s="25"/>
      <c r="AA76" s="25"/>
      <c r="AB76" s="25"/>
      <c r="AC76" s="25"/>
      <c r="AD76" s="25"/>
      <c r="AE76" s="25"/>
    </row>
    <row r="77" spans="1:31" ht="409.6" outlineLevel="1" x14ac:dyDescent="0.15">
      <c r="A77" s="261" t="s">
        <v>2909</v>
      </c>
      <c r="B77" s="25"/>
      <c r="C77" s="261" t="s">
        <v>2715</v>
      </c>
      <c r="D77" s="336"/>
      <c r="E77" s="336"/>
      <c r="F77" s="261" t="s">
        <v>844</v>
      </c>
      <c r="G77" s="261" t="s">
        <v>2706</v>
      </c>
      <c r="H77" s="261" t="s">
        <v>2891</v>
      </c>
      <c r="I77" s="261" t="s">
        <v>2711</v>
      </c>
      <c r="J77" s="84" t="s">
        <v>2669</v>
      </c>
      <c r="K77" s="84" t="s">
        <v>2670</v>
      </c>
      <c r="L77" s="84" t="s">
        <v>2888</v>
      </c>
      <c r="M77" s="332" t="s">
        <v>2672</v>
      </c>
      <c r="N77" s="84" t="s">
        <v>2910</v>
      </c>
      <c r="O77" s="332"/>
      <c r="P77" s="334" t="s">
        <v>2678</v>
      </c>
      <c r="Q77" s="84"/>
      <c r="R77" s="25"/>
      <c r="S77" s="25"/>
      <c r="T77" s="22"/>
      <c r="U77" s="25"/>
      <c r="V77" s="25"/>
      <c r="W77" s="25"/>
      <c r="X77" s="84" t="str">
        <f t="shared" si="0"/>
        <v>grantPlayerItems</v>
      </c>
      <c r="Y77" s="337" t="s">
        <v>2911</v>
      </c>
      <c r="Z77" s="25"/>
      <c r="AA77" s="25"/>
      <c r="AB77" s="25"/>
      <c r="AC77" s="25"/>
      <c r="AD77" s="25"/>
      <c r="AE77" s="25"/>
    </row>
    <row r="78" spans="1:31" ht="300" x14ac:dyDescent="0.15">
      <c r="A78" s="261" t="s">
        <v>2912</v>
      </c>
      <c r="B78" s="25"/>
      <c r="C78" s="261" t="s">
        <v>2715</v>
      </c>
      <c r="D78" s="336"/>
      <c r="E78" s="261" t="s">
        <v>961</v>
      </c>
      <c r="F78" s="336"/>
      <c r="G78" s="261" t="s">
        <v>2786</v>
      </c>
      <c r="H78" s="261"/>
      <c r="I78" s="261" t="s">
        <v>2711</v>
      </c>
      <c r="J78" s="84" t="s">
        <v>2669</v>
      </c>
      <c r="K78" s="84" t="s">
        <v>2670</v>
      </c>
      <c r="L78" s="84" t="s">
        <v>2913</v>
      </c>
      <c r="M78" s="332" t="s">
        <v>2672</v>
      </c>
      <c r="N78" s="332"/>
      <c r="O78" s="332"/>
      <c r="P78" s="22"/>
      <c r="Q78" s="84"/>
      <c r="R78" s="25"/>
      <c r="S78" s="25"/>
      <c r="T78" s="22"/>
      <c r="U78" s="25"/>
      <c r="V78" s="25"/>
      <c r="W78" s="25"/>
      <c r="X78" s="84" t="str">
        <f t="shared" si="0"/>
        <v>grantPlayerItems</v>
      </c>
      <c r="Y78" s="337" t="s">
        <v>2914</v>
      </c>
      <c r="Z78" s="25"/>
      <c r="AA78" s="25"/>
      <c r="AB78" s="25"/>
      <c r="AC78" s="25"/>
      <c r="AD78" s="25"/>
      <c r="AE78" s="25"/>
    </row>
    <row r="79" spans="1:31" ht="409.6" outlineLevel="1" x14ac:dyDescent="0.15">
      <c r="A79" s="261" t="s">
        <v>2915</v>
      </c>
      <c r="B79" s="25"/>
      <c r="C79" s="261" t="s">
        <v>2715</v>
      </c>
      <c r="D79" s="336"/>
      <c r="E79" s="336"/>
      <c r="F79" s="261" t="s">
        <v>961</v>
      </c>
      <c r="G79" s="261" t="s">
        <v>2916</v>
      </c>
      <c r="H79" s="261" t="s">
        <v>2917</v>
      </c>
      <c r="I79" s="261" t="s">
        <v>2711</v>
      </c>
      <c r="J79" s="84" t="s">
        <v>2669</v>
      </c>
      <c r="K79" s="84" t="s">
        <v>2670</v>
      </c>
      <c r="L79" s="84" t="s">
        <v>2913</v>
      </c>
      <c r="M79" s="332" t="s">
        <v>2672</v>
      </c>
      <c r="N79" s="84" t="s">
        <v>2918</v>
      </c>
      <c r="O79" s="332"/>
      <c r="P79" s="334" t="s">
        <v>2678</v>
      </c>
      <c r="Q79" s="84"/>
      <c r="R79" s="25"/>
      <c r="S79" s="25"/>
      <c r="T79" s="22"/>
      <c r="U79" s="25"/>
      <c r="V79" s="25"/>
      <c r="W79" s="25"/>
      <c r="X79" s="84" t="str">
        <f t="shared" si="0"/>
        <v>grantPlayerItems</v>
      </c>
      <c r="Y79" s="337" t="s">
        <v>2919</v>
      </c>
      <c r="Z79" s="25"/>
      <c r="AA79" s="25"/>
      <c r="AB79" s="25"/>
      <c r="AC79" s="25"/>
      <c r="AD79" s="25"/>
      <c r="AE79" s="25"/>
    </row>
    <row r="80" spans="1:31" ht="409.6" outlineLevel="1" x14ac:dyDescent="0.15">
      <c r="A80" s="261" t="s">
        <v>2920</v>
      </c>
      <c r="B80" s="25"/>
      <c r="C80" s="261" t="s">
        <v>2715</v>
      </c>
      <c r="D80" s="336"/>
      <c r="E80" s="336"/>
      <c r="F80" s="261" t="s">
        <v>961</v>
      </c>
      <c r="G80" s="261" t="s">
        <v>2921</v>
      </c>
      <c r="H80" s="261" t="s">
        <v>2917</v>
      </c>
      <c r="I80" s="261" t="s">
        <v>2711</v>
      </c>
      <c r="J80" s="84" t="s">
        <v>2669</v>
      </c>
      <c r="K80" s="84" t="s">
        <v>2670</v>
      </c>
      <c r="L80" s="84" t="s">
        <v>2913</v>
      </c>
      <c r="M80" s="332" t="s">
        <v>2672</v>
      </c>
      <c r="N80" s="84" t="s">
        <v>2922</v>
      </c>
      <c r="O80" s="332"/>
      <c r="P80" s="334" t="s">
        <v>2678</v>
      </c>
      <c r="Q80" s="84"/>
      <c r="R80" s="25"/>
      <c r="S80" s="25"/>
      <c r="T80" s="22"/>
      <c r="U80" s="25"/>
      <c r="V80" s="25"/>
      <c r="W80" s="25"/>
      <c r="X80" s="84" t="str">
        <f t="shared" si="0"/>
        <v>grantPlayerItems</v>
      </c>
      <c r="Y80" s="337" t="s">
        <v>2923</v>
      </c>
      <c r="Z80" s="25"/>
      <c r="AA80" s="25"/>
      <c r="AB80" s="25"/>
      <c r="AC80" s="25"/>
      <c r="AD80" s="25"/>
      <c r="AE80" s="25"/>
    </row>
    <row r="81" spans="1:31" ht="409.6" outlineLevel="1" x14ac:dyDescent="0.15">
      <c r="A81" s="261" t="s">
        <v>2924</v>
      </c>
      <c r="B81" s="25"/>
      <c r="C81" s="261" t="s">
        <v>2715</v>
      </c>
      <c r="D81" s="336"/>
      <c r="E81" s="336"/>
      <c r="F81" s="261" t="s">
        <v>961</v>
      </c>
      <c r="G81" s="261" t="s">
        <v>2925</v>
      </c>
      <c r="H81" s="261" t="s">
        <v>2917</v>
      </c>
      <c r="I81" s="261" t="s">
        <v>2711</v>
      </c>
      <c r="J81" s="84" t="s">
        <v>2669</v>
      </c>
      <c r="K81" s="84" t="s">
        <v>2670</v>
      </c>
      <c r="L81" s="84" t="s">
        <v>2913</v>
      </c>
      <c r="M81" s="332" t="s">
        <v>2672</v>
      </c>
      <c r="N81" s="84" t="s">
        <v>2926</v>
      </c>
      <c r="O81" s="332"/>
      <c r="P81" s="334" t="s">
        <v>2678</v>
      </c>
      <c r="Q81" s="84"/>
      <c r="R81" s="25"/>
      <c r="S81" s="25"/>
      <c r="T81" s="22"/>
      <c r="U81" s="25"/>
      <c r="V81" s="25"/>
      <c r="W81" s="25"/>
      <c r="X81" s="84" t="str">
        <f t="shared" si="0"/>
        <v>grantPlayerItems</v>
      </c>
      <c r="Y81" s="337" t="s">
        <v>2927</v>
      </c>
      <c r="Z81" s="25"/>
      <c r="AA81" s="25"/>
      <c r="AB81" s="25"/>
      <c r="AC81" s="25"/>
      <c r="AD81" s="25"/>
      <c r="AE81" s="25"/>
    </row>
    <row r="82" spans="1:31" ht="409.6" outlineLevel="1" x14ac:dyDescent="0.15">
      <c r="A82" s="261" t="s">
        <v>2928</v>
      </c>
      <c r="B82" s="25"/>
      <c r="C82" s="261" t="s">
        <v>2715</v>
      </c>
      <c r="D82" s="336"/>
      <c r="E82" s="336"/>
      <c r="F82" s="261" t="s">
        <v>961</v>
      </c>
      <c r="G82" s="261" t="s">
        <v>2929</v>
      </c>
      <c r="H82" s="261" t="s">
        <v>2917</v>
      </c>
      <c r="I82" s="261" t="s">
        <v>2711</v>
      </c>
      <c r="J82" s="84" t="s">
        <v>2669</v>
      </c>
      <c r="K82" s="84" t="s">
        <v>2670</v>
      </c>
      <c r="L82" s="84" t="s">
        <v>2913</v>
      </c>
      <c r="M82" s="332" t="s">
        <v>2672</v>
      </c>
      <c r="N82" s="84" t="s">
        <v>2930</v>
      </c>
      <c r="O82" s="332"/>
      <c r="P82" s="334" t="s">
        <v>2678</v>
      </c>
      <c r="Q82" s="84"/>
      <c r="R82" s="25"/>
      <c r="S82" s="25"/>
      <c r="T82" s="22"/>
      <c r="U82" s="25"/>
      <c r="V82" s="25"/>
      <c r="W82" s="25"/>
      <c r="X82" s="84" t="str">
        <f t="shared" si="0"/>
        <v>grantPlayerItems</v>
      </c>
      <c r="Y82" s="337" t="s">
        <v>2931</v>
      </c>
      <c r="Z82" s="25"/>
      <c r="AA82" s="25"/>
      <c r="AB82" s="25"/>
      <c r="AC82" s="25"/>
      <c r="AD82" s="25"/>
      <c r="AE82" s="25"/>
    </row>
    <row r="83" spans="1:31" ht="409.6" outlineLevel="1" x14ac:dyDescent="0.15">
      <c r="A83" s="261" t="s">
        <v>2932</v>
      </c>
      <c r="B83" s="25"/>
      <c r="C83" s="261" t="s">
        <v>2715</v>
      </c>
      <c r="D83" s="336"/>
      <c r="E83" s="336"/>
      <c r="F83" s="261" t="s">
        <v>961</v>
      </c>
      <c r="G83" s="261" t="s">
        <v>2933</v>
      </c>
      <c r="H83" s="261" t="s">
        <v>2917</v>
      </c>
      <c r="I83" s="261" t="s">
        <v>2711</v>
      </c>
      <c r="J83" s="84" t="s">
        <v>2669</v>
      </c>
      <c r="K83" s="84" t="s">
        <v>2670</v>
      </c>
      <c r="L83" s="84" t="s">
        <v>2913</v>
      </c>
      <c r="M83" s="332" t="s">
        <v>2672</v>
      </c>
      <c r="N83" s="84" t="s">
        <v>2934</v>
      </c>
      <c r="O83" s="332"/>
      <c r="P83" s="334" t="s">
        <v>2678</v>
      </c>
      <c r="Q83" s="84"/>
      <c r="R83" s="25"/>
      <c r="S83" s="25"/>
      <c r="T83" s="22"/>
      <c r="U83" s="25"/>
      <c r="V83" s="25"/>
      <c r="W83" s="25"/>
      <c r="X83" s="84" t="str">
        <f t="shared" si="0"/>
        <v>grantPlayerItems</v>
      </c>
      <c r="Y83" s="337" t="s">
        <v>2935</v>
      </c>
      <c r="Z83" s="25"/>
      <c r="AA83" s="25"/>
      <c r="AB83" s="25"/>
      <c r="AC83" s="25"/>
      <c r="AD83" s="25"/>
      <c r="AE83" s="25"/>
    </row>
    <row r="84" spans="1:31" ht="409.6" outlineLevel="1" x14ac:dyDescent="0.15">
      <c r="A84" s="261" t="s">
        <v>2936</v>
      </c>
      <c r="B84" s="25"/>
      <c r="C84" s="261" t="s">
        <v>2715</v>
      </c>
      <c r="D84" s="336"/>
      <c r="E84" s="336"/>
      <c r="F84" s="261" t="s">
        <v>961</v>
      </c>
      <c r="G84" s="261" t="s">
        <v>2937</v>
      </c>
      <c r="H84" s="261" t="s">
        <v>2917</v>
      </c>
      <c r="I84" s="261" t="s">
        <v>2711</v>
      </c>
      <c r="J84" s="84" t="s">
        <v>2669</v>
      </c>
      <c r="K84" s="84" t="s">
        <v>2670</v>
      </c>
      <c r="L84" s="84" t="s">
        <v>2913</v>
      </c>
      <c r="M84" s="332" t="s">
        <v>2672</v>
      </c>
      <c r="N84" s="84" t="s">
        <v>2938</v>
      </c>
      <c r="O84" s="332"/>
      <c r="P84" s="334" t="s">
        <v>2678</v>
      </c>
      <c r="Q84" s="84"/>
      <c r="R84" s="25"/>
      <c r="S84" s="25"/>
      <c r="T84" s="22"/>
      <c r="U84" s="25"/>
      <c r="V84" s="25"/>
      <c r="W84" s="25"/>
      <c r="X84" s="84" t="str">
        <f t="shared" si="0"/>
        <v>grantPlayerItems</v>
      </c>
      <c r="Y84" s="337" t="s">
        <v>2939</v>
      </c>
      <c r="Z84" s="25"/>
      <c r="AA84" s="25"/>
      <c r="AB84" s="25"/>
      <c r="AC84" s="25"/>
      <c r="AD84" s="25"/>
      <c r="AE84" s="25"/>
    </row>
    <row r="85" spans="1:31" ht="409.6" outlineLevel="1" x14ac:dyDescent="0.15">
      <c r="A85" s="261" t="s">
        <v>2940</v>
      </c>
      <c r="B85" s="25"/>
      <c r="C85" s="261" t="s">
        <v>2715</v>
      </c>
      <c r="D85" s="336"/>
      <c r="E85" s="336"/>
      <c r="F85" s="261" t="s">
        <v>961</v>
      </c>
      <c r="G85" s="261" t="s">
        <v>2941</v>
      </c>
      <c r="H85" s="261" t="s">
        <v>2917</v>
      </c>
      <c r="I85" s="261" t="s">
        <v>2711</v>
      </c>
      <c r="J85" s="84" t="s">
        <v>2669</v>
      </c>
      <c r="K85" s="84" t="s">
        <v>2670</v>
      </c>
      <c r="L85" s="84" t="s">
        <v>2913</v>
      </c>
      <c r="M85" s="332" t="s">
        <v>2672</v>
      </c>
      <c r="N85" s="84" t="s">
        <v>2942</v>
      </c>
      <c r="O85" s="332"/>
      <c r="P85" s="334" t="s">
        <v>2678</v>
      </c>
      <c r="Q85" s="84"/>
      <c r="R85" s="25"/>
      <c r="S85" s="25"/>
      <c r="T85" s="22"/>
      <c r="U85" s="25"/>
      <c r="V85" s="25"/>
      <c r="W85" s="25"/>
      <c r="X85" s="84" t="str">
        <f t="shared" si="0"/>
        <v>grantPlayerItems</v>
      </c>
      <c r="Y85" s="337" t="s">
        <v>2943</v>
      </c>
      <c r="Z85" s="25"/>
      <c r="AA85" s="25"/>
      <c r="AB85" s="25"/>
      <c r="AC85" s="25"/>
      <c r="AD85" s="25"/>
      <c r="AE85" s="25"/>
    </row>
    <row r="86" spans="1:31" ht="260" x14ac:dyDescent="0.15">
      <c r="A86" s="338" t="s">
        <v>2944</v>
      </c>
      <c r="B86" s="306"/>
      <c r="C86" s="261" t="s">
        <v>2715</v>
      </c>
      <c r="D86" s="339"/>
      <c r="E86" s="338" t="s">
        <v>1153</v>
      </c>
      <c r="F86" s="339"/>
      <c r="G86" s="261" t="s">
        <v>2945</v>
      </c>
      <c r="H86" s="339"/>
      <c r="I86" s="338" t="s">
        <v>2946</v>
      </c>
      <c r="J86" s="84" t="s">
        <v>2669</v>
      </c>
      <c r="K86" s="84" t="s">
        <v>2947</v>
      </c>
      <c r="L86" s="340"/>
      <c r="M86" s="332" t="s">
        <v>2678</v>
      </c>
      <c r="N86" s="306"/>
      <c r="O86" s="306"/>
      <c r="P86" s="22"/>
      <c r="Q86" s="84"/>
      <c r="R86" s="25"/>
      <c r="S86" s="25"/>
      <c r="T86" s="22"/>
      <c r="U86" s="25"/>
      <c r="V86" s="25"/>
      <c r="W86" s="25"/>
      <c r="X86" s="84" t="str">
        <f t="shared" si="0"/>
        <v>grantPlayerItems</v>
      </c>
      <c r="Y86" s="337" t="s">
        <v>2948</v>
      </c>
      <c r="Z86" s="25"/>
      <c r="AA86" s="25"/>
      <c r="AB86" s="25"/>
      <c r="AC86" s="25"/>
      <c r="AD86" s="25"/>
      <c r="AE86" s="25"/>
    </row>
    <row r="87" spans="1:31" ht="260" outlineLevel="1" x14ac:dyDescent="0.15">
      <c r="A87" s="338" t="s">
        <v>2949</v>
      </c>
      <c r="B87" s="306"/>
      <c r="C87" s="261" t="s">
        <v>2715</v>
      </c>
      <c r="D87" s="339"/>
      <c r="E87" s="338" t="s">
        <v>1153</v>
      </c>
      <c r="F87" s="339"/>
      <c r="G87" s="261" t="s">
        <v>2950</v>
      </c>
      <c r="H87" s="339"/>
      <c r="I87" s="338" t="s">
        <v>2946</v>
      </c>
      <c r="J87" s="84"/>
      <c r="K87" s="84" t="s">
        <v>2951</v>
      </c>
      <c r="L87" s="340"/>
      <c r="M87" s="332" t="s">
        <v>2678</v>
      </c>
      <c r="N87" s="306"/>
      <c r="O87" s="306"/>
      <c r="P87" s="22"/>
      <c r="Q87" s="84"/>
      <c r="R87" s="25"/>
      <c r="S87" s="25"/>
      <c r="T87" s="22"/>
      <c r="U87" s="25"/>
      <c r="V87" s="25"/>
      <c r="W87" s="25"/>
      <c r="X87" s="84" t="str">
        <f t="shared" si="0"/>
        <v>grantPlayerItems</v>
      </c>
      <c r="Y87" s="337" t="s">
        <v>2952</v>
      </c>
      <c r="Z87" s="25"/>
      <c r="AA87" s="25"/>
      <c r="AB87" s="25"/>
      <c r="AC87" s="25"/>
      <c r="AD87" s="25"/>
      <c r="AE87" s="25"/>
    </row>
    <row r="88" spans="1:31" ht="260" outlineLevel="1" x14ac:dyDescent="0.15">
      <c r="A88" s="338" t="s">
        <v>2953</v>
      </c>
      <c r="B88" s="306"/>
      <c r="C88" s="261" t="s">
        <v>2715</v>
      </c>
      <c r="D88" s="339"/>
      <c r="E88" s="338" t="s">
        <v>1153</v>
      </c>
      <c r="F88" s="339"/>
      <c r="G88" s="261" t="s">
        <v>2954</v>
      </c>
      <c r="H88" s="339"/>
      <c r="I88" s="338" t="s">
        <v>2946</v>
      </c>
      <c r="J88" s="84"/>
      <c r="K88" s="84" t="s">
        <v>2955</v>
      </c>
      <c r="L88" s="340"/>
      <c r="M88" s="332" t="s">
        <v>2678</v>
      </c>
      <c r="N88" s="306"/>
      <c r="O88" s="306"/>
      <c r="P88" s="22"/>
      <c r="Q88" s="84"/>
      <c r="R88" s="25"/>
      <c r="S88" s="25"/>
      <c r="T88" s="22"/>
      <c r="U88" s="25"/>
      <c r="V88" s="25"/>
      <c r="W88" s="25"/>
      <c r="X88" s="84" t="str">
        <f t="shared" si="0"/>
        <v>grantPlayerItems</v>
      </c>
      <c r="Y88" s="337" t="s">
        <v>2956</v>
      </c>
      <c r="Z88" s="25"/>
      <c r="AA88" s="25"/>
      <c r="AB88" s="25"/>
      <c r="AC88" s="25"/>
      <c r="AD88" s="25"/>
      <c r="AE88" s="25"/>
    </row>
    <row r="89" spans="1:31" ht="260" outlineLevel="1" x14ac:dyDescent="0.15">
      <c r="A89" s="338" t="s">
        <v>2957</v>
      </c>
      <c r="B89" s="306"/>
      <c r="C89" s="261" t="s">
        <v>2715</v>
      </c>
      <c r="D89" s="339"/>
      <c r="E89" s="338" t="s">
        <v>1153</v>
      </c>
      <c r="F89" s="339"/>
      <c r="G89" s="261" t="s">
        <v>2958</v>
      </c>
      <c r="H89" s="339"/>
      <c r="I89" s="338" t="s">
        <v>2946</v>
      </c>
      <c r="J89" s="84"/>
      <c r="K89" s="84" t="s">
        <v>2959</v>
      </c>
      <c r="L89" s="340"/>
      <c r="M89" s="332" t="s">
        <v>2678</v>
      </c>
      <c r="N89" s="306"/>
      <c r="O89" s="306"/>
      <c r="P89" s="22"/>
      <c r="Q89" s="84"/>
      <c r="R89" s="25"/>
      <c r="S89" s="25"/>
      <c r="T89" s="22"/>
      <c r="U89" s="25"/>
      <c r="V89" s="25"/>
      <c r="W89" s="25"/>
      <c r="X89" s="84" t="str">
        <f t="shared" si="0"/>
        <v>grantPlayerItems</v>
      </c>
      <c r="Y89" s="337" t="s">
        <v>2960</v>
      </c>
      <c r="Z89" s="25"/>
      <c r="AA89" s="25"/>
      <c r="AB89" s="25"/>
      <c r="AC89" s="25"/>
      <c r="AD89" s="25"/>
      <c r="AE89" s="25"/>
    </row>
    <row r="90" spans="1:31" ht="260" outlineLevel="1" x14ac:dyDescent="0.15">
      <c r="A90" s="338" t="s">
        <v>2961</v>
      </c>
      <c r="B90" s="306"/>
      <c r="C90" s="261" t="s">
        <v>2715</v>
      </c>
      <c r="D90" s="339"/>
      <c r="E90" s="338" t="s">
        <v>1153</v>
      </c>
      <c r="F90" s="339"/>
      <c r="G90" s="261" t="s">
        <v>2962</v>
      </c>
      <c r="H90" s="339"/>
      <c r="I90" s="338" t="s">
        <v>2946</v>
      </c>
      <c r="J90" s="84"/>
      <c r="K90" s="84" t="s">
        <v>2963</v>
      </c>
      <c r="L90" s="340"/>
      <c r="M90" s="332" t="s">
        <v>2678</v>
      </c>
      <c r="N90" s="306"/>
      <c r="O90" s="306"/>
      <c r="P90" s="22"/>
      <c r="Q90" s="84"/>
      <c r="R90" s="25"/>
      <c r="S90" s="25"/>
      <c r="T90" s="22"/>
      <c r="U90" s="25"/>
      <c r="V90" s="25"/>
      <c r="W90" s="25"/>
      <c r="X90" s="84" t="str">
        <f t="shared" si="0"/>
        <v>grantPlayerItems</v>
      </c>
      <c r="Y90" s="337" t="s">
        <v>2964</v>
      </c>
      <c r="Z90" s="25"/>
      <c r="AA90" s="25"/>
      <c r="AB90" s="25"/>
      <c r="AC90" s="25"/>
      <c r="AD90" s="25"/>
      <c r="AE90" s="25"/>
    </row>
    <row r="91" spans="1:31" ht="260" outlineLevel="1" x14ac:dyDescent="0.15">
      <c r="A91" s="338" t="s">
        <v>2965</v>
      </c>
      <c r="B91" s="306"/>
      <c r="C91" s="261" t="s">
        <v>2715</v>
      </c>
      <c r="D91" s="339"/>
      <c r="E91" s="338" t="s">
        <v>1153</v>
      </c>
      <c r="F91" s="339"/>
      <c r="G91" s="261" t="s">
        <v>2966</v>
      </c>
      <c r="H91" s="339"/>
      <c r="I91" s="338" t="s">
        <v>2946</v>
      </c>
      <c r="J91" s="84"/>
      <c r="K91" s="84" t="s">
        <v>2967</v>
      </c>
      <c r="L91" s="340"/>
      <c r="M91" s="332" t="s">
        <v>2678</v>
      </c>
      <c r="N91" s="306"/>
      <c r="O91" s="306"/>
      <c r="P91" s="22"/>
      <c r="Q91" s="84"/>
      <c r="R91" s="25"/>
      <c r="S91" s="25"/>
      <c r="T91" s="22"/>
      <c r="U91" s="25"/>
      <c r="V91" s="25"/>
      <c r="W91" s="25"/>
      <c r="X91" s="84" t="str">
        <f t="shared" si="0"/>
        <v>grantPlayerItems</v>
      </c>
      <c r="Y91" s="337" t="s">
        <v>2968</v>
      </c>
      <c r="Z91" s="25"/>
      <c r="AA91" s="25"/>
      <c r="AB91" s="25"/>
      <c r="AC91" s="25"/>
      <c r="AD91" s="25"/>
      <c r="AE91" s="25"/>
    </row>
    <row r="92" spans="1:31" ht="260" outlineLevel="1" x14ac:dyDescent="0.15">
      <c r="A92" s="338" t="s">
        <v>2969</v>
      </c>
      <c r="B92" s="306"/>
      <c r="C92" s="261" t="s">
        <v>2715</v>
      </c>
      <c r="D92" s="339"/>
      <c r="E92" s="338" t="s">
        <v>1153</v>
      </c>
      <c r="F92" s="339"/>
      <c r="G92" s="261" t="s">
        <v>2970</v>
      </c>
      <c r="H92" s="339"/>
      <c r="I92" s="338" t="s">
        <v>2946</v>
      </c>
      <c r="J92" s="84"/>
      <c r="K92" s="84" t="s">
        <v>2971</v>
      </c>
      <c r="L92" s="340"/>
      <c r="M92" s="332" t="s">
        <v>2678</v>
      </c>
      <c r="N92" s="306"/>
      <c r="O92" s="306"/>
      <c r="P92" s="22"/>
      <c r="Q92" s="84"/>
      <c r="R92" s="25"/>
      <c r="S92" s="25"/>
      <c r="T92" s="22"/>
      <c r="U92" s="25"/>
      <c r="V92" s="25"/>
      <c r="W92" s="25"/>
      <c r="X92" s="84" t="str">
        <f t="shared" si="0"/>
        <v>grantPlayerItems</v>
      </c>
      <c r="Y92" s="337" t="s">
        <v>2972</v>
      </c>
      <c r="Z92" s="25"/>
      <c r="AA92" s="25"/>
      <c r="AB92" s="25"/>
      <c r="AC92" s="25"/>
      <c r="AD92" s="25"/>
      <c r="AE92" s="25"/>
    </row>
    <row r="93" spans="1:31" ht="260" x14ac:dyDescent="0.15">
      <c r="A93" s="338" t="s">
        <v>2973</v>
      </c>
      <c r="B93" s="306"/>
      <c r="C93" s="261" t="s">
        <v>2715</v>
      </c>
      <c r="D93" s="339"/>
      <c r="E93" s="338" t="s">
        <v>1162</v>
      </c>
      <c r="F93" s="339"/>
      <c r="G93" s="261" t="s">
        <v>2945</v>
      </c>
      <c r="H93" s="339"/>
      <c r="I93" s="338" t="s">
        <v>2946</v>
      </c>
      <c r="J93" s="84" t="s">
        <v>2669</v>
      </c>
      <c r="K93" s="84" t="s">
        <v>2974</v>
      </c>
      <c r="L93" s="340"/>
      <c r="M93" s="332" t="s">
        <v>2678</v>
      </c>
      <c r="N93" s="306"/>
      <c r="O93" s="306"/>
      <c r="P93" s="22"/>
      <c r="Q93" s="84"/>
      <c r="R93" s="25"/>
      <c r="S93" s="25"/>
      <c r="T93" s="22"/>
      <c r="U93" s="25"/>
      <c r="V93" s="25"/>
      <c r="W93" s="25"/>
      <c r="X93" s="84" t="str">
        <f t="shared" si="0"/>
        <v>grantPlayerItems</v>
      </c>
      <c r="Y93" s="337" t="s">
        <v>2975</v>
      </c>
      <c r="Z93" s="25"/>
      <c r="AA93" s="25"/>
      <c r="AB93" s="25"/>
      <c r="AC93" s="25"/>
      <c r="AD93" s="25"/>
      <c r="AE93" s="25"/>
    </row>
    <row r="94" spans="1:31" ht="260" outlineLevel="1" x14ac:dyDescent="0.15">
      <c r="A94" s="338" t="s">
        <v>2976</v>
      </c>
      <c r="B94" s="306"/>
      <c r="C94" s="261" t="s">
        <v>2715</v>
      </c>
      <c r="D94" s="339"/>
      <c r="E94" s="338" t="s">
        <v>1162</v>
      </c>
      <c r="F94" s="339"/>
      <c r="G94" s="261" t="s">
        <v>2950</v>
      </c>
      <c r="H94" s="339"/>
      <c r="I94" s="338" t="s">
        <v>2946</v>
      </c>
      <c r="J94" s="84"/>
      <c r="K94" s="84" t="s">
        <v>2977</v>
      </c>
      <c r="L94" s="340"/>
      <c r="M94" s="332" t="s">
        <v>2678</v>
      </c>
      <c r="N94" s="306"/>
      <c r="O94" s="306"/>
      <c r="P94" s="22"/>
      <c r="Q94" s="84"/>
      <c r="R94" s="25"/>
      <c r="S94" s="25"/>
      <c r="T94" s="22"/>
      <c r="U94" s="25"/>
      <c r="V94" s="25"/>
      <c r="W94" s="25"/>
      <c r="X94" s="84" t="str">
        <f t="shared" si="0"/>
        <v>grantPlayerItems</v>
      </c>
      <c r="Y94" s="337" t="s">
        <v>2978</v>
      </c>
      <c r="Z94" s="25"/>
      <c r="AA94" s="25"/>
      <c r="AB94" s="25"/>
      <c r="AC94" s="25"/>
      <c r="AD94" s="25"/>
      <c r="AE94" s="25"/>
    </row>
    <row r="95" spans="1:31" ht="260" outlineLevel="1" x14ac:dyDescent="0.15">
      <c r="A95" s="338" t="s">
        <v>2979</v>
      </c>
      <c r="B95" s="306"/>
      <c r="C95" s="261" t="s">
        <v>2715</v>
      </c>
      <c r="D95" s="339"/>
      <c r="E95" s="338" t="s">
        <v>1162</v>
      </c>
      <c r="F95" s="339"/>
      <c r="G95" s="261" t="s">
        <v>2954</v>
      </c>
      <c r="H95" s="339"/>
      <c r="I95" s="338" t="s">
        <v>2946</v>
      </c>
      <c r="J95" s="84"/>
      <c r="K95" s="84" t="s">
        <v>2980</v>
      </c>
      <c r="L95" s="340"/>
      <c r="M95" s="332" t="s">
        <v>2678</v>
      </c>
      <c r="N95" s="306"/>
      <c r="O95" s="306"/>
      <c r="P95" s="22"/>
      <c r="Q95" s="84"/>
      <c r="R95" s="25"/>
      <c r="S95" s="25"/>
      <c r="T95" s="22"/>
      <c r="U95" s="25"/>
      <c r="V95" s="25"/>
      <c r="W95" s="25"/>
      <c r="X95" s="84" t="str">
        <f t="shared" si="0"/>
        <v>grantPlayerItems</v>
      </c>
      <c r="Y95" s="337" t="s">
        <v>2981</v>
      </c>
      <c r="Z95" s="25"/>
      <c r="AA95" s="25"/>
      <c r="AB95" s="25"/>
      <c r="AC95" s="25"/>
      <c r="AD95" s="25"/>
      <c r="AE95" s="25"/>
    </row>
    <row r="96" spans="1:31" ht="260" outlineLevel="1" x14ac:dyDescent="0.15">
      <c r="A96" s="338" t="s">
        <v>2982</v>
      </c>
      <c r="B96" s="306"/>
      <c r="C96" s="261" t="s">
        <v>2715</v>
      </c>
      <c r="D96" s="339"/>
      <c r="E96" s="338" t="s">
        <v>1162</v>
      </c>
      <c r="F96" s="339"/>
      <c r="G96" s="261" t="s">
        <v>2958</v>
      </c>
      <c r="H96" s="339"/>
      <c r="I96" s="338" t="s">
        <v>2946</v>
      </c>
      <c r="J96" s="84"/>
      <c r="K96" s="84" t="s">
        <v>2983</v>
      </c>
      <c r="L96" s="340"/>
      <c r="M96" s="332" t="s">
        <v>2678</v>
      </c>
      <c r="N96" s="306"/>
      <c r="O96" s="306"/>
      <c r="P96" s="22"/>
      <c r="Q96" s="84"/>
      <c r="R96" s="25"/>
      <c r="S96" s="25"/>
      <c r="T96" s="22"/>
      <c r="U96" s="25"/>
      <c r="V96" s="25"/>
      <c r="W96" s="25"/>
      <c r="X96" s="84" t="str">
        <f t="shared" si="0"/>
        <v>grantPlayerItems</v>
      </c>
      <c r="Y96" s="337" t="s">
        <v>2984</v>
      </c>
      <c r="Z96" s="25"/>
      <c r="AA96" s="25"/>
      <c r="AB96" s="25"/>
      <c r="AC96" s="25"/>
      <c r="AD96" s="25"/>
      <c r="AE96" s="25"/>
    </row>
    <row r="97" spans="1:31" ht="260" outlineLevel="1" x14ac:dyDescent="0.15">
      <c r="A97" s="338" t="s">
        <v>2985</v>
      </c>
      <c r="B97" s="306"/>
      <c r="C97" s="261" t="s">
        <v>2715</v>
      </c>
      <c r="D97" s="339"/>
      <c r="E97" s="338" t="s">
        <v>1162</v>
      </c>
      <c r="F97" s="339"/>
      <c r="G97" s="261" t="s">
        <v>2962</v>
      </c>
      <c r="H97" s="339"/>
      <c r="I97" s="338" t="s">
        <v>2946</v>
      </c>
      <c r="J97" s="84"/>
      <c r="K97" s="84" t="s">
        <v>2986</v>
      </c>
      <c r="L97" s="340"/>
      <c r="M97" s="332" t="s">
        <v>2678</v>
      </c>
      <c r="N97" s="306"/>
      <c r="O97" s="306"/>
      <c r="P97" s="22"/>
      <c r="Q97" s="84"/>
      <c r="R97" s="25"/>
      <c r="S97" s="25"/>
      <c r="T97" s="22"/>
      <c r="U97" s="25"/>
      <c r="V97" s="25"/>
      <c r="W97" s="25"/>
      <c r="X97" s="84" t="str">
        <f t="shared" si="0"/>
        <v>grantPlayerItems</v>
      </c>
      <c r="Y97" s="337" t="s">
        <v>2987</v>
      </c>
      <c r="Z97" s="25"/>
      <c r="AA97" s="25"/>
      <c r="AB97" s="25"/>
      <c r="AC97" s="25"/>
      <c r="AD97" s="25"/>
      <c r="AE97" s="25"/>
    </row>
    <row r="98" spans="1:31" ht="260" outlineLevel="1" x14ac:dyDescent="0.15">
      <c r="A98" s="338" t="s">
        <v>2988</v>
      </c>
      <c r="B98" s="306"/>
      <c r="C98" s="261" t="s">
        <v>2715</v>
      </c>
      <c r="D98" s="339"/>
      <c r="E98" s="338" t="s">
        <v>1162</v>
      </c>
      <c r="F98" s="339"/>
      <c r="G98" s="261" t="s">
        <v>2966</v>
      </c>
      <c r="H98" s="339"/>
      <c r="I98" s="338" t="s">
        <v>2946</v>
      </c>
      <c r="J98" s="84"/>
      <c r="K98" s="84" t="s">
        <v>2989</v>
      </c>
      <c r="L98" s="340"/>
      <c r="M98" s="332" t="s">
        <v>2678</v>
      </c>
      <c r="N98" s="306"/>
      <c r="O98" s="306"/>
      <c r="P98" s="22"/>
      <c r="Q98" s="84"/>
      <c r="R98" s="25"/>
      <c r="S98" s="25"/>
      <c r="T98" s="22"/>
      <c r="U98" s="25"/>
      <c r="V98" s="25"/>
      <c r="W98" s="25"/>
      <c r="X98" s="84" t="str">
        <f t="shared" si="0"/>
        <v>grantPlayerItems</v>
      </c>
      <c r="Y98" s="337" t="s">
        <v>2990</v>
      </c>
      <c r="Z98" s="25"/>
      <c r="AA98" s="25"/>
      <c r="AB98" s="25"/>
      <c r="AC98" s="25"/>
      <c r="AD98" s="25"/>
      <c r="AE98" s="25"/>
    </row>
    <row r="99" spans="1:31" ht="260" outlineLevel="1" x14ac:dyDescent="0.15">
      <c r="A99" s="338" t="s">
        <v>2991</v>
      </c>
      <c r="B99" s="306"/>
      <c r="C99" s="261" t="s">
        <v>2715</v>
      </c>
      <c r="D99" s="339"/>
      <c r="E99" s="338" t="s">
        <v>1162</v>
      </c>
      <c r="F99" s="339"/>
      <c r="G99" s="261" t="s">
        <v>2970</v>
      </c>
      <c r="H99" s="339"/>
      <c r="I99" s="338" t="s">
        <v>2946</v>
      </c>
      <c r="J99" s="84"/>
      <c r="K99" s="84" t="s">
        <v>2992</v>
      </c>
      <c r="L99" s="340"/>
      <c r="M99" s="332" t="s">
        <v>2678</v>
      </c>
      <c r="N99" s="306"/>
      <c r="O99" s="306"/>
      <c r="P99" s="22"/>
      <c r="Q99" s="84"/>
      <c r="R99" s="25"/>
      <c r="S99" s="25"/>
      <c r="T99" s="22"/>
      <c r="U99" s="25"/>
      <c r="V99" s="25"/>
      <c r="W99" s="25"/>
      <c r="X99" s="84" t="str">
        <f t="shared" si="0"/>
        <v>grantPlayerItems</v>
      </c>
      <c r="Y99" s="337" t="s">
        <v>2993</v>
      </c>
      <c r="Z99" s="25"/>
      <c r="AA99" s="25"/>
      <c r="AB99" s="25"/>
      <c r="AC99" s="25"/>
      <c r="AD99" s="25"/>
      <c r="AE99" s="25"/>
    </row>
    <row r="100" spans="1:31" ht="400" x14ac:dyDescent="0.15">
      <c r="A100" s="338" t="s">
        <v>2994</v>
      </c>
      <c r="B100" s="306"/>
      <c r="C100" s="261" t="s">
        <v>2816</v>
      </c>
      <c r="D100" s="339"/>
      <c r="E100" s="338" t="s">
        <v>1171</v>
      </c>
      <c r="F100" s="339"/>
      <c r="G100" s="261" t="s">
        <v>2945</v>
      </c>
      <c r="H100" s="339"/>
      <c r="I100" s="338" t="s">
        <v>2946</v>
      </c>
      <c r="J100" s="84"/>
      <c r="K100" s="84" t="s">
        <v>2995</v>
      </c>
      <c r="L100" s="340"/>
      <c r="M100" s="332" t="s">
        <v>2678</v>
      </c>
      <c r="N100" s="306"/>
      <c r="O100" s="306"/>
      <c r="P100" s="22"/>
      <c r="Q100" s="84"/>
      <c r="R100" s="25"/>
      <c r="S100" s="25"/>
      <c r="T100" s="22"/>
      <c r="U100" s="25"/>
      <c r="V100" s="25"/>
      <c r="W100" s="25"/>
      <c r="X100" s="25"/>
      <c r="Y100" s="337" t="s">
        <v>2996</v>
      </c>
      <c r="Z100" s="25"/>
      <c r="AA100" s="25"/>
      <c r="AB100" s="25"/>
      <c r="AC100" s="25"/>
      <c r="AD100" s="25"/>
      <c r="AE100" s="25"/>
    </row>
    <row r="101" spans="1:31" ht="400" outlineLevel="1" x14ac:dyDescent="0.15">
      <c r="A101" s="338" t="s">
        <v>2997</v>
      </c>
      <c r="B101" s="306"/>
      <c r="C101" s="261" t="s">
        <v>2816</v>
      </c>
      <c r="D101" s="339"/>
      <c r="E101" s="338" t="s">
        <v>1171</v>
      </c>
      <c r="F101" s="339"/>
      <c r="G101" s="261" t="s">
        <v>2950</v>
      </c>
      <c r="H101" s="339"/>
      <c r="I101" s="338" t="s">
        <v>2946</v>
      </c>
      <c r="J101" s="84"/>
      <c r="K101" s="84" t="s">
        <v>2998</v>
      </c>
      <c r="L101" s="340"/>
      <c r="M101" s="332" t="s">
        <v>2678</v>
      </c>
      <c r="N101" s="306"/>
      <c r="O101" s="306"/>
      <c r="P101" s="22"/>
      <c r="Q101" s="84"/>
      <c r="R101" s="25"/>
      <c r="S101" s="25"/>
      <c r="T101" s="22"/>
      <c r="U101" s="25"/>
      <c r="V101" s="25"/>
      <c r="W101" s="25"/>
      <c r="X101" s="25"/>
      <c r="Y101" s="337" t="s">
        <v>2999</v>
      </c>
      <c r="Z101" s="25"/>
      <c r="AA101" s="25"/>
      <c r="AB101" s="25"/>
      <c r="AC101" s="25"/>
      <c r="AD101" s="25"/>
      <c r="AE101" s="25"/>
    </row>
    <row r="102" spans="1:31" ht="400" outlineLevel="1" x14ac:dyDescent="0.15">
      <c r="A102" s="338" t="s">
        <v>3000</v>
      </c>
      <c r="B102" s="306"/>
      <c r="C102" s="261" t="s">
        <v>2816</v>
      </c>
      <c r="D102" s="339"/>
      <c r="E102" s="338" t="s">
        <v>1171</v>
      </c>
      <c r="F102" s="339"/>
      <c r="G102" s="261" t="s">
        <v>2954</v>
      </c>
      <c r="H102" s="339"/>
      <c r="I102" s="338" t="s">
        <v>2946</v>
      </c>
      <c r="J102" s="84"/>
      <c r="K102" s="84" t="s">
        <v>3001</v>
      </c>
      <c r="L102" s="340"/>
      <c r="M102" s="332" t="s">
        <v>2678</v>
      </c>
      <c r="N102" s="306"/>
      <c r="O102" s="306"/>
      <c r="P102" s="22"/>
      <c r="Q102" s="84"/>
      <c r="R102" s="25"/>
      <c r="S102" s="25"/>
      <c r="T102" s="22"/>
      <c r="U102" s="25"/>
      <c r="V102" s="25"/>
      <c r="W102" s="25"/>
      <c r="X102" s="25"/>
      <c r="Y102" s="337" t="s">
        <v>3002</v>
      </c>
      <c r="Z102" s="25"/>
      <c r="AA102" s="25"/>
      <c r="AB102" s="25"/>
      <c r="AC102" s="25"/>
      <c r="AD102" s="25"/>
      <c r="AE102" s="25"/>
    </row>
    <row r="103" spans="1:31" ht="400" outlineLevel="1" x14ac:dyDescent="0.15">
      <c r="A103" s="338" t="s">
        <v>3003</v>
      </c>
      <c r="B103" s="306"/>
      <c r="C103" s="261" t="s">
        <v>2816</v>
      </c>
      <c r="D103" s="339"/>
      <c r="E103" s="338" t="s">
        <v>1171</v>
      </c>
      <c r="F103" s="339"/>
      <c r="G103" s="261" t="s">
        <v>2958</v>
      </c>
      <c r="H103" s="339"/>
      <c r="I103" s="338" t="s">
        <v>2946</v>
      </c>
      <c r="J103" s="84"/>
      <c r="K103" s="84" t="s">
        <v>3004</v>
      </c>
      <c r="L103" s="340"/>
      <c r="M103" s="332" t="s">
        <v>2678</v>
      </c>
      <c r="N103" s="306"/>
      <c r="O103" s="306"/>
      <c r="P103" s="22"/>
      <c r="Q103" s="84"/>
      <c r="R103" s="25"/>
      <c r="S103" s="25"/>
      <c r="T103" s="22"/>
      <c r="U103" s="25"/>
      <c r="V103" s="25"/>
      <c r="W103" s="25"/>
      <c r="X103" s="25"/>
      <c r="Y103" s="337" t="s">
        <v>3005</v>
      </c>
      <c r="Z103" s="25"/>
      <c r="AA103" s="25"/>
      <c r="AB103" s="25"/>
      <c r="AC103" s="25"/>
      <c r="AD103" s="25"/>
      <c r="AE103" s="25"/>
    </row>
    <row r="104" spans="1:31" ht="400" outlineLevel="1" x14ac:dyDescent="0.15">
      <c r="A104" s="338" t="s">
        <v>3006</v>
      </c>
      <c r="B104" s="306"/>
      <c r="C104" s="261" t="s">
        <v>2816</v>
      </c>
      <c r="D104" s="339"/>
      <c r="E104" s="338" t="s">
        <v>1171</v>
      </c>
      <c r="F104" s="339"/>
      <c r="G104" s="261" t="s">
        <v>2962</v>
      </c>
      <c r="H104" s="339"/>
      <c r="I104" s="338" t="s">
        <v>2946</v>
      </c>
      <c r="J104" s="84"/>
      <c r="K104" s="84" t="s">
        <v>3007</v>
      </c>
      <c r="L104" s="340"/>
      <c r="M104" s="332" t="s">
        <v>2678</v>
      </c>
      <c r="N104" s="306"/>
      <c r="O104" s="306"/>
      <c r="P104" s="22"/>
      <c r="Q104" s="84"/>
      <c r="R104" s="25"/>
      <c r="S104" s="25"/>
      <c r="T104" s="22"/>
      <c r="U104" s="25"/>
      <c r="V104" s="25"/>
      <c r="W104" s="25"/>
      <c r="X104" s="25"/>
      <c r="Y104" s="337" t="s">
        <v>3008</v>
      </c>
      <c r="Z104" s="25"/>
      <c r="AA104" s="25"/>
      <c r="AB104" s="25"/>
      <c r="AC104" s="25"/>
      <c r="AD104" s="25"/>
      <c r="AE104" s="25"/>
    </row>
    <row r="105" spans="1:31" ht="400" outlineLevel="1" x14ac:dyDescent="0.15">
      <c r="A105" s="338" t="s">
        <v>3009</v>
      </c>
      <c r="B105" s="306"/>
      <c r="C105" s="261" t="s">
        <v>2816</v>
      </c>
      <c r="D105" s="339"/>
      <c r="E105" s="338" t="s">
        <v>1171</v>
      </c>
      <c r="F105" s="339"/>
      <c r="G105" s="261" t="s">
        <v>2966</v>
      </c>
      <c r="H105" s="339"/>
      <c r="I105" s="338" t="s">
        <v>2946</v>
      </c>
      <c r="J105" s="84"/>
      <c r="K105" s="84" t="s">
        <v>3010</v>
      </c>
      <c r="L105" s="340"/>
      <c r="M105" s="332" t="s">
        <v>2678</v>
      </c>
      <c r="N105" s="306"/>
      <c r="O105" s="306"/>
      <c r="P105" s="22"/>
      <c r="Q105" s="84"/>
      <c r="R105" s="25"/>
      <c r="S105" s="25"/>
      <c r="T105" s="22"/>
      <c r="U105" s="25"/>
      <c r="V105" s="25"/>
      <c r="W105" s="25"/>
      <c r="X105" s="25"/>
      <c r="Y105" s="337" t="s">
        <v>3011</v>
      </c>
      <c r="Z105" s="25"/>
      <c r="AA105" s="25"/>
      <c r="AB105" s="25"/>
      <c r="AC105" s="25"/>
      <c r="AD105" s="25"/>
      <c r="AE105" s="25"/>
    </row>
    <row r="106" spans="1:31" ht="400" outlineLevel="1" x14ac:dyDescent="0.15">
      <c r="A106" s="338" t="s">
        <v>3012</v>
      </c>
      <c r="B106" s="306"/>
      <c r="C106" s="261" t="s">
        <v>2816</v>
      </c>
      <c r="D106" s="339"/>
      <c r="E106" s="338" t="s">
        <v>1171</v>
      </c>
      <c r="F106" s="339"/>
      <c r="G106" s="261" t="s">
        <v>2970</v>
      </c>
      <c r="H106" s="339"/>
      <c r="I106" s="338" t="s">
        <v>2946</v>
      </c>
      <c r="J106" s="84"/>
      <c r="K106" s="84" t="s">
        <v>3013</v>
      </c>
      <c r="L106" s="340"/>
      <c r="M106" s="332" t="s">
        <v>2678</v>
      </c>
      <c r="N106" s="306"/>
      <c r="O106" s="306"/>
      <c r="P106" s="22"/>
      <c r="Q106" s="84"/>
      <c r="R106" s="25"/>
      <c r="S106" s="25"/>
      <c r="T106" s="22"/>
      <c r="U106" s="25"/>
      <c r="V106" s="25"/>
      <c r="W106" s="25"/>
      <c r="X106" s="25"/>
      <c r="Y106" s="337" t="s">
        <v>3014</v>
      </c>
      <c r="Z106" s="25"/>
      <c r="AA106" s="25"/>
      <c r="AB106" s="25"/>
      <c r="AC106" s="25"/>
      <c r="AD106" s="25"/>
      <c r="AE106" s="25"/>
    </row>
    <row r="107" spans="1:31" ht="400" x14ac:dyDescent="0.15">
      <c r="A107" s="338" t="s">
        <v>3015</v>
      </c>
      <c r="B107" s="306"/>
      <c r="C107" s="261" t="s">
        <v>2816</v>
      </c>
      <c r="D107" s="339"/>
      <c r="E107" s="338" t="s">
        <v>1180</v>
      </c>
      <c r="F107" s="339"/>
      <c r="G107" s="261" t="s">
        <v>2945</v>
      </c>
      <c r="H107" s="339"/>
      <c r="I107" s="338" t="s">
        <v>2946</v>
      </c>
      <c r="J107" s="84"/>
      <c r="K107" s="84" t="s">
        <v>3016</v>
      </c>
      <c r="L107" s="340"/>
      <c r="M107" s="332" t="s">
        <v>2678</v>
      </c>
      <c r="N107" s="306"/>
      <c r="O107" s="306"/>
      <c r="P107" s="22"/>
      <c r="Q107" s="84"/>
      <c r="R107" s="25"/>
      <c r="S107" s="25"/>
      <c r="T107" s="22"/>
      <c r="U107" s="25"/>
      <c r="V107" s="25"/>
      <c r="W107" s="25"/>
      <c r="X107" s="25"/>
      <c r="Y107" s="337" t="s">
        <v>3017</v>
      </c>
      <c r="Z107" s="25"/>
      <c r="AA107" s="25"/>
      <c r="AB107" s="25"/>
      <c r="AC107" s="25"/>
      <c r="AD107" s="25"/>
      <c r="AE107" s="25"/>
    </row>
    <row r="108" spans="1:31" ht="400" outlineLevel="1" x14ac:dyDescent="0.15">
      <c r="A108" s="338" t="s">
        <v>3018</v>
      </c>
      <c r="B108" s="306"/>
      <c r="C108" s="261" t="s">
        <v>2816</v>
      </c>
      <c r="D108" s="339"/>
      <c r="E108" s="338" t="s">
        <v>1180</v>
      </c>
      <c r="F108" s="339"/>
      <c r="G108" s="261" t="s">
        <v>2950</v>
      </c>
      <c r="H108" s="339"/>
      <c r="I108" s="338" t="s">
        <v>2946</v>
      </c>
      <c r="J108" s="84"/>
      <c r="K108" s="84" t="s">
        <v>3019</v>
      </c>
      <c r="L108" s="340"/>
      <c r="M108" s="332" t="s">
        <v>2678</v>
      </c>
      <c r="N108" s="306"/>
      <c r="O108" s="306"/>
      <c r="P108" s="22"/>
      <c r="Q108" s="84"/>
      <c r="R108" s="25"/>
      <c r="S108" s="25"/>
      <c r="T108" s="22"/>
      <c r="U108" s="25"/>
      <c r="V108" s="25"/>
      <c r="W108" s="25"/>
      <c r="X108" s="25"/>
      <c r="Y108" s="337" t="s">
        <v>3020</v>
      </c>
      <c r="Z108" s="25"/>
      <c r="AA108" s="25"/>
      <c r="AB108" s="25"/>
      <c r="AC108" s="25"/>
      <c r="AD108" s="25"/>
      <c r="AE108" s="25"/>
    </row>
    <row r="109" spans="1:31" ht="400" outlineLevel="1" x14ac:dyDescent="0.15">
      <c r="A109" s="338" t="s">
        <v>3021</v>
      </c>
      <c r="B109" s="306"/>
      <c r="C109" s="261" t="s">
        <v>2816</v>
      </c>
      <c r="D109" s="339"/>
      <c r="E109" s="338" t="s">
        <v>1180</v>
      </c>
      <c r="F109" s="339"/>
      <c r="G109" s="261" t="s">
        <v>2954</v>
      </c>
      <c r="H109" s="339"/>
      <c r="I109" s="338" t="s">
        <v>2946</v>
      </c>
      <c r="J109" s="84"/>
      <c r="K109" s="84" t="s">
        <v>3022</v>
      </c>
      <c r="L109" s="340"/>
      <c r="M109" s="332" t="s">
        <v>2678</v>
      </c>
      <c r="N109" s="306"/>
      <c r="O109" s="306"/>
      <c r="P109" s="22"/>
      <c r="Q109" s="84"/>
      <c r="R109" s="25"/>
      <c r="S109" s="25"/>
      <c r="T109" s="22"/>
      <c r="U109" s="25"/>
      <c r="V109" s="25"/>
      <c r="W109" s="25"/>
      <c r="X109" s="25"/>
      <c r="Y109" s="337" t="s">
        <v>3023</v>
      </c>
      <c r="Z109" s="25"/>
      <c r="AA109" s="25"/>
      <c r="AB109" s="25"/>
      <c r="AC109" s="25"/>
      <c r="AD109" s="25"/>
      <c r="AE109" s="25"/>
    </row>
    <row r="110" spans="1:31" ht="400" outlineLevel="1" x14ac:dyDescent="0.15">
      <c r="A110" s="338" t="s">
        <v>3024</v>
      </c>
      <c r="B110" s="306"/>
      <c r="C110" s="261" t="s">
        <v>2816</v>
      </c>
      <c r="D110" s="339"/>
      <c r="E110" s="338" t="s">
        <v>1180</v>
      </c>
      <c r="F110" s="339"/>
      <c r="G110" s="261" t="s">
        <v>2958</v>
      </c>
      <c r="H110" s="339"/>
      <c r="I110" s="338" t="s">
        <v>2946</v>
      </c>
      <c r="J110" s="84"/>
      <c r="K110" s="84" t="s">
        <v>3025</v>
      </c>
      <c r="L110" s="340"/>
      <c r="M110" s="332" t="s">
        <v>2678</v>
      </c>
      <c r="N110" s="306"/>
      <c r="O110" s="306"/>
      <c r="P110" s="22"/>
      <c r="Q110" s="84"/>
      <c r="R110" s="25"/>
      <c r="S110" s="25"/>
      <c r="T110" s="22"/>
      <c r="U110" s="25"/>
      <c r="V110" s="25"/>
      <c r="W110" s="25"/>
      <c r="X110" s="25"/>
      <c r="Y110" s="337" t="s">
        <v>3026</v>
      </c>
      <c r="Z110" s="25"/>
      <c r="AA110" s="25"/>
      <c r="AB110" s="25"/>
      <c r="AC110" s="25"/>
      <c r="AD110" s="25"/>
      <c r="AE110" s="25"/>
    </row>
    <row r="111" spans="1:31" ht="400" outlineLevel="1" x14ac:dyDescent="0.15">
      <c r="A111" s="338" t="s">
        <v>3027</v>
      </c>
      <c r="B111" s="306"/>
      <c r="C111" s="261" t="s">
        <v>2816</v>
      </c>
      <c r="D111" s="339"/>
      <c r="E111" s="338" t="s">
        <v>1180</v>
      </c>
      <c r="F111" s="339"/>
      <c r="G111" s="261" t="s">
        <v>2962</v>
      </c>
      <c r="H111" s="339"/>
      <c r="I111" s="338" t="s">
        <v>2946</v>
      </c>
      <c r="J111" s="84"/>
      <c r="K111" s="84" t="s">
        <v>3028</v>
      </c>
      <c r="L111" s="340"/>
      <c r="M111" s="332" t="s">
        <v>2678</v>
      </c>
      <c r="N111" s="306"/>
      <c r="O111" s="306"/>
      <c r="P111" s="22"/>
      <c r="Q111" s="84"/>
      <c r="R111" s="25"/>
      <c r="S111" s="25"/>
      <c r="T111" s="22"/>
      <c r="U111" s="25"/>
      <c r="V111" s="25"/>
      <c r="W111" s="25"/>
      <c r="X111" s="25"/>
      <c r="Y111" s="337" t="s">
        <v>3029</v>
      </c>
      <c r="Z111" s="25"/>
      <c r="AA111" s="25"/>
      <c r="AB111" s="25"/>
      <c r="AC111" s="25"/>
      <c r="AD111" s="25"/>
      <c r="AE111" s="25"/>
    </row>
    <row r="112" spans="1:31" ht="400" outlineLevel="1" x14ac:dyDescent="0.15">
      <c r="A112" s="338" t="s">
        <v>3030</v>
      </c>
      <c r="B112" s="306"/>
      <c r="C112" s="261" t="s">
        <v>2816</v>
      </c>
      <c r="D112" s="339"/>
      <c r="E112" s="338" t="s">
        <v>1180</v>
      </c>
      <c r="F112" s="339"/>
      <c r="G112" s="261" t="s">
        <v>2966</v>
      </c>
      <c r="H112" s="339"/>
      <c r="I112" s="338" t="s">
        <v>2946</v>
      </c>
      <c r="J112" s="84"/>
      <c r="K112" s="84" t="s">
        <v>3031</v>
      </c>
      <c r="L112" s="340"/>
      <c r="M112" s="332" t="s">
        <v>2678</v>
      </c>
      <c r="N112" s="306"/>
      <c r="O112" s="306"/>
      <c r="P112" s="22"/>
      <c r="Q112" s="84"/>
      <c r="R112" s="25"/>
      <c r="S112" s="25"/>
      <c r="T112" s="22"/>
      <c r="U112" s="25"/>
      <c r="V112" s="25"/>
      <c r="W112" s="25"/>
      <c r="X112" s="25"/>
      <c r="Y112" s="337" t="s">
        <v>3032</v>
      </c>
      <c r="Z112" s="25"/>
      <c r="AA112" s="25"/>
      <c r="AB112" s="25"/>
      <c r="AC112" s="25"/>
      <c r="AD112" s="25"/>
      <c r="AE112" s="25"/>
    </row>
    <row r="113" spans="1:31" ht="400" outlineLevel="1" x14ac:dyDescent="0.15">
      <c r="A113" s="338" t="s">
        <v>3033</v>
      </c>
      <c r="B113" s="306"/>
      <c r="C113" s="261" t="s">
        <v>2816</v>
      </c>
      <c r="D113" s="339"/>
      <c r="E113" s="338" t="s">
        <v>1180</v>
      </c>
      <c r="F113" s="339"/>
      <c r="G113" s="261" t="s">
        <v>2970</v>
      </c>
      <c r="H113" s="339"/>
      <c r="I113" s="338" t="s">
        <v>2946</v>
      </c>
      <c r="J113" s="84"/>
      <c r="K113" s="84" t="s">
        <v>3034</v>
      </c>
      <c r="L113" s="340"/>
      <c r="M113" s="332" t="s">
        <v>2678</v>
      </c>
      <c r="N113" s="306"/>
      <c r="O113" s="306"/>
      <c r="P113" s="22"/>
      <c r="Q113" s="84"/>
      <c r="R113" s="25"/>
      <c r="S113" s="25"/>
      <c r="T113" s="22"/>
      <c r="U113" s="25"/>
      <c r="V113" s="25"/>
      <c r="W113" s="25"/>
      <c r="X113" s="25"/>
      <c r="Y113" s="337" t="s">
        <v>3035</v>
      </c>
      <c r="Z113" s="25"/>
      <c r="AA113" s="25"/>
      <c r="AB113" s="25"/>
      <c r="AC113" s="25"/>
      <c r="AD113" s="25"/>
      <c r="AE113" s="25"/>
    </row>
    <row r="114" spans="1:31" ht="400" x14ac:dyDescent="0.15">
      <c r="A114" s="338" t="s">
        <v>3036</v>
      </c>
      <c r="B114" s="306"/>
      <c r="C114" s="261" t="s">
        <v>2816</v>
      </c>
      <c r="D114" s="339"/>
      <c r="E114" s="338" t="s">
        <v>1198</v>
      </c>
      <c r="F114" s="339"/>
      <c r="G114" s="261" t="s">
        <v>2945</v>
      </c>
      <c r="H114" s="339"/>
      <c r="I114" s="338" t="s">
        <v>2946</v>
      </c>
      <c r="J114" s="84"/>
      <c r="K114" s="84" t="s">
        <v>3037</v>
      </c>
      <c r="L114" s="340"/>
      <c r="M114" s="332" t="s">
        <v>2678</v>
      </c>
      <c r="N114" s="306"/>
      <c r="O114" s="306"/>
      <c r="P114" s="22"/>
      <c r="Q114" s="84"/>
      <c r="R114" s="25"/>
      <c r="S114" s="25"/>
      <c r="T114" s="22"/>
      <c r="U114" s="25"/>
      <c r="V114" s="25"/>
      <c r="W114" s="25"/>
      <c r="X114" s="25"/>
      <c r="Y114" s="337" t="s">
        <v>3038</v>
      </c>
      <c r="Z114" s="25"/>
      <c r="AA114" s="25"/>
      <c r="AB114" s="25"/>
      <c r="AC114" s="25"/>
      <c r="AD114" s="25"/>
      <c r="AE114" s="25"/>
    </row>
    <row r="115" spans="1:31" ht="400" outlineLevel="1" x14ac:dyDescent="0.15">
      <c r="A115" s="338" t="s">
        <v>3039</v>
      </c>
      <c r="B115" s="306"/>
      <c r="C115" s="261" t="s">
        <v>2816</v>
      </c>
      <c r="D115" s="339"/>
      <c r="E115" s="338" t="s">
        <v>1198</v>
      </c>
      <c r="F115" s="339"/>
      <c r="G115" s="261" t="s">
        <v>2950</v>
      </c>
      <c r="H115" s="339"/>
      <c r="I115" s="338" t="s">
        <v>2946</v>
      </c>
      <c r="J115" s="84"/>
      <c r="K115" s="84" t="s">
        <v>3040</v>
      </c>
      <c r="L115" s="340"/>
      <c r="M115" s="332" t="s">
        <v>2678</v>
      </c>
      <c r="N115" s="306"/>
      <c r="O115" s="306"/>
      <c r="P115" s="22"/>
      <c r="Q115" s="84"/>
      <c r="R115" s="25"/>
      <c r="S115" s="25"/>
      <c r="T115" s="22"/>
      <c r="U115" s="25"/>
      <c r="V115" s="25"/>
      <c r="W115" s="25"/>
      <c r="X115" s="25"/>
      <c r="Y115" s="337" t="s">
        <v>3041</v>
      </c>
      <c r="Z115" s="25"/>
      <c r="AA115" s="25"/>
      <c r="AB115" s="25"/>
      <c r="AC115" s="25"/>
      <c r="AD115" s="25"/>
      <c r="AE115" s="25"/>
    </row>
    <row r="116" spans="1:31" ht="400" outlineLevel="1" x14ac:dyDescent="0.15">
      <c r="A116" s="338" t="s">
        <v>3042</v>
      </c>
      <c r="B116" s="306"/>
      <c r="C116" s="261" t="s">
        <v>2816</v>
      </c>
      <c r="D116" s="339"/>
      <c r="E116" s="338" t="s">
        <v>1198</v>
      </c>
      <c r="F116" s="339"/>
      <c r="G116" s="261" t="s">
        <v>2954</v>
      </c>
      <c r="H116" s="339"/>
      <c r="I116" s="338" t="s">
        <v>2946</v>
      </c>
      <c r="J116" s="84"/>
      <c r="K116" s="84" t="s">
        <v>3043</v>
      </c>
      <c r="L116" s="340"/>
      <c r="M116" s="332" t="s">
        <v>2678</v>
      </c>
      <c r="N116" s="306"/>
      <c r="O116" s="306"/>
      <c r="P116" s="22"/>
      <c r="Q116" s="84"/>
      <c r="R116" s="25"/>
      <c r="S116" s="25"/>
      <c r="T116" s="22"/>
      <c r="U116" s="25"/>
      <c r="V116" s="25"/>
      <c r="W116" s="25"/>
      <c r="X116" s="25"/>
      <c r="Y116" s="337" t="s">
        <v>3044</v>
      </c>
      <c r="Z116" s="25"/>
      <c r="AA116" s="25"/>
      <c r="AB116" s="25"/>
      <c r="AC116" s="25"/>
      <c r="AD116" s="25"/>
      <c r="AE116" s="25"/>
    </row>
    <row r="117" spans="1:31" ht="400" outlineLevel="1" x14ac:dyDescent="0.15">
      <c r="A117" s="338" t="s">
        <v>3045</v>
      </c>
      <c r="B117" s="306"/>
      <c r="C117" s="261" t="s">
        <v>2816</v>
      </c>
      <c r="D117" s="339"/>
      <c r="E117" s="338" t="s">
        <v>1198</v>
      </c>
      <c r="F117" s="339"/>
      <c r="G117" s="261" t="s">
        <v>2958</v>
      </c>
      <c r="H117" s="339"/>
      <c r="I117" s="338" t="s">
        <v>2946</v>
      </c>
      <c r="J117" s="84"/>
      <c r="K117" s="84" t="s">
        <v>3046</v>
      </c>
      <c r="L117" s="340"/>
      <c r="M117" s="332" t="s">
        <v>2678</v>
      </c>
      <c r="N117" s="306"/>
      <c r="O117" s="306"/>
      <c r="P117" s="22"/>
      <c r="Q117" s="84"/>
      <c r="R117" s="25"/>
      <c r="S117" s="25"/>
      <c r="T117" s="22"/>
      <c r="U117" s="25"/>
      <c r="V117" s="25"/>
      <c r="W117" s="25"/>
      <c r="X117" s="25"/>
      <c r="Y117" s="337" t="s">
        <v>3047</v>
      </c>
      <c r="Z117" s="25"/>
      <c r="AA117" s="25"/>
      <c r="AB117" s="25"/>
      <c r="AC117" s="25"/>
      <c r="AD117" s="25"/>
      <c r="AE117" s="25"/>
    </row>
    <row r="118" spans="1:31" ht="400" outlineLevel="1" x14ac:dyDescent="0.15">
      <c r="A118" s="338" t="s">
        <v>3048</v>
      </c>
      <c r="B118" s="306"/>
      <c r="C118" s="261" t="s">
        <v>2816</v>
      </c>
      <c r="D118" s="339"/>
      <c r="E118" s="338" t="s">
        <v>1198</v>
      </c>
      <c r="F118" s="339"/>
      <c r="G118" s="261" t="s">
        <v>2962</v>
      </c>
      <c r="H118" s="339"/>
      <c r="I118" s="338" t="s">
        <v>2946</v>
      </c>
      <c r="J118" s="84"/>
      <c r="K118" s="84" t="s">
        <v>3049</v>
      </c>
      <c r="L118" s="340"/>
      <c r="M118" s="332" t="s">
        <v>2678</v>
      </c>
      <c r="N118" s="306"/>
      <c r="O118" s="306"/>
      <c r="P118" s="22"/>
      <c r="Q118" s="84"/>
      <c r="R118" s="25"/>
      <c r="S118" s="25"/>
      <c r="T118" s="22"/>
      <c r="U118" s="25"/>
      <c r="V118" s="25"/>
      <c r="W118" s="25"/>
      <c r="X118" s="25"/>
      <c r="Y118" s="337" t="s">
        <v>3050</v>
      </c>
      <c r="Z118" s="25"/>
      <c r="AA118" s="25"/>
      <c r="AB118" s="25"/>
      <c r="AC118" s="25"/>
      <c r="AD118" s="25"/>
      <c r="AE118" s="25"/>
    </row>
    <row r="119" spans="1:31" ht="400" outlineLevel="1" x14ac:dyDescent="0.15">
      <c r="A119" s="338" t="s">
        <v>3051</v>
      </c>
      <c r="B119" s="306"/>
      <c r="C119" s="261" t="s">
        <v>2816</v>
      </c>
      <c r="D119" s="339"/>
      <c r="E119" s="338" t="s">
        <v>1198</v>
      </c>
      <c r="F119" s="339"/>
      <c r="G119" s="261" t="s">
        <v>2966</v>
      </c>
      <c r="H119" s="339"/>
      <c r="I119" s="338" t="s">
        <v>2946</v>
      </c>
      <c r="J119" s="84"/>
      <c r="K119" s="84" t="s">
        <v>3052</v>
      </c>
      <c r="L119" s="340"/>
      <c r="M119" s="332" t="s">
        <v>2678</v>
      </c>
      <c r="N119" s="306"/>
      <c r="O119" s="306"/>
      <c r="P119" s="22"/>
      <c r="Q119" s="84"/>
      <c r="R119" s="25"/>
      <c r="S119" s="25"/>
      <c r="T119" s="22"/>
      <c r="U119" s="25"/>
      <c r="V119" s="25"/>
      <c r="W119" s="25"/>
      <c r="X119" s="25"/>
      <c r="Y119" s="337" t="s">
        <v>3053</v>
      </c>
      <c r="Z119" s="25"/>
      <c r="AA119" s="25"/>
      <c r="AB119" s="25"/>
      <c r="AC119" s="25"/>
      <c r="AD119" s="25"/>
      <c r="AE119" s="25"/>
    </row>
    <row r="120" spans="1:31" ht="400" outlineLevel="1" x14ac:dyDescent="0.15">
      <c r="A120" s="338" t="s">
        <v>3054</v>
      </c>
      <c r="B120" s="306"/>
      <c r="C120" s="261" t="s">
        <v>2816</v>
      </c>
      <c r="D120" s="339"/>
      <c r="E120" s="338" t="s">
        <v>1198</v>
      </c>
      <c r="F120" s="339"/>
      <c r="G120" s="261" t="s">
        <v>2970</v>
      </c>
      <c r="H120" s="339"/>
      <c r="I120" s="338" t="s">
        <v>2946</v>
      </c>
      <c r="J120" s="84"/>
      <c r="K120" s="84" t="s">
        <v>3055</v>
      </c>
      <c r="L120" s="340"/>
      <c r="M120" s="332" t="s">
        <v>2678</v>
      </c>
      <c r="N120" s="306"/>
      <c r="O120" s="306"/>
      <c r="P120" s="22"/>
      <c r="Q120" s="84"/>
      <c r="R120" s="25"/>
      <c r="S120" s="25"/>
      <c r="T120" s="22"/>
      <c r="U120" s="25"/>
      <c r="V120" s="25"/>
      <c r="W120" s="25"/>
      <c r="X120" s="25"/>
      <c r="Y120" s="337" t="s">
        <v>3056</v>
      </c>
      <c r="Z120" s="25"/>
      <c r="AA120" s="25"/>
      <c r="AB120" s="25"/>
      <c r="AC120" s="25"/>
      <c r="AD120" s="25"/>
      <c r="AE120" s="25"/>
    </row>
    <row r="121" spans="1:31" ht="400" x14ac:dyDescent="0.15">
      <c r="A121" s="338" t="s">
        <v>3057</v>
      </c>
      <c r="B121" s="306"/>
      <c r="C121" s="261" t="s">
        <v>2816</v>
      </c>
      <c r="D121" s="339"/>
      <c r="E121" s="338" t="s">
        <v>1189</v>
      </c>
      <c r="F121" s="339"/>
      <c r="G121" s="261" t="s">
        <v>2945</v>
      </c>
      <c r="H121" s="339"/>
      <c r="I121" s="338" t="s">
        <v>2946</v>
      </c>
      <c r="J121" s="84"/>
      <c r="K121" s="84" t="s">
        <v>3058</v>
      </c>
      <c r="L121" s="340"/>
      <c r="M121" s="332" t="s">
        <v>2678</v>
      </c>
      <c r="N121" s="306"/>
      <c r="O121" s="306"/>
      <c r="P121" s="22"/>
      <c r="Q121" s="84"/>
      <c r="R121" s="25"/>
      <c r="S121" s="25"/>
      <c r="T121" s="22"/>
      <c r="U121" s="25"/>
      <c r="V121" s="25"/>
      <c r="W121" s="25"/>
      <c r="X121" s="25"/>
      <c r="Y121" s="337" t="s">
        <v>3059</v>
      </c>
      <c r="Z121" s="25"/>
      <c r="AA121" s="25"/>
      <c r="AB121" s="25"/>
      <c r="AC121" s="25"/>
      <c r="AD121" s="25"/>
      <c r="AE121" s="25"/>
    </row>
    <row r="122" spans="1:31" ht="400" outlineLevel="1" x14ac:dyDescent="0.15">
      <c r="A122" s="338" t="s">
        <v>3060</v>
      </c>
      <c r="B122" s="306"/>
      <c r="C122" s="261" t="s">
        <v>2816</v>
      </c>
      <c r="D122" s="339"/>
      <c r="E122" s="338" t="s">
        <v>1189</v>
      </c>
      <c r="F122" s="339"/>
      <c r="G122" s="261" t="s">
        <v>2950</v>
      </c>
      <c r="H122" s="339"/>
      <c r="I122" s="338" t="s">
        <v>2946</v>
      </c>
      <c r="J122" s="84"/>
      <c r="K122" s="84" t="s">
        <v>3061</v>
      </c>
      <c r="L122" s="340"/>
      <c r="M122" s="306"/>
      <c r="N122" s="306"/>
      <c r="O122" s="306"/>
      <c r="P122" s="22"/>
      <c r="Q122" s="84"/>
      <c r="R122" s="25"/>
      <c r="S122" s="25"/>
      <c r="T122" s="22"/>
      <c r="U122" s="25"/>
      <c r="V122" s="25"/>
      <c r="W122" s="25"/>
      <c r="X122" s="25"/>
      <c r="Y122" s="337" t="s">
        <v>3062</v>
      </c>
      <c r="Z122" s="25"/>
      <c r="AA122" s="25"/>
      <c r="AB122" s="25"/>
      <c r="AC122" s="25"/>
      <c r="AD122" s="25"/>
      <c r="AE122" s="25"/>
    </row>
    <row r="123" spans="1:31" ht="400" outlineLevel="1" x14ac:dyDescent="0.15">
      <c r="A123" s="338" t="s">
        <v>3063</v>
      </c>
      <c r="B123" s="306"/>
      <c r="C123" s="261" t="s">
        <v>2816</v>
      </c>
      <c r="D123" s="339"/>
      <c r="E123" s="338" t="s">
        <v>1189</v>
      </c>
      <c r="F123" s="339"/>
      <c r="G123" s="261" t="s">
        <v>2954</v>
      </c>
      <c r="H123" s="339"/>
      <c r="I123" s="338" t="s">
        <v>2946</v>
      </c>
      <c r="J123" s="84"/>
      <c r="K123" s="84" t="s">
        <v>3064</v>
      </c>
      <c r="L123" s="340"/>
      <c r="M123" s="306"/>
      <c r="N123" s="306"/>
      <c r="O123" s="306"/>
      <c r="P123" s="22"/>
      <c r="Q123" s="84"/>
      <c r="R123" s="25"/>
      <c r="S123" s="25"/>
      <c r="T123" s="22"/>
      <c r="U123" s="25"/>
      <c r="V123" s="25"/>
      <c r="W123" s="25"/>
      <c r="X123" s="25"/>
      <c r="Y123" s="337" t="s">
        <v>3065</v>
      </c>
      <c r="Z123" s="25"/>
      <c r="AA123" s="25"/>
      <c r="AB123" s="25"/>
      <c r="AC123" s="25"/>
      <c r="AD123" s="25"/>
      <c r="AE123" s="25"/>
    </row>
    <row r="124" spans="1:31" ht="400" outlineLevel="1" x14ac:dyDescent="0.15">
      <c r="A124" s="338" t="s">
        <v>3066</v>
      </c>
      <c r="B124" s="306"/>
      <c r="C124" s="261" t="s">
        <v>2816</v>
      </c>
      <c r="D124" s="339"/>
      <c r="E124" s="338" t="s">
        <v>1189</v>
      </c>
      <c r="F124" s="339"/>
      <c r="G124" s="261" t="s">
        <v>2958</v>
      </c>
      <c r="H124" s="339"/>
      <c r="I124" s="338" t="s">
        <v>2946</v>
      </c>
      <c r="J124" s="84"/>
      <c r="K124" s="84" t="s">
        <v>3067</v>
      </c>
      <c r="L124" s="340"/>
      <c r="M124" s="306"/>
      <c r="N124" s="306"/>
      <c r="O124" s="306"/>
      <c r="P124" s="22"/>
      <c r="Q124" s="84"/>
      <c r="R124" s="25"/>
      <c r="S124" s="25"/>
      <c r="T124" s="22"/>
      <c r="U124" s="25"/>
      <c r="V124" s="25"/>
      <c r="W124" s="25"/>
      <c r="X124" s="25"/>
      <c r="Y124" s="337" t="s">
        <v>3068</v>
      </c>
      <c r="Z124" s="25"/>
      <c r="AA124" s="25"/>
      <c r="AB124" s="25"/>
      <c r="AC124" s="25"/>
      <c r="AD124" s="25"/>
      <c r="AE124" s="25"/>
    </row>
    <row r="125" spans="1:31" ht="400" outlineLevel="1" x14ac:dyDescent="0.15">
      <c r="A125" s="338" t="s">
        <v>3069</v>
      </c>
      <c r="B125" s="306"/>
      <c r="C125" s="261" t="s">
        <v>2816</v>
      </c>
      <c r="D125" s="339"/>
      <c r="E125" s="338" t="s">
        <v>1189</v>
      </c>
      <c r="F125" s="339"/>
      <c r="G125" s="261" t="s">
        <v>2962</v>
      </c>
      <c r="H125" s="339"/>
      <c r="I125" s="338" t="s">
        <v>2946</v>
      </c>
      <c r="J125" s="84"/>
      <c r="K125" s="84" t="s">
        <v>3070</v>
      </c>
      <c r="L125" s="340"/>
      <c r="M125" s="306"/>
      <c r="N125" s="306"/>
      <c r="O125" s="306"/>
      <c r="P125" s="22"/>
      <c r="Q125" s="84"/>
      <c r="R125" s="25"/>
      <c r="S125" s="25"/>
      <c r="T125" s="22"/>
      <c r="U125" s="25"/>
      <c r="V125" s="25"/>
      <c r="W125" s="25"/>
      <c r="X125" s="25"/>
      <c r="Y125" s="337" t="s">
        <v>3071</v>
      </c>
      <c r="Z125" s="25"/>
      <c r="AA125" s="25"/>
      <c r="AB125" s="25"/>
      <c r="AC125" s="25"/>
      <c r="AD125" s="25"/>
      <c r="AE125" s="25"/>
    </row>
    <row r="126" spans="1:31" ht="400" outlineLevel="1" x14ac:dyDescent="0.15">
      <c r="A126" s="338" t="s">
        <v>3072</v>
      </c>
      <c r="B126" s="306"/>
      <c r="C126" s="261" t="s">
        <v>2816</v>
      </c>
      <c r="D126" s="339"/>
      <c r="E126" s="338" t="s">
        <v>1189</v>
      </c>
      <c r="F126" s="339"/>
      <c r="G126" s="261" t="s">
        <v>2966</v>
      </c>
      <c r="H126" s="339"/>
      <c r="I126" s="338" t="s">
        <v>2946</v>
      </c>
      <c r="J126" s="84"/>
      <c r="K126" s="84" t="s">
        <v>3073</v>
      </c>
      <c r="L126" s="340"/>
      <c r="M126" s="306"/>
      <c r="N126" s="306"/>
      <c r="O126" s="306"/>
      <c r="P126" s="22"/>
      <c r="Q126" s="84"/>
      <c r="R126" s="25"/>
      <c r="S126" s="25"/>
      <c r="T126" s="22"/>
      <c r="U126" s="25"/>
      <c r="V126" s="25"/>
      <c r="W126" s="25"/>
      <c r="X126" s="25"/>
      <c r="Y126" s="337" t="s">
        <v>3074</v>
      </c>
      <c r="Z126" s="25"/>
      <c r="AA126" s="25"/>
      <c r="AB126" s="25"/>
      <c r="AC126" s="25"/>
      <c r="AD126" s="25"/>
      <c r="AE126" s="25"/>
    </row>
    <row r="127" spans="1:31" ht="400" outlineLevel="1" x14ac:dyDescent="0.15">
      <c r="A127" s="338" t="s">
        <v>3075</v>
      </c>
      <c r="B127" s="306"/>
      <c r="C127" s="261" t="s">
        <v>2816</v>
      </c>
      <c r="D127" s="339"/>
      <c r="E127" s="338" t="s">
        <v>1189</v>
      </c>
      <c r="F127" s="339"/>
      <c r="G127" s="261" t="s">
        <v>2970</v>
      </c>
      <c r="H127" s="339"/>
      <c r="I127" s="338" t="s">
        <v>2946</v>
      </c>
      <c r="J127" s="84"/>
      <c r="K127" s="84" t="s">
        <v>3076</v>
      </c>
      <c r="L127" s="340"/>
      <c r="M127" s="306"/>
      <c r="N127" s="306"/>
      <c r="O127" s="306"/>
      <c r="P127" s="22"/>
      <c r="Q127" s="84"/>
      <c r="R127" s="25"/>
      <c r="S127" s="25"/>
      <c r="T127" s="22"/>
      <c r="U127" s="25"/>
      <c r="V127" s="25"/>
      <c r="W127" s="25"/>
      <c r="X127" s="25"/>
      <c r="Y127" s="337" t="s">
        <v>3077</v>
      </c>
      <c r="Z127" s="25"/>
      <c r="AA127" s="25"/>
      <c r="AB127" s="25"/>
      <c r="AC127" s="25"/>
      <c r="AD127" s="25"/>
      <c r="AE127" s="25"/>
    </row>
    <row r="128" spans="1:31" ht="260" x14ac:dyDescent="0.15">
      <c r="A128" s="338" t="s">
        <v>3078</v>
      </c>
      <c r="B128" s="332" t="b">
        <v>1</v>
      </c>
      <c r="C128" s="338" t="s">
        <v>2838</v>
      </c>
      <c r="D128" s="339"/>
      <c r="E128" s="338" t="s">
        <v>1207</v>
      </c>
      <c r="F128" s="339"/>
      <c r="G128" s="261" t="s">
        <v>2945</v>
      </c>
      <c r="H128" s="339"/>
      <c r="I128" s="338" t="s">
        <v>2946</v>
      </c>
      <c r="J128" s="84" t="s">
        <v>2669</v>
      </c>
      <c r="K128" s="84" t="s">
        <v>3079</v>
      </c>
      <c r="L128" s="340"/>
      <c r="M128" s="332" t="s">
        <v>2678</v>
      </c>
      <c r="N128" s="306"/>
      <c r="O128" s="306"/>
      <c r="P128" s="22"/>
      <c r="Q128" s="84"/>
      <c r="R128" s="25"/>
      <c r="S128" s="25"/>
      <c r="T128" s="22"/>
      <c r="U128" s="25"/>
      <c r="V128" s="25"/>
      <c r="W128" s="25"/>
      <c r="X128" s="84" t="str">
        <f t="shared" ref="X128:X382" si="1">IF(D128&lt;&gt;"", "grantPlayerStatistics", "grantPlayerItems")</f>
        <v>grantPlayerItems</v>
      </c>
      <c r="Y128" s="337" t="s">
        <v>3080</v>
      </c>
      <c r="Z128" s="25"/>
      <c r="AA128" s="25"/>
      <c r="AB128" s="25"/>
      <c r="AC128" s="25"/>
      <c r="AD128" s="25"/>
      <c r="AE128" s="25"/>
    </row>
    <row r="129" spans="1:31" ht="260" outlineLevel="1" x14ac:dyDescent="0.15">
      <c r="A129" s="338" t="s">
        <v>3081</v>
      </c>
      <c r="B129" s="332" t="b">
        <v>1</v>
      </c>
      <c r="C129" s="338" t="s">
        <v>2838</v>
      </c>
      <c r="D129" s="339"/>
      <c r="E129" s="338" t="s">
        <v>1207</v>
      </c>
      <c r="F129" s="339"/>
      <c r="G129" s="261" t="s">
        <v>2950</v>
      </c>
      <c r="H129" s="339"/>
      <c r="I129" s="338" t="s">
        <v>2946</v>
      </c>
      <c r="J129" s="84"/>
      <c r="K129" s="84" t="s">
        <v>3082</v>
      </c>
      <c r="L129" s="340"/>
      <c r="M129" s="306"/>
      <c r="N129" s="306"/>
      <c r="O129" s="306"/>
      <c r="P129" s="22"/>
      <c r="Q129" s="84"/>
      <c r="R129" s="25"/>
      <c r="S129" s="25"/>
      <c r="T129" s="22"/>
      <c r="U129" s="25"/>
      <c r="V129" s="25"/>
      <c r="W129" s="25"/>
      <c r="X129" s="84" t="str">
        <f t="shared" si="1"/>
        <v>grantPlayerItems</v>
      </c>
      <c r="Y129" s="337" t="s">
        <v>3083</v>
      </c>
      <c r="Z129" s="25"/>
      <c r="AA129" s="25"/>
      <c r="AB129" s="25"/>
      <c r="AC129" s="25"/>
      <c r="AD129" s="25"/>
      <c r="AE129" s="25"/>
    </row>
    <row r="130" spans="1:31" ht="260" outlineLevel="1" x14ac:dyDescent="0.15">
      <c r="A130" s="338" t="s">
        <v>3084</v>
      </c>
      <c r="B130" s="332" t="b">
        <v>1</v>
      </c>
      <c r="C130" s="338" t="s">
        <v>2838</v>
      </c>
      <c r="D130" s="339"/>
      <c r="E130" s="338" t="s">
        <v>1207</v>
      </c>
      <c r="F130" s="339"/>
      <c r="G130" s="261" t="s">
        <v>2954</v>
      </c>
      <c r="H130" s="339"/>
      <c r="I130" s="338" t="s">
        <v>2946</v>
      </c>
      <c r="J130" s="84"/>
      <c r="K130" s="84" t="s">
        <v>3085</v>
      </c>
      <c r="L130" s="340"/>
      <c r="M130" s="306"/>
      <c r="N130" s="306"/>
      <c r="O130" s="306"/>
      <c r="P130" s="22"/>
      <c r="Q130" s="84"/>
      <c r="R130" s="25"/>
      <c r="S130" s="25"/>
      <c r="T130" s="22"/>
      <c r="U130" s="25"/>
      <c r="V130" s="25"/>
      <c r="W130" s="25"/>
      <c r="X130" s="84" t="str">
        <f t="shared" si="1"/>
        <v>grantPlayerItems</v>
      </c>
      <c r="Y130" s="337" t="s">
        <v>3086</v>
      </c>
      <c r="Z130" s="25"/>
      <c r="AA130" s="25"/>
      <c r="AB130" s="25"/>
      <c r="AC130" s="25"/>
      <c r="AD130" s="25"/>
      <c r="AE130" s="25"/>
    </row>
    <row r="131" spans="1:31" ht="260" outlineLevel="1" x14ac:dyDescent="0.15">
      <c r="A131" s="338" t="s">
        <v>3087</v>
      </c>
      <c r="B131" s="332" t="b">
        <v>1</v>
      </c>
      <c r="C131" s="338" t="s">
        <v>2838</v>
      </c>
      <c r="D131" s="339"/>
      <c r="E131" s="338" t="s">
        <v>1207</v>
      </c>
      <c r="F131" s="339"/>
      <c r="G131" s="261" t="s">
        <v>2958</v>
      </c>
      <c r="H131" s="339"/>
      <c r="I131" s="338" t="s">
        <v>2946</v>
      </c>
      <c r="J131" s="84"/>
      <c r="K131" s="84" t="s">
        <v>3088</v>
      </c>
      <c r="L131" s="340"/>
      <c r="M131" s="306"/>
      <c r="N131" s="306"/>
      <c r="O131" s="306"/>
      <c r="P131" s="22"/>
      <c r="Q131" s="84"/>
      <c r="R131" s="25"/>
      <c r="S131" s="25"/>
      <c r="T131" s="22"/>
      <c r="U131" s="25"/>
      <c r="V131" s="25"/>
      <c r="W131" s="25"/>
      <c r="X131" s="84" t="str">
        <f t="shared" si="1"/>
        <v>grantPlayerItems</v>
      </c>
      <c r="Y131" s="337" t="s">
        <v>3089</v>
      </c>
      <c r="Z131" s="25"/>
      <c r="AA131" s="25"/>
      <c r="AB131" s="25"/>
      <c r="AC131" s="25"/>
      <c r="AD131" s="25"/>
      <c r="AE131" s="25"/>
    </row>
    <row r="132" spans="1:31" ht="260" outlineLevel="1" x14ac:dyDescent="0.15">
      <c r="A132" s="338" t="s">
        <v>3090</v>
      </c>
      <c r="B132" s="332" t="b">
        <v>1</v>
      </c>
      <c r="C132" s="338" t="s">
        <v>2838</v>
      </c>
      <c r="D132" s="339"/>
      <c r="E132" s="338" t="s">
        <v>1207</v>
      </c>
      <c r="F132" s="339"/>
      <c r="G132" s="261" t="s">
        <v>2962</v>
      </c>
      <c r="H132" s="339"/>
      <c r="I132" s="338" t="s">
        <v>2946</v>
      </c>
      <c r="J132" s="84"/>
      <c r="K132" s="84" t="s">
        <v>3091</v>
      </c>
      <c r="L132" s="340"/>
      <c r="M132" s="306"/>
      <c r="N132" s="306"/>
      <c r="O132" s="306"/>
      <c r="P132" s="22"/>
      <c r="Q132" s="84"/>
      <c r="R132" s="25"/>
      <c r="S132" s="25"/>
      <c r="T132" s="22"/>
      <c r="U132" s="25"/>
      <c r="V132" s="25"/>
      <c r="W132" s="25"/>
      <c r="X132" s="84" t="str">
        <f t="shared" si="1"/>
        <v>grantPlayerItems</v>
      </c>
      <c r="Y132" s="337" t="s">
        <v>3092</v>
      </c>
      <c r="Z132" s="25"/>
      <c r="AA132" s="25"/>
      <c r="AB132" s="25"/>
      <c r="AC132" s="25"/>
      <c r="AD132" s="25"/>
      <c r="AE132" s="25"/>
    </row>
    <row r="133" spans="1:31" ht="260" outlineLevel="1" x14ac:dyDescent="0.15">
      <c r="A133" s="338" t="s">
        <v>3093</v>
      </c>
      <c r="B133" s="332" t="b">
        <v>1</v>
      </c>
      <c r="C133" s="338" t="s">
        <v>2838</v>
      </c>
      <c r="D133" s="339"/>
      <c r="E133" s="338" t="s">
        <v>1207</v>
      </c>
      <c r="F133" s="339"/>
      <c r="G133" s="261" t="s">
        <v>2966</v>
      </c>
      <c r="H133" s="339"/>
      <c r="I133" s="338" t="s">
        <v>2946</v>
      </c>
      <c r="J133" s="84"/>
      <c r="K133" s="84" t="s">
        <v>3094</v>
      </c>
      <c r="L133" s="340"/>
      <c r="M133" s="306"/>
      <c r="N133" s="306"/>
      <c r="O133" s="306"/>
      <c r="P133" s="22"/>
      <c r="Q133" s="84"/>
      <c r="R133" s="25"/>
      <c r="S133" s="25"/>
      <c r="T133" s="22"/>
      <c r="U133" s="25"/>
      <c r="V133" s="25"/>
      <c r="W133" s="25"/>
      <c r="X133" s="84" t="str">
        <f t="shared" si="1"/>
        <v>grantPlayerItems</v>
      </c>
      <c r="Y133" s="337" t="s">
        <v>3095</v>
      </c>
      <c r="Z133" s="25"/>
      <c r="AA133" s="25"/>
      <c r="AB133" s="25"/>
      <c r="AC133" s="25"/>
      <c r="AD133" s="25"/>
      <c r="AE133" s="25"/>
    </row>
    <row r="134" spans="1:31" ht="260" outlineLevel="1" x14ac:dyDescent="0.15">
      <c r="A134" s="338" t="s">
        <v>3096</v>
      </c>
      <c r="B134" s="332" t="b">
        <v>1</v>
      </c>
      <c r="C134" s="338" t="s">
        <v>2838</v>
      </c>
      <c r="D134" s="339"/>
      <c r="E134" s="338" t="s">
        <v>1207</v>
      </c>
      <c r="F134" s="339"/>
      <c r="G134" s="261" t="s">
        <v>2970</v>
      </c>
      <c r="H134" s="339"/>
      <c r="I134" s="338" t="s">
        <v>2946</v>
      </c>
      <c r="J134" s="84"/>
      <c r="K134" s="84" t="s">
        <v>3097</v>
      </c>
      <c r="L134" s="340"/>
      <c r="M134" s="306"/>
      <c r="N134" s="306"/>
      <c r="O134" s="306"/>
      <c r="P134" s="22"/>
      <c r="Q134" s="84"/>
      <c r="R134" s="25"/>
      <c r="S134" s="25"/>
      <c r="T134" s="22"/>
      <c r="U134" s="25"/>
      <c r="V134" s="25"/>
      <c r="W134" s="25"/>
      <c r="X134" s="84" t="str">
        <f t="shared" si="1"/>
        <v>grantPlayerItems</v>
      </c>
      <c r="Y134" s="337" t="s">
        <v>3098</v>
      </c>
      <c r="Z134" s="25"/>
      <c r="AA134" s="25"/>
      <c r="AB134" s="25"/>
      <c r="AC134" s="25"/>
      <c r="AD134" s="25"/>
      <c r="AE134" s="25"/>
    </row>
    <row r="135" spans="1:31" ht="409.6" x14ac:dyDescent="0.15">
      <c r="A135" s="338" t="s">
        <v>3099</v>
      </c>
      <c r="B135" s="332"/>
      <c r="C135" s="338" t="s">
        <v>2838</v>
      </c>
      <c r="D135" s="339"/>
      <c r="E135" s="338" t="s">
        <v>1207</v>
      </c>
      <c r="F135" s="339"/>
      <c r="G135" s="261" t="s">
        <v>2945</v>
      </c>
      <c r="H135" s="339"/>
      <c r="I135" s="338" t="s">
        <v>2946</v>
      </c>
      <c r="J135" s="84" t="s">
        <v>2669</v>
      </c>
      <c r="K135" s="84" t="s">
        <v>3100</v>
      </c>
      <c r="L135" s="340"/>
      <c r="M135" s="332" t="s">
        <v>2678</v>
      </c>
      <c r="N135" s="306"/>
      <c r="O135" s="306"/>
      <c r="P135" s="22"/>
      <c r="Q135" s="84"/>
      <c r="R135" s="25"/>
      <c r="S135" s="25"/>
      <c r="T135" s="22"/>
      <c r="U135" s="25"/>
      <c r="V135" s="25"/>
      <c r="W135" s="25"/>
      <c r="X135" s="84" t="str">
        <f t="shared" si="1"/>
        <v>grantPlayerItems</v>
      </c>
      <c r="Y135" s="337" t="s">
        <v>3101</v>
      </c>
      <c r="Z135" s="25"/>
      <c r="AA135" s="25"/>
      <c r="AB135" s="25"/>
      <c r="AC135" s="25"/>
      <c r="AD135" s="25"/>
      <c r="AE135" s="25"/>
    </row>
    <row r="136" spans="1:31" ht="409.6" x14ac:dyDescent="0.15">
      <c r="A136" s="338" t="s">
        <v>3102</v>
      </c>
      <c r="B136" s="332"/>
      <c r="C136" s="338" t="s">
        <v>2838</v>
      </c>
      <c r="D136" s="339"/>
      <c r="E136" s="338" t="s">
        <v>1207</v>
      </c>
      <c r="F136" s="339"/>
      <c r="G136" s="261" t="s">
        <v>2970</v>
      </c>
      <c r="H136" s="339"/>
      <c r="I136" s="338" t="s">
        <v>2946</v>
      </c>
      <c r="J136" s="84" t="s">
        <v>2669</v>
      </c>
      <c r="K136" s="84" t="s">
        <v>3103</v>
      </c>
      <c r="L136" s="340"/>
      <c r="M136" s="332" t="s">
        <v>2678</v>
      </c>
      <c r="N136" s="306"/>
      <c r="O136" s="306"/>
      <c r="P136" s="22"/>
      <c r="Q136" s="84"/>
      <c r="R136" s="25"/>
      <c r="S136" s="25"/>
      <c r="T136" s="22"/>
      <c r="U136" s="25"/>
      <c r="V136" s="25"/>
      <c r="W136" s="25"/>
      <c r="X136" s="84" t="str">
        <f t="shared" si="1"/>
        <v>grantPlayerItems</v>
      </c>
      <c r="Y136" s="337" t="s">
        <v>3104</v>
      </c>
      <c r="Z136" s="25"/>
      <c r="AA136" s="25"/>
      <c r="AB136" s="25"/>
      <c r="AC136" s="25"/>
      <c r="AD136" s="25"/>
      <c r="AE136" s="25"/>
    </row>
    <row r="137" spans="1:31" ht="260" x14ac:dyDescent="0.15">
      <c r="A137" s="338" t="s">
        <v>3105</v>
      </c>
      <c r="B137" s="332"/>
      <c r="C137" s="338" t="s">
        <v>2715</v>
      </c>
      <c r="D137" s="339"/>
      <c r="E137" s="338" t="s">
        <v>1256</v>
      </c>
      <c r="F137" s="339"/>
      <c r="G137" s="261" t="s">
        <v>2945</v>
      </c>
      <c r="H137" s="339"/>
      <c r="I137" s="338" t="s">
        <v>2946</v>
      </c>
      <c r="J137" s="84" t="s">
        <v>2669</v>
      </c>
      <c r="K137" s="84" t="s">
        <v>3106</v>
      </c>
      <c r="L137" s="340"/>
      <c r="M137" s="332" t="s">
        <v>2678</v>
      </c>
      <c r="N137" s="306"/>
      <c r="O137" s="306"/>
      <c r="P137" s="22"/>
      <c r="Q137" s="84"/>
      <c r="R137" s="25"/>
      <c r="S137" s="25"/>
      <c r="T137" s="22"/>
      <c r="U137" s="25"/>
      <c r="V137" s="25"/>
      <c r="W137" s="25"/>
      <c r="X137" s="84" t="str">
        <f t="shared" si="1"/>
        <v>grantPlayerItems</v>
      </c>
      <c r="Y137" s="337" t="s">
        <v>3107</v>
      </c>
      <c r="Z137" s="25"/>
      <c r="AA137" s="25"/>
      <c r="AB137" s="25"/>
      <c r="AC137" s="25"/>
      <c r="AD137" s="25"/>
      <c r="AE137" s="25"/>
    </row>
    <row r="138" spans="1:31" ht="260" outlineLevel="1" x14ac:dyDescent="0.15">
      <c r="A138" s="338" t="s">
        <v>3108</v>
      </c>
      <c r="B138" s="306"/>
      <c r="C138" s="338" t="s">
        <v>2715</v>
      </c>
      <c r="D138" s="339"/>
      <c r="E138" s="338" t="s">
        <v>1256</v>
      </c>
      <c r="F138" s="339"/>
      <c r="G138" s="261" t="s">
        <v>2950</v>
      </c>
      <c r="H138" s="339"/>
      <c r="I138" s="338" t="s">
        <v>2946</v>
      </c>
      <c r="J138" s="84"/>
      <c r="K138" s="84" t="s">
        <v>3109</v>
      </c>
      <c r="L138" s="340"/>
      <c r="M138" s="306"/>
      <c r="N138" s="306"/>
      <c r="O138" s="306"/>
      <c r="P138" s="22"/>
      <c r="Q138" s="84"/>
      <c r="R138" s="25"/>
      <c r="S138" s="25"/>
      <c r="T138" s="22"/>
      <c r="U138" s="25"/>
      <c r="V138" s="25"/>
      <c r="W138" s="25"/>
      <c r="X138" s="84" t="str">
        <f t="shared" si="1"/>
        <v>grantPlayerItems</v>
      </c>
      <c r="Y138" s="337" t="s">
        <v>3110</v>
      </c>
      <c r="Z138" s="25"/>
      <c r="AA138" s="25"/>
      <c r="AB138" s="25"/>
      <c r="AC138" s="25"/>
      <c r="AD138" s="25"/>
      <c r="AE138" s="25"/>
    </row>
    <row r="139" spans="1:31" ht="260" outlineLevel="1" x14ac:dyDescent="0.15">
      <c r="A139" s="338" t="s">
        <v>3111</v>
      </c>
      <c r="B139" s="306"/>
      <c r="C139" s="338" t="s">
        <v>2715</v>
      </c>
      <c r="D139" s="339"/>
      <c r="E139" s="338" t="s">
        <v>1256</v>
      </c>
      <c r="F139" s="339"/>
      <c r="G139" s="261" t="s">
        <v>2954</v>
      </c>
      <c r="H139" s="339"/>
      <c r="I139" s="338" t="s">
        <v>2946</v>
      </c>
      <c r="J139" s="84"/>
      <c r="K139" s="84" t="s">
        <v>3112</v>
      </c>
      <c r="L139" s="340"/>
      <c r="M139" s="306"/>
      <c r="N139" s="306"/>
      <c r="O139" s="306"/>
      <c r="P139" s="22"/>
      <c r="Q139" s="84"/>
      <c r="R139" s="25"/>
      <c r="S139" s="25"/>
      <c r="T139" s="22"/>
      <c r="U139" s="25"/>
      <c r="V139" s="25"/>
      <c r="W139" s="25"/>
      <c r="X139" s="84" t="str">
        <f t="shared" si="1"/>
        <v>grantPlayerItems</v>
      </c>
      <c r="Y139" s="337" t="s">
        <v>3113</v>
      </c>
      <c r="Z139" s="25"/>
      <c r="AA139" s="25"/>
      <c r="AB139" s="25"/>
      <c r="AC139" s="25"/>
      <c r="AD139" s="25"/>
      <c r="AE139" s="25"/>
    </row>
    <row r="140" spans="1:31" ht="260" outlineLevel="1" x14ac:dyDescent="0.15">
      <c r="A140" s="338" t="s">
        <v>3114</v>
      </c>
      <c r="B140" s="306"/>
      <c r="C140" s="338" t="s">
        <v>2715</v>
      </c>
      <c r="D140" s="339"/>
      <c r="E140" s="338" t="s">
        <v>1256</v>
      </c>
      <c r="F140" s="339"/>
      <c r="G140" s="261" t="s">
        <v>2958</v>
      </c>
      <c r="H140" s="339"/>
      <c r="I140" s="338" t="s">
        <v>2946</v>
      </c>
      <c r="J140" s="84"/>
      <c r="K140" s="84" t="s">
        <v>3115</v>
      </c>
      <c r="L140" s="340"/>
      <c r="M140" s="306"/>
      <c r="N140" s="306"/>
      <c r="O140" s="306"/>
      <c r="P140" s="22"/>
      <c r="Q140" s="84"/>
      <c r="R140" s="25"/>
      <c r="S140" s="25"/>
      <c r="T140" s="22"/>
      <c r="U140" s="25"/>
      <c r="V140" s="25"/>
      <c r="W140" s="25"/>
      <c r="X140" s="84" t="str">
        <f t="shared" si="1"/>
        <v>grantPlayerItems</v>
      </c>
      <c r="Y140" s="337" t="s">
        <v>3116</v>
      </c>
      <c r="Z140" s="25"/>
      <c r="AA140" s="25"/>
      <c r="AB140" s="25"/>
      <c r="AC140" s="25"/>
      <c r="AD140" s="25"/>
      <c r="AE140" s="25"/>
    </row>
    <row r="141" spans="1:31" ht="260" outlineLevel="1" x14ac:dyDescent="0.15">
      <c r="A141" s="338" t="s">
        <v>3117</v>
      </c>
      <c r="B141" s="306"/>
      <c r="C141" s="338" t="s">
        <v>2715</v>
      </c>
      <c r="D141" s="339"/>
      <c r="E141" s="338" t="s">
        <v>1256</v>
      </c>
      <c r="F141" s="339"/>
      <c r="G141" s="261" t="s">
        <v>2962</v>
      </c>
      <c r="H141" s="339"/>
      <c r="I141" s="338" t="s">
        <v>2946</v>
      </c>
      <c r="J141" s="84"/>
      <c r="K141" s="84" t="s">
        <v>3118</v>
      </c>
      <c r="L141" s="340"/>
      <c r="M141" s="306"/>
      <c r="N141" s="306"/>
      <c r="O141" s="306"/>
      <c r="P141" s="22"/>
      <c r="Q141" s="84"/>
      <c r="R141" s="25"/>
      <c r="S141" s="25"/>
      <c r="T141" s="22"/>
      <c r="U141" s="25"/>
      <c r="V141" s="25"/>
      <c r="W141" s="25"/>
      <c r="X141" s="84" t="str">
        <f t="shared" si="1"/>
        <v>grantPlayerItems</v>
      </c>
      <c r="Y141" s="337" t="s">
        <v>3119</v>
      </c>
      <c r="Z141" s="25"/>
      <c r="AA141" s="25"/>
      <c r="AB141" s="25"/>
      <c r="AC141" s="25"/>
      <c r="AD141" s="25"/>
      <c r="AE141" s="25"/>
    </row>
    <row r="142" spans="1:31" ht="260" outlineLevel="1" x14ac:dyDescent="0.15">
      <c r="A142" s="338" t="s">
        <v>3120</v>
      </c>
      <c r="B142" s="306"/>
      <c r="C142" s="338" t="s">
        <v>2715</v>
      </c>
      <c r="D142" s="339"/>
      <c r="E142" s="338" t="s">
        <v>1256</v>
      </c>
      <c r="F142" s="339"/>
      <c r="G142" s="261" t="s">
        <v>2966</v>
      </c>
      <c r="H142" s="339"/>
      <c r="I142" s="338" t="s">
        <v>2946</v>
      </c>
      <c r="J142" s="84"/>
      <c r="K142" s="84" t="s">
        <v>3121</v>
      </c>
      <c r="L142" s="340"/>
      <c r="M142" s="306"/>
      <c r="N142" s="306"/>
      <c r="O142" s="306"/>
      <c r="P142" s="22"/>
      <c r="Q142" s="84"/>
      <c r="R142" s="25"/>
      <c r="S142" s="25"/>
      <c r="T142" s="22"/>
      <c r="U142" s="25"/>
      <c r="V142" s="25"/>
      <c r="W142" s="25"/>
      <c r="X142" s="84" t="str">
        <f t="shared" si="1"/>
        <v>grantPlayerItems</v>
      </c>
      <c r="Y142" s="337" t="s">
        <v>3122</v>
      </c>
      <c r="Z142" s="25"/>
      <c r="AA142" s="25"/>
      <c r="AB142" s="25"/>
      <c r="AC142" s="25"/>
      <c r="AD142" s="25"/>
      <c r="AE142" s="25"/>
    </row>
    <row r="143" spans="1:31" ht="260" outlineLevel="1" x14ac:dyDescent="0.15">
      <c r="A143" s="338" t="s">
        <v>3123</v>
      </c>
      <c r="B143" s="306"/>
      <c r="C143" s="338" t="s">
        <v>2715</v>
      </c>
      <c r="D143" s="339"/>
      <c r="E143" s="338" t="s">
        <v>1256</v>
      </c>
      <c r="F143" s="339"/>
      <c r="G143" s="261" t="s">
        <v>2970</v>
      </c>
      <c r="H143" s="339"/>
      <c r="I143" s="338" t="s">
        <v>2946</v>
      </c>
      <c r="J143" s="84"/>
      <c r="K143" s="84" t="s">
        <v>3124</v>
      </c>
      <c r="L143" s="340"/>
      <c r="M143" s="306"/>
      <c r="N143" s="306"/>
      <c r="O143" s="306"/>
      <c r="P143" s="22"/>
      <c r="Q143" s="84"/>
      <c r="R143" s="25"/>
      <c r="S143" s="25"/>
      <c r="T143" s="22"/>
      <c r="U143" s="25"/>
      <c r="V143" s="25"/>
      <c r="W143" s="25"/>
      <c r="X143" s="84" t="str">
        <f t="shared" si="1"/>
        <v>grantPlayerItems</v>
      </c>
      <c r="Y143" s="337" t="s">
        <v>3125</v>
      </c>
      <c r="Z143" s="25"/>
      <c r="AA143" s="25"/>
      <c r="AB143" s="25"/>
      <c r="AC143" s="25"/>
      <c r="AD143" s="25"/>
      <c r="AE143" s="25"/>
    </row>
    <row r="144" spans="1:31" ht="260" x14ac:dyDescent="0.15">
      <c r="A144" s="338" t="s">
        <v>3126</v>
      </c>
      <c r="B144" s="306"/>
      <c r="C144" s="338" t="s">
        <v>2715</v>
      </c>
      <c r="D144" s="339"/>
      <c r="E144" s="338" t="s">
        <v>1294</v>
      </c>
      <c r="F144" s="339"/>
      <c r="G144" s="261" t="s">
        <v>2945</v>
      </c>
      <c r="H144" s="339"/>
      <c r="I144" s="338" t="s">
        <v>2946</v>
      </c>
      <c r="J144" s="84" t="s">
        <v>2669</v>
      </c>
      <c r="K144" s="84" t="s">
        <v>3127</v>
      </c>
      <c r="L144" s="340"/>
      <c r="M144" s="332" t="s">
        <v>2678</v>
      </c>
      <c r="N144" s="306"/>
      <c r="O144" s="306"/>
      <c r="P144" s="22"/>
      <c r="Q144" s="84"/>
      <c r="R144" s="25"/>
      <c r="S144" s="25"/>
      <c r="T144" s="22"/>
      <c r="U144" s="25"/>
      <c r="V144" s="25"/>
      <c r="W144" s="25"/>
      <c r="X144" s="84" t="str">
        <f t="shared" si="1"/>
        <v>grantPlayerItems</v>
      </c>
      <c r="Y144" s="337" t="s">
        <v>3128</v>
      </c>
      <c r="Z144" s="25"/>
      <c r="AA144" s="25"/>
      <c r="AB144" s="25"/>
      <c r="AC144" s="25"/>
      <c r="AD144" s="25"/>
      <c r="AE144" s="25"/>
    </row>
    <row r="145" spans="1:31" ht="260" outlineLevel="1" x14ac:dyDescent="0.15">
      <c r="A145" s="338" t="s">
        <v>3129</v>
      </c>
      <c r="B145" s="306"/>
      <c r="C145" s="338" t="s">
        <v>2715</v>
      </c>
      <c r="D145" s="339"/>
      <c r="E145" s="338" t="s">
        <v>1294</v>
      </c>
      <c r="F145" s="339"/>
      <c r="G145" s="261" t="s">
        <v>2950</v>
      </c>
      <c r="H145" s="339"/>
      <c r="I145" s="338" t="s">
        <v>2946</v>
      </c>
      <c r="J145" s="84"/>
      <c r="K145" s="84" t="s">
        <v>3130</v>
      </c>
      <c r="L145" s="340"/>
      <c r="M145" s="332" t="s">
        <v>2678</v>
      </c>
      <c r="N145" s="306"/>
      <c r="O145" s="306"/>
      <c r="P145" s="22"/>
      <c r="Q145" s="84"/>
      <c r="R145" s="25"/>
      <c r="S145" s="25"/>
      <c r="T145" s="22"/>
      <c r="U145" s="25"/>
      <c r="V145" s="25"/>
      <c r="W145" s="25"/>
      <c r="X145" s="84" t="str">
        <f t="shared" si="1"/>
        <v>grantPlayerItems</v>
      </c>
      <c r="Y145" s="337" t="s">
        <v>3131</v>
      </c>
      <c r="Z145" s="25"/>
      <c r="AA145" s="25"/>
      <c r="AB145" s="25"/>
      <c r="AC145" s="25"/>
      <c r="AD145" s="25"/>
      <c r="AE145" s="25"/>
    </row>
    <row r="146" spans="1:31" ht="260" outlineLevel="1" x14ac:dyDescent="0.15">
      <c r="A146" s="338" t="s">
        <v>3132</v>
      </c>
      <c r="B146" s="306"/>
      <c r="C146" s="338" t="s">
        <v>2715</v>
      </c>
      <c r="D146" s="339"/>
      <c r="E146" s="338" t="s">
        <v>1294</v>
      </c>
      <c r="F146" s="339"/>
      <c r="G146" s="261" t="s">
        <v>2954</v>
      </c>
      <c r="H146" s="339"/>
      <c r="I146" s="338" t="s">
        <v>2946</v>
      </c>
      <c r="J146" s="84"/>
      <c r="K146" s="84" t="s">
        <v>3133</v>
      </c>
      <c r="L146" s="340"/>
      <c r="M146" s="332" t="s">
        <v>2678</v>
      </c>
      <c r="N146" s="306"/>
      <c r="O146" s="306"/>
      <c r="P146" s="22"/>
      <c r="Q146" s="84"/>
      <c r="R146" s="25"/>
      <c r="S146" s="25"/>
      <c r="T146" s="22"/>
      <c r="U146" s="25"/>
      <c r="V146" s="25"/>
      <c r="W146" s="25"/>
      <c r="X146" s="84" t="str">
        <f t="shared" si="1"/>
        <v>grantPlayerItems</v>
      </c>
      <c r="Y146" s="337" t="s">
        <v>3134</v>
      </c>
      <c r="Z146" s="25"/>
      <c r="AA146" s="25"/>
      <c r="AB146" s="25"/>
      <c r="AC146" s="25"/>
      <c r="AD146" s="25"/>
      <c r="AE146" s="25"/>
    </row>
    <row r="147" spans="1:31" ht="260" outlineLevel="1" x14ac:dyDescent="0.15">
      <c r="A147" s="338" t="s">
        <v>3135</v>
      </c>
      <c r="B147" s="306"/>
      <c r="C147" s="338" t="s">
        <v>2715</v>
      </c>
      <c r="D147" s="339"/>
      <c r="E147" s="338" t="s">
        <v>1294</v>
      </c>
      <c r="F147" s="339"/>
      <c r="G147" s="261" t="s">
        <v>2958</v>
      </c>
      <c r="H147" s="339"/>
      <c r="I147" s="338" t="s">
        <v>2946</v>
      </c>
      <c r="J147" s="84"/>
      <c r="K147" s="84" t="s">
        <v>3136</v>
      </c>
      <c r="L147" s="340"/>
      <c r="M147" s="332" t="s">
        <v>2678</v>
      </c>
      <c r="N147" s="306"/>
      <c r="O147" s="306"/>
      <c r="P147" s="22"/>
      <c r="Q147" s="84"/>
      <c r="R147" s="25"/>
      <c r="S147" s="25"/>
      <c r="T147" s="22"/>
      <c r="U147" s="25"/>
      <c r="V147" s="25"/>
      <c r="W147" s="25"/>
      <c r="X147" s="84" t="str">
        <f t="shared" si="1"/>
        <v>grantPlayerItems</v>
      </c>
      <c r="Y147" s="337" t="s">
        <v>3137</v>
      </c>
      <c r="Z147" s="25"/>
      <c r="AA147" s="25"/>
      <c r="AB147" s="25"/>
      <c r="AC147" s="25"/>
      <c r="AD147" s="25"/>
      <c r="AE147" s="25"/>
    </row>
    <row r="148" spans="1:31" ht="260" outlineLevel="1" x14ac:dyDescent="0.15">
      <c r="A148" s="338" t="s">
        <v>3138</v>
      </c>
      <c r="B148" s="306"/>
      <c r="C148" s="338" t="s">
        <v>2715</v>
      </c>
      <c r="D148" s="339"/>
      <c r="E148" s="338" t="s">
        <v>1294</v>
      </c>
      <c r="F148" s="339"/>
      <c r="G148" s="261" t="s">
        <v>2962</v>
      </c>
      <c r="H148" s="339"/>
      <c r="I148" s="338" t="s">
        <v>2946</v>
      </c>
      <c r="J148" s="84"/>
      <c r="K148" s="84" t="s">
        <v>3139</v>
      </c>
      <c r="L148" s="340"/>
      <c r="M148" s="332" t="s">
        <v>2678</v>
      </c>
      <c r="N148" s="306"/>
      <c r="O148" s="306"/>
      <c r="P148" s="22"/>
      <c r="Q148" s="84"/>
      <c r="R148" s="25"/>
      <c r="S148" s="25"/>
      <c r="T148" s="22"/>
      <c r="U148" s="25"/>
      <c r="V148" s="25"/>
      <c r="W148" s="25"/>
      <c r="X148" s="84" t="str">
        <f t="shared" si="1"/>
        <v>grantPlayerItems</v>
      </c>
      <c r="Y148" s="337" t="s">
        <v>3140</v>
      </c>
      <c r="Z148" s="25"/>
      <c r="AA148" s="25"/>
      <c r="AB148" s="25"/>
      <c r="AC148" s="25"/>
      <c r="AD148" s="25"/>
      <c r="AE148" s="25"/>
    </row>
    <row r="149" spans="1:31" ht="260" outlineLevel="1" x14ac:dyDescent="0.15">
      <c r="A149" s="338" t="s">
        <v>3141</v>
      </c>
      <c r="B149" s="306"/>
      <c r="C149" s="338" t="s">
        <v>2715</v>
      </c>
      <c r="D149" s="339"/>
      <c r="E149" s="338" t="s">
        <v>1294</v>
      </c>
      <c r="F149" s="339"/>
      <c r="G149" s="261" t="s">
        <v>2966</v>
      </c>
      <c r="H149" s="339"/>
      <c r="I149" s="338" t="s">
        <v>2946</v>
      </c>
      <c r="J149" s="84"/>
      <c r="K149" s="84" t="s">
        <v>3142</v>
      </c>
      <c r="L149" s="340"/>
      <c r="M149" s="332" t="s">
        <v>2678</v>
      </c>
      <c r="N149" s="306"/>
      <c r="O149" s="306"/>
      <c r="P149" s="22"/>
      <c r="Q149" s="84"/>
      <c r="R149" s="25"/>
      <c r="S149" s="25"/>
      <c r="T149" s="22"/>
      <c r="U149" s="25"/>
      <c r="V149" s="25"/>
      <c r="W149" s="25"/>
      <c r="X149" s="84" t="str">
        <f t="shared" si="1"/>
        <v>grantPlayerItems</v>
      </c>
      <c r="Y149" s="337" t="s">
        <v>3143</v>
      </c>
      <c r="Z149" s="25"/>
      <c r="AA149" s="25"/>
      <c r="AB149" s="25"/>
      <c r="AC149" s="25"/>
      <c r="AD149" s="25"/>
      <c r="AE149" s="25"/>
    </row>
    <row r="150" spans="1:31" ht="260" outlineLevel="1" x14ac:dyDescent="0.15">
      <c r="A150" s="338" t="s">
        <v>3144</v>
      </c>
      <c r="B150" s="306"/>
      <c r="C150" s="338" t="s">
        <v>2715</v>
      </c>
      <c r="D150" s="339"/>
      <c r="E150" s="338" t="s">
        <v>1294</v>
      </c>
      <c r="F150" s="339"/>
      <c r="G150" s="261" t="s">
        <v>2970</v>
      </c>
      <c r="H150" s="339"/>
      <c r="I150" s="338" t="s">
        <v>2946</v>
      </c>
      <c r="J150" s="84"/>
      <c r="K150" s="84" t="s">
        <v>3145</v>
      </c>
      <c r="L150" s="340"/>
      <c r="M150" s="332" t="s">
        <v>2678</v>
      </c>
      <c r="N150" s="306"/>
      <c r="O150" s="306"/>
      <c r="P150" s="22"/>
      <c r="Q150" s="84"/>
      <c r="R150" s="25"/>
      <c r="S150" s="25"/>
      <c r="T150" s="22"/>
      <c r="U150" s="25"/>
      <c r="V150" s="25"/>
      <c r="W150" s="25"/>
      <c r="X150" s="84" t="str">
        <f t="shared" si="1"/>
        <v>grantPlayerItems</v>
      </c>
      <c r="Y150" s="337" t="s">
        <v>3146</v>
      </c>
      <c r="Z150" s="25"/>
      <c r="AA150" s="25"/>
      <c r="AB150" s="25"/>
      <c r="AC150" s="25"/>
      <c r="AD150" s="25"/>
      <c r="AE150" s="25"/>
    </row>
    <row r="151" spans="1:31" ht="260" x14ac:dyDescent="0.15">
      <c r="A151" s="338" t="s">
        <v>3147</v>
      </c>
      <c r="B151" s="306"/>
      <c r="C151" s="338" t="s">
        <v>2715</v>
      </c>
      <c r="D151" s="339"/>
      <c r="E151" s="338" t="s">
        <v>1246</v>
      </c>
      <c r="F151" s="339"/>
      <c r="G151" s="261" t="s">
        <v>2945</v>
      </c>
      <c r="H151" s="339"/>
      <c r="I151" s="338" t="s">
        <v>3148</v>
      </c>
      <c r="J151" s="84" t="s">
        <v>2669</v>
      </c>
      <c r="K151" s="84" t="s">
        <v>3149</v>
      </c>
      <c r="L151" s="340"/>
      <c r="M151" s="332" t="s">
        <v>2678</v>
      </c>
      <c r="N151" s="306"/>
      <c r="O151" s="306"/>
      <c r="P151" s="22"/>
      <c r="Q151" s="84"/>
      <c r="R151" s="25"/>
      <c r="S151" s="25"/>
      <c r="T151" s="22"/>
      <c r="U151" s="25"/>
      <c r="V151" s="25"/>
      <c r="W151" s="25"/>
      <c r="X151" s="84" t="str">
        <f t="shared" si="1"/>
        <v>grantPlayerItems</v>
      </c>
      <c r="Y151" s="337" t="s">
        <v>3150</v>
      </c>
      <c r="Z151" s="25"/>
      <c r="AA151" s="25"/>
      <c r="AB151" s="25"/>
      <c r="AC151" s="25"/>
      <c r="AD151" s="25"/>
      <c r="AE151" s="25"/>
    </row>
    <row r="152" spans="1:31" ht="260" outlineLevel="1" x14ac:dyDescent="0.15">
      <c r="A152" s="338" t="s">
        <v>3151</v>
      </c>
      <c r="B152" s="306"/>
      <c r="C152" s="338" t="s">
        <v>2715</v>
      </c>
      <c r="D152" s="339"/>
      <c r="E152" s="338" t="s">
        <v>1246</v>
      </c>
      <c r="F152" s="339"/>
      <c r="G152" s="261" t="s">
        <v>2950</v>
      </c>
      <c r="H152" s="339"/>
      <c r="I152" s="338" t="s">
        <v>3148</v>
      </c>
      <c r="J152" s="84"/>
      <c r="K152" s="84" t="s">
        <v>3152</v>
      </c>
      <c r="L152" s="340"/>
      <c r="M152" s="332" t="s">
        <v>2678</v>
      </c>
      <c r="N152" s="306"/>
      <c r="O152" s="306"/>
      <c r="P152" s="22"/>
      <c r="Q152" s="84"/>
      <c r="R152" s="25"/>
      <c r="S152" s="25"/>
      <c r="T152" s="22"/>
      <c r="U152" s="25"/>
      <c r="V152" s="25"/>
      <c r="W152" s="25"/>
      <c r="X152" s="84" t="str">
        <f t="shared" si="1"/>
        <v>grantPlayerItems</v>
      </c>
      <c r="Y152" s="337" t="s">
        <v>3153</v>
      </c>
      <c r="Z152" s="25"/>
      <c r="AA152" s="25"/>
      <c r="AB152" s="25"/>
      <c r="AC152" s="25"/>
      <c r="AD152" s="25"/>
      <c r="AE152" s="25"/>
    </row>
    <row r="153" spans="1:31" ht="260" outlineLevel="1" x14ac:dyDescent="0.15">
      <c r="A153" s="338" t="s">
        <v>3154</v>
      </c>
      <c r="B153" s="306"/>
      <c r="C153" s="338" t="s">
        <v>2715</v>
      </c>
      <c r="D153" s="339"/>
      <c r="E153" s="338" t="s">
        <v>1246</v>
      </c>
      <c r="F153" s="339"/>
      <c r="G153" s="261" t="s">
        <v>2954</v>
      </c>
      <c r="H153" s="339"/>
      <c r="I153" s="338" t="s">
        <v>3148</v>
      </c>
      <c r="J153" s="84"/>
      <c r="K153" s="84" t="s">
        <v>3155</v>
      </c>
      <c r="L153" s="340"/>
      <c r="M153" s="332" t="s">
        <v>2678</v>
      </c>
      <c r="N153" s="306"/>
      <c r="O153" s="306"/>
      <c r="P153" s="22"/>
      <c r="Q153" s="84"/>
      <c r="R153" s="25"/>
      <c r="S153" s="25"/>
      <c r="T153" s="22"/>
      <c r="U153" s="25"/>
      <c r="V153" s="25"/>
      <c r="W153" s="25"/>
      <c r="X153" s="84" t="str">
        <f t="shared" si="1"/>
        <v>grantPlayerItems</v>
      </c>
      <c r="Y153" s="337" t="s">
        <v>3156</v>
      </c>
      <c r="Z153" s="25"/>
      <c r="AA153" s="25"/>
      <c r="AB153" s="25"/>
      <c r="AC153" s="25"/>
      <c r="AD153" s="25"/>
      <c r="AE153" s="25"/>
    </row>
    <row r="154" spans="1:31" ht="260" outlineLevel="1" x14ac:dyDescent="0.15">
      <c r="A154" s="338" t="s">
        <v>3157</v>
      </c>
      <c r="B154" s="306"/>
      <c r="C154" s="338" t="s">
        <v>2715</v>
      </c>
      <c r="D154" s="339"/>
      <c r="E154" s="338" t="s">
        <v>1246</v>
      </c>
      <c r="F154" s="339"/>
      <c r="G154" s="261" t="s">
        <v>2958</v>
      </c>
      <c r="H154" s="339"/>
      <c r="I154" s="338" t="s">
        <v>3148</v>
      </c>
      <c r="J154" s="84"/>
      <c r="K154" s="84" t="s">
        <v>3158</v>
      </c>
      <c r="L154" s="340"/>
      <c r="M154" s="332" t="s">
        <v>2678</v>
      </c>
      <c r="N154" s="306"/>
      <c r="O154" s="306"/>
      <c r="P154" s="22"/>
      <c r="Q154" s="84"/>
      <c r="R154" s="25"/>
      <c r="S154" s="25"/>
      <c r="T154" s="22"/>
      <c r="U154" s="25"/>
      <c r="V154" s="25"/>
      <c r="W154" s="25"/>
      <c r="X154" s="84" t="str">
        <f t="shared" si="1"/>
        <v>grantPlayerItems</v>
      </c>
      <c r="Y154" s="337" t="s">
        <v>3159</v>
      </c>
      <c r="Z154" s="25"/>
      <c r="AA154" s="25"/>
      <c r="AB154" s="25"/>
      <c r="AC154" s="25"/>
      <c r="AD154" s="25"/>
      <c r="AE154" s="25"/>
    </row>
    <row r="155" spans="1:31" ht="260" outlineLevel="1" x14ac:dyDescent="0.15">
      <c r="A155" s="338" t="s">
        <v>3160</v>
      </c>
      <c r="B155" s="306"/>
      <c r="C155" s="338" t="s">
        <v>2715</v>
      </c>
      <c r="D155" s="339"/>
      <c r="E155" s="338" t="s">
        <v>1246</v>
      </c>
      <c r="F155" s="339"/>
      <c r="G155" s="261" t="s">
        <v>2962</v>
      </c>
      <c r="H155" s="339"/>
      <c r="I155" s="338" t="s">
        <v>3148</v>
      </c>
      <c r="J155" s="84"/>
      <c r="K155" s="84" t="s">
        <v>3161</v>
      </c>
      <c r="L155" s="340"/>
      <c r="M155" s="332" t="s">
        <v>2678</v>
      </c>
      <c r="N155" s="306"/>
      <c r="O155" s="306"/>
      <c r="P155" s="22"/>
      <c r="Q155" s="84"/>
      <c r="R155" s="25"/>
      <c r="S155" s="25"/>
      <c r="T155" s="22"/>
      <c r="U155" s="25"/>
      <c r="V155" s="25"/>
      <c r="W155" s="25"/>
      <c r="X155" s="84" t="str">
        <f t="shared" si="1"/>
        <v>grantPlayerItems</v>
      </c>
      <c r="Y155" s="337" t="s">
        <v>3162</v>
      </c>
      <c r="Z155" s="25"/>
      <c r="AA155" s="25"/>
      <c r="AB155" s="25"/>
      <c r="AC155" s="25"/>
      <c r="AD155" s="25"/>
      <c r="AE155" s="25"/>
    </row>
    <row r="156" spans="1:31" ht="260" outlineLevel="1" x14ac:dyDescent="0.15">
      <c r="A156" s="338" t="s">
        <v>3163</v>
      </c>
      <c r="B156" s="306"/>
      <c r="C156" s="338" t="s">
        <v>2715</v>
      </c>
      <c r="D156" s="339"/>
      <c r="E156" s="338" t="s">
        <v>1246</v>
      </c>
      <c r="F156" s="339"/>
      <c r="G156" s="261" t="s">
        <v>2966</v>
      </c>
      <c r="H156" s="339"/>
      <c r="I156" s="338" t="s">
        <v>3148</v>
      </c>
      <c r="J156" s="84"/>
      <c r="K156" s="84" t="s">
        <v>3164</v>
      </c>
      <c r="L156" s="340"/>
      <c r="M156" s="332" t="s">
        <v>2678</v>
      </c>
      <c r="N156" s="306"/>
      <c r="O156" s="306"/>
      <c r="P156" s="22"/>
      <c r="Q156" s="84"/>
      <c r="R156" s="25"/>
      <c r="S156" s="25"/>
      <c r="T156" s="22"/>
      <c r="U156" s="25"/>
      <c r="V156" s="25"/>
      <c r="W156" s="25"/>
      <c r="X156" s="84" t="str">
        <f t="shared" si="1"/>
        <v>grantPlayerItems</v>
      </c>
      <c r="Y156" s="337" t="s">
        <v>3165</v>
      </c>
      <c r="Z156" s="25"/>
      <c r="AA156" s="25"/>
      <c r="AB156" s="25"/>
      <c r="AC156" s="25"/>
      <c r="AD156" s="25"/>
      <c r="AE156" s="25"/>
    </row>
    <row r="157" spans="1:31" ht="260" outlineLevel="1" x14ac:dyDescent="0.15">
      <c r="A157" s="338" t="s">
        <v>3166</v>
      </c>
      <c r="B157" s="306"/>
      <c r="C157" s="338" t="s">
        <v>2715</v>
      </c>
      <c r="D157" s="339"/>
      <c r="E157" s="338" t="s">
        <v>1246</v>
      </c>
      <c r="F157" s="339"/>
      <c r="G157" s="261" t="s">
        <v>2970</v>
      </c>
      <c r="H157" s="339"/>
      <c r="I157" s="338" t="s">
        <v>3148</v>
      </c>
      <c r="J157" s="84"/>
      <c r="K157" s="84" t="s">
        <v>3167</v>
      </c>
      <c r="L157" s="340"/>
      <c r="M157" s="332" t="s">
        <v>2678</v>
      </c>
      <c r="N157" s="306"/>
      <c r="O157" s="306"/>
      <c r="P157" s="22"/>
      <c r="Q157" s="84"/>
      <c r="R157" s="25"/>
      <c r="S157" s="25"/>
      <c r="T157" s="22"/>
      <c r="U157" s="25"/>
      <c r="V157" s="25"/>
      <c r="W157" s="25"/>
      <c r="X157" s="84" t="str">
        <f t="shared" si="1"/>
        <v>grantPlayerItems</v>
      </c>
      <c r="Y157" s="337" t="s">
        <v>3168</v>
      </c>
      <c r="Z157" s="25"/>
      <c r="AA157" s="25"/>
      <c r="AB157" s="25"/>
      <c r="AC157" s="25"/>
      <c r="AD157" s="25"/>
      <c r="AE157" s="25"/>
    </row>
    <row r="158" spans="1:31" ht="260" x14ac:dyDescent="0.15">
      <c r="A158" s="338" t="s">
        <v>3169</v>
      </c>
      <c r="B158" s="306"/>
      <c r="C158" s="338" t="s">
        <v>2715</v>
      </c>
      <c r="D158" s="339"/>
      <c r="E158" s="338" t="s">
        <v>1013</v>
      </c>
      <c r="F158" s="339"/>
      <c r="G158" s="261" t="s">
        <v>2945</v>
      </c>
      <c r="H158" s="339"/>
      <c r="I158" s="338" t="s">
        <v>3148</v>
      </c>
      <c r="J158" s="84" t="s">
        <v>2669</v>
      </c>
      <c r="K158" s="84" t="s">
        <v>3170</v>
      </c>
      <c r="L158" s="340"/>
      <c r="M158" s="332" t="s">
        <v>2678</v>
      </c>
      <c r="N158" s="306"/>
      <c r="O158" s="306"/>
      <c r="P158" s="22"/>
      <c r="Q158" s="84"/>
      <c r="R158" s="25"/>
      <c r="S158" s="25"/>
      <c r="T158" s="22"/>
      <c r="U158" s="25"/>
      <c r="V158" s="25"/>
      <c r="W158" s="25"/>
      <c r="X158" s="84" t="str">
        <f t="shared" si="1"/>
        <v>grantPlayerItems</v>
      </c>
      <c r="Y158" s="337" t="s">
        <v>3171</v>
      </c>
      <c r="Z158" s="25"/>
      <c r="AA158" s="25"/>
      <c r="AB158" s="25"/>
      <c r="AC158" s="25"/>
      <c r="AD158" s="25"/>
      <c r="AE158" s="25"/>
    </row>
    <row r="159" spans="1:31" ht="260" outlineLevel="1" x14ac:dyDescent="0.15">
      <c r="A159" s="338" t="s">
        <v>3172</v>
      </c>
      <c r="B159" s="306"/>
      <c r="C159" s="338" t="s">
        <v>2715</v>
      </c>
      <c r="D159" s="339"/>
      <c r="E159" s="338" t="s">
        <v>1013</v>
      </c>
      <c r="F159" s="339"/>
      <c r="G159" s="261" t="s">
        <v>2950</v>
      </c>
      <c r="H159" s="339"/>
      <c r="I159" s="338" t="s">
        <v>3148</v>
      </c>
      <c r="J159" s="84"/>
      <c r="K159" s="84" t="s">
        <v>3173</v>
      </c>
      <c r="L159" s="340"/>
      <c r="M159" s="332" t="s">
        <v>2678</v>
      </c>
      <c r="N159" s="306"/>
      <c r="O159" s="306"/>
      <c r="P159" s="22"/>
      <c r="Q159" s="84"/>
      <c r="R159" s="25"/>
      <c r="S159" s="25"/>
      <c r="T159" s="22"/>
      <c r="U159" s="25"/>
      <c r="V159" s="25"/>
      <c r="W159" s="25"/>
      <c r="X159" s="84" t="str">
        <f t="shared" si="1"/>
        <v>grantPlayerItems</v>
      </c>
      <c r="Y159" s="337" t="s">
        <v>3174</v>
      </c>
      <c r="Z159" s="25"/>
      <c r="AA159" s="25"/>
      <c r="AB159" s="25"/>
      <c r="AC159" s="25"/>
      <c r="AD159" s="25"/>
      <c r="AE159" s="25"/>
    </row>
    <row r="160" spans="1:31" ht="260" outlineLevel="1" x14ac:dyDescent="0.15">
      <c r="A160" s="338" t="s">
        <v>3175</v>
      </c>
      <c r="B160" s="306"/>
      <c r="C160" s="338" t="s">
        <v>2715</v>
      </c>
      <c r="D160" s="339"/>
      <c r="E160" s="338" t="s">
        <v>1013</v>
      </c>
      <c r="F160" s="339"/>
      <c r="G160" s="261" t="s">
        <v>2954</v>
      </c>
      <c r="H160" s="339"/>
      <c r="I160" s="338" t="s">
        <v>3148</v>
      </c>
      <c r="J160" s="84"/>
      <c r="K160" s="84" t="s">
        <v>3176</v>
      </c>
      <c r="L160" s="340"/>
      <c r="M160" s="332" t="s">
        <v>2678</v>
      </c>
      <c r="N160" s="306"/>
      <c r="O160" s="306"/>
      <c r="P160" s="22"/>
      <c r="Q160" s="84"/>
      <c r="R160" s="25"/>
      <c r="S160" s="25"/>
      <c r="T160" s="22"/>
      <c r="U160" s="25"/>
      <c r="V160" s="25"/>
      <c r="W160" s="25"/>
      <c r="X160" s="84" t="str">
        <f t="shared" si="1"/>
        <v>grantPlayerItems</v>
      </c>
      <c r="Y160" s="337" t="s">
        <v>3177</v>
      </c>
      <c r="Z160" s="25"/>
      <c r="AA160" s="25"/>
      <c r="AB160" s="25"/>
      <c r="AC160" s="25"/>
      <c r="AD160" s="25"/>
      <c r="AE160" s="25"/>
    </row>
    <row r="161" spans="1:31" ht="260" outlineLevel="1" x14ac:dyDescent="0.15">
      <c r="A161" s="338" t="s">
        <v>3178</v>
      </c>
      <c r="B161" s="306"/>
      <c r="C161" s="338" t="s">
        <v>2715</v>
      </c>
      <c r="D161" s="339"/>
      <c r="E161" s="338" t="s">
        <v>1013</v>
      </c>
      <c r="F161" s="339"/>
      <c r="G161" s="261" t="s">
        <v>2958</v>
      </c>
      <c r="H161" s="339"/>
      <c r="I161" s="338" t="s">
        <v>3148</v>
      </c>
      <c r="J161" s="84"/>
      <c r="K161" s="84" t="s">
        <v>3179</v>
      </c>
      <c r="L161" s="340"/>
      <c r="M161" s="332" t="s">
        <v>2678</v>
      </c>
      <c r="N161" s="306"/>
      <c r="O161" s="306"/>
      <c r="P161" s="22"/>
      <c r="Q161" s="84"/>
      <c r="R161" s="25"/>
      <c r="S161" s="25"/>
      <c r="T161" s="22"/>
      <c r="U161" s="25"/>
      <c r="V161" s="25"/>
      <c r="W161" s="25"/>
      <c r="X161" s="84" t="str">
        <f t="shared" si="1"/>
        <v>grantPlayerItems</v>
      </c>
      <c r="Y161" s="337" t="s">
        <v>3180</v>
      </c>
      <c r="Z161" s="25"/>
      <c r="AA161" s="25"/>
      <c r="AB161" s="25"/>
      <c r="AC161" s="25"/>
      <c r="AD161" s="25"/>
      <c r="AE161" s="25"/>
    </row>
    <row r="162" spans="1:31" ht="260" outlineLevel="1" x14ac:dyDescent="0.15">
      <c r="A162" s="338" t="s">
        <v>3181</v>
      </c>
      <c r="B162" s="306"/>
      <c r="C162" s="338" t="s">
        <v>2715</v>
      </c>
      <c r="D162" s="339"/>
      <c r="E162" s="338" t="s">
        <v>1013</v>
      </c>
      <c r="F162" s="339"/>
      <c r="G162" s="261" t="s">
        <v>2962</v>
      </c>
      <c r="H162" s="339"/>
      <c r="I162" s="338" t="s">
        <v>3148</v>
      </c>
      <c r="J162" s="84"/>
      <c r="K162" s="84" t="s">
        <v>3182</v>
      </c>
      <c r="L162" s="340"/>
      <c r="M162" s="332" t="s">
        <v>2678</v>
      </c>
      <c r="N162" s="306"/>
      <c r="O162" s="306"/>
      <c r="P162" s="22"/>
      <c r="Q162" s="84"/>
      <c r="R162" s="25"/>
      <c r="S162" s="25"/>
      <c r="T162" s="22"/>
      <c r="U162" s="25"/>
      <c r="V162" s="25"/>
      <c r="W162" s="25"/>
      <c r="X162" s="84" t="str">
        <f t="shared" si="1"/>
        <v>grantPlayerItems</v>
      </c>
      <c r="Y162" s="337" t="s">
        <v>3183</v>
      </c>
      <c r="Z162" s="25"/>
      <c r="AA162" s="25"/>
      <c r="AB162" s="25"/>
      <c r="AC162" s="25"/>
      <c r="AD162" s="25"/>
      <c r="AE162" s="25"/>
    </row>
    <row r="163" spans="1:31" ht="260" outlineLevel="1" x14ac:dyDescent="0.15">
      <c r="A163" s="338" t="s">
        <v>3184</v>
      </c>
      <c r="B163" s="306"/>
      <c r="C163" s="338" t="s">
        <v>2715</v>
      </c>
      <c r="D163" s="339"/>
      <c r="E163" s="338" t="s">
        <v>1013</v>
      </c>
      <c r="F163" s="339"/>
      <c r="G163" s="261" t="s">
        <v>2966</v>
      </c>
      <c r="H163" s="339"/>
      <c r="I163" s="338" t="s">
        <v>3148</v>
      </c>
      <c r="J163" s="84"/>
      <c r="K163" s="84" t="s">
        <v>3185</v>
      </c>
      <c r="L163" s="340"/>
      <c r="M163" s="332" t="s">
        <v>2678</v>
      </c>
      <c r="N163" s="306"/>
      <c r="O163" s="306"/>
      <c r="P163" s="22"/>
      <c r="Q163" s="84"/>
      <c r="R163" s="25"/>
      <c r="S163" s="25"/>
      <c r="T163" s="22"/>
      <c r="U163" s="25"/>
      <c r="V163" s="25"/>
      <c r="W163" s="25"/>
      <c r="X163" s="84" t="str">
        <f t="shared" si="1"/>
        <v>grantPlayerItems</v>
      </c>
      <c r="Y163" s="337" t="s">
        <v>3186</v>
      </c>
      <c r="Z163" s="25"/>
      <c r="AA163" s="25"/>
      <c r="AB163" s="25"/>
      <c r="AC163" s="25"/>
      <c r="AD163" s="25"/>
      <c r="AE163" s="25"/>
    </row>
    <row r="164" spans="1:31" ht="260" outlineLevel="1" x14ac:dyDescent="0.15">
      <c r="A164" s="338" t="s">
        <v>3187</v>
      </c>
      <c r="B164" s="306"/>
      <c r="C164" s="338" t="s">
        <v>2715</v>
      </c>
      <c r="D164" s="339"/>
      <c r="E164" s="338" t="s">
        <v>1013</v>
      </c>
      <c r="F164" s="339"/>
      <c r="G164" s="261" t="s">
        <v>2970</v>
      </c>
      <c r="H164" s="339"/>
      <c r="I164" s="338" t="s">
        <v>3148</v>
      </c>
      <c r="J164" s="84"/>
      <c r="K164" s="84" t="s">
        <v>3188</v>
      </c>
      <c r="L164" s="340"/>
      <c r="M164" s="332" t="s">
        <v>2678</v>
      </c>
      <c r="N164" s="306"/>
      <c r="O164" s="306"/>
      <c r="P164" s="22"/>
      <c r="Q164" s="84"/>
      <c r="R164" s="25"/>
      <c r="S164" s="25"/>
      <c r="T164" s="22"/>
      <c r="U164" s="25"/>
      <c r="V164" s="25"/>
      <c r="W164" s="25"/>
      <c r="X164" s="84" t="str">
        <f t="shared" si="1"/>
        <v>grantPlayerItems</v>
      </c>
      <c r="Y164" s="337" t="s">
        <v>3189</v>
      </c>
      <c r="Z164" s="25"/>
      <c r="AA164" s="25"/>
      <c r="AB164" s="25"/>
      <c r="AC164" s="25"/>
      <c r="AD164" s="25"/>
      <c r="AE164" s="25"/>
    </row>
    <row r="165" spans="1:31" ht="260" x14ac:dyDescent="0.15">
      <c r="A165" s="338" t="s">
        <v>3190</v>
      </c>
      <c r="B165" s="306"/>
      <c r="C165" s="338" t="s">
        <v>2715</v>
      </c>
      <c r="D165" s="339"/>
      <c r="E165" s="338" t="s">
        <v>1040</v>
      </c>
      <c r="F165" s="339"/>
      <c r="G165" s="261" t="s">
        <v>2945</v>
      </c>
      <c r="H165" s="339"/>
      <c r="I165" s="338" t="s">
        <v>3148</v>
      </c>
      <c r="J165" s="84" t="s">
        <v>2669</v>
      </c>
      <c r="K165" s="84" t="s">
        <v>3191</v>
      </c>
      <c r="L165" s="340"/>
      <c r="M165" s="332" t="s">
        <v>2678</v>
      </c>
      <c r="N165" s="306"/>
      <c r="O165" s="306"/>
      <c r="P165" s="22"/>
      <c r="Q165" s="84"/>
      <c r="R165" s="25"/>
      <c r="S165" s="25"/>
      <c r="T165" s="22"/>
      <c r="U165" s="25"/>
      <c r="V165" s="25"/>
      <c r="W165" s="25"/>
      <c r="X165" s="84" t="str">
        <f t="shared" si="1"/>
        <v>grantPlayerItems</v>
      </c>
      <c r="Y165" s="337" t="s">
        <v>3192</v>
      </c>
      <c r="Z165" s="25"/>
      <c r="AA165" s="25"/>
      <c r="AB165" s="25"/>
      <c r="AC165" s="25"/>
      <c r="AD165" s="25"/>
      <c r="AE165" s="25"/>
    </row>
    <row r="166" spans="1:31" ht="260" outlineLevel="1" x14ac:dyDescent="0.15">
      <c r="A166" s="338" t="s">
        <v>3193</v>
      </c>
      <c r="B166" s="306"/>
      <c r="C166" s="338" t="s">
        <v>2715</v>
      </c>
      <c r="D166" s="339"/>
      <c r="E166" s="338" t="s">
        <v>1040</v>
      </c>
      <c r="F166" s="339"/>
      <c r="G166" s="261" t="s">
        <v>2950</v>
      </c>
      <c r="H166" s="339"/>
      <c r="I166" s="338" t="s">
        <v>3148</v>
      </c>
      <c r="J166" s="84"/>
      <c r="K166" s="84" t="s">
        <v>3194</v>
      </c>
      <c r="L166" s="340"/>
      <c r="M166" s="332" t="s">
        <v>2678</v>
      </c>
      <c r="N166" s="306"/>
      <c r="O166" s="306"/>
      <c r="P166" s="22"/>
      <c r="Q166" s="84"/>
      <c r="R166" s="25"/>
      <c r="S166" s="25"/>
      <c r="T166" s="22"/>
      <c r="U166" s="25"/>
      <c r="V166" s="25"/>
      <c r="W166" s="25"/>
      <c r="X166" s="84" t="str">
        <f t="shared" si="1"/>
        <v>grantPlayerItems</v>
      </c>
      <c r="Y166" s="337" t="s">
        <v>3195</v>
      </c>
      <c r="Z166" s="25"/>
      <c r="AA166" s="25"/>
      <c r="AB166" s="25"/>
      <c r="AC166" s="25"/>
      <c r="AD166" s="25"/>
      <c r="AE166" s="25"/>
    </row>
    <row r="167" spans="1:31" ht="260" outlineLevel="1" x14ac:dyDescent="0.15">
      <c r="A167" s="338" t="s">
        <v>3196</v>
      </c>
      <c r="B167" s="306"/>
      <c r="C167" s="338" t="s">
        <v>2715</v>
      </c>
      <c r="D167" s="339"/>
      <c r="E167" s="338" t="s">
        <v>1040</v>
      </c>
      <c r="F167" s="339"/>
      <c r="G167" s="261" t="s">
        <v>2954</v>
      </c>
      <c r="H167" s="339"/>
      <c r="I167" s="338" t="s">
        <v>3148</v>
      </c>
      <c r="J167" s="84"/>
      <c r="K167" s="84" t="s">
        <v>3197</v>
      </c>
      <c r="L167" s="340"/>
      <c r="M167" s="332" t="s">
        <v>2678</v>
      </c>
      <c r="N167" s="306"/>
      <c r="O167" s="306"/>
      <c r="P167" s="22"/>
      <c r="Q167" s="84"/>
      <c r="R167" s="25"/>
      <c r="S167" s="25"/>
      <c r="T167" s="22"/>
      <c r="U167" s="25"/>
      <c r="V167" s="25"/>
      <c r="W167" s="25"/>
      <c r="X167" s="84" t="str">
        <f t="shared" si="1"/>
        <v>grantPlayerItems</v>
      </c>
      <c r="Y167" s="337" t="s">
        <v>3198</v>
      </c>
      <c r="Z167" s="25"/>
      <c r="AA167" s="25"/>
      <c r="AB167" s="25"/>
      <c r="AC167" s="25"/>
      <c r="AD167" s="25"/>
      <c r="AE167" s="25"/>
    </row>
    <row r="168" spans="1:31" ht="260" outlineLevel="1" x14ac:dyDescent="0.15">
      <c r="A168" s="338" t="s">
        <v>3199</v>
      </c>
      <c r="B168" s="306"/>
      <c r="C168" s="338" t="s">
        <v>2715</v>
      </c>
      <c r="D168" s="339"/>
      <c r="E168" s="338" t="s">
        <v>1040</v>
      </c>
      <c r="F168" s="339"/>
      <c r="G168" s="261" t="s">
        <v>2958</v>
      </c>
      <c r="H168" s="339"/>
      <c r="I168" s="338" t="s">
        <v>3148</v>
      </c>
      <c r="J168" s="84"/>
      <c r="K168" s="84" t="s">
        <v>3200</v>
      </c>
      <c r="L168" s="340"/>
      <c r="M168" s="332" t="s">
        <v>2678</v>
      </c>
      <c r="N168" s="306"/>
      <c r="O168" s="306"/>
      <c r="P168" s="22"/>
      <c r="Q168" s="84"/>
      <c r="R168" s="25"/>
      <c r="S168" s="25"/>
      <c r="T168" s="22"/>
      <c r="U168" s="25"/>
      <c r="V168" s="25"/>
      <c r="W168" s="25"/>
      <c r="X168" s="84" t="str">
        <f t="shared" si="1"/>
        <v>grantPlayerItems</v>
      </c>
      <c r="Y168" s="337" t="s">
        <v>3201</v>
      </c>
      <c r="Z168" s="25"/>
      <c r="AA168" s="25"/>
      <c r="AB168" s="25"/>
      <c r="AC168" s="25"/>
      <c r="AD168" s="25"/>
      <c r="AE168" s="25"/>
    </row>
    <row r="169" spans="1:31" ht="260" outlineLevel="1" x14ac:dyDescent="0.15">
      <c r="A169" s="338" t="s">
        <v>3202</v>
      </c>
      <c r="B169" s="306"/>
      <c r="C169" s="338" t="s">
        <v>2715</v>
      </c>
      <c r="D169" s="339"/>
      <c r="E169" s="338" t="s">
        <v>1040</v>
      </c>
      <c r="F169" s="339"/>
      <c r="G169" s="261" t="s">
        <v>2962</v>
      </c>
      <c r="H169" s="339"/>
      <c r="I169" s="338" t="s">
        <v>3148</v>
      </c>
      <c r="J169" s="84"/>
      <c r="K169" s="84" t="s">
        <v>3203</v>
      </c>
      <c r="L169" s="340"/>
      <c r="M169" s="332" t="s">
        <v>2678</v>
      </c>
      <c r="N169" s="306"/>
      <c r="O169" s="306"/>
      <c r="P169" s="22"/>
      <c r="Q169" s="84"/>
      <c r="R169" s="25"/>
      <c r="S169" s="25"/>
      <c r="T169" s="22"/>
      <c r="U169" s="25"/>
      <c r="V169" s="25"/>
      <c r="W169" s="25"/>
      <c r="X169" s="84" t="str">
        <f t="shared" si="1"/>
        <v>grantPlayerItems</v>
      </c>
      <c r="Y169" s="337" t="s">
        <v>3204</v>
      </c>
      <c r="Z169" s="25"/>
      <c r="AA169" s="25"/>
      <c r="AB169" s="25"/>
      <c r="AC169" s="25"/>
      <c r="AD169" s="25"/>
      <c r="AE169" s="25"/>
    </row>
    <row r="170" spans="1:31" ht="260" outlineLevel="1" x14ac:dyDescent="0.15">
      <c r="A170" s="338" t="s">
        <v>3205</v>
      </c>
      <c r="B170" s="306"/>
      <c r="C170" s="338" t="s">
        <v>2715</v>
      </c>
      <c r="D170" s="339"/>
      <c r="E170" s="338" t="s">
        <v>1040</v>
      </c>
      <c r="F170" s="339"/>
      <c r="G170" s="261" t="s">
        <v>2966</v>
      </c>
      <c r="H170" s="339"/>
      <c r="I170" s="338" t="s">
        <v>3148</v>
      </c>
      <c r="J170" s="84"/>
      <c r="K170" s="84" t="s">
        <v>3206</v>
      </c>
      <c r="L170" s="340"/>
      <c r="M170" s="332" t="s">
        <v>2678</v>
      </c>
      <c r="N170" s="306"/>
      <c r="O170" s="306"/>
      <c r="P170" s="22"/>
      <c r="Q170" s="84"/>
      <c r="R170" s="25"/>
      <c r="S170" s="25"/>
      <c r="T170" s="22"/>
      <c r="U170" s="25"/>
      <c r="V170" s="25"/>
      <c r="W170" s="25"/>
      <c r="X170" s="84" t="str">
        <f t="shared" si="1"/>
        <v>grantPlayerItems</v>
      </c>
      <c r="Y170" s="337" t="s">
        <v>3207</v>
      </c>
      <c r="Z170" s="25"/>
      <c r="AA170" s="25"/>
      <c r="AB170" s="25"/>
      <c r="AC170" s="25"/>
      <c r="AD170" s="25"/>
      <c r="AE170" s="25"/>
    </row>
    <row r="171" spans="1:31" ht="260" outlineLevel="1" x14ac:dyDescent="0.15">
      <c r="A171" s="338" t="s">
        <v>3208</v>
      </c>
      <c r="B171" s="306"/>
      <c r="C171" s="338" t="s">
        <v>2715</v>
      </c>
      <c r="D171" s="339"/>
      <c r="E171" s="338" t="s">
        <v>1040</v>
      </c>
      <c r="F171" s="339"/>
      <c r="G171" s="261" t="s">
        <v>2970</v>
      </c>
      <c r="H171" s="339"/>
      <c r="I171" s="338" t="s">
        <v>3148</v>
      </c>
      <c r="J171" s="84"/>
      <c r="K171" s="84" t="s">
        <v>3209</v>
      </c>
      <c r="L171" s="340"/>
      <c r="M171" s="332" t="s">
        <v>2678</v>
      </c>
      <c r="N171" s="306"/>
      <c r="O171" s="306"/>
      <c r="P171" s="22"/>
      <c r="Q171" s="84"/>
      <c r="R171" s="25"/>
      <c r="S171" s="25"/>
      <c r="T171" s="22"/>
      <c r="U171" s="25"/>
      <c r="V171" s="25"/>
      <c r="W171" s="25"/>
      <c r="X171" s="84" t="str">
        <f t="shared" si="1"/>
        <v>grantPlayerItems</v>
      </c>
      <c r="Y171" s="337" t="s">
        <v>3210</v>
      </c>
      <c r="Z171" s="25"/>
      <c r="AA171" s="25"/>
      <c r="AB171" s="25"/>
      <c r="AC171" s="25"/>
      <c r="AD171" s="25"/>
      <c r="AE171" s="25"/>
    </row>
    <row r="172" spans="1:31" ht="260" x14ac:dyDescent="0.15">
      <c r="A172" s="338" t="s">
        <v>3211</v>
      </c>
      <c r="B172" s="306"/>
      <c r="C172" s="338" t="s">
        <v>2715</v>
      </c>
      <c r="D172" s="339"/>
      <c r="E172" s="338" t="s">
        <v>1094</v>
      </c>
      <c r="F172" s="339"/>
      <c r="G172" s="261" t="s">
        <v>2945</v>
      </c>
      <c r="H172" s="339"/>
      <c r="I172" s="338" t="s">
        <v>3148</v>
      </c>
      <c r="J172" s="84" t="s">
        <v>2669</v>
      </c>
      <c r="K172" s="84" t="s">
        <v>3212</v>
      </c>
      <c r="L172" s="340"/>
      <c r="M172" s="332" t="s">
        <v>2678</v>
      </c>
      <c r="N172" s="306"/>
      <c r="O172" s="306"/>
      <c r="P172" s="22"/>
      <c r="Q172" s="84"/>
      <c r="R172" s="25"/>
      <c r="S172" s="25"/>
      <c r="T172" s="22"/>
      <c r="U172" s="25"/>
      <c r="V172" s="25"/>
      <c r="W172" s="25"/>
      <c r="X172" s="84" t="str">
        <f t="shared" si="1"/>
        <v>grantPlayerItems</v>
      </c>
      <c r="Y172" s="337" t="s">
        <v>3213</v>
      </c>
      <c r="Z172" s="25"/>
      <c r="AA172" s="25"/>
      <c r="AB172" s="25"/>
      <c r="AC172" s="25"/>
      <c r="AD172" s="25"/>
      <c r="AE172" s="25"/>
    </row>
    <row r="173" spans="1:31" ht="260" outlineLevel="1" x14ac:dyDescent="0.15">
      <c r="A173" s="338" t="s">
        <v>3214</v>
      </c>
      <c r="B173" s="306"/>
      <c r="C173" s="338" t="s">
        <v>2715</v>
      </c>
      <c r="D173" s="339"/>
      <c r="E173" s="338" t="s">
        <v>1094</v>
      </c>
      <c r="F173" s="339"/>
      <c r="G173" s="261" t="s">
        <v>2950</v>
      </c>
      <c r="H173" s="339"/>
      <c r="I173" s="338" t="s">
        <v>3148</v>
      </c>
      <c r="J173" s="84"/>
      <c r="K173" s="84" t="s">
        <v>3215</v>
      </c>
      <c r="L173" s="340"/>
      <c r="M173" s="332" t="s">
        <v>2678</v>
      </c>
      <c r="N173" s="306"/>
      <c r="O173" s="306"/>
      <c r="P173" s="22"/>
      <c r="Q173" s="84"/>
      <c r="R173" s="25"/>
      <c r="S173" s="25"/>
      <c r="T173" s="22"/>
      <c r="U173" s="25"/>
      <c r="V173" s="25"/>
      <c r="W173" s="25"/>
      <c r="X173" s="84" t="str">
        <f t="shared" si="1"/>
        <v>grantPlayerItems</v>
      </c>
      <c r="Y173" s="337" t="s">
        <v>3216</v>
      </c>
      <c r="Z173" s="25"/>
      <c r="AA173" s="25"/>
      <c r="AB173" s="25"/>
      <c r="AC173" s="25"/>
      <c r="AD173" s="25"/>
      <c r="AE173" s="25"/>
    </row>
    <row r="174" spans="1:31" ht="260" outlineLevel="1" x14ac:dyDescent="0.15">
      <c r="A174" s="338" t="s">
        <v>3217</v>
      </c>
      <c r="B174" s="306"/>
      <c r="C174" s="338" t="s">
        <v>2715</v>
      </c>
      <c r="D174" s="339"/>
      <c r="E174" s="338" t="s">
        <v>1094</v>
      </c>
      <c r="F174" s="339"/>
      <c r="G174" s="261" t="s">
        <v>2954</v>
      </c>
      <c r="H174" s="339"/>
      <c r="I174" s="338" t="s">
        <v>3148</v>
      </c>
      <c r="J174" s="84"/>
      <c r="K174" s="84" t="s">
        <v>3218</v>
      </c>
      <c r="L174" s="340"/>
      <c r="M174" s="332" t="s">
        <v>2678</v>
      </c>
      <c r="N174" s="306"/>
      <c r="O174" s="306"/>
      <c r="P174" s="22"/>
      <c r="Q174" s="84"/>
      <c r="R174" s="25"/>
      <c r="S174" s="25"/>
      <c r="T174" s="22"/>
      <c r="U174" s="25"/>
      <c r="V174" s="25"/>
      <c r="W174" s="25"/>
      <c r="X174" s="84" t="str">
        <f t="shared" si="1"/>
        <v>grantPlayerItems</v>
      </c>
      <c r="Y174" s="337" t="s">
        <v>3219</v>
      </c>
      <c r="Z174" s="25"/>
      <c r="AA174" s="25"/>
      <c r="AB174" s="25"/>
      <c r="AC174" s="25"/>
      <c r="AD174" s="25"/>
      <c r="AE174" s="25"/>
    </row>
    <row r="175" spans="1:31" ht="260" outlineLevel="1" x14ac:dyDescent="0.15">
      <c r="A175" s="338" t="s">
        <v>3220</v>
      </c>
      <c r="B175" s="306"/>
      <c r="C175" s="338" t="s">
        <v>2715</v>
      </c>
      <c r="D175" s="339"/>
      <c r="E175" s="338" t="s">
        <v>1094</v>
      </c>
      <c r="F175" s="339"/>
      <c r="G175" s="261" t="s">
        <v>2958</v>
      </c>
      <c r="H175" s="339"/>
      <c r="I175" s="338" t="s">
        <v>3148</v>
      </c>
      <c r="J175" s="84"/>
      <c r="K175" s="84" t="s">
        <v>3221</v>
      </c>
      <c r="L175" s="340"/>
      <c r="M175" s="332" t="s">
        <v>2678</v>
      </c>
      <c r="N175" s="306"/>
      <c r="O175" s="306"/>
      <c r="P175" s="22"/>
      <c r="Q175" s="84"/>
      <c r="R175" s="25"/>
      <c r="S175" s="25"/>
      <c r="T175" s="22"/>
      <c r="U175" s="25"/>
      <c r="V175" s="25"/>
      <c r="W175" s="25"/>
      <c r="X175" s="84" t="str">
        <f t="shared" si="1"/>
        <v>grantPlayerItems</v>
      </c>
      <c r="Y175" s="337" t="s">
        <v>3222</v>
      </c>
      <c r="Z175" s="25"/>
      <c r="AA175" s="25"/>
      <c r="AB175" s="25"/>
      <c r="AC175" s="25"/>
      <c r="AD175" s="25"/>
      <c r="AE175" s="25"/>
    </row>
    <row r="176" spans="1:31" ht="260" outlineLevel="1" x14ac:dyDescent="0.15">
      <c r="A176" s="338" t="s">
        <v>3223</v>
      </c>
      <c r="B176" s="306"/>
      <c r="C176" s="338" t="s">
        <v>2715</v>
      </c>
      <c r="D176" s="339"/>
      <c r="E176" s="338" t="s">
        <v>1094</v>
      </c>
      <c r="F176" s="339"/>
      <c r="G176" s="261" t="s">
        <v>2962</v>
      </c>
      <c r="H176" s="339"/>
      <c r="I176" s="338" t="s">
        <v>3148</v>
      </c>
      <c r="J176" s="84"/>
      <c r="K176" s="84" t="s">
        <v>3224</v>
      </c>
      <c r="L176" s="340"/>
      <c r="M176" s="332" t="s">
        <v>2678</v>
      </c>
      <c r="N176" s="306"/>
      <c r="O176" s="306"/>
      <c r="P176" s="22"/>
      <c r="Q176" s="84"/>
      <c r="R176" s="25"/>
      <c r="S176" s="25"/>
      <c r="T176" s="22"/>
      <c r="U176" s="25"/>
      <c r="V176" s="25"/>
      <c r="W176" s="25"/>
      <c r="X176" s="84" t="str">
        <f t="shared" si="1"/>
        <v>grantPlayerItems</v>
      </c>
      <c r="Y176" s="337" t="s">
        <v>3225</v>
      </c>
      <c r="Z176" s="25"/>
      <c r="AA176" s="25"/>
      <c r="AB176" s="25"/>
      <c r="AC176" s="25"/>
      <c r="AD176" s="25"/>
      <c r="AE176" s="25"/>
    </row>
    <row r="177" spans="1:31" ht="260" outlineLevel="1" x14ac:dyDescent="0.15">
      <c r="A177" s="338" t="s">
        <v>3226</v>
      </c>
      <c r="B177" s="306"/>
      <c r="C177" s="338" t="s">
        <v>2715</v>
      </c>
      <c r="D177" s="339"/>
      <c r="E177" s="338" t="s">
        <v>1094</v>
      </c>
      <c r="F177" s="339"/>
      <c r="G177" s="261" t="s">
        <v>2966</v>
      </c>
      <c r="H177" s="339"/>
      <c r="I177" s="338" t="s">
        <v>3148</v>
      </c>
      <c r="J177" s="84"/>
      <c r="K177" s="84" t="s">
        <v>3227</v>
      </c>
      <c r="L177" s="340"/>
      <c r="M177" s="332" t="s">
        <v>2678</v>
      </c>
      <c r="N177" s="306"/>
      <c r="O177" s="306"/>
      <c r="P177" s="22"/>
      <c r="Q177" s="84"/>
      <c r="R177" s="25"/>
      <c r="S177" s="25"/>
      <c r="T177" s="22"/>
      <c r="U177" s="25"/>
      <c r="V177" s="25"/>
      <c r="W177" s="25"/>
      <c r="X177" s="84" t="str">
        <f t="shared" si="1"/>
        <v>grantPlayerItems</v>
      </c>
      <c r="Y177" s="337" t="s">
        <v>3228</v>
      </c>
      <c r="Z177" s="25"/>
      <c r="AA177" s="25"/>
      <c r="AB177" s="25"/>
      <c r="AC177" s="25"/>
      <c r="AD177" s="25"/>
      <c r="AE177" s="25"/>
    </row>
    <row r="178" spans="1:31" ht="260" outlineLevel="1" x14ac:dyDescent="0.15">
      <c r="A178" s="338" t="s">
        <v>3229</v>
      </c>
      <c r="B178" s="306"/>
      <c r="C178" s="338" t="s">
        <v>2715</v>
      </c>
      <c r="D178" s="339"/>
      <c r="E178" s="338" t="s">
        <v>1094</v>
      </c>
      <c r="F178" s="339"/>
      <c r="G178" s="261" t="s">
        <v>2970</v>
      </c>
      <c r="H178" s="339"/>
      <c r="I178" s="338" t="s">
        <v>3148</v>
      </c>
      <c r="J178" s="84"/>
      <c r="K178" s="84" t="s">
        <v>3230</v>
      </c>
      <c r="L178" s="340"/>
      <c r="M178" s="332" t="s">
        <v>2678</v>
      </c>
      <c r="N178" s="306"/>
      <c r="O178" s="306"/>
      <c r="P178" s="22"/>
      <c r="Q178" s="84"/>
      <c r="R178" s="25"/>
      <c r="S178" s="25"/>
      <c r="T178" s="22"/>
      <c r="U178" s="25"/>
      <c r="V178" s="25"/>
      <c r="W178" s="25"/>
      <c r="X178" s="84" t="str">
        <f t="shared" si="1"/>
        <v>grantPlayerItems</v>
      </c>
      <c r="Y178" s="337" t="s">
        <v>3231</v>
      </c>
      <c r="Z178" s="25"/>
      <c r="AA178" s="25"/>
      <c r="AB178" s="25"/>
      <c r="AC178" s="25"/>
      <c r="AD178" s="25"/>
      <c r="AE178" s="25"/>
    </row>
    <row r="179" spans="1:31" ht="260" x14ac:dyDescent="0.15">
      <c r="A179" s="338" t="s">
        <v>3232</v>
      </c>
      <c r="B179" s="306"/>
      <c r="C179" s="338" t="s">
        <v>2715</v>
      </c>
      <c r="D179" s="339"/>
      <c r="E179" s="338" t="s">
        <v>1067</v>
      </c>
      <c r="F179" s="339"/>
      <c r="G179" s="261" t="s">
        <v>2945</v>
      </c>
      <c r="H179" s="339"/>
      <c r="I179" s="338" t="s">
        <v>3148</v>
      </c>
      <c r="J179" s="84" t="s">
        <v>2669</v>
      </c>
      <c r="K179" s="84" t="s">
        <v>3233</v>
      </c>
      <c r="L179" s="340"/>
      <c r="M179" s="332" t="s">
        <v>2678</v>
      </c>
      <c r="N179" s="306"/>
      <c r="O179" s="306"/>
      <c r="P179" s="22"/>
      <c r="Q179" s="84"/>
      <c r="R179" s="25"/>
      <c r="S179" s="25"/>
      <c r="T179" s="22"/>
      <c r="U179" s="25"/>
      <c r="V179" s="25"/>
      <c r="W179" s="25"/>
      <c r="X179" s="84" t="str">
        <f t="shared" si="1"/>
        <v>grantPlayerItems</v>
      </c>
      <c r="Y179" s="337" t="s">
        <v>3234</v>
      </c>
      <c r="Z179" s="25"/>
      <c r="AA179" s="25"/>
      <c r="AB179" s="25"/>
      <c r="AC179" s="25"/>
      <c r="AD179" s="25"/>
      <c r="AE179" s="25"/>
    </row>
    <row r="180" spans="1:31" ht="260" outlineLevel="1" x14ac:dyDescent="0.15">
      <c r="A180" s="338" t="s">
        <v>3235</v>
      </c>
      <c r="B180" s="306"/>
      <c r="C180" s="338" t="s">
        <v>2715</v>
      </c>
      <c r="D180" s="339"/>
      <c r="E180" s="338" t="s">
        <v>1067</v>
      </c>
      <c r="F180" s="339"/>
      <c r="G180" s="261" t="s">
        <v>2950</v>
      </c>
      <c r="H180" s="339"/>
      <c r="I180" s="338" t="s">
        <v>3148</v>
      </c>
      <c r="J180" s="84"/>
      <c r="K180" s="84" t="s">
        <v>3236</v>
      </c>
      <c r="L180" s="340"/>
      <c r="M180" s="332" t="s">
        <v>2678</v>
      </c>
      <c r="N180" s="306"/>
      <c r="O180" s="306"/>
      <c r="P180" s="22"/>
      <c r="Q180" s="84"/>
      <c r="R180" s="25"/>
      <c r="S180" s="25"/>
      <c r="T180" s="22"/>
      <c r="U180" s="25"/>
      <c r="V180" s="25"/>
      <c r="W180" s="25"/>
      <c r="X180" s="84" t="str">
        <f t="shared" si="1"/>
        <v>grantPlayerItems</v>
      </c>
      <c r="Y180" s="337" t="s">
        <v>3237</v>
      </c>
      <c r="Z180" s="25"/>
      <c r="AA180" s="25"/>
      <c r="AB180" s="25"/>
      <c r="AC180" s="25"/>
      <c r="AD180" s="25"/>
      <c r="AE180" s="25"/>
    </row>
    <row r="181" spans="1:31" ht="260" outlineLevel="1" x14ac:dyDescent="0.15">
      <c r="A181" s="338" t="s">
        <v>3238</v>
      </c>
      <c r="B181" s="306"/>
      <c r="C181" s="338" t="s">
        <v>2715</v>
      </c>
      <c r="D181" s="339"/>
      <c r="E181" s="338" t="s">
        <v>1067</v>
      </c>
      <c r="F181" s="339"/>
      <c r="G181" s="261" t="s">
        <v>2954</v>
      </c>
      <c r="H181" s="339"/>
      <c r="I181" s="338" t="s">
        <v>3148</v>
      </c>
      <c r="J181" s="84"/>
      <c r="K181" s="84" t="s">
        <v>3239</v>
      </c>
      <c r="L181" s="340"/>
      <c r="M181" s="332" t="s">
        <v>2678</v>
      </c>
      <c r="N181" s="306"/>
      <c r="O181" s="306"/>
      <c r="P181" s="22"/>
      <c r="Q181" s="84"/>
      <c r="R181" s="25"/>
      <c r="S181" s="25"/>
      <c r="T181" s="22"/>
      <c r="U181" s="25"/>
      <c r="V181" s="25"/>
      <c r="W181" s="25"/>
      <c r="X181" s="84" t="str">
        <f t="shared" si="1"/>
        <v>grantPlayerItems</v>
      </c>
      <c r="Y181" s="337" t="s">
        <v>3240</v>
      </c>
      <c r="Z181" s="25"/>
      <c r="AA181" s="25"/>
      <c r="AB181" s="25"/>
      <c r="AC181" s="25"/>
      <c r="AD181" s="25"/>
      <c r="AE181" s="25"/>
    </row>
    <row r="182" spans="1:31" ht="260" outlineLevel="1" x14ac:dyDescent="0.15">
      <c r="A182" s="338" t="s">
        <v>3241</v>
      </c>
      <c r="B182" s="306"/>
      <c r="C182" s="338" t="s">
        <v>2715</v>
      </c>
      <c r="D182" s="339"/>
      <c r="E182" s="338" t="s">
        <v>1067</v>
      </c>
      <c r="F182" s="339"/>
      <c r="G182" s="261" t="s">
        <v>2958</v>
      </c>
      <c r="H182" s="339"/>
      <c r="I182" s="338" t="s">
        <v>3148</v>
      </c>
      <c r="J182" s="84"/>
      <c r="K182" s="84" t="s">
        <v>3242</v>
      </c>
      <c r="L182" s="340"/>
      <c r="M182" s="332" t="s">
        <v>2678</v>
      </c>
      <c r="N182" s="306"/>
      <c r="O182" s="306"/>
      <c r="P182" s="22"/>
      <c r="Q182" s="84"/>
      <c r="R182" s="25"/>
      <c r="S182" s="25"/>
      <c r="T182" s="22"/>
      <c r="U182" s="25"/>
      <c r="V182" s="25"/>
      <c r="W182" s="25"/>
      <c r="X182" s="84" t="str">
        <f t="shared" si="1"/>
        <v>grantPlayerItems</v>
      </c>
      <c r="Y182" s="337" t="s">
        <v>3243</v>
      </c>
      <c r="Z182" s="25"/>
      <c r="AA182" s="25"/>
      <c r="AB182" s="25"/>
      <c r="AC182" s="25"/>
      <c r="AD182" s="25"/>
      <c r="AE182" s="25"/>
    </row>
    <row r="183" spans="1:31" ht="260" outlineLevel="1" x14ac:dyDescent="0.15">
      <c r="A183" s="338" t="s">
        <v>3244</v>
      </c>
      <c r="B183" s="306"/>
      <c r="C183" s="338" t="s">
        <v>2715</v>
      </c>
      <c r="D183" s="339"/>
      <c r="E183" s="338" t="s">
        <v>1067</v>
      </c>
      <c r="F183" s="339"/>
      <c r="G183" s="261" t="s">
        <v>2962</v>
      </c>
      <c r="H183" s="339"/>
      <c r="I183" s="338" t="s">
        <v>3148</v>
      </c>
      <c r="J183" s="84"/>
      <c r="K183" s="84" t="s">
        <v>3245</v>
      </c>
      <c r="L183" s="340"/>
      <c r="M183" s="332" t="s">
        <v>2678</v>
      </c>
      <c r="N183" s="306"/>
      <c r="O183" s="306"/>
      <c r="P183" s="22"/>
      <c r="Q183" s="84"/>
      <c r="R183" s="25"/>
      <c r="S183" s="25"/>
      <c r="T183" s="22"/>
      <c r="U183" s="25"/>
      <c r="V183" s="25"/>
      <c r="W183" s="25"/>
      <c r="X183" s="84" t="str">
        <f t="shared" si="1"/>
        <v>grantPlayerItems</v>
      </c>
      <c r="Y183" s="337" t="s">
        <v>3246</v>
      </c>
      <c r="Z183" s="25"/>
      <c r="AA183" s="25"/>
      <c r="AB183" s="25"/>
      <c r="AC183" s="25"/>
      <c r="AD183" s="25"/>
      <c r="AE183" s="25"/>
    </row>
    <row r="184" spans="1:31" ht="260" outlineLevel="1" x14ac:dyDescent="0.15">
      <c r="A184" s="338" t="s">
        <v>3247</v>
      </c>
      <c r="B184" s="306"/>
      <c r="C184" s="338" t="s">
        <v>2715</v>
      </c>
      <c r="D184" s="339"/>
      <c r="E184" s="338" t="s">
        <v>1067</v>
      </c>
      <c r="F184" s="339"/>
      <c r="G184" s="261" t="s">
        <v>2966</v>
      </c>
      <c r="H184" s="339"/>
      <c r="I184" s="338" t="s">
        <v>3148</v>
      </c>
      <c r="J184" s="84"/>
      <c r="K184" s="84" t="s">
        <v>3248</v>
      </c>
      <c r="L184" s="340"/>
      <c r="M184" s="332" t="s">
        <v>2678</v>
      </c>
      <c r="N184" s="306"/>
      <c r="O184" s="306"/>
      <c r="P184" s="22"/>
      <c r="Q184" s="84"/>
      <c r="R184" s="25"/>
      <c r="S184" s="25"/>
      <c r="T184" s="22"/>
      <c r="U184" s="25"/>
      <c r="V184" s="25"/>
      <c r="W184" s="25"/>
      <c r="X184" s="84" t="str">
        <f t="shared" si="1"/>
        <v>grantPlayerItems</v>
      </c>
      <c r="Y184" s="337" t="s">
        <v>3249</v>
      </c>
      <c r="Z184" s="25"/>
      <c r="AA184" s="25"/>
      <c r="AB184" s="25"/>
      <c r="AC184" s="25"/>
      <c r="AD184" s="25"/>
      <c r="AE184" s="25"/>
    </row>
    <row r="185" spans="1:31" ht="260" outlineLevel="1" x14ac:dyDescent="0.15">
      <c r="A185" s="338" t="s">
        <v>3250</v>
      </c>
      <c r="B185" s="306"/>
      <c r="C185" s="338" t="s">
        <v>2715</v>
      </c>
      <c r="D185" s="339"/>
      <c r="E185" s="338" t="s">
        <v>1067</v>
      </c>
      <c r="F185" s="339"/>
      <c r="G185" s="261" t="s">
        <v>2970</v>
      </c>
      <c r="H185" s="339"/>
      <c r="I185" s="338" t="s">
        <v>3148</v>
      </c>
      <c r="J185" s="84"/>
      <c r="K185" s="84" t="s">
        <v>3251</v>
      </c>
      <c r="L185" s="340"/>
      <c r="M185" s="332" t="s">
        <v>2678</v>
      </c>
      <c r="N185" s="306"/>
      <c r="O185" s="306"/>
      <c r="P185" s="22"/>
      <c r="Q185" s="84"/>
      <c r="R185" s="25"/>
      <c r="S185" s="25"/>
      <c r="T185" s="22"/>
      <c r="U185" s="25"/>
      <c r="V185" s="25"/>
      <c r="W185" s="25"/>
      <c r="X185" s="84" t="str">
        <f t="shared" si="1"/>
        <v>grantPlayerItems</v>
      </c>
      <c r="Y185" s="337" t="s">
        <v>3252</v>
      </c>
      <c r="Z185" s="25"/>
      <c r="AA185" s="25"/>
      <c r="AB185" s="25"/>
      <c r="AC185" s="25"/>
      <c r="AD185" s="25"/>
      <c r="AE185" s="25"/>
    </row>
    <row r="186" spans="1:31" ht="260" x14ac:dyDescent="0.15">
      <c r="A186" s="338" t="s">
        <v>3253</v>
      </c>
      <c r="B186" s="306"/>
      <c r="C186" s="338" t="s">
        <v>2715</v>
      </c>
      <c r="D186" s="339"/>
      <c r="E186" s="338" t="s">
        <v>984</v>
      </c>
      <c r="F186" s="339"/>
      <c r="G186" s="261" t="s">
        <v>2945</v>
      </c>
      <c r="H186" s="339"/>
      <c r="I186" s="338" t="s">
        <v>3148</v>
      </c>
      <c r="J186" s="84" t="s">
        <v>2669</v>
      </c>
      <c r="K186" s="84" t="s">
        <v>3254</v>
      </c>
      <c r="L186" s="340"/>
      <c r="M186" s="332" t="s">
        <v>2678</v>
      </c>
      <c r="N186" s="306"/>
      <c r="O186" s="306"/>
      <c r="P186" s="22"/>
      <c r="Q186" s="84"/>
      <c r="R186" s="25"/>
      <c r="S186" s="25"/>
      <c r="T186" s="22"/>
      <c r="U186" s="25"/>
      <c r="V186" s="25"/>
      <c r="W186" s="25"/>
      <c r="X186" s="84" t="str">
        <f t="shared" si="1"/>
        <v>grantPlayerItems</v>
      </c>
      <c r="Y186" s="337" t="s">
        <v>3255</v>
      </c>
      <c r="Z186" s="25"/>
      <c r="AA186" s="25"/>
      <c r="AB186" s="25"/>
      <c r="AC186" s="25"/>
      <c r="AD186" s="25"/>
      <c r="AE186" s="25"/>
    </row>
    <row r="187" spans="1:31" ht="260" outlineLevel="1" x14ac:dyDescent="0.15">
      <c r="A187" s="338" t="s">
        <v>3256</v>
      </c>
      <c r="B187" s="306"/>
      <c r="C187" s="338" t="s">
        <v>2715</v>
      </c>
      <c r="D187" s="339"/>
      <c r="E187" s="338" t="s">
        <v>984</v>
      </c>
      <c r="F187" s="339"/>
      <c r="G187" s="261" t="s">
        <v>2950</v>
      </c>
      <c r="H187" s="339"/>
      <c r="I187" s="338" t="s">
        <v>3148</v>
      </c>
      <c r="J187" s="84"/>
      <c r="K187" s="84" t="s">
        <v>3257</v>
      </c>
      <c r="L187" s="340"/>
      <c r="M187" s="332" t="s">
        <v>2678</v>
      </c>
      <c r="N187" s="306"/>
      <c r="O187" s="306"/>
      <c r="P187" s="22"/>
      <c r="Q187" s="84"/>
      <c r="R187" s="25"/>
      <c r="S187" s="25"/>
      <c r="T187" s="22"/>
      <c r="U187" s="25"/>
      <c r="V187" s="25"/>
      <c r="W187" s="25"/>
      <c r="X187" s="84" t="str">
        <f t="shared" si="1"/>
        <v>grantPlayerItems</v>
      </c>
      <c r="Y187" s="337" t="s">
        <v>3258</v>
      </c>
      <c r="Z187" s="25"/>
      <c r="AA187" s="25"/>
      <c r="AB187" s="25"/>
      <c r="AC187" s="25"/>
      <c r="AD187" s="25"/>
      <c r="AE187" s="25"/>
    </row>
    <row r="188" spans="1:31" ht="260" outlineLevel="1" x14ac:dyDescent="0.15">
      <c r="A188" s="338" t="s">
        <v>3259</v>
      </c>
      <c r="B188" s="306"/>
      <c r="C188" s="338" t="s">
        <v>2715</v>
      </c>
      <c r="D188" s="339"/>
      <c r="E188" s="338" t="s">
        <v>984</v>
      </c>
      <c r="F188" s="339"/>
      <c r="G188" s="261" t="s">
        <v>2954</v>
      </c>
      <c r="H188" s="339"/>
      <c r="I188" s="338" t="s">
        <v>3148</v>
      </c>
      <c r="J188" s="84"/>
      <c r="K188" s="84" t="s">
        <v>3260</v>
      </c>
      <c r="L188" s="340"/>
      <c r="M188" s="332" t="s">
        <v>2678</v>
      </c>
      <c r="N188" s="306"/>
      <c r="O188" s="306"/>
      <c r="P188" s="22"/>
      <c r="Q188" s="84"/>
      <c r="R188" s="25"/>
      <c r="S188" s="25"/>
      <c r="T188" s="22"/>
      <c r="U188" s="25"/>
      <c r="V188" s="25"/>
      <c r="W188" s="25"/>
      <c r="X188" s="84" t="str">
        <f t="shared" si="1"/>
        <v>grantPlayerItems</v>
      </c>
      <c r="Y188" s="337" t="s">
        <v>3261</v>
      </c>
      <c r="Z188" s="25"/>
      <c r="AA188" s="25"/>
      <c r="AB188" s="25"/>
      <c r="AC188" s="25"/>
      <c r="AD188" s="25"/>
      <c r="AE188" s="25"/>
    </row>
    <row r="189" spans="1:31" ht="260" outlineLevel="1" x14ac:dyDescent="0.15">
      <c r="A189" s="338" t="s">
        <v>3262</v>
      </c>
      <c r="B189" s="306"/>
      <c r="C189" s="338" t="s">
        <v>2715</v>
      </c>
      <c r="D189" s="339"/>
      <c r="E189" s="338" t="s">
        <v>984</v>
      </c>
      <c r="F189" s="339"/>
      <c r="G189" s="261" t="s">
        <v>2958</v>
      </c>
      <c r="H189" s="339"/>
      <c r="I189" s="338" t="s">
        <v>3148</v>
      </c>
      <c r="J189" s="84"/>
      <c r="K189" s="84" t="s">
        <v>3263</v>
      </c>
      <c r="L189" s="340"/>
      <c r="M189" s="332" t="s">
        <v>2678</v>
      </c>
      <c r="N189" s="306"/>
      <c r="O189" s="306"/>
      <c r="P189" s="22"/>
      <c r="Q189" s="84"/>
      <c r="R189" s="25"/>
      <c r="S189" s="25"/>
      <c r="T189" s="22"/>
      <c r="U189" s="25"/>
      <c r="V189" s="25"/>
      <c r="W189" s="25"/>
      <c r="X189" s="84" t="str">
        <f t="shared" si="1"/>
        <v>grantPlayerItems</v>
      </c>
      <c r="Y189" s="337" t="s">
        <v>3264</v>
      </c>
      <c r="Z189" s="25"/>
      <c r="AA189" s="25"/>
      <c r="AB189" s="25"/>
      <c r="AC189" s="25"/>
      <c r="AD189" s="25"/>
      <c r="AE189" s="25"/>
    </row>
    <row r="190" spans="1:31" ht="260" outlineLevel="1" x14ac:dyDescent="0.15">
      <c r="A190" s="338" t="s">
        <v>3265</v>
      </c>
      <c r="B190" s="306"/>
      <c r="C190" s="338" t="s">
        <v>2715</v>
      </c>
      <c r="D190" s="339"/>
      <c r="E190" s="338" t="s">
        <v>984</v>
      </c>
      <c r="F190" s="339"/>
      <c r="G190" s="261" t="s">
        <v>2962</v>
      </c>
      <c r="H190" s="339"/>
      <c r="I190" s="338" t="s">
        <v>3148</v>
      </c>
      <c r="J190" s="84"/>
      <c r="K190" s="84" t="s">
        <v>3266</v>
      </c>
      <c r="L190" s="340"/>
      <c r="M190" s="332" t="s">
        <v>2678</v>
      </c>
      <c r="N190" s="306"/>
      <c r="O190" s="306"/>
      <c r="P190" s="22"/>
      <c r="Q190" s="84"/>
      <c r="R190" s="25"/>
      <c r="S190" s="25"/>
      <c r="T190" s="22"/>
      <c r="U190" s="25"/>
      <c r="V190" s="25"/>
      <c r="W190" s="25"/>
      <c r="X190" s="84" t="str">
        <f t="shared" si="1"/>
        <v>grantPlayerItems</v>
      </c>
      <c r="Y190" s="337" t="s">
        <v>3267</v>
      </c>
      <c r="Z190" s="25"/>
      <c r="AA190" s="25"/>
      <c r="AB190" s="25"/>
      <c r="AC190" s="25"/>
      <c r="AD190" s="25"/>
      <c r="AE190" s="25"/>
    </row>
    <row r="191" spans="1:31" ht="260" outlineLevel="1" x14ac:dyDescent="0.15">
      <c r="A191" s="338" t="s">
        <v>3268</v>
      </c>
      <c r="B191" s="306"/>
      <c r="C191" s="338" t="s">
        <v>2715</v>
      </c>
      <c r="D191" s="339"/>
      <c r="E191" s="338" t="s">
        <v>984</v>
      </c>
      <c r="F191" s="339"/>
      <c r="G191" s="261" t="s">
        <v>2966</v>
      </c>
      <c r="H191" s="339"/>
      <c r="I191" s="338" t="s">
        <v>3148</v>
      </c>
      <c r="J191" s="84"/>
      <c r="K191" s="84" t="s">
        <v>3269</v>
      </c>
      <c r="L191" s="340"/>
      <c r="M191" s="332" t="s">
        <v>2678</v>
      </c>
      <c r="N191" s="306"/>
      <c r="O191" s="306"/>
      <c r="P191" s="22"/>
      <c r="Q191" s="84"/>
      <c r="R191" s="25"/>
      <c r="S191" s="25"/>
      <c r="T191" s="22"/>
      <c r="U191" s="25"/>
      <c r="V191" s="25"/>
      <c r="W191" s="25"/>
      <c r="X191" s="84" t="str">
        <f t="shared" si="1"/>
        <v>grantPlayerItems</v>
      </c>
      <c r="Y191" s="337" t="s">
        <v>3270</v>
      </c>
      <c r="Z191" s="25"/>
      <c r="AA191" s="25"/>
      <c r="AB191" s="25"/>
      <c r="AC191" s="25"/>
      <c r="AD191" s="25"/>
      <c r="AE191" s="25"/>
    </row>
    <row r="192" spans="1:31" ht="260" outlineLevel="1" x14ac:dyDescent="0.15">
      <c r="A192" s="338" t="s">
        <v>3271</v>
      </c>
      <c r="B192" s="306"/>
      <c r="C192" s="338" t="s">
        <v>2715</v>
      </c>
      <c r="D192" s="339"/>
      <c r="E192" s="338" t="s">
        <v>984</v>
      </c>
      <c r="F192" s="339"/>
      <c r="G192" s="261" t="s">
        <v>2970</v>
      </c>
      <c r="H192" s="339"/>
      <c r="I192" s="338" t="s">
        <v>3148</v>
      </c>
      <c r="J192" s="84"/>
      <c r="K192" s="84" t="s">
        <v>3272</v>
      </c>
      <c r="L192" s="340"/>
      <c r="M192" s="332" t="s">
        <v>2678</v>
      </c>
      <c r="N192" s="306"/>
      <c r="O192" s="306"/>
      <c r="P192" s="22"/>
      <c r="Q192" s="84"/>
      <c r="R192" s="25"/>
      <c r="S192" s="25"/>
      <c r="T192" s="22"/>
      <c r="U192" s="25"/>
      <c r="V192" s="25"/>
      <c r="W192" s="25"/>
      <c r="X192" s="84" t="str">
        <f t="shared" si="1"/>
        <v>grantPlayerItems</v>
      </c>
      <c r="Y192" s="337" t="s">
        <v>3273</v>
      </c>
      <c r="Z192" s="25"/>
      <c r="AA192" s="25"/>
      <c r="AB192" s="25"/>
      <c r="AC192" s="25"/>
      <c r="AD192" s="25"/>
      <c r="AE192" s="25"/>
    </row>
    <row r="193" spans="1:31" ht="260" x14ac:dyDescent="0.15">
      <c r="A193" s="338" t="s">
        <v>3274</v>
      </c>
      <c r="B193" s="306"/>
      <c r="C193" s="338" t="s">
        <v>2715</v>
      </c>
      <c r="D193" s="339"/>
      <c r="E193" s="338" t="s">
        <v>1310</v>
      </c>
      <c r="F193" s="339"/>
      <c r="G193" s="261" t="s">
        <v>2945</v>
      </c>
      <c r="H193" s="339"/>
      <c r="I193" s="338" t="s">
        <v>3148</v>
      </c>
      <c r="J193" s="84" t="s">
        <v>2669</v>
      </c>
      <c r="K193" s="84" t="s">
        <v>3275</v>
      </c>
      <c r="L193" s="340"/>
      <c r="M193" s="332" t="s">
        <v>2678</v>
      </c>
      <c r="N193" s="306"/>
      <c r="O193" s="306"/>
      <c r="P193" s="22"/>
      <c r="Q193" s="84"/>
      <c r="R193" s="25"/>
      <c r="S193" s="25"/>
      <c r="T193" s="22"/>
      <c r="U193" s="25"/>
      <c r="V193" s="25"/>
      <c r="W193" s="25"/>
      <c r="X193" s="84" t="str">
        <f t="shared" si="1"/>
        <v>grantPlayerItems</v>
      </c>
      <c r="Y193" s="337" t="s">
        <v>3276</v>
      </c>
      <c r="Z193" s="25"/>
      <c r="AA193" s="25"/>
      <c r="AB193" s="25"/>
      <c r="AC193" s="25"/>
      <c r="AD193" s="25"/>
      <c r="AE193" s="25"/>
    </row>
    <row r="194" spans="1:31" ht="260" outlineLevel="1" x14ac:dyDescent="0.15">
      <c r="A194" s="338" t="s">
        <v>3277</v>
      </c>
      <c r="B194" s="306"/>
      <c r="C194" s="338" t="s">
        <v>2715</v>
      </c>
      <c r="D194" s="339"/>
      <c r="E194" s="338" t="s">
        <v>1310</v>
      </c>
      <c r="F194" s="339"/>
      <c r="G194" s="261" t="s">
        <v>2950</v>
      </c>
      <c r="H194" s="339"/>
      <c r="I194" s="338" t="s">
        <v>3148</v>
      </c>
      <c r="J194" s="84"/>
      <c r="K194" s="84" t="s">
        <v>3278</v>
      </c>
      <c r="L194" s="340"/>
      <c r="M194" s="332" t="s">
        <v>2678</v>
      </c>
      <c r="N194" s="306"/>
      <c r="O194" s="306"/>
      <c r="P194" s="22"/>
      <c r="Q194" s="84"/>
      <c r="R194" s="25"/>
      <c r="S194" s="25"/>
      <c r="T194" s="22"/>
      <c r="U194" s="25"/>
      <c r="V194" s="25"/>
      <c r="W194" s="25"/>
      <c r="X194" s="84" t="str">
        <f t="shared" si="1"/>
        <v>grantPlayerItems</v>
      </c>
      <c r="Y194" s="337" t="s">
        <v>3279</v>
      </c>
      <c r="Z194" s="25"/>
      <c r="AA194" s="25"/>
      <c r="AB194" s="25"/>
      <c r="AC194" s="25"/>
      <c r="AD194" s="25"/>
      <c r="AE194" s="25"/>
    </row>
    <row r="195" spans="1:31" ht="260" outlineLevel="1" x14ac:dyDescent="0.15">
      <c r="A195" s="338" t="s">
        <v>3280</v>
      </c>
      <c r="B195" s="306"/>
      <c r="C195" s="338" t="s">
        <v>2715</v>
      </c>
      <c r="D195" s="339"/>
      <c r="E195" s="338" t="s">
        <v>1310</v>
      </c>
      <c r="F195" s="339"/>
      <c r="G195" s="261" t="s">
        <v>2954</v>
      </c>
      <c r="H195" s="339"/>
      <c r="I195" s="338" t="s">
        <v>3148</v>
      </c>
      <c r="J195" s="84"/>
      <c r="K195" s="84" t="s">
        <v>3281</v>
      </c>
      <c r="L195" s="340"/>
      <c r="M195" s="332" t="s">
        <v>2678</v>
      </c>
      <c r="N195" s="306"/>
      <c r="O195" s="306"/>
      <c r="P195" s="22"/>
      <c r="Q195" s="84"/>
      <c r="R195" s="25"/>
      <c r="S195" s="25"/>
      <c r="T195" s="22"/>
      <c r="U195" s="25"/>
      <c r="V195" s="25"/>
      <c r="W195" s="25"/>
      <c r="X195" s="84" t="str">
        <f t="shared" si="1"/>
        <v>grantPlayerItems</v>
      </c>
      <c r="Y195" s="337" t="s">
        <v>3282</v>
      </c>
      <c r="Z195" s="25"/>
      <c r="AA195" s="25"/>
      <c r="AB195" s="25"/>
      <c r="AC195" s="25"/>
      <c r="AD195" s="25"/>
      <c r="AE195" s="25"/>
    </row>
    <row r="196" spans="1:31" ht="260" outlineLevel="1" x14ac:dyDescent="0.15">
      <c r="A196" s="338" t="s">
        <v>3283</v>
      </c>
      <c r="B196" s="306"/>
      <c r="C196" s="338" t="s">
        <v>2715</v>
      </c>
      <c r="D196" s="339"/>
      <c r="E196" s="338" t="s">
        <v>1310</v>
      </c>
      <c r="F196" s="339"/>
      <c r="G196" s="261" t="s">
        <v>2958</v>
      </c>
      <c r="H196" s="339"/>
      <c r="I196" s="338" t="s">
        <v>3148</v>
      </c>
      <c r="J196" s="84"/>
      <c r="K196" s="84" t="s">
        <v>3284</v>
      </c>
      <c r="L196" s="340"/>
      <c r="M196" s="332" t="s">
        <v>2678</v>
      </c>
      <c r="N196" s="306"/>
      <c r="O196" s="306"/>
      <c r="P196" s="22"/>
      <c r="Q196" s="84"/>
      <c r="R196" s="25"/>
      <c r="S196" s="25"/>
      <c r="T196" s="22"/>
      <c r="U196" s="25"/>
      <c r="V196" s="25"/>
      <c r="W196" s="25"/>
      <c r="X196" s="84" t="str">
        <f t="shared" si="1"/>
        <v>grantPlayerItems</v>
      </c>
      <c r="Y196" s="337" t="s">
        <v>3285</v>
      </c>
      <c r="Z196" s="25"/>
      <c r="AA196" s="25"/>
      <c r="AB196" s="25"/>
      <c r="AC196" s="25"/>
      <c r="AD196" s="25"/>
      <c r="AE196" s="25"/>
    </row>
    <row r="197" spans="1:31" ht="260" outlineLevel="1" x14ac:dyDescent="0.15">
      <c r="A197" s="338" t="s">
        <v>3286</v>
      </c>
      <c r="B197" s="306"/>
      <c r="C197" s="338" t="s">
        <v>2715</v>
      </c>
      <c r="D197" s="339"/>
      <c r="E197" s="338" t="s">
        <v>1310</v>
      </c>
      <c r="F197" s="339"/>
      <c r="G197" s="261" t="s">
        <v>2962</v>
      </c>
      <c r="H197" s="339"/>
      <c r="I197" s="338" t="s">
        <v>3148</v>
      </c>
      <c r="J197" s="84"/>
      <c r="K197" s="84" t="s">
        <v>3287</v>
      </c>
      <c r="L197" s="340"/>
      <c r="M197" s="332" t="s">
        <v>2678</v>
      </c>
      <c r="N197" s="306"/>
      <c r="O197" s="306"/>
      <c r="P197" s="22"/>
      <c r="Q197" s="84"/>
      <c r="R197" s="25"/>
      <c r="S197" s="25"/>
      <c r="T197" s="22"/>
      <c r="U197" s="25"/>
      <c r="V197" s="25"/>
      <c r="W197" s="25"/>
      <c r="X197" s="84" t="str">
        <f t="shared" si="1"/>
        <v>grantPlayerItems</v>
      </c>
      <c r="Y197" s="337" t="s">
        <v>3288</v>
      </c>
      <c r="Z197" s="25"/>
      <c r="AA197" s="25"/>
      <c r="AB197" s="25"/>
      <c r="AC197" s="25"/>
      <c r="AD197" s="25"/>
      <c r="AE197" s="25"/>
    </row>
    <row r="198" spans="1:31" ht="260" outlineLevel="1" x14ac:dyDescent="0.15">
      <c r="A198" s="338" t="s">
        <v>3289</v>
      </c>
      <c r="B198" s="306"/>
      <c r="C198" s="338" t="s">
        <v>2715</v>
      </c>
      <c r="D198" s="339"/>
      <c r="E198" s="338" t="s">
        <v>1310</v>
      </c>
      <c r="F198" s="339"/>
      <c r="G198" s="261" t="s">
        <v>2966</v>
      </c>
      <c r="H198" s="339"/>
      <c r="I198" s="338" t="s">
        <v>3148</v>
      </c>
      <c r="J198" s="84"/>
      <c r="K198" s="84" t="s">
        <v>3290</v>
      </c>
      <c r="L198" s="340"/>
      <c r="M198" s="332" t="s">
        <v>2678</v>
      </c>
      <c r="N198" s="306"/>
      <c r="O198" s="306"/>
      <c r="P198" s="22"/>
      <c r="Q198" s="84"/>
      <c r="R198" s="25"/>
      <c r="S198" s="25"/>
      <c r="T198" s="22"/>
      <c r="U198" s="25"/>
      <c r="V198" s="25"/>
      <c r="W198" s="25"/>
      <c r="X198" s="84" t="str">
        <f t="shared" si="1"/>
        <v>grantPlayerItems</v>
      </c>
      <c r="Y198" s="337" t="s">
        <v>3291</v>
      </c>
      <c r="Z198" s="25"/>
      <c r="AA198" s="25"/>
      <c r="AB198" s="25"/>
      <c r="AC198" s="25"/>
      <c r="AD198" s="25"/>
      <c r="AE198" s="25"/>
    </row>
    <row r="199" spans="1:31" ht="260" outlineLevel="1" x14ac:dyDescent="0.15">
      <c r="A199" s="338" t="s">
        <v>3292</v>
      </c>
      <c r="B199" s="306"/>
      <c r="C199" s="338" t="s">
        <v>2715</v>
      </c>
      <c r="D199" s="339"/>
      <c r="E199" s="338" t="s">
        <v>1310</v>
      </c>
      <c r="F199" s="339"/>
      <c r="G199" s="261" t="s">
        <v>2970</v>
      </c>
      <c r="H199" s="339"/>
      <c r="I199" s="338" t="s">
        <v>3148</v>
      </c>
      <c r="J199" s="84"/>
      <c r="K199" s="84" t="s">
        <v>3293</v>
      </c>
      <c r="L199" s="340"/>
      <c r="M199" s="332" t="s">
        <v>2678</v>
      </c>
      <c r="N199" s="306"/>
      <c r="O199" s="306"/>
      <c r="P199" s="22"/>
      <c r="Q199" s="84"/>
      <c r="R199" s="25"/>
      <c r="S199" s="25"/>
      <c r="T199" s="22"/>
      <c r="U199" s="25"/>
      <c r="V199" s="25"/>
      <c r="W199" s="25"/>
      <c r="X199" s="84" t="str">
        <f t="shared" si="1"/>
        <v>grantPlayerItems</v>
      </c>
      <c r="Y199" s="337" t="s">
        <v>3294</v>
      </c>
      <c r="Z199" s="25"/>
      <c r="AA199" s="25"/>
      <c r="AB199" s="25"/>
      <c r="AC199" s="25"/>
      <c r="AD199" s="25"/>
      <c r="AE199" s="25"/>
    </row>
    <row r="200" spans="1:31" ht="260" x14ac:dyDescent="0.15">
      <c r="A200" s="338" t="s">
        <v>3295</v>
      </c>
      <c r="B200" s="306"/>
      <c r="C200" s="338" t="s">
        <v>2715</v>
      </c>
      <c r="D200" s="339"/>
      <c r="E200" s="338" t="s">
        <v>1318</v>
      </c>
      <c r="F200" s="339"/>
      <c r="G200" s="261" t="s">
        <v>2945</v>
      </c>
      <c r="H200" s="339"/>
      <c r="I200" s="338" t="s">
        <v>2946</v>
      </c>
      <c r="J200" s="84" t="s">
        <v>2669</v>
      </c>
      <c r="K200" s="84" t="s">
        <v>3296</v>
      </c>
      <c r="L200" s="340"/>
      <c r="M200" s="332" t="s">
        <v>2678</v>
      </c>
      <c r="N200" s="306"/>
      <c r="O200" s="306"/>
      <c r="P200" s="22"/>
      <c r="Q200" s="84"/>
      <c r="R200" s="25"/>
      <c r="S200" s="25"/>
      <c r="T200" s="22"/>
      <c r="U200" s="25"/>
      <c r="V200" s="25"/>
      <c r="W200" s="25"/>
      <c r="X200" s="84" t="str">
        <f t="shared" si="1"/>
        <v>grantPlayerItems</v>
      </c>
      <c r="Y200" s="337" t="s">
        <v>3297</v>
      </c>
      <c r="Z200" s="25"/>
      <c r="AA200" s="25"/>
      <c r="AB200" s="25"/>
      <c r="AC200" s="25"/>
      <c r="AD200" s="25"/>
      <c r="AE200" s="25"/>
    </row>
    <row r="201" spans="1:31" ht="260" outlineLevel="1" x14ac:dyDescent="0.15">
      <c r="A201" s="338" t="s">
        <v>3298</v>
      </c>
      <c r="B201" s="306"/>
      <c r="C201" s="338" t="s">
        <v>2715</v>
      </c>
      <c r="D201" s="339"/>
      <c r="E201" s="338" t="s">
        <v>1318</v>
      </c>
      <c r="F201" s="339"/>
      <c r="G201" s="261" t="s">
        <v>2950</v>
      </c>
      <c r="H201" s="339"/>
      <c r="I201" s="338" t="s">
        <v>2946</v>
      </c>
      <c r="J201" s="84"/>
      <c r="K201" s="84" t="s">
        <v>3299</v>
      </c>
      <c r="L201" s="340"/>
      <c r="M201" s="332" t="s">
        <v>2678</v>
      </c>
      <c r="N201" s="306"/>
      <c r="O201" s="306"/>
      <c r="P201" s="22"/>
      <c r="Q201" s="84"/>
      <c r="R201" s="25"/>
      <c r="S201" s="25"/>
      <c r="T201" s="22"/>
      <c r="U201" s="25"/>
      <c r="V201" s="25"/>
      <c r="W201" s="25"/>
      <c r="X201" s="84" t="str">
        <f t="shared" si="1"/>
        <v>grantPlayerItems</v>
      </c>
      <c r="Y201" s="337" t="s">
        <v>3300</v>
      </c>
      <c r="Z201" s="25"/>
      <c r="AA201" s="25"/>
      <c r="AB201" s="25"/>
      <c r="AC201" s="25"/>
      <c r="AD201" s="25"/>
      <c r="AE201" s="25"/>
    </row>
    <row r="202" spans="1:31" ht="260" outlineLevel="1" x14ac:dyDescent="0.15">
      <c r="A202" s="338" t="s">
        <v>3301</v>
      </c>
      <c r="B202" s="306"/>
      <c r="C202" s="338" t="s">
        <v>2715</v>
      </c>
      <c r="D202" s="339"/>
      <c r="E202" s="338" t="s">
        <v>1318</v>
      </c>
      <c r="F202" s="339"/>
      <c r="G202" s="261" t="s">
        <v>2954</v>
      </c>
      <c r="H202" s="339"/>
      <c r="I202" s="338" t="s">
        <v>2946</v>
      </c>
      <c r="J202" s="84"/>
      <c r="K202" s="84" t="s">
        <v>3302</v>
      </c>
      <c r="L202" s="340"/>
      <c r="M202" s="332" t="s">
        <v>2678</v>
      </c>
      <c r="N202" s="306"/>
      <c r="O202" s="306"/>
      <c r="P202" s="22"/>
      <c r="Q202" s="84"/>
      <c r="R202" s="25"/>
      <c r="S202" s="25"/>
      <c r="T202" s="22"/>
      <c r="U202" s="25"/>
      <c r="V202" s="25"/>
      <c r="W202" s="25"/>
      <c r="X202" s="84" t="str">
        <f t="shared" si="1"/>
        <v>grantPlayerItems</v>
      </c>
      <c r="Y202" s="337" t="s">
        <v>3303</v>
      </c>
      <c r="Z202" s="25"/>
      <c r="AA202" s="25"/>
      <c r="AB202" s="25"/>
      <c r="AC202" s="25"/>
      <c r="AD202" s="25"/>
      <c r="AE202" s="25"/>
    </row>
    <row r="203" spans="1:31" ht="260" outlineLevel="1" x14ac:dyDescent="0.15">
      <c r="A203" s="338" t="s">
        <v>3304</v>
      </c>
      <c r="B203" s="306"/>
      <c r="C203" s="338" t="s">
        <v>2715</v>
      </c>
      <c r="D203" s="339"/>
      <c r="E203" s="338" t="s">
        <v>1318</v>
      </c>
      <c r="F203" s="339"/>
      <c r="G203" s="261" t="s">
        <v>2958</v>
      </c>
      <c r="H203" s="339"/>
      <c r="I203" s="338" t="s">
        <v>2946</v>
      </c>
      <c r="J203" s="84"/>
      <c r="K203" s="84" t="s">
        <v>3305</v>
      </c>
      <c r="L203" s="340"/>
      <c r="M203" s="332" t="s">
        <v>2678</v>
      </c>
      <c r="N203" s="306"/>
      <c r="O203" s="306"/>
      <c r="P203" s="22"/>
      <c r="Q203" s="84"/>
      <c r="R203" s="25"/>
      <c r="S203" s="25"/>
      <c r="T203" s="22"/>
      <c r="U203" s="25"/>
      <c r="V203" s="25"/>
      <c r="W203" s="25"/>
      <c r="X203" s="84" t="str">
        <f t="shared" si="1"/>
        <v>grantPlayerItems</v>
      </c>
      <c r="Y203" s="337" t="s">
        <v>3306</v>
      </c>
      <c r="Z203" s="25"/>
      <c r="AA203" s="25"/>
      <c r="AB203" s="25"/>
      <c r="AC203" s="25"/>
      <c r="AD203" s="25"/>
      <c r="AE203" s="25"/>
    </row>
    <row r="204" spans="1:31" ht="260" outlineLevel="1" x14ac:dyDescent="0.15">
      <c r="A204" s="338" t="s">
        <v>3307</v>
      </c>
      <c r="B204" s="306"/>
      <c r="C204" s="338" t="s">
        <v>2715</v>
      </c>
      <c r="D204" s="339"/>
      <c r="E204" s="338" t="s">
        <v>1318</v>
      </c>
      <c r="F204" s="339"/>
      <c r="G204" s="261" t="s">
        <v>2962</v>
      </c>
      <c r="H204" s="339"/>
      <c r="I204" s="338" t="s">
        <v>2946</v>
      </c>
      <c r="J204" s="84"/>
      <c r="K204" s="84" t="s">
        <v>3308</v>
      </c>
      <c r="L204" s="340"/>
      <c r="M204" s="332" t="s">
        <v>2678</v>
      </c>
      <c r="N204" s="306"/>
      <c r="O204" s="306"/>
      <c r="P204" s="22"/>
      <c r="Q204" s="84"/>
      <c r="R204" s="25"/>
      <c r="S204" s="25"/>
      <c r="T204" s="22"/>
      <c r="U204" s="25"/>
      <c r="V204" s="25"/>
      <c r="W204" s="25"/>
      <c r="X204" s="84" t="str">
        <f t="shared" si="1"/>
        <v>grantPlayerItems</v>
      </c>
      <c r="Y204" s="337" t="s">
        <v>3309</v>
      </c>
      <c r="Z204" s="25"/>
      <c r="AA204" s="25"/>
      <c r="AB204" s="25"/>
      <c r="AC204" s="25"/>
      <c r="AD204" s="25"/>
      <c r="AE204" s="25"/>
    </row>
    <row r="205" spans="1:31" ht="260" outlineLevel="1" x14ac:dyDescent="0.15">
      <c r="A205" s="338" t="s">
        <v>3310</v>
      </c>
      <c r="B205" s="306"/>
      <c r="C205" s="338" t="s">
        <v>2715</v>
      </c>
      <c r="D205" s="339"/>
      <c r="E205" s="338" t="s">
        <v>1318</v>
      </c>
      <c r="F205" s="339"/>
      <c r="G205" s="261" t="s">
        <v>2966</v>
      </c>
      <c r="H205" s="339"/>
      <c r="I205" s="338" t="s">
        <v>2946</v>
      </c>
      <c r="J205" s="84"/>
      <c r="K205" s="84" t="s">
        <v>3311</v>
      </c>
      <c r="L205" s="340"/>
      <c r="M205" s="332" t="s">
        <v>2678</v>
      </c>
      <c r="N205" s="306"/>
      <c r="O205" s="306"/>
      <c r="P205" s="22"/>
      <c r="Q205" s="84"/>
      <c r="R205" s="25"/>
      <c r="S205" s="25"/>
      <c r="T205" s="22"/>
      <c r="U205" s="25"/>
      <c r="V205" s="25"/>
      <c r="W205" s="25"/>
      <c r="X205" s="84" t="str">
        <f t="shared" si="1"/>
        <v>grantPlayerItems</v>
      </c>
      <c r="Y205" s="337" t="s">
        <v>3312</v>
      </c>
      <c r="Z205" s="25"/>
      <c r="AA205" s="25"/>
      <c r="AB205" s="25"/>
      <c r="AC205" s="25"/>
      <c r="AD205" s="25"/>
      <c r="AE205" s="25"/>
    </row>
    <row r="206" spans="1:31" ht="260" outlineLevel="1" x14ac:dyDescent="0.15">
      <c r="A206" s="338" t="s">
        <v>3313</v>
      </c>
      <c r="B206" s="306"/>
      <c r="C206" s="338" t="s">
        <v>2715</v>
      </c>
      <c r="D206" s="339"/>
      <c r="E206" s="338" t="s">
        <v>1318</v>
      </c>
      <c r="F206" s="339"/>
      <c r="G206" s="261" t="s">
        <v>2970</v>
      </c>
      <c r="H206" s="339"/>
      <c r="I206" s="338" t="s">
        <v>2946</v>
      </c>
      <c r="J206" s="84"/>
      <c r="K206" s="84" t="s">
        <v>3314</v>
      </c>
      <c r="L206" s="340"/>
      <c r="M206" s="332" t="s">
        <v>2678</v>
      </c>
      <c r="N206" s="306"/>
      <c r="O206" s="306"/>
      <c r="P206" s="22"/>
      <c r="Q206" s="84"/>
      <c r="R206" s="25"/>
      <c r="S206" s="25"/>
      <c r="T206" s="22"/>
      <c r="U206" s="25"/>
      <c r="V206" s="25"/>
      <c r="W206" s="25"/>
      <c r="X206" s="84" t="str">
        <f t="shared" si="1"/>
        <v>grantPlayerItems</v>
      </c>
      <c r="Y206" s="337" t="s">
        <v>3315</v>
      </c>
      <c r="Z206" s="25"/>
      <c r="AA206" s="25"/>
      <c r="AB206" s="25"/>
      <c r="AC206" s="25"/>
      <c r="AD206" s="25"/>
      <c r="AE206" s="25"/>
    </row>
    <row r="207" spans="1:31" ht="260" x14ac:dyDescent="0.15">
      <c r="A207" s="338" t="s">
        <v>3316</v>
      </c>
      <c r="B207" s="306"/>
      <c r="C207" s="338" t="s">
        <v>2715</v>
      </c>
      <c r="D207" s="339"/>
      <c r="E207" s="338" t="s">
        <v>1327</v>
      </c>
      <c r="F207" s="339"/>
      <c r="G207" s="261" t="s">
        <v>2945</v>
      </c>
      <c r="H207" s="339"/>
      <c r="I207" s="338" t="s">
        <v>3148</v>
      </c>
      <c r="J207" s="84" t="s">
        <v>2669</v>
      </c>
      <c r="K207" s="84" t="s">
        <v>3317</v>
      </c>
      <c r="L207" s="340"/>
      <c r="M207" s="332" t="s">
        <v>2678</v>
      </c>
      <c r="N207" s="306"/>
      <c r="O207" s="306"/>
      <c r="P207" s="22"/>
      <c r="Q207" s="84"/>
      <c r="R207" s="25"/>
      <c r="S207" s="25"/>
      <c r="T207" s="22"/>
      <c r="U207" s="25"/>
      <c r="V207" s="25"/>
      <c r="W207" s="25"/>
      <c r="X207" s="84" t="str">
        <f t="shared" si="1"/>
        <v>grantPlayerItems</v>
      </c>
      <c r="Y207" s="337" t="s">
        <v>3318</v>
      </c>
      <c r="Z207" s="25"/>
      <c r="AA207" s="25"/>
      <c r="AB207" s="25"/>
      <c r="AC207" s="25"/>
      <c r="AD207" s="25"/>
      <c r="AE207" s="25"/>
    </row>
    <row r="208" spans="1:31" ht="260" outlineLevel="1" x14ac:dyDescent="0.15">
      <c r="A208" s="338" t="s">
        <v>3319</v>
      </c>
      <c r="B208" s="306"/>
      <c r="C208" s="338" t="s">
        <v>2715</v>
      </c>
      <c r="D208" s="339"/>
      <c r="E208" s="338" t="s">
        <v>1327</v>
      </c>
      <c r="F208" s="339"/>
      <c r="G208" s="261" t="s">
        <v>2950</v>
      </c>
      <c r="H208" s="339"/>
      <c r="I208" s="338" t="s">
        <v>3148</v>
      </c>
      <c r="J208" s="84"/>
      <c r="K208" s="84" t="s">
        <v>3320</v>
      </c>
      <c r="L208" s="340"/>
      <c r="M208" s="332" t="s">
        <v>2678</v>
      </c>
      <c r="N208" s="306"/>
      <c r="O208" s="306"/>
      <c r="P208" s="22"/>
      <c r="Q208" s="84"/>
      <c r="R208" s="25"/>
      <c r="S208" s="25"/>
      <c r="T208" s="22"/>
      <c r="U208" s="25"/>
      <c r="V208" s="25"/>
      <c r="W208" s="25"/>
      <c r="X208" s="84" t="str">
        <f t="shared" si="1"/>
        <v>grantPlayerItems</v>
      </c>
      <c r="Y208" s="337" t="s">
        <v>3321</v>
      </c>
      <c r="Z208" s="25"/>
      <c r="AA208" s="25"/>
      <c r="AB208" s="25"/>
      <c r="AC208" s="25"/>
      <c r="AD208" s="25"/>
      <c r="AE208" s="25"/>
    </row>
    <row r="209" spans="1:31" ht="260" outlineLevel="1" x14ac:dyDescent="0.15">
      <c r="A209" s="338" t="s">
        <v>3322</v>
      </c>
      <c r="B209" s="306"/>
      <c r="C209" s="338" t="s">
        <v>2715</v>
      </c>
      <c r="D209" s="339"/>
      <c r="E209" s="338" t="s">
        <v>1327</v>
      </c>
      <c r="F209" s="339"/>
      <c r="G209" s="261" t="s">
        <v>2954</v>
      </c>
      <c r="H209" s="339"/>
      <c r="I209" s="338" t="s">
        <v>3148</v>
      </c>
      <c r="J209" s="84"/>
      <c r="K209" s="84" t="s">
        <v>3323</v>
      </c>
      <c r="L209" s="340"/>
      <c r="M209" s="332" t="s">
        <v>2678</v>
      </c>
      <c r="N209" s="306"/>
      <c r="O209" s="306"/>
      <c r="P209" s="22"/>
      <c r="Q209" s="84"/>
      <c r="R209" s="25"/>
      <c r="S209" s="25"/>
      <c r="T209" s="22"/>
      <c r="U209" s="25"/>
      <c r="V209" s="25"/>
      <c r="W209" s="25"/>
      <c r="X209" s="84" t="str">
        <f t="shared" si="1"/>
        <v>grantPlayerItems</v>
      </c>
      <c r="Y209" s="337" t="s">
        <v>3324</v>
      </c>
      <c r="Z209" s="25"/>
      <c r="AA209" s="25"/>
      <c r="AB209" s="25"/>
      <c r="AC209" s="25"/>
      <c r="AD209" s="25"/>
      <c r="AE209" s="25"/>
    </row>
    <row r="210" spans="1:31" ht="260" outlineLevel="1" x14ac:dyDescent="0.15">
      <c r="A210" s="338" t="s">
        <v>3325</v>
      </c>
      <c r="B210" s="306"/>
      <c r="C210" s="338" t="s">
        <v>2715</v>
      </c>
      <c r="D210" s="339"/>
      <c r="E210" s="338" t="s">
        <v>1327</v>
      </c>
      <c r="F210" s="339"/>
      <c r="G210" s="261" t="s">
        <v>2958</v>
      </c>
      <c r="H210" s="339"/>
      <c r="I210" s="338" t="s">
        <v>3148</v>
      </c>
      <c r="J210" s="84"/>
      <c r="K210" s="84" t="s">
        <v>3326</v>
      </c>
      <c r="L210" s="340"/>
      <c r="M210" s="332" t="s">
        <v>2678</v>
      </c>
      <c r="N210" s="306"/>
      <c r="O210" s="306"/>
      <c r="P210" s="22"/>
      <c r="Q210" s="84"/>
      <c r="R210" s="25"/>
      <c r="S210" s="25"/>
      <c r="T210" s="22"/>
      <c r="U210" s="25"/>
      <c r="V210" s="25"/>
      <c r="W210" s="25"/>
      <c r="X210" s="84" t="str">
        <f t="shared" si="1"/>
        <v>grantPlayerItems</v>
      </c>
      <c r="Y210" s="337" t="s">
        <v>3327</v>
      </c>
      <c r="Z210" s="25"/>
      <c r="AA210" s="25"/>
      <c r="AB210" s="25"/>
      <c r="AC210" s="25"/>
      <c r="AD210" s="25"/>
      <c r="AE210" s="25"/>
    </row>
    <row r="211" spans="1:31" ht="260" outlineLevel="1" x14ac:dyDescent="0.15">
      <c r="A211" s="338" t="s">
        <v>3328</v>
      </c>
      <c r="B211" s="306"/>
      <c r="C211" s="338" t="s">
        <v>2715</v>
      </c>
      <c r="D211" s="339"/>
      <c r="E211" s="338" t="s">
        <v>1327</v>
      </c>
      <c r="F211" s="339"/>
      <c r="G211" s="261" t="s">
        <v>2962</v>
      </c>
      <c r="H211" s="339"/>
      <c r="I211" s="338" t="s">
        <v>3148</v>
      </c>
      <c r="J211" s="84"/>
      <c r="K211" s="84" t="s">
        <v>3329</v>
      </c>
      <c r="L211" s="340"/>
      <c r="M211" s="332" t="s">
        <v>2678</v>
      </c>
      <c r="N211" s="306"/>
      <c r="O211" s="306"/>
      <c r="P211" s="22"/>
      <c r="Q211" s="84"/>
      <c r="R211" s="25"/>
      <c r="S211" s="25"/>
      <c r="T211" s="22"/>
      <c r="U211" s="25"/>
      <c r="V211" s="25"/>
      <c r="W211" s="25"/>
      <c r="X211" s="84" t="str">
        <f t="shared" si="1"/>
        <v>grantPlayerItems</v>
      </c>
      <c r="Y211" s="337" t="s">
        <v>3330</v>
      </c>
      <c r="Z211" s="25"/>
      <c r="AA211" s="25"/>
      <c r="AB211" s="25"/>
      <c r="AC211" s="25"/>
      <c r="AD211" s="25"/>
      <c r="AE211" s="25"/>
    </row>
    <row r="212" spans="1:31" ht="260" outlineLevel="1" x14ac:dyDescent="0.15">
      <c r="A212" s="338" t="s">
        <v>3331</v>
      </c>
      <c r="B212" s="306"/>
      <c r="C212" s="338" t="s">
        <v>2715</v>
      </c>
      <c r="D212" s="339"/>
      <c r="E212" s="338" t="s">
        <v>1327</v>
      </c>
      <c r="F212" s="339"/>
      <c r="G212" s="261" t="s">
        <v>2966</v>
      </c>
      <c r="H212" s="339"/>
      <c r="I212" s="338" t="s">
        <v>3148</v>
      </c>
      <c r="J212" s="84"/>
      <c r="K212" s="84" t="s">
        <v>3332</v>
      </c>
      <c r="L212" s="340"/>
      <c r="M212" s="332" t="s">
        <v>2678</v>
      </c>
      <c r="N212" s="306"/>
      <c r="O212" s="306"/>
      <c r="P212" s="22"/>
      <c r="Q212" s="84"/>
      <c r="R212" s="25"/>
      <c r="S212" s="25"/>
      <c r="T212" s="22"/>
      <c r="U212" s="25"/>
      <c r="V212" s="25"/>
      <c r="W212" s="25"/>
      <c r="X212" s="84" t="str">
        <f t="shared" si="1"/>
        <v>grantPlayerItems</v>
      </c>
      <c r="Y212" s="337" t="s">
        <v>3333</v>
      </c>
      <c r="Z212" s="25"/>
      <c r="AA212" s="25"/>
      <c r="AB212" s="25"/>
      <c r="AC212" s="25"/>
      <c r="AD212" s="25"/>
      <c r="AE212" s="25"/>
    </row>
    <row r="213" spans="1:31" ht="260" outlineLevel="1" x14ac:dyDescent="0.15">
      <c r="A213" s="338" t="s">
        <v>3334</v>
      </c>
      <c r="B213" s="306"/>
      <c r="C213" s="338" t="s">
        <v>2715</v>
      </c>
      <c r="D213" s="339"/>
      <c r="E213" s="338" t="s">
        <v>1327</v>
      </c>
      <c r="F213" s="339"/>
      <c r="G213" s="261" t="s">
        <v>2970</v>
      </c>
      <c r="H213" s="339"/>
      <c r="I213" s="338" t="s">
        <v>3148</v>
      </c>
      <c r="J213" s="84"/>
      <c r="K213" s="84" t="s">
        <v>3335</v>
      </c>
      <c r="L213" s="340"/>
      <c r="M213" s="332" t="s">
        <v>2678</v>
      </c>
      <c r="N213" s="306"/>
      <c r="O213" s="306"/>
      <c r="P213" s="22"/>
      <c r="Q213" s="84"/>
      <c r="R213" s="25"/>
      <c r="S213" s="25"/>
      <c r="T213" s="22"/>
      <c r="U213" s="25"/>
      <c r="V213" s="25"/>
      <c r="W213" s="25"/>
      <c r="X213" s="84" t="str">
        <f t="shared" si="1"/>
        <v>grantPlayerItems</v>
      </c>
      <c r="Y213" s="337" t="s">
        <v>3336</v>
      </c>
      <c r="Z213" s="25"/>
      <c r="AA213" s="25"/>
      <c r="AB213" s="25"/>
      <c r="AC213" s="25"/>
      <c r="AD213" s="25"/>
      <c r="AE213" s="25"/>
    </row>
    <row r="214" spans="1:31" ht="260" x14ac:dyDescent="0.15">
      <c r="A214" s="338" t="s">
        <v>3337</v>
      </c>
      <c r="B214" s="306"/>
      <c r="C214" s="338" t="s">
        <v>2838</v>
      </c>
      <c r="D214" s="339"/>
      <c r="E214" s="338" t="s">
        <v>1335</v>
      </c>
      <c r="F214" s="339"/>
      <c r="G214" s="261" t="s">
        <v>2945</v>
      </c>
      <c r="H214" s="339"/>
      <c r="I214" s="338" t="s">
        <v>2946</v>
      </c>
      <c r="J214" s="84" t="s">
        <v>2669</v>
      </c>
      <c r="K214" s="84" t="s">
        <v>3338</v>
      </c>
      <c r="L214" s="340"/>
      <c r="M214" s="332" t="s">
        <v>2678</v>
      </c>
      <c r="N214" s="306"/>
      <c r="O214" s="306"/>
      <c r="P214" s="22"/>
      <c r="Q214" s="84"/>
      <c r="R214" s="25"/>
      <c r="S214" s="25"/>
      <c r="T214" s="22"/>
      <c r="U214" s="25"/>
      <c r="V214" s="25"/>
      <c r="W214" s="25"/>
      <c r="X214" s="84" t="str">
        <f t="shared" si="1"/>
        <v>grantPlayerItems</v>
      </c>
      <c r="Y214" s="337" t="s">
        <v>3339</v>
      </c>
      <c r="Z214" s="25"/>
      <c r="AA214" s="25"/>
      <c r="AB214" s="25"/>
      <c r="AC214" s="25"/>
      <c r="AD214" s="25"/>
      <c r="AE214" s="25"/>
    </row>
    <row r="215" spans="1:31" ht="260" outlineLevel="1" x14ac:dyDescent="0.15">
      <c r="A215" s="338" t="s">
        <v>3340</v>
      </c>
      <c r="B215" s="306"/>
      <c r="C215" s="338" t="s">
        <v>2838</v>
      </c>
      <c r="D215" s="339"/>
      <c r="E215" s="338" t="s">
        <v>1335</v>
      </c>
      <c r="F215" s="339"/>
      <c r="G215" s="261" t="s">
        <v>2950</v>
      </c>
      <c r="H215" s="339"/>
      <c r="I215" s="338" t="s">
        <v>2946</v>
      </c>
      <c r="J215" s="84"/>
      <c r="K215" s="84" t="s">
        <v>3341</v>
      </c>
      <c r="L215" s="340"/>
      <c r="M215" s="332" t="s">
        <v>2678</v>
      </c>
      <c r="N215" s="306"/>
      <c r="O215" s="306"/>
      <c r="P215" s="22"/>
      <c r="Q215" s="84"/>
      <c r="R215" s="25"/>
      <c r="S215" s="25"/>
      <c r="T215" s="22"/>
      <c r="U215" s="25"/>
      <c r="V215" s="25"/>
      <c r="W215" s="25"/>
      <c r="X215" s="84" t="str">
        <f t="shared" si="1"/>
        <v>grantPlayerItems</v>
      </c>
      <c r="Y215" s="337" t="s">
        <v>3342</v>
      </c>
      <c r="Z215" s="25"/>
      <c r="AA215" s="25"/>
      <c r="AB215" s="25"/>
      <c r="AC215" s="25"/>
      <c r="AD215" s="25"/>
      <c r="AE215" s="25"/>
    </row>
    <row r="216" spans="1:31" ht="260" outlineLevel="1" x14ac:dyDescent="0.15">
      <c r="A216" s="338" t="s">
        <v>3343</v>
      </c>
      <c r="B216" s="306"/>
      <c r="C216" s="338" t="s">
        <v>2838</v>
      </c>
      <c r="D216" s="339"/>
      <c r="E216" s="338" t="s">
        <v>1335</v>
      </c>
      <c r="F216" s="339"/>
      <c r="G216" s="261" t="s">
        <v>2954</v>
      </c>
      <c r="H216" s="339"/>
      <c r="I216" s="338" t="s">
        <v>2946</v>
      </c>
      <c r="J216" s="84"/>
      <c r="K216" s="84" t="s">
        <v>3344</v>
      </c>
      <c r="L216" s="340"/>
      <c r="M216" s="332" t="s">
        <v>2678</v>
      </c>
      <c r="N216" s="306"/>
      <c r="O216" s="306"/>
      <c r="P216" s="22"/>
      <c r="Q216" s="84"/>
      <c r="R216" s="25"/>
      <c r="S216" s="25"/>
      <c r="T216" s="22"/>
      <c r="U216" s="25"/>
      <c r="V216" s="25"/>
      <c r="W216" s="25"/>
      <c r="X216" s="84" t="str">
        <f t="shared" si="1"/>
        <v>grantPlayerItems</v>
      </c>
      <c r="Y216" s="337" t="s">
        <v>3345</v>
      </c>
      <c r="Z216" s="25"/>
      <c r="AA216" s="25"/>
      <c r="AB216" s="25"/>
      <c r="AC216" s="25"/>
      <c r="AD216" s="25"/>
      <c r="AE216" s="25"/>
    </row>
    <row r="217" spans="1:31" ht="260" outlineLevel="1" x14ac:dyDescent="0.15">
      <c r="A217" s="338" t="s">
        <v>3346</v>
      </c>
      <c r="B217" s="306"/>
      <c r="C217" s="338" t="s">
        <v>2838</v>
      </c>
      <c r="D217" s="339"/>
      <c r="E217" s="338" t="s">
        <v>1335</v>
      </c>
      <c r="F217" s="339"/>
      <c r="G217" s="261" t="s">
        <v>2958</v>
      </c>
      <c r="H217" s="339"/>
      <c r="I217" s="338" t="s">
        <v>2946</v>
      </c>
      <c r="J217" s="84"/>
      <c r="K217" s="84" t="s">
        <v>3347</v>
      </c>
      <c r="L217" s="340"/>
      <c r="M217" s="332" t="s">
        <v>2678</v>
      </c>
      <c r="N217" s="306"/>
      <c r="O217" s="306"/>
      <c r="P217" s="22"/>
      <c r="Q217" s="84"/>
      <c r="R217" s="25"/>
      <c r="S217" s="25"/>
      <c r="T217" s="22"/>
      <c r="U217" s="25"/>
      <c r="V217" s="25"/>
      <c r="W217" s="25"/>
      <c r="X217" s="84" t="str">
        <f t="shared" si="1"/>
        <v>grantPlayerItems</v>
      </c>
      <c r="Y217" s="337" t="s">
        <v>3348</v>
      </c>
      <c r="Z217" s="25"/>
      <c r="AA217" s="25"/>
      <c r="AB217" s="25"/>
      <c r="AC217" s="25"/>
      <c r="AD217" s="25"/>
      <c r="AE217" s="25"/>
    </row>
    <row r="218" spans="1:31" ht="260" outlineLevel="1" x14ac:dyDescent="0.15">
      <c r="A218" s="338" t="s">
        <v>3349</v>
      </c>
      <c r="B218" s="306"/>
      <c r="C218" s="338" t="s">
        <v>2838</v>
      </c>
      <c r="D218" s="339"/>
      <c r="E218" s="338" t="s">
        <v>1335</v>
      </c>
      <c r="F218" s="339"/>
      <c r="G218" s="261" t="s">
        <v>2962</v>
      </c>
      <c r="H218" s="339"/>
      <c r="I218" s="338" t="s">
        <v>2946</v>
      </c>
      <c r="J218" s="84"/>
      <c r="K218" s="84" t="s">
        <v>3350</v>
      </c>
      <c r="L218" s="340"/>
      <c r="M218" s="332" t="s">
        <v>2678</v>
      </c>
      <c r="N218" s="306"/>
      <c r="O218" s="306"/>
      <c r="P218" s="22"/>
      <c r="Q218" s="84"/>
      <c r="R218" s="25"/>
      <c r="S218" s="25"/>
      <c r="T218" s="22"/>
      <c r="U218" s="25"/>
      <c r="V218" s="25"/>
      <c r="W218" s="25"/>
      <c r="X218" s="84" t="str">
        <f t="shared" si="1"/>
        <v>grantPlayerItems</v>
      </c>
      <c r="Y218" s="337" t="s">
        <v>3351</v>
      </c>
      <c r="Z218" s="25"/>
      <c r="AA218" s="25"/>
      <c r="AB218" s="25"/>
      <c r="AC218" s="25"/>
      <c r="AD218" s="25"/>
      <c r="AE218" s="25"/>
    </row>
    <row r="219" spans="1:31" ht="260" outlineLevel="1" x14ac:dyDescent="0.15">
      <c r="A219" s="338" t="s">
        <v>3352</v>
      </c>
      <c r="B219" s="306"/>
      <c r="C219" s="338" t="s">
        <v>2838</v>
      </c>
      <c r="D219" s="339"/>
      <c r="E219" s="338" t="s">
        <v>1335</v>
      </c>
      <c r="F219" s="339"/>
      <c r="G219" s="261" t="s">
        <v>2966</v>
      </c>
      <c r="H219" s="339"/>
      <c r="I219" s="338" t="s">
        <v>2946</v>
      </c>
      <c r="J219" s="84"/>
      <c r="K219" s="84" t="s">
        <v>3353</v>
      </c>
      <c r="L219" s="340"/>
      <c r="M219" s="332" t="s">
        <v>2678</v>
      </c>
      <c r="N219" s="306"/>
      <c r="O219" s="306"/>
      <c r="P219" s="22"/>
      <c r="Q219" s="84"/>
      <c r="R219" s="25"/>
      <c r="S219" s="25"/>
      <c r="T219" s="22"/>
      <c r="U219" s="25"/>
      <c r="V219" s="25"/>
      <c r="W219" s="25"/>
      <c r="X219" s="84" t="str">
        <f t="shared" si="1"/>
        <v>grantPlayerItems</v>
      </c>
      <c r="Y219" s="337" t="s">
        <v>3354</v>
      </c>
      <c r="Z219" s="25"/>
      <c r="AA219" s="25"/>
      <c r="AB219" s="25"/>
      <c r="AC219" s="25"/>
      <c r="AD219" s="25"/>
      <c r="AE219" s="25"/>
    </row>
    <row r="220" spans="1:31" ht="260" outlineLevel="1" x14ac:dyDescent="0.15">
      <c r="A220" s="338" t="s">
        <v>3355</v>
      </c>
      <c r="B220" s="306"/>
      <c r="C220" s="338" t="s">
        <v>2838</v>
      </c>
      <c r="D220" s="339"/>
      <c r="E220" s="338" t="s">
        <v>1335</v>
      </c>
      <c r="F220" s="339"/>
      <c r="G220" s="261" t="s">
        <v>2970</v>
      </c>
      <c r="H220" s="339"/>
      <c r="I220" s="338" t="s">
        <v>2946</v>
      </c>
      <c r="J220" s="84"/>
      <c r="K220" s="84" t="s">
        <v>3356</v>
      </c>
      <c r="L220" s="340"/>
      <c r="M220" s="332" t="s">
        <v>2678</v>
      </c>
      <c r="N220" s="306"/>
      <c r="O220" s="306"/>
      <c r="P220" s="22"/>
      <c r="Q220" s="84"/>
      <c r="R220" s="25"/>
      <c r="S220" s="25"/>
      <c r="T220" s="22"/>
      <c r="U220" s="25"/>
      <c r="V220" s="25"/>
      <c r="W220" s="25"/>
      <c r="X220" s="84" t="str">
        <f t="shared" si="1"/>
        <v>grantPlayerItems</v>
      </c>
      <c r="Y220" s="337" t="s">
        <v>3357</v>
      </c>
      <c r="Z220" s="25"/>
      <c r="AA220" s="25"/>
      <c r="AB220" s="25"/>
      <c r="AC220" s="25"/>
      <c r="AD220" s="25"/>
      <c r="AE220" s="25"/>
    </row>
    <row r="221" spans="1:31" ht="409.6" x14ac:dyDescent="0.15">
      <c r="A221" s="338" t="s">
        <v>3358</v>
      </c>
      <c r="B221" s="306"/>
      <c r="C221" s="338" t="s">
        <v>2838</v>
      </c>
      <c r="D221" s="339"/>
      <c r="E221" s="338" t="s">
        <v>1344</v>
      </c>
      <c r="F221" s="339"/>
      <c r="G221" s="261" t="s">
        <v>2945</v>
      </c>
      <c r="H221" s="339"/>
      <c r="I221" s="338" t="s">
        <v>2946</v>
      </c>
      <c r="J221" s="84" t="s">
        <v>2669</v>
      </c>
      <c r="K221" s="84" t="s">
        <v>3359</v>
      </c>
      <c r="L221" s="340"/>
      <c r="M221" s="332" t="s">
        <v>2678</v>
      </c>
      <c r="N221" s="306"/>
      <c r="O221" s="306"/>
      <c r="P221" s="22"/>
      <c r="Q221" s="84"/>
      <c r="R221" s="25"/>
      <c r="S221" s="25"/>
      <c r="T221" s="22"/>
      <c r="U221" s="25"/>
      <c r="V221" s="25"/>
      <c r="W221" s="25"/>
      <c r="X221" s="84" t="str">
        <f t="shared" si="1"/>
        <v>grantPlayerItems</v>
      </c>
      <c r="Y221" s="337" t="s">
        <v>3360</v>
      </c>
      <c r="Z221" s="25"/>
      <c r="AA221" s="25"/>
      <c r="AB221" s="25"/>
      <c r="AC221" s="25"/>
      <c r="AD221" s="25"/>
      <c r="AE221" s="25"/>
    </row>
    <row r="222" spans="1:31" ht="409.6" outlineLevel="1" x14ac:dyDescent="0.15">
      <c r="A222" s="338" t="s">
        <v>3361</v>
      </c>
      <c r="B222" s="306"/>
      <c r="C222" s="338" t="s">
        <v>2838</v>
      </c>
      <c r="D222" s="339"/>
      <c r="E222" s="338" t="s">
        <v>1344</v>
      </c>
      <c r="F222" s="339"/>
      <c r="G222" s="261" t="s">
        <v>2950</v>
      </c>
      <c r="H222" s="339"/>
      <c r="I222" s="338" t="s">
        <v>2946</v>
      </c>
      <c r="J222" s="84"/>
      <c r="K222" s="84" t="s">
        <v>3362</v>
      </c>
      <c r="L222" s="340"/>
      <c r="M222" s="332" t="s">
        <v>2678</v>
      </c>
      <c r="N222" s="306"/>
      <c r="O222" s="306"/>
      <c r="P222" s="22"/>
      <c r="Q222" s="84"/>
      <c r="R222" s="25"/>
      <c r="S222" s="25"/>
      <c r="T222" s="22"/>
      <c r="U222" s="25"/>
      <c r="V222" s="25"/>
      <c r="W222" s="25"/>
      <c r="X222" s="84" t="str">
        <f t="shared" si="1"/>
        <v>grantPlayerItems</v>
      </c>
      <c r="Y222" s="337" t="s">
        <v>3363</v>
      </c>
      <c r="Z222" s="25"/>
      <c r="AA222" s="25"/>
      <c r="AB222" s="25"/>
      <c r="AC222" s="25"/>
      <c r="AD222" s="25"/>
      <c r="AE222" s="25"/>
    </row>
    <row r="223" spans="1:31" ht="409.6" outlineLevel="1" x14ac:dyDescent="0.15">
      <c r="A223" s="338" t="s">
        <v>3364</v>
      </c>
      <c r="B223" s="306"/>
      <c r="C223" s="338" t="s">
        <v>2838</v>
      </c>
      <c r="D223" s="339"/>
      <c r="E223" s="338" t="s">
        <v>1344</v>
      </c>
      <c r="F223" s="339"/>
      <c r="G223" s="261" t="s">
        <v>2954</v>
      </c>
      <c r="H223" s="339"/>
      <c r="I223" s="338" t="s">
        <v>2946</v>
      </c>
      <c r="J223" s="84"/>
      <c r="K223" s="84" t="s">
        <v>3365</v>
      </c>
      <c r="L223" s="340"/>
      <c r="M223" s="332" t="s">
        <v>2678</v>
      </c>
      <c r="N223" s="306"/>
      <c r="O223" s="306"/>
      <c r="P223" s="22"/>
      <c r="Q223" s="84"/>
      <c r="R223" s="25"/>
      <c r="S223" s="25"/>
      <c r="T223" s="22"/>
      <c r="U223" s="25"/>
      <c r="V223" s="25"/>
      <c r="W223" s="25"/>
      <c r="X223" s="84" t="str">
        <f t="shared" si="1"/>
        <v>grantPlayerItems</v>
      </c>
      <c r="Y223" s="337" t="s">
        <v>3366</v>
      </c>
      <c r="Z223" s="25"/>
      <c r="AA223" s="25"/>
      <c r="AB223" s="25"/>
      <c r="AC223" s="25"/>
      <c r="AD223" s="25"/>
      <c r="AE223" s="25"/>
    </row>
    <row r="224" spans="1:31" ht="409.6" outlineLevel="1" x14ac:dyDescent="0.15">
      <c r="A224" s="338" t="s">
        <v>3367</v>
      </c>
      <c r="B224" s="306"/>
      <c r="C224" s="338" t="s">
        <v>2838</v>
      </c>
      <c r="D224" s="339"/>
      <c r="E224" s="338" t="s">
        <v>1344</v>
      </c>
      <c r="F224" s="339"/>
      <c r="G224" s="261" t="s">
        <v>2958</v>
      </c>
      <c r="H224" s="339"/>
      <c r="I224" s="338" t="s">
        <v>2946</v>
      </c>
      <c r="J224" s="84"/>
      <c r="K224" s="84" t="s">
        <v>3368</v>
      </c>
      <c r="L224" s="340"/>
      <c r="M224" s="332" t="s">
        <v>2678</v>
      </c>
      <c r="N224" s="306"/>
      <c r="O224" s="306"/>
      <c r="P224" s="22"/>
      <c r="Q224" s="84"/>
      <c r="R224" s="25"/>
      <c r="S224" s="25"/>
      <c r="T224" s="22"/>
      <c r="U224" s="25"/>
      <c r="V224" s="25"/>
      <c r="W224" s="25"/>
      <c r="X224" s="84" t="str">
        <f t="shared" si="1"/>
        <v>grantPlayerItems</v>
      </c>
      <c r="Y224" s="337" t="s">
        <v>3369</v>
      </c>
      <c r="Z224" s="25"/>
      <c r="AA224" s="25"/>
      <c r="AB224" s="25"/>
      <c r="AC224" s="25"/>
      <c r="AD224" s="25"/>
      <c r="AE224" s="25"/>
    </row>
    <row r="225" spans="1:31" ht="409.6" outlineLevel="1" x14ac:dyDescent="0.15">
      <c r="A225" s="338" t="s">
        <v>3370</v>
      </c>
      <c r="B225" s="306"/>
      <c r="C225" s="338" t="s">
        <v>2838</v>
      </c>
      <c r="D225" s="339"/>
      <c r="E225" s="338" t="s">
        <v>1344</v>
      </c>
      <c r="F225" s="339"/>
      <c r="G225" s="261" t="s">
        <v>2962</v>
      </c>
      <c r="H225" s="339"/>
      <c r="I225" s="338" t="s">
        <v>2946</v>
      </c>
      <c r="J225" s="84"/>
      <c r="K225" s="84" t="s">
        <v>3371</v>
      </c>
      <c r="L225" s="340"/>
      <c r="M225" s="332" t="s">
        <v>2678</v>
      </c>
      <c r="N225" s="306"/>
      <c r="O225" s="306"/>
      <c r="P225" s="22"/>
      <c r="Q225" s="84"/>
      <c r="R225" s="25"/>
      <c r="S225" s="25"/>
      <c r="T225" s="22"/>
      <c r="U225" s="25"/>
      <c r="V225" s="25"/>
      <c r="W225" s="25"/>
      <c r="X225" s="84" t="str">
        <f t="shared" si="1"/>
        <v>grantPlayerItems</v>
      </c>
      <c r="Y225" s="337" t="s">
        <v>3372</v>
      </c>
      <c r="Z225" s="25"/>
      <c r="AA225" s="25"/>
      <c r="AB225" s="25"/>
      <c r="AC225" s="25"/>
      <c r="AD225" s="25"/>
      <c r="AE225" s="25"/>
    </row>
    <row r="226" spans="1:31" ht="409.6" outlineLevel="1" x14ac:dyDescent="0.15">
      <c r="A226" s="338" t="s">
        <v>3373</v>
      </c>
      <c r="B226" s="306"/>
      <c r="C226" s="338" t="s">
        <v>2838</v>
      </c>
      <c r="D226" s="339"/>
      <c r="E226" s="338" t="s">
        <v>1344</v>
      </c>
      <c r="F226" s="339"/>
      <c r="G226" s="261" t="s">
        <v>2966</v>
      </c>
      <c r="H226" s="339"/>
      <c r="I226" s="338" t="s">
        <v>2946</v>
      </c>
      <c r="J226" s="84"/>
      <c r="K226" s="84" t="s">
        <v>3374</v>
      </c>
      <c r="L226" s="340"/>
      <c r="M226" s="332" t="s">
        <v>2678</v>
      </c>
      <c r="N226" s="306"/>
      <c r="O226" s="306"/>
      <c r="P226" s="22"/>
      <c r="Q226" s="84"/>
      <c r="R226" s="25"/>
      <c r="S226" s="25"/>
      <c r="T226" s="22"/>
      <c r="U226" s="25"/>
      <c r="V226" s="25"/>
      <c r="W226" s="25"/>
      <c r="X226" s="84" t="str">
        <f t="shared" si="1"/>
        <v>grantPlayerItems</v>
      </c>
      <c r="Y226" s="337" t="s">
        <v>3375</v>
      </c>
      <c r="Z226" s="25"/>
      <c r="AA226" s="25"/>
      <c r="AB226" s="25"/>
      <c r="AC226" s="25"/>
      <c r="AD226" s="25"/>
      <c r="AE226" s="25"/>
    </row>
    <row r="227" spans="1:31" ht="409.6" outlineLevel="1" x14ac:dyDescent="0.15">
      <c r="A227" s="338" t="s">
        <v>3376</v>
      </c>
      <c r="B227" s="306"/>
      <c r="C227" s="338" t="s">
        <v>2838</v>
      </c>
      <c r="D227" s="339"/>
      <c r="E227" s="338" t="s">
        <v>1344</v>
      </c>
      <c r="F227" s="339"/>
      <c r="G227" s="261" t="s">
        <v>2970</v>
      </c>
      <c r="H227" s="339"/>
      <c r="I227" s="338" t="s">
        <v>2946</v>
      </c>
      <c r="J227" s="84"/>
      <c r="K227" s="84" t="s">
        <v>3377</v>
      </c>
      <c r="L227" s="340"/>
      <c r="M227" s="332" t="s">
        <v>2678</v>
      </c>
      <c r="N227" s="306"/>
      <c r="O227" s="306"/>
      <c r="P227" s="22"/>
      <c r="Q227" s="84"/>
      <c r="R227" s="25"/>
      <c r="S227" s="25"/>
      <c r="T227" s="22"/>
      <c r="U227" s="25"/>
      <c r="V227" s="25"/>
      <c r="W227" s="25"/>
      <c r="X227" s="84" t="str">
        <f t="shared" si="1"/>
        <v>grantPlayerItems</v>
      </c>
      <c r="Y227" s="337" t="s">
        <v>3378</v>
      </c>
      <c r="Z227" s="25"/>
      <c r="AA227" s="25"/>
      <c r="AB227" s="25"/>
      <c r="AC227" s="25"/>
      <c r="AD227" s="25"/>
      <c r="AE227" s="25"/>
    </row>
    <row r="228" spans="1:31" ht="260" x14ac:dyDescent="0.15">
      <c r="A228" s="338" t="s">
        <v>3379</v>
      </c>
      <c r="B228" s="306"/>
      <c r="C228" s="338" t="s">
        <v>2838</v>
      </c>
      <c r="D228" s="339"/>
      <c r="E228" s="338" t="s">
        <v>1376</v>
      </c>
      <c r="F228" s="339"/>
      <c r="G228" s="261" t="s">
        <v>2945</v>
      </c>
      <c r="H228" s="339"/>
      <c r="I228" s="338" t="s">
        <v>2946</v>
      </c>
      <c r="J228" s="84" t="s">
        <v>2669</v>
      </c>
      <c r="K228" s="84" t="s">
        <v>3380</v>
      </c>
      <c r="L228" s="340"/>
      <c r="M228" s="332" t="s">
        <v>2678</v>
      </c>
      <c r="N228" s="306"/>
      <c r="O228" s="306"/>
      <c r="P228" s="22"/>
      <c r="Q228" s="84"/>
      <c r="R228" s="25"/>
      <c r="S228" s="25"/>
      <c r="T228" s="22"/>
      <c r="U228" s="25"/>
      <c r="V228" s="25"/>
      <c r="W228" s="25"/>
      <c r="X228" s="84" t="str">
        <f t="shared" si="1"/>
        <v>grantPlayerItems</v>
      </c>
      <c r="Y228" s="337" t="s">
        <v>3381</v>
      </c>
      <c r="Z228" s="25"/>
      <c r="AA228" s="25"/>
      <c r="AB228" s="25"/>
      <c r="AC228" s="25"/>
      <c r="AD228" s="25"/>
      <c r="AE228" s="25"/>
    </row>
    <row r="229" spans="1:31" ht="260" outlineLevel="1" x14ac:dyDescent="0.15">
      <c r="A229" s="338" t="s">
        <v>3382</v>
      </c>
      <c r="B229" s="306"/>
      <c r="C229" s="338" t="s">
        <v>2838</v>
      </c>
      <c r="D229" s="339"/>
      <c r="E229" s="338" t="s">
        <v>1376</v>
      </c>
      <c r="F229" s="339"/>
      <c r="G229" s="261" t="s">
        <v>2950</v>
      </c>
      <c r="H229" s="339"/>
      <c r="I229" s="338" t="s">
        <v>2946</v>
      </c>
      <c r="J229" s="84"/>
      <c r="K229" s="84" t="s">
        <v>3383</v>
      </c>
      <c r="L229" s="340"/>
      <c r="M229" s="332" t="s">
        <v>2678</v>
      </c>
      <c r="N229" s="306"/>
      <c r="O229" s="306"/>
      <c r="P229" s="22"/>
      <c r="Q229" s="84"/>
      <c r="R229" s="25"/>
      <c r="S229" s="25"/>
      <c r="T229" s="22"/>
      <c r="U229" s="25"/>
      <c r="V229" s="25"/>
      <c r="W229" s="25"/>
      <c r="X229" s="84" t="str">
        <f t="shared" si="1"/>
        <v>grantPlayerItems</v>
      </c>
      <c r="Y229" s="337" t="s">
        <v>3384</v>
      </c>
      <c r="Z229" s="25"/>
      <c r="AA229" s="25"/>
      <c r="AB229" s="25"/>
      <c r="AC229" s="25"/>
      <c r="AD229" s="25"/>
      <c r="AE229" s="25"/>
    </row>
    <row r="230" spans="1:31" ht="260" outlineLevel="1" x14ac:dyDescent="0.15">
      <c r="A230" s="338" t="s">
        <v>3385</v>
      </c>
      <c r="B230" s="306"/>
      <c r="C230" s="338" t="s">
        <v>2838</v>
      </c>
      <c r="D230" s="339"/>
      <c r="E230" s="338" t="s">
        <v>1376</v>
      </c>
      <c r="F230" s="339"/>
      <c r="G230" s="261" t="s">
        <v>2954</v>
      </c>
      <c r="H230" s="339"/>
      <c r="I230" s="338" t="s">
        <v>2946</v>
      </c>
      <c r="J230" s="84"/>
      <c r="K230" s="84" t="s">
        <v>3386</v>
      </c>
      <c r="L230" s="340"/>
      <c r="M230" s="332" t="s">
        <v>2678</v>
      </c>
      <c r="N230" s="306"/>
      <c r="O230" s="306"/>
      <c r="P230" s="22"/>
      <c r="Q230" s="84"/>
      <c r="R230" s="25"/>
      <c r="S230" s="25"/>
      <c r="T230" s="22"/>
      <c r="U230" s="25"/>
      <c r="V230" s="25"/>
      <c r="W230" s="25"/>
      <c r="X230" s="84" t="str">
        <f t="shared" si="1"/>
        <v>grantPlayerItems</v>
      </c>
      <c r="Y230" s="337" t="s">
        <v>3387</v>
      </c>
      <c r="Z230" s="25"/>
      <c r="AA230" s="25"/>
      <c r="AB230" s="25"/>
      <c r="AC230" s="25"/>
      <c r="AD230" s="25"/>
      <c r="AE230" s="25"/>
    </row>
    <row r="231" spans="1:31" ht="260" outlineLevel="1" x14ac:dyDescent="0.15">
      <c r="A231" s="338" t="s">
        <v>3388</v>
      </c>
      <c r="B231" s="306"/>
      <c r="C231" s="338" t="s">
        <v>2838</v>
      </c>
      <c r="D231" s="339"/>
      <c r="E231" s="338" t="s">
        <v>1376</v>
      </c>
      <c r="F231" s="339"/>
      <c r="G231" s="261" t="s">
        <v>2958</v>
      </c>
      <c r="H231" s="339"/>
      <c r="I231" s="338" t="s">
        <v>2946</v>
      </c>
      <c r="J231" s="84"/>
      <c r="K231" s="84" t="s">
        <v>3389</v>
      </c>
      <c r="L231" s="340"/>
      <c r="M231" s="332" t="s">
        <v>2678</v>
      </c>
      <c r="N231" s="306"/>
      <c r="O231" s="306"/>
      <c r="P231" s="22"/>
      <c r="Q231" s="84"/>
      <c r="R231" s="25"/>
      <c r="S231" s="25"/>
      <c r="T231" s="22"/>
      <c r="U231" s="25"/>
      <c r="V231" s="25"/>
      <c r="W231" s="25"/>
      <c r="X231" s="84" t="str">
        <f t="shared" si="1"/>
        <v>grantPlayerItems</v>
      </c>
      <c r="Y231" s="337" t="s">
        <v>3390</v>
      </c>
      <c r="Z231" s="25"/>
      <c r="AA231" s="25"/>
      <c r="AB231" s="25"/>
      <c r="AC231" s="25"/>
      <c r="AD231" s="25"/>
      <c r="AE231" s="25"/>
    </row>
    <row r="232" spans="1:31" ht="260" outlineLevel="1" x14ac:dyDescent="0.15">
      <c r="A232" s="338" t="s">
        <v>3391</v>
      </c>
      <c r="B232" s="306"/>
      <c r="C232" s="338" t="s">
        <v>2838</v>
      </c>
      <c r="D232" s="339"/>
      <c r="E232" s="338" t="s">
        <v>1376</v>
      </c>
      <c r="F232" s="339"/>
      <c r="G232" s="261" t="s">
        <v>2962</v>
      </c>
      <c r="H232" s="339"/>
      <c r="I232" s="338" t="s">
        <v>2946</v>
      </c>
      <c r="J232" s="84"/>
      <c r="K232" s="84" t="s">
        <v>3392</v>
      </c>
      <c r="L232" s="340"/>
      <c r="M232" s="332" t="s">
        <v>2678</v>
      </c>
      <c r="N232" s="306"/>
      <c r="O232" s="306"/>
      <c r="P232" s="22"/>
      <c r="Q232" s="84"/>
      <c r="R232" s="25"/>
      <c r="S232" s="25"/>
      <c r="T232" s="22"/>
      <c r="U232" s="25"/>
      <c r="V232" s="25"/>
      <c r="W232" s="25"/>
      <c r="X232" s="84" t="str">
        <f t="shared" si="1"/>
        <v>grantPlayerItems</v>
      </c>
      <c r="Y232" s="337" t="s">
        <v>3393</v>
      </c>
      <c r="Z232" s="25"/>
      <c r="AA232" s="25"/>
      <c r="AB232" s="25"/>
      <c r="AC232" s="25"/>
      <c r="AD232" s="25"/>
      <c r="AE232" s="25"/>
    </row>
    <row r="233" spans="1:31" ht="260" outlineLevel="1" x14ac:dyDescent="0.15">
      <c r="A233" s="338" t="s">
        <v>3394</v>
      </c>
      <c r="B233" s="306"/>
      <c r="C233" s="338" t="s">
        <v>2838</v>
      </c>
      <c r="D233" s="339"/>
      <c r="E233" s="338" t="s">
        <v>1376</v>
      </c>
      <c r="F233" s="339"/>
      <c r="G233" s="261" t="s">
        <v>2966</v>
      </c>
      <c r="H233" s="339"/>
      <c r="I233" s="338" t="s">
        <v>2946</v>
      </c>
      <c r="J233" s="84"/>
      <c r="K233" s="84" t="s">
        <v>3395</v>
      </c>
      <c r="L233" s="340"/>
      <c r="M233" s="332" t="s">
        <v>2678</v>
      </c>
      <c r="N233" s="306"/>
      <c r="O233" s="306"/>
      <c r="P233" s="22"/>
      <c r="Q233" s="84"/>
      <c r="R233" s="25"/>
      <c r="S233" s="25"/>
      <c r="T233" s="22"/>
      <c r="U233" s="25"/>
      <c r="V233" s="25"/>
      <c r="W233" s="25"/>
      <c r="X233" s="84" t="str">
        <f t="shared" si="1"/>
        <v>grantPlayerItems</v>
      </c>
      <c r="Y233" s="337" t="s">
        <v>3396</v>
      </c>
      <c r="Z233" s="25"/>
      <c r="AA233" s="25"/>
      <c r="AB233" s="25"/>
      <c r="AC233" s="25"/>
      <c r="AD233" s="25"/>
      <c r="AE233" s="25"/>
    </row>
    <row r="234" spans="1:31" ht="260" outlineLevel="1" x14ac:dyDescent="0.15">
      <c r="A234" s="338" t="s">
        <v>3397</v>
      </c>
      <c r="B234" s="306"/>
      <c r="C234" s="338" t="s">
        <v>2838</v>
      </c>
      <c r="D234" s="339"/>
      <c r="E234" s="338" t="s">
        <v>1376</v>
      </c>
      <c r="F234" s="339"/>
      <c r="G234" s="261" t="s">
        <v>2970</v>
      </c>
      <c r="H234" s="339"/>
      <c r="I234" s="338" t="s">
        <v>2946</v>
      </c>
      <c r="J234" s="84"/>
      <c r="K234" s="84" t="s">
        <v>3398</v>
      </c>
      <c r="L234" s="340"/>
      <c r="M234" s="332" t="s">
        <v>2678</v>
      </c>
      <c r="N234" s="306"/>
      <c r="O234" s="306"/>
      <c r="P234" s="22"/>
      <c r="Q234" s="84"/>
      <c r="R234" s="25"/>
      <c r="S234" s="25"/>
      <c r="T234" s="22"/>
      <c r="U234" s="25"/>
      <c r="V234" s="25"/>
      <c r="W234" s="25"/>
      <c r="X234" s="84" t="str">
        <f t="shared" si="1"/>
        <v>grantPlayerItems</v>
      </c>
      <c r="Y234" s="337" t="s">
        <v>3399</v>
      </c>
      <c r="Z234" s="25"/>
      <c r="AA234" s="25"/>
      <c r="AB234" s="25"/>
      <c r="AC234" s="25"/>
      <c r="AD234" s="25"/>
      <c r="AE234" s="25"/>
    </row>
    <row r="235" spans="1:31" ht="340" x14ac:dyDescent="0.15">
      <c r="A235" s="338" t="s">
        <v>3400</v>
      </c>
      <c r="B235" s="306"/>
      <c r="C235" s="338" t="s">
        <v>2715</v>
      </c>
      <c r="D235" s="339"/>
      <c r="E235" s="338" t="s">
        <v>1685</v>
      </c>
      <c r="F235" s="339"/>
      <c r="G235" s="261" t="s">
        <v>3401</v>
      </c>
      <c r="H235" s="339"/>
      <c r="I235" s="338" t="s">
        <v>2946</v>
      </c>
      <c r="J235" s="84" t="s">
        <v>2669</v>
      </c>
      <c r="K235" s="84" t="s">
        <v>3402</v>
      </c>
      <c r="L235" s="340"/>
      <c r="M235" s="332" t="s">
        <v>2678</v>
      </c>
      <c r="N235" s="306"/>
      <c r="O235" s="306"/>
      <c r="P235" s="22"/>
      <c r="Q235" s="84"/>
      <c r="R235" s="25"/>
      <c r="S235" s="25"/>
      <c r="T235" s="22"/>
      <c r="U235" s="25"/>
      <c r="V235" s="25"/>
      <c r="W235" s="25"/>
      <c r="X235" s="84" t="str">
        <f t="shared" si="1"/>
        <v>grantPlayerItems</v>
      </c>
      <c r="Y235" s="337" t="s">
        <v>3403</v>
      </c>
      <c r="Z235" s="25"/>
      <c r="AA235" s="25"/>
      <c r="AB235" s="25"/>
      <c r="AC235" s="25"/>
      <c r="AD235" s="25"/>
      <c r="AE235" s="25"/>
    </row>
    <row r="236" spans="1:31" ht="340" outlineLevel="1" x14ac:dyDescent="0.15">
      <c r="A236" s="338" t="s">
        <v>3404</v>
      </c>
      <c r="B236" s="306"/>
      <c r="C236" s="338" t="s">
        <v>2715</v>
      </c>
      <c r="D236" s="339"/>
      <c r="E236" s="338" t="s">
        <v>1685</v>
      </c>
      <c r="F236" s="339"/>
      <c r="G236" s="261" t="s">
        <v>3405</v>
      </c>
      <c r="H236" s="339"/>
      <c r="I236" s="338" t="s">
        <v>2946</v>
      </c>
      <c r="J236" s="84"/>
      <c r="K236" s="84" t="s">
        <v>3406</v>
      </c>
      <c r="L236" s="340"/>
      <c r="M236" s="332" t="s">
        <v>2678</v>
      </c>
      <c r="N236" s="306"/>
      <c r="O236" s="306"/>
      <c r="P236" s="22"/>
      <c r="Q236" s="84"/>
      <c r="R236" s="25"/>
      <c r="S236" s="25"/>
      <c r="T236" s="22"/>
      <c r="U236" s="25"/>
      <c r="V236" s="25"/>
      <c r="W236" s="25"/>
      <c r="X236" s="84" t="str">
        <f t="shared" si="1"/>
        <v>grantPlayerItems</v>
      </c>
      <c r="Y236" s="337" t="s">
        <v>3407</v>
      </c>
      <c r="Z236" s="25"/>
      <c r="AA236" s="25"/>
      <c r="AB236" s="25"/>
      <c r="AC236" s="25"/>
      <c r="AD236" s="25"/>
      <c r="AE236" s="25"/>
    </row>
    <row r="237" spans="1:31" ht="340" outlineLevel="1" x14ac:dyDescent="0.15">
      <c r="A237" s="338" t="s">
        <v>3408</v>
      </c>
      <c r="B237" s="306"/>
      <c r="C237" s="338" t="s">
        <v>2715</v>
      </c>
      <c r="D237" s="339"/>
      <c r="E237" s="338" t="s">
        <v>1685</v>
      </c>
      <c r="F237" s="339"/>
      <c r="G237" s="261" t="s">
        <v>3409</v>
      </c>
      <c r="H237" s="339"/>
      <c r="I237" s="338" t="s">
        <v>2946</v>
      </c>
      <c r="J237" s="84"/>
      <c r="K237" s="84" t="s">
        <v>3410</v>
      </c>
      <c r="L237" s="340"/>
      <c r="M237" s="332" t="s">
        <v>2678</v>
      </c>
      <c r="N237" s="306"/>
      <c r="O237" s="306"/>
      <c r="P237" s="22"/>
      <c r="Q237" s="84"/>
      <c r="R237" s="25"/>
      <c r="S237" s="25"/>
      <c r="T237" s="22"/>
      <c r="U237" s="25"/>
      <c r="V237" s="25"/>
      <c r="W237" s="25"/>
      <c r="X237" s="84" t="str">
        <f t="shared" si="1"/>
        <v>grantPlayerItems</v>
      </c>
      <c r="Y237" s="337" t="s">
        <v>3411</v>
      </c>
      <c r="Z237" s="25"/>
      <c r="AA237" s="25"/>
      <c r="AB237" s="25"/>
      <c r="AC237" s="25"/>
      <c r="AD237" s="25"/>
      <c r="AE237" s="25"/>
    </row>
    <row r="238" spans="1:31" ht="340" outlineLevel="1" x14ac:dyDescent="0.15">
      <c r="A238" s="338" t="s">
        <v>3412</v>
      </c>
      <c r="B238" s="306"/>
      <c r="C238" s="338" t="s">
        <v>2715</v>
      </c>
      <c r="D238" s="339"/>
      <c r="E238" s="338" t="s">
        <v>1685</v>
      </c>
      <c r="F238" s="339"/>
      <c r="G238" s="261" t="s">
        <v>3413</v>
      </c>
      <c r="H238" s="339"/>
      <c r="I238" s="338" t="s">
        <v>2946</v>
      </c>
      <c r="J238" s="84"/>
      <c r="K238" s="84" t="s">
        <v>3414</v>
      </c>
      <c r="L238" s="340"/>
      <c r="M238" s="332" t="s">
        <v>2678</v>
      </c>
      <c r="N238" s="306"/>
      <c r="O238" s="306"/>
      <c r="P238" s="22"/>
      <c r="Q238" s="84"/>
      <c r="R238" s="25"/>
      <c r="S238" s="25"/>
      <c r="T238" s="22"/>
      <c r="U238" s="25"/>
      <c r="V238" s="25"/>
      <c r="W238" s="25"/>
      <c r="X238" s="84" t="str">
        <f t="shared" si="1"/>
        <v>grantPlayerItems</v>
      </c>
      <c r="Y238" s="337" t="s">
        <v>3415</v>
      </c>
      <c r="Z238" s="25"/>
      <c r="AA238" s="25"/>
      <c r="AB238" s="25"/>
      <c r="AC238" s="25"/>
      <c r="AD238" s="25"/>
      <c r="AE238" s="25"/>
    </row>
    <row r="239" spans="1:31" ht="340" outlineLevel="1" x14ac:dyDescent="0.15">
      <c r="A239" s="338" t="s">
        <v>3416</v>
      </c>
      <c r="B239" s="306"/>
      <c r="C239" s="338" t="s">
        <v>2715</v>
      </c>
      <c r="D239" s="339"/>
      <c r="E239" s="338" t="s">
        <v>1685</v>
      </c>
      <c r="F239" s="339"/>
      <c r="G239" s="261" t="s">
        <v>3417</v>
      </c>
      <c r="H239" s="339"/>
      <c r="I239" s="338" t="s">
        <v>2946</v>
      </c>
      <c r="J239" s="84"/>
      <c r="K239" s="84" t="s">
        <v>3418</v>
      </c>
      <c r="L239" s="340"/>
      <c r="M239" s="332" t="s">
        <v>2678</v>
      </c>
      <c r="N239" s="306"/>
      <c r="O239" s="306"/>
      <c r="P239" s="22"/>
      <c r="Q239" s="84"/>
      <c r="R239" s="25"/>
      <c r="S239" s="25"/>
      <c r="T239" s="22"/>
      <c r="U239" s="25"/>
      <c r="V239" s="25"/>
      <c r="W239" s="25"/>
      <c r="X239" s="84" t="str">
        <f t="shared" si="1"/>
        <v>grantPlayerItems</v>
      </c>
      <c r="Y239" s="337" t="s">
        <v>3419</v>
      </c>
      <c r="Z239" s="25"/>
      <c r="AA239" s="25"/>
      <c r="AB239" s="25"/>
      <c r="AC239" s="25"/>
      <c r="AD239" s="25"/>
      <c r="AE239" s="25"/>
    </row>
    <row r="240" spans="1:31" ht="340" outlineLevel="1" x14ac:dyDescent="0.15">
      <c r="A240" s="338" t="s">
        <v>3420</v>
      </c>
      <c r="B240" s="306"/>
      <c r="C240" s="338" t="s">
        <v>2715</v>
      </c>
      <c r="D240" s="339"/>
      <c r="E240" s="338" t="s">
        <v>1685</v>
      </c>
      <c r="F240" s="339"/>
      <c r="G240" s="261" t="s">
        <v>3421</v>
      </c>
      <c r="H240" s="339"/>
      <c r="I240" s="338" t="s">
        <v>2946</v>
      </c>
      <c r="J240" s="84"/>
      <c r="K240" s="84" t="s">
        <v>3422</v>
      </c>
      <c r="L240" s="340"/>
      <c r="M240" s="332" t="s">
        <v>2678</v>
      </c>
      <c r="N240" s="306"/>
      <c r="O240" s="306"/>
      <c r="P240" s="22"/>
      <c r="Q240" s="84"/>
      <c r="R240" s="25"/>
      <c r="S240" s="25"/>
      <c r="T240" s="22"/>
      <c r="U240" s="25"/>
      <c r="V240" s="25"/>
      <c r="W240" s="25"/>
      <c r="X240" s="84" t="str">
        <f t="shared" si="1"/>
        <v>grantPlayerItems</v>
      </c>
      <c r="Y240" s="337" t="s">
        <v>3423</v>
      </c>
      <c r="Z240" s="25"/>
      <c r="AA240" s="25"/>
      <c r="AB240" s="25"/>
      <c r="AC240" s="25"/>
      <c r="AD240" s="25"/>
      <c r="AE240" s="25"/>
    </row>
    <row r="241" spans="1:31" ht="340" outlineLevel="1" x14ac:dyDescent="0.15">
      <c r="A241" s="338" t="s">
        <v>3424</v>
      </c>
      <c r="B241" s="306"/>
      <c r="C241" s="338" t="s">
        <v>2715</v>
      </c>
      <c r="D241" s="339"/>
      <c r="E241" s="338" t="s">
        <v>1685</v>
      </c>
      <c r="F241" s="339"/>
      <c r="G241" s="261" t="s">
        <v>3425</v>
      </c>
      <c r="H241" s="339"/>
      <c r="I241" s="338" t="s">
        <v>2946</v>
      </c>
      <c r="J241" s="84"/>
      <c r="K241" s="84" t="s">
        <v>3426</v>
      </c>
      <c r="L241" s="340"/>
      <c r="M241" s="332" t="s">
        <v>2678</v>
      </c>
      <c r="N241" s="306"/>
      <c r="O241" s="306"/>
      <c r="P241" s="22"/>
      <c r="Q241" s="84"/>
      <c r="R241" s="25"/>
      <c r="S241" s="25"/>
      <c r="T241" s="22"/>
      <c r="U241" s="25"/>
      <c r="V241" s="25"/>
      <c r="W241" s="25"/>
      <c r="X241" s="84" t="str">
        <f t="shared" si="1"/>
        <v>grantPlayerItems</v>
      </c>
      <c r="Y241" s="337" t="s">
        <v>3427</v>
      </c>
      <c r="Z241" s="25"/>
      <c r="AA241" s="25"/>
      <c r="AB241" s="25"/>
      <c r="AC241" s="25"/>
      <c r="AD241" s="25"/>
      <c r="AE241" s="25"/>
    </row>
    <row r="242" spans="1:31" ht="340" x14ac:dyDescent="0.15">
      <c r="A242" s="338" t="s">
        <v>3428</v>
      </c>
      <c r="B242" s="306"/>
      <c r="C242" s="338" t="s">
        <v>2715</v>
      </c>
      <c r="D242" s="339"/>
      <c r="E242" s="338" t="s">
        <v>3429</v>
      </c>
      <c r="F242" s="339"/>
      <c r="G242" s="261" t="s">
        <v>3401</v>
      </c>
      <c r="H242" s="339"/>
      <c r="I242" s="338" t="s">
        <v>2946</v>
      </c>
      <c r="J242" s="84" t="s">
        <v>2669</v>
      </c>
      <c r="K242" s="84" t="s">
        <v>3430</v>
      </c>
      <c r="L242" s="340"/>
      <c r="M242" s="332" t="s">
        <v>2678</v>
      </c>
      <c r="N242" s="306"/>
      <c r="O242" s="306"/>
      <c r="P242" s="22"/>
      <c r="Q242" s="84"/>
      <c r="R242" s="25"/>
      <c r="S242" s="25"/>
      <c r="T242" s="22"/>
      <c r="U242" s="25"/>
      <c r="V242" s="25"/>
      <c r="W242" s="25"/>
      <c r="X242" s="84" t="str">
        <f t="shared" si="1"/>
        <v>grantPlayerItems</v>
      </c>
      <c r="Y242" s="337" t="s">
        <v>3431</v>
      </c>
      <c r="Z242" s="25"/>
      <c r="AA242" s="25"/>
      <c r="AB242" s="25"/>
      <c r="AC242" s="25"/>
      <c r="AD242" s="25"/>
      <c r="AE242" s="25"/>
    </row>
    <row r="243" spans="1:31" ht="340" outlineLevel="1" x14ac:dyDescent="0.15">
      <c r="A243" s="338" t="s">
        <v>3432</v>
      </c>
      <c r="B243" s="306"/>
      <c r="C243" s="338" t="s">
        <v>2715</v>
      </c>
      <c r="D243" s="339"/>
      <c r="E243" s="338" t="s">
        <v>3429</v>
      </c>
      <c r="F243" s="339"/>
      <c r="G243" s="261" t="s">
        <v>3405</v>
      </c>
      <c r="H243" s="339"/>
      <c r="I243" s="338" t="s">
        <v>2946</v>
      </c>
      <c r="J243" s="84"/>
      <c r="K243" s="84" t="s">
        <v>3433</v>
      </c>
      <c r="L243" s="340"/>
      <c r="M243" s="332" t="s">
        <v>2678</v>
      </c>
      <c r="N243" s="306"/>
      <c r="O243" s="306"/>
      <c r="P243" s="22"/>
      <c r="Q243" s="84"/>
      <c r="R243" s="25"/>
      <c r="S243" s="25"/>
      <c r="T243" s="22"/>
      <c r="U243" s="25"/>
      <c r="V243" s="25"/>
      <c r="W243" s="25"/>
      <c r="X243" s="84" t="str">
        <f t="shared" si="1"/>
        <v>grantPlayerItems</v>
      </c>
      <c r="Y243" s="337" t="s">
        <v>3434</v>
      </c>
      <c r="Z243" s="25"/>
      <c r="AA243" s="25"/>
      <c r="AB243" s="25"/>
      <c r="AC243" s="25"/>
      <c r="AD243" s="25"/>
      <c r="AE243" s="25"/>
    </row>
    <row r="244" spans="1:31" ht="340" outlineLevel="1" x14ac:dyDescent="0.15">
      <c r="A244" s="338" t="s">
        <v>3435</v>
      </c>
      <c r="B244" s="306"/>
      <c r="C244" s="338" t="s">
        <v>2715</v>
      </c>
      <c r="D244" s="339"/>
      <c r="E244" s="338" t="s">
        <v>3429</v>
      </c>
      <c r="F244" s="339"/>
      <c r="G244" s="261" t="s">
        <v>3409</v>
      </c>
      <c r="H244" s="339"/>
      <c r="I244" s="338" t="s">
        <v>2946</v>
      </c>
      <c r="J244" s="84"/>
      <c r="K244" s="84" t="s">
        <v>3436</v>
      </c>
      <c r="L244" s="340"/>
      <c r="M244" s="332" t="s">
        <v>2678</v>
      </c>
      <c r="N244" s="306"/>
      <c r="O244" s="306"/>
      <c r="P244" s="22"/>
      <c r="Q244" s="84"/>
      <c r="R244" s="25"/>
      <c r="S244" s="25"/>
      <c r="T244" s="22"/>
      <c r="U244" s="25"/>
      <c r="V244" s="25"/>
      <c r="W244" s="25"/>
      <c r="X244" s="84" t="str">
        <f t="shared" si="1"/>
        <v>grantPlayerItems</v>
      </c>
      <c r="Y244" s="337" t="s">
        <v>3437</v>
      </c>
      <c r="Z244" s="25"/>
      <c r="AA244" s="25"/>
      <c r="AB244" s="25"/>
      <c r="AC244" s="25"/>
      <c r="AD244" s="25"/>
      <c r="AE244" s="25"/>
    </row>
    <row r="245" spans="1:31" ht="340" outlineLevel="1" x14ac:dyDescent="0.15">
      <c r="A245" s="338" t="s">
        <v>3438</v>
      </c>
      <c r="B245" s="306"/>
      <c r="C245" s="338" t="s">
        <v>2715</v>
      </c>
      <c r="D245" s="339"/>
      <c r="E245" s="338" t="s">
        <v>3429</v>
      </c>
      <c r="F245" s="339"/>
      <c r="G245" s="261" t="s">
        <v>3413</v>
      </c>
      <c r="H245" s="339"/>
      <c r="I245" s="338" t="s">
        <v>2946</v>
      </c>
      <c r="J245" s="84"/>
      <c r="K245" s="84" t="s">
        <v>3439</v>
      </c>
      <c r="L245" s="340"/>
      <c r="M245" s="332" t="s">
        <v>2678</v>
      </c>
      <c r="N245" s="306"/>
      <c r="O245" s="306"/>
      <c r="P245" s="22"/>
      <c r="Q245" s="84"/>
      <c r="R245" s="25"/>
      <c r="S245" s="25"/>
      <c r="T245" s="22"/>
      <c r="U245" s="25"/>
      <c r="V245" s="25"/>
      <c r="W245" s="25"/>
      <c r="X245" s="84" t="str">
        <f t="shared" si="1"/>
        <v>grantPlayerItems</v>
      </c>
      <c r="Y245" s="337" t="s">
        <v>3440</v>
      </c>
      <c r="Z245" s="25"/>
      <c r="AA245" s="25"/>
      <c r="AB245" s="25"/>
      <c r="AC245" s="25"/>
      <c r="AD245" s="25"/>
      <c r="AE245" s="25"/>
    </row>
    <row r="246" spans="1:31" ht="340" outlineLevel="1" x14ac:dyDescent="0.15">
      <c r="A246" s="338" t="s">
        <v>3441</v>
      </c>
      <c r="B246" s="306"/>
      <c r="C246" s="338" t="s">
        <v>2715</v>
      </c>
      <c r="D246" s="339"/>
      <c r="E246" s="338" t="s">
        <v>3429</v>
      </c>
      <c r="F246" s="339"/>
      <c r="G246" s="261" t="s">
        <v>3417</v>
      </c>
      <c r="H246" s="339"/>
      <c r="I246" s="338" t="s">
        <v>2946</v>
      </c>
      <c r="J246" s="84"/>
      <c r="K246" s="84" t="s">
        <v>3442</v>
      </c>
      <c r="L246" s="340"/>
      <c r="M246" s="332" t="s">
        <v>2678</v>
      </c>
      <c r="N246" s="306"/>
      <c r="O246" s="306"/>
      <c r="P246" s="22"/>
      <c r="Q246" s="84"/>
      <c r="R246" s="25"/>
      <c r="S246" s="25"/>
      <c r="T246" s="22"/>
      <c r="U246" s="25"/>
      <c r="V246" s="25"/>
      <c r="W246" s="25"/>
      <c r="X246" s="84" t="str">
        <f t="shared" si="1"/>
        <v>grantPlayerItems</v>
      </c>
      <c r="Y246" s="337" t="s">
        <v>3443</v>
      </c>
      <c r="Z246" s="25"/>
      <c r="AA246" s="25"/>
      <c r="AB246" s="25"/>
      <c r="AC246" s="25"/>
      <c r="AD246" s="25"/>
      <c r="AE246" s="25"/>
    </row>
    <row r="247" spans="1:31" ht="340" outlineLevel="1" x14ac:dyDescent="0.15">
      <c r="A247" s="338" t="s">
        <v>3444</v>
      </c>
      <c r="B247" s="306"/>
      <c r="C247" s="338" t="s">
        <v>2715</v>
      </c>
      <c r="D247" s="339"/>
      <c r="E247" s="338" t="s">
        <v>3429</v>
      </c>
      <c r="F247" s="339"/>
      <c r="G247" s="261" t="s">
        <v>3421</v>
      </c>
      <c r="H247" s="339"/>
      <c r="I247" s="338" t="s">
        <v>2946</v>
      </c>
      <c r="J247" s="84"/>
      <c r="K247" s="84" t="s">
        <v>3445</v>
      </c>
      <c r="L247" s="340"/>
      <c r="M247" s="332" t="s">
        <v>2678</v>
      </c>
      <c r="N247" s="306"/>
      <c r="O247" s="306"/>
      <c r="P247" s="22"/>
      <c r="Q247" s="84"/>
      <c r="R247" s="25"/>
      <c r="S247" s="25"/>
      <c r="T247" s="22"/>
      <c r="U247" s="25"/>
      <c r="V247" s="25"/>
      <c r="W247" s="25"/>
      <c r="X247" s="84" t="str">
        <f t="shared" si="1"/>
        <v>grantPlayerItems</v>
      </c>
      <c r="Y247" s="337" t="s">
        <v>3446</v>
      </c>
      <c r="Z247" s="25"/>
      <c r="AA247" s="25"/>
      <c r="AB247" s="25"/>
      <c r="AC247" s="25"/>
      <c r="AD247" s="25"/>
      <c r="AE247" s="25"/>
    </row>
    <row r="248" spans="1:31" ht="340" outlineLevel="1" x14ac:dyDescent="0.15">
      <c r="A248" s="338" t="s">
        <v>3447</v>
      </c>
      <c r="B248" s="306"/>
      <c r="C248" s="338" t="s">
        <v>2715</v>
      </c>
      <c r="D248" s="339"/>
      <c r="E248" s="338" t="s">
        <v>3429</v>
      </c>
      <c r="F248" s="339"/>
      <c r="G248" s="261" t="s">
        <v>3425</v>
      </c>
      <c r="H248" s="339"/>
      <c r="I248" s="338" t="s">
        <v>2946</v>
      </c>
      <c r="J248" s="84"/>
      <c r="K248" s="84" t="s">
        <v>3448</v>
      </c>
      <c r="L248" s="340"/>
      <c r="M248" s="332" t="s">
        <v>2678</v>
      </c>
      <c r="N248" s="306"/>
      <c r="O248" s="306"/>
      <c r="P248" s="22"/>
      <c r="Q248" s="84"/>
      <c r="R248" s="25"/>
      <c r="S248" s="25"/>
      <c r="T248" s="22"/>
      <c r="U248" s="25"/>
      <c r="V248" s="25"/>
      <c r="W248" s="25"/>
      <c r="X248" s="84" t="str">
        <f t="shared" si="1"/>
        <v>grantPlayerItems</v>
      </c>
      <c r="Y248" s="337" t="s">
        <v>3449</v>
      </c>
      <c r="Z248" s="25"/>
      <c r="AA248" s="25"/>
      <c r="AB248" s="25"/>
      <c r="AC248" s="25"/>
      <c r="AD248" s="25"/>
      <c r="AE248" s="25"/>
    </row>
    <row r="249" spans="1:31" ht="340" x14ac:dyDescent="0.15">
      <c r="A249" s="338" t="s">
        <v>3450</v>
      </c>
      <c r="B249" s="306"/>
      <c r="C249" s="338" t="s">
        <v>2715</v>
      </c>
      <c r="D249" s="339"/>
      <c r="E249" s="338" t="s">
        <v>3451</v>
      </c>
      <c r="F249" s="339"/>
      <c r="G249" s="261" t="s">
        <v>3401</v>
      </c>
      <c r="H249" s="339"/>
      <c r="I249" s="338" t="s">
        <v>2946</v>
      </c>
      <c r="J249" s="84" t="s">
        <v>2669</v>
      </c>
      <c r="K249" s="84" t="s">
        <v>3452</v>
      </c>
      <c r="L249" s="340"/>
      <c r="M249" s="332" t="s">
        <v>2678</v>
      </c>
      <c r="N249" s="306"/>
      <c r="O249" s="306"/>
      <c r="P249" s="22"/>
      <c r="Q249" s="84"/>
      <c r="R249" s="25"/>
      <c r="S249" s="25"/>
      <c r="T249" s="22"/>
      <c r="U249" s="25"/>
      <c r="V249" s="25"/>
      <c r="W249" s="25"/>
      <c r="X249" s="84" t="str">
        <f t="shared" si="1"/>
        <v>grantPlayerItems</v>
      </c>
      <c r="Y249" s="337" t="s">
        <v>3453</v>
      </c>
      <c r="Z249" s="25"/>
      <c r="AA249" s="25"/>
      <c r="AB249" s="25"/>
      <c r="AC249" s="25"/>
      <c r="AD249" s="25"/>
      <c r="AE249" s="25"/>
    </row>
    <row r="250" spans="1:31" ht="340" outlineLevel="1" x14ac:dyDescent="0.15">
      <c r="A250" s="338" t="s">
        <v>3454</v>
      </c>
      <c r="B250" s="306"/>
      <c r="C250" s="338" t="s">
        <v>2715</v>
      </c>
      <c r="D250" s="339"/>
      <c r="E250" s="338" t="s">
        <v>3451</v>
      </c>
      <c r="F250" s="339"/>
      <c r="G250" s="261" t="s">
        <v>3405</v>
      </c>
      <c r="H250" s="339"/>
      <c r="I250" s="338" t="s">
        <v>2946</v>
      </c>
      <c r="J250" s="84"/>
      <c r="K250" s="84" t="s">
        <v>3455</v>
      </c>
      <c r="L250" s="340"/>
      <c r="M250" s="332" t="s">
        <v>2678</v>
      </c>
      <c r="N250" s="306"/>
      <c r="O250" s="306"/>
      <c r="P250" s="22"/>
      <c r="Q250" s="84"/>
      <c r="R250" s="25"/>
      <c r="S250" s="25"/>
      <c r="T250" s="22"/>
      <c r="U250" s="25"/>
      <c r="V250" s="25"/>
      <c r="W250" s="25"/>
      <c r="X250" s="84" t="str">
        <f t="shared" si="1"/>
        <v>grantPlayerItems</v>
      </c>
      <c r="Y250" s="337" t="s">
        <v>3456</v>
      </c>
      <c r="Z250" s="25"/>
      <c r="AA250" s="25"/>
      <c r="AB250" s="25"/>
      <c r="AC250" s="25"/>
      <c r="AD250" s="25"/>
      <c r="AE250" s="25"/>
    </row>
    <row r="251" spans="1:31" ht="340" outlineLevel="1" x14ac:dyDescent="0.15">
      <c r="A251" s="338" t="s">
        <v>3457</v>
      </c>
      <c r="B251" s="306"/>
      <c r="C251" s="338" t="s">
        <v>2715</v>
      </c>
      <c r="D251" s="339"/>
      <c r="E251" s="338" t="s">
        <v>3451</v>
      </c>
      <c r="F251" s="339"/>
      <c r="G251" s="261" t="s">
        <v>3409</v>
      </c>
      <c r="H251" s="339"/>
      <c r="I251" s="338" t="s">
        <v>2946</v>
      </c>
      <c r="J251" s="84"/>
      <c r="K251" s="84" t="s">
        <v>3458</v>
      </c>
      <c r="L251" s="340"/>
      <c r="M251" s="332" t="s">
        <v>2678</v>
      </c>
      <c r="N251" s="306"/>
      <c r="O251" s="306"/>
      <c r="P251" s="22"/>
      <c r="Q251" s="84"/>
      <c r="R251" s="25"/>
      <c r="S251" s="25"/>
      <c r="T251" s="22"/>
      <c r="U251" s="25"/>
      <c r="V251" s="25"/>
      <c r="W251" s="25"/>
      <c r="X251" s="84" t="str">
        <f t="shared" si="1"/>
        <v>grantPlayerItems</v>
      </c>
      <c r="Y251" s="337" t="s">
        <v>3459</v>
      </c>
      <c r="Z251" s="25"/>
      <c r="AA251" s="25"/>
      <c r="AB251" s="25"/>
      <c r="AC251" s="25"/>
      <c r="AD251" s="25"/>
      <c r="AE251" s="25"/>
    </row>
    <row r="252" spans="1:31" ht="340" outlineLevel="1" x14ac:dyDescent="0.15">
      <c r="A252" s="338" t="s">
        <v>3460</v>
      </c>
      <c r="B252" s="306"/>
      <c r="C252" s="338" t="s">
        <v>2715</v>
      </c>
      <c r="D252" s="339"/>
      <c r="E252" s="338" t="s">
        <v>3451</v>
      </c>
      <c r="F252" s="339"/>
      <c r="G252" s="261" t="s">
        <v>3413</v>
      </c>
      <c r="H252" s="339"/>
      <c r="I252" s="338" t="s">
        <v>2946</v>
      </c>
      <c r="J252" s="84"/>
      <c r="K252" s="84" t="s">
        <v>3461</v>
      </c>
      <c r="L252" s="340"/>
      <c r="M252" s="332" t="s">
        <v>2678</v>
      </c>
      <c r="N252" s="306"/>
      <c r="O252" s="306"/>
      <c r="P252" s="22"/>
      <c r="Q252" s="84"/>
      <c r="R252" s="25"/>
      <c r="S252" s="25"/>
      <c r="T252" s="22"/>
      <c r="U252" s="25"/>
      <c r="V252" s="25"/>
      <c r="W252" s="25"/>
      <c r="X252" s="84" t="str">
        <f t="shared" si="1"/>
        <v>grantPlayerItems</v>
      </c>
      <c r="Y252" s="337" t="s">
        <v>3462</v>
      </c>
      <c r="Z252" s="25"/>
      <c r="AA252" s="25"/>
      <c r="AB252" s="25"/>
      <c r="AC252" s="25"/>
      <c r="AD252" s="25"/>
      <c r="AE252" s="25"/>
    </row>
    <row r="253" spans="1:31" ht="340" outlineLevel="1" x14ac:dyDescent="0.15">
      <c r="A253" s="338" t="s">
        <v>3463</v>
      </c>
      <c r="B253" s="306"/>
      <c r="C253" s="338" t="s">
        <v>2715</v>
      </c>
      <c r="D253" s="339"/>
      <c r="E253" s="338" t="s">
        <v>3451</v>
      </c>
      <c r="F253" s="339"/>
      <c r="G253" s="261" t="s">
        <v>3417</v>
      </c>
      <c r="H253" s="339"/>
      <c r="I253" s="338" t="s">
        <v>2946</v>
      </c>
      <c r="J253" s="84"/>
      <c r="K253" s="84" t="s">
        <v>3464</v>
      </c>
      <c r="L253" s="340"/>
      <c r="M253" s="332" t="s">
        <v>2678</v>
      </c>
      <c r="N253" s="306"/>
      <c r="O253" s="306"/>
      <c r="P253" s="22"/>
      <c r="Q253" s="84"/>
      <c r="R253" s="25"/>
      <c r="S253" s="25"/>
      <c r="T253" s="22"/>
      <c r="U253" s="25"/>
      <c r="V253" s="25"/>
      <c r="W253" s="25"/>
      <c r="X253" s="84" t="str">
        <f t="shared" si="1"/>
        <v>grantPlayerItems</v>
      </c>
      <c r="Y253" s="337" t="s">
        <v>3465</v>
      </c>
      <c r="Z253" s="25"/>
      <c r="AA253" s="25"/>
      <c r="AB253" s="25"/>
      <c r="AC253" s="25"/>
      <c r="AD253" s="25"/>
      <c r="AE253" s="25"/>
    </row>
    <row r="254" spans="1:31" ht="340" outlineLevel="1" x14ac:dyDescent="0.15">
      <c r="A254" s="338" t="s">
        <v>3466</v>
      </c>
      <c r="B254" s="306"/>
      <c r="C254" s="338" t="s">
        <v>2715</v>
      </c>
      <c r="D254" s="339"/>
      <c r="E254" s="338" t="s">
        <v>3451</v>
      </c>
      <c r="F254" s="339"/>
      <c r="G254" s="261" t="s">
        <v>3421</v>
      </c>
      <c r="H254" s="339"/>
      <c r="I254" s="338" t="s">
        <v>2946</v>
      </c>
      <c r="J254" s="84"/>
      <c r="K254" s="84" t="s">
        <v>3467</v>
      </c>
      <c r="L254" s="340"/>
      <c r="M254" s="332" t="s">
        <v>2678</v>
      </c>
      <c r="N254" s="306"/>
      <c r="O254" s="306"/>
      <c r="P254" s="22"/>
      <c r="Q254" s="84"/>
      <c r="R254" s="25"/>
      <c r="S254" s="25"/>
      <c r="T254" s="22"/>
      <c r="U254" s="25"/>
      <c r="V254" s="25"/>
      <c r="W254" s="25"/>
      <c r="X254" s="84" t="str">
        <f t="shared" si="1"/>
        <v>grantPlayerItems</v>
      </c>
      <c r="Y254" s="337" t="s">
        <v>3468</v>
      </c>
      <c r="Z254" s="25"/>
      <c r="AA254" s="25"/>
      <c r="AB254" s="25"/>
      <c r="AC254" s="25"/>
      <c r="AD254" s="25"/>
      <c r="AE254" s="25"/>
    </row>
    <row r="255" spans="1:31" ht="340" outlineLevel="1" x14ac:dyDescent="0.15">
      <c r="A255" s="338" t="s">
        <v>3469</v>
      </c>
      <c r="B255" s="306"/>
      <c r="C255" s="338" t="s">
        <v>2715</v>
      </c>
      <c r="D255" s="339"/>
      <c r="E255" s="338" t="s">
        <v>3451</v>
      </c>
      <c r="F255" s="339"/>
      <c r="G255" s="261" t="s">
        <v>3425</v>
      </c>
      <c r="H255" s="339"/>
      <c r="I255" s="338" t="s">
        <v>2946</v>
      </c>
      <c r="J255" s="84"/>
      <c r="K255" s="84" t="s">
        <v>3470</v>
      </c>
      <c r="L255" s="340"/>
      <c r="M255" s="332" t="s">
        <v>2678</v>
      </c>
      <c r="N255" s="306"/>
      <c r="O255" s="306"/>
      <c r="P255" s="22"/>
      <c r="Q255" s="84"/>
      <c r="R255" s="25"/>
      <c r="S255" s="25"/>
      <c r="T255" s="22"/>
      <c r="U255" s="25"/>
      <c r="V255" s="25"/>
      <c r="W255" s="25"/>
      <c r="X255" s="84" t="str">
        <f t="shared" si="1"/>
        <v>grantPlayerItems</v>
      </c>
      <c r="Y255" s="337" t="s">
        <v>3471</v>
      </c>
      <c r="Z255" s="25"/>
      <c r="AA255" s="25"/>
      <c r="AB255" s="25"/>
      <c r="AC255" s="25"/>
      <c r="AD255" s="25"/>
      <c r="AE255" s="25"/>
    </row>
    <row r="256" spans="1:31" ht="340" x14ac:dyDescent="0.15">
      <c r="A256" s="338" t="s">
        <v>3472</v>
      </c>
      <c r="B256" s="306"/>
      <c r="C256" s="338" t="s">
        <v>2715</v>
      </c>
      <c r="D256" s="339"/>
      <c r="E256" s="338" t="s">
        <v>2031</v>
      </c>
      <c r="F256" s="339"/>
      <c r="G256" s="261" t="s">
        <v>3401</v>
      </c>
      <c r="H256" s="339"/>
      <c r="I256" s="338" t="s">
        <v>2946</v>
      </c>
      <c r="J256" s="84" t="s">
        <v>2669</v>
      </c>
      <c r="K256" s="84" t="s">
        <v>3473</v>
      </c>
      <c r="L256" s="340"/>
      <c r="M256" s="332" t="s">
        <v>2678</v>
      </c>
      <c r="N256" s="306"/>
      <c r="O256" s="306"/>
      <c r="P256" s="22"/>
      <c r="Q256" s="84"/>
      <c r="R256" s="25"/>
      <c r="S256" s="25"/>
      <c r="T256" s="22"/>
      <c r="U256" s="25"/>
      <c r="V256" s="25"/>
      <c r="W256" s="25"/>
      <c r="X256" s="84" t="str">
        <f t="shared" si="1"/>
        <v>grantPlayerItems</v>
      </c>
      <c r="Y256" s="337" t="s">
        <v>3474</v>
      </c>
      <c r="Z256" s="25"/>
      <c r="AA256" s="25"/>
      <c r="AB256" s="25"/>
      <c r="AC256" s="25"/>
      <c r="AD256" s="25"/>
      <c r="AE256" s="25"/>
    </row>
    <row r="257" spans="1:31" ht="340" outlineLevel="1" x14ac:dyDescent="0.15">
      <c r="A257" s="338" t="s">
        <v>3475</v>
      </c>
      <c r="B257" s="306"/>
      <c r="C257" s="338" t="s">
        <v>2715</v>
      </c>
      <c r="D257" s="339"/>
      <c r="E257" s="338" t="s">
        <v>2031</v>
      </c>
      <c r="F257" s="339"/>
      <c r="G257" s="261" t="s">
        <v>3405</v>
      </c>
      <c r="H257" s="339"/>
      <c r="I257" s="338" t="s">
        <v>2946</v>
      </c>
      <c r="J257" s="84"/>
      <c r="K257" s="84" t="s">
        <v>3476</v>
      </c>
      <c r="L257" s="340"/>
      <c r="M257" s="332" t="s">
        <v>2678</v>
      </c>
      <c r="N257" s="306"/>
      <c r="O257" s="306"/>
      <c r="P257" s="22"/>
      <c r="Q257" s="84"/>
      <c r="R257" s="25"/>
      <c r="S257" s="25"/>
      <c r="T257" s="22"/>
      <c r="U257" s="25"/>
      <c r="V257" s="25"/>
      <c r="W257" s="25"/>
      <c r="X257" s="84" t="str">
        <f t="shared" si="1"/>
        <v>grantPlayerItems</v>
      </c>
      <c r="Y257" s="337" t="s">
        <v>3477</v>
      </c>
      <c r="Z257" s="25"/>
      <c r="AA257" s="25"/>
      <c r="AB257" s="25"/>
      <c r="AC257" s="25"/>
      <c r="AD257" s="25"/>
      <c r="AE257" s="25"/>
    </row>
    <row r="258" spans="1:31" ht="340" outlineLevel="1" x14ac:dyDescent="0.15">
      <c r="A258" s="338" t="s">
        <v>3478</v>
      </c>
      <c r="B258" s="306"/>
      <c r="C258" s="338" t="s">
        <v>2715</v>
      </c>
      <c r="D258" s="339"/>
      <c r="E258" s="338" t="s">
        <v>2031</v>
      </c>
      <c r="F258" s="339"/>
      <c r="G258" s="261" t="s">
        <v>3409</v>
      </c>
      <c r="H258" s="339"/>
      <c r="I258" s="338" t="s">
        <v>2946</v>
      </c>
      <c r="J258" s="84"/>
      <c r="K258" s="84" t="s">
        <v>3479</v>
      </c>
      <c r="L258" s="340"/>
      <c r="M258" s="332" t="s">
        <v>2678</v>
      </c>
      <c r="N258" s="306"/>
      <c r="O258" s="306"/>
      <c r="P258" s="22"/>
      <c r="Q258" s="84"/>
      <c r="R258" s="25"/>
      <c r="S258" s="25"/>
      <c r="T258" s="22"/>
      <c r="U258" s="25"/>
      <c r="V258" s="25"/>
      <c r="W258" s="25"/>
      <c r="X258" s="84" t="str">
        <f t="shared" si="1"/>
        <v>grantPlayerItems</v>
      </c>
      <c r="Y258" s="337" t="s">
        <v>3480</v>
      </c>
      <c r="Z258" s="25"/>
      <c r="AA258" s="25"/>
      <c r="AB258" s="25"/>
      <c r="AC258" s="25"/>
      <c r="AD258" s="25"/>
      <c r="AE258" s="25"/>
    </row>
    <row r="259" spans="1:31" ht="340" outlineLevel="1" x14ac:dyDescent="0.15">
      <c r="A259" s="338" t="s">
        <v>3481</v>
      </c>
      <c r="B259" s="306"/>
      <c r="C259" s="338" t="s">
        <v>2715</v>
      </c>
      <c r="D259" s="339"/>
      <c r="E259" s="338" t="s">
        <v>2031</v>
      </c>
      <c r="F259" s="339"/>
      <c r="G259" s="261" t="s">
        <v>3413</v>
      </c>
      <c r="H259" s="339"/>
      <c r="I259" s="338" t="s">
        <v>2946</v>
      </c>
      <c r="J259" s="84"/>
      <c r="K259" s="84" t="s">
        <v>3482</v>
      </c>
      <c r="L259" s="340"/>
      <c r="M259" s="332" t="s">
        <v>2678</v>
      </c>
      <c r="N259" s="306"/>
      <c r="O259" s="306"/>
      <c r="P259" s="22"/>
      <c r="Q259" s="84"/>
      <c r="R259" s="25"/>
      <c r="S259" s="25"/>
      <c r="T259" s="22"/>
      <c r="U259" s="25"/>
      <c r="V259" s="25"/>
      <c r="W259" s="25"/>
      <c r="X259" s="84" t="str">
        <f t="shared" si="1"/>
        <v>grantPlayerItems</v>
      </c>
      <c r="Y259" s="337" t="s">
        <v>3483</v>
      </c>
      <c r="Z259" s="25"/>
      <c r="AA259" s="25"/>
      <c r="AB259" s="25"/>
      <c r="AC259" s="25"/>
      <c r="AD259" s="25"/>
      <c r="AE259" s="25"/>
    </row>
    <row r="260" spans="1:31" ht="340" outlineLevel="1" x14ac:dyDescent="0.15">
      <c r="A260" s="338" t="s">
        <v>3484</v>
      </c>
      <c r="B260" s="306"/>
      <c r="C260" s="338" t="s">
        <v>2715</v>
      </c>
      <c r="D260" s="339"/>
      <c r="E260" s="338" t="s">
        <v>2031</v>
      </c>
      <c r="F260" s="339"/>
      <c r="G260" s="261" t="s">
        <v>3417</v>
      </c>
      <c r="H260" s="339"/>
      <c r="I260" s="338" t="s">
        <v>2946</v>
      </c>
      <c r="J260" s="84"/>
      <c r="K260" s="84" t="s">
        <v>3485</v>
      </c>
      <c r="L260" s="340"/>
      <c r="M260" s="332" t="s">
        <v>2678</v>
      </c>
      <c r="N260" s="306"/>
      <c r="O260" s="306"/>
      <c r="P260" s="22"/>
      <c r="Q260" s="84"/>
      <c r="R260" s="25"/>
      <c r="S260" s="25"/>
      <c r="T260" s="22"/>
      <c r="U260" s="25"/>
      <c r="V260" s="25"/>
      <c r="W260" s="25"/>
      <c r="X260" s="84" t="str">
        <f t="shared" si="1"/>
        <v>grantPlayerItems</v>
      </c>
      <c r="Y260" s="337" t="s">
        <v>3486</v>
      </c>
      <c r="Z260" s="25"/>
      <c r="AA260" s="25"/>
      <c r="AB260" s="25"/>
      <c r="AC260" s="25"/>
      <c r="AD260" s="25"/>
      <c r="AE260" s="25"/>
    </row>
    <row r="261" spans="1:31" ht="340" outlineLevel="1" x14ac:dyDescent="0.15">
      <c r="A261" s="338" t="s">
        <v>3487</v>
      </c>
      <c r="B261" s="306"/>
      <c r="C261" s="338" t="s">
        <v>2715</v>
      </c>
      <c r="D261" s="339"/>
      <c r="E261" s="338" t="s">
        <v>2031</v>
      </c>
      <c r="F261" s="339"/>
      <c r="G261" s="261" t="s">
        <v>3421</v>
      </c>
      <c r="H261" s="339"/>
      <c r="I261" s="338" t="s">
        <v>2946</v>
      </c>
      <c r="J261" s="84"/>
      <c r="K261" s="84" t="s">
        <v>3488</v>
      </c>
      <c r="L261" s="340"/>
      <c r="M261" s="332" t="s">
        <v>2678</v>
      </c>
      <c r="N261" s="306"/>
      <c r="O261" s="306"/>
      <c r="P261" s="22"/>
      <c r="Q261" s="84"/>
      <c r="R261" s="25"/>
      <c r="S261" s="25"/>
      <c r="T261" s="22"/>
      <c r="U261" s="25"/>
      <c r="V261" s="25"/>
      <c r="W261" s="25"/>
      <c r="X261" s="84" t="str">
        <f t="shared" si="1"/>
        <v>grantPlayerItems</v>
      </c>
      <c r="Y261" s="337" t="s">
        <v>3489</v>
      </c>
      <c r="Z261" s="25"/>
      <c r="AA261" s="25"/>
      <c r="AB261" s="25"/>
      <c r="AC261" s="25"/>
      <c r="AD261" s="25"/>
      <c r="AE261" s="25"/>
    </row>
    <row r="262" spans="1:31" ht="340" outlineLevel="1" x14ac:dyDescent="0.15">
      <c r="A262" s="338" t="s">
        <v>3490</v>
      </c>
      <c r="B262" s="306"/>
      <c r="C262" s="338" t="s">
        <v>2715</v>
      </c>
      <c r="D262" s="339"/>
      <c r="E262" s="338" t="s">
        <v>2031</v>
      </c>
      <c r="F262" s="339"/>
      <c r="G262" s="261" t="s">
        <v>3425</v>
      </c>
      <c r="H262" s="339"/>
      <c r="I262" s="338" t="s">
        <v>2946</v>
      </c>
      <c r="J262" s="84"/>
      <c r="K262" s="84" t="s">
        <v>3491</v>
      </c>
      <c r="L262" s="340"/>
      <c r="M262" s="332" t="s">
        <v>2678</v>
      </c>
      <c r="N262" s="306"/>
      <c r="O262" s="306"/>
      <c r="P262" s="22"/>
      <c r="Q262" s="84"/>
      <c r="R262" s="25"/>
      <c r="S262" s="25"/>
      <c r="T262" s="22"/>
      <c r="U262" s="25"/>
      <c r="V262" s="25"/>
      <c r="W262" s="25"/>
      <c r="X262" s="84" t="str">
        <f t="shared" si="1"/>
        <v>grantPlayerItems</v>
      </c>
      <c r="Y262" s="337" t="s">
        <v>3492</v>
      </c>
      <c r="Z262" s="25"/>
      <c r="AA262" s="25"/>
      <c r="AB262" s="25"/>
      <c r="AC262" s="25"/>
      <c r="AD262" s="25"/>
      <c r="AE262" s="25"/>
    </row>
    <row r="263" spans="1:31" ht="340" x14ac:dyDescent="0.15">
      <c r="A263" s="338" t="s">
        <v>3493</v>
      </c>
      <c r="B263" s="306"/>
      <c r="C263" s="338" t="s">
        <v>2715</v>
      </c>
      <c r="D263" s="339"/>
      <c r="E263" s="338" t="s">
        <v>1675</v>
      </c>
      <c r="F263" s="339"/>
      <c r="G263" s="261" t="s">
        <v>3401</v>
      </c>
      <c r="H263" s="339"/>
      <c r="I263" s="338" t="s">
        <v>2946</v>
      </c>
      <c r="J263" s="84"/>
      <c r="K263" s="84" t="s">
        <v>3494</v>
      </c>
      <c r="L263" s="340"/>
      <c r="M263" s="332" t="s">
        <v>2678</v>
      </c>
      <c r="N263" s="306"/>
      <c r="O263" s="306"/>
      <c r="P263" s="22"/>
      <c r="Q263" s="84"/>
      <c r="R263" s="25"/>
      <c r="S263" s="25"/>
      <c r="T263" s="22"/>
      <c r="U263" s="25"/>
      <c r="V263" s="25"/>
      <c r="W263" s="25"/>
      <c r="X263" s="84" t="str">
        <f t="shared" si="1"/>
        <v>grantPlayerItems</v>
      </c>
      <c r="Y263" s="337" t="s">
        <v>3495</v>
      </c>
      <c r="Z263" s="25"/>
      <c r="AA263" s="25"/>
      <c r="AB263" s="25"/>
      <c r="AC263" s="25"/>
      <c r="AD263" s="25"/>
      <c r="AE263" s="25"/>
    </row>
    <row r="264" spans="1:31" ht="340" outlineLevel="1" x14ac:dyDescent="0.15">
      <c r="A264" s="338" t="s">
        <v>3496</v>
      </c>
      <c r="B264" s="306"/>
      <c r="C264" s="338" t="s">
        <v>2715</v>
      </c>
      <c r="D264" s="339"/>
      <c r="E264" s="338" t="s">
        <v>1675</v>
      </c>
      <c r="F264" s="339"/>
      <c r="G264" s="261" t="s">
        <v>3405</v>
      </c>
      <c r="H264" s="339"/>
      <c r="I264" s="338" t="s">
        <v>2946</v>
      </c>
      <c r="J264" s="84"/>
      <c r="K264" s="84" t="s">
        <v>3497</v>
      </c>
      <c r="L264" s="340"/>
      <c r="M264" s="332" t="s">
        <v>2678</v>
      </c>
      <c r="N264" s="306"/>
      <c r="O264" s="306"/>
      <c r="P264" s="22"/>
      <c r="Q264" s="84"/>
      <c r="R264" s="25"/>
      <c r="S264" s="25"/>
      <c r="T264" s="22"/>
      <c r="U264" s="25"/>
      <c r="V264" s="25"/>
      <c r="W264" s="25"/>
      <c r="X264" s="84" t="str">
        <f t="shared" si="1"/>
        <v>grantPlayerItems</v>
      </c>
      <c r="Y264" s="337" t="s">
        <v>3498</v>
      </c>
      <c r="Z264" s="25"/>
      <c r="AA264" s="25"/>
      <c r="AB264" s="25"/>
      <c r="AC264" s="25"/>
      <c r="AD264" s="25"/>
      <c r="AE264" s="25"/>
    </row>
    <row r="265" spans="1:31" ht="340" outlineLevel="1" x14ac:dyDescent="0.15">
      <c r="A265" s="338" t="s">
        <v>3499</v>
      </c>
      <c r="B265" s="306"/>
      <c r="C265" s="338" t="s">
        <v>2715</v>
      </c>
      <c r="D265" s="339"/>
      <c r="E265" s="338" t="s">
        <v>1675</v>
      </c>
      <c r="F265" s="339"/>
      <c r="G265" s="261" t="s">
        <v>3409</v>
      </c>
      <c r="H265" s="339"/>
      <c r="I265" s="338" t="s">
        <v>2946</v>
      </c>
      <c r="J265" s="84"/>
      <c r="K265" s="84" t="s">
        <v>3500</v>
      </c>
      <c r="L265" s="340"/>
      <c r="M265" s="332" t="s">
        <v>2678</v>
      </c>
      <c r="N265" s="306"/>
      <c r="O265" s="306"/>
      <c r="P265" s="22"/>
      <c r="Q265" s="84"/>
      <c r="R265" s="25"/>
      <c r="S265" s="25"/>
      <c r="T265" s="22"/>
      <c r="U265" s="25"/>
      <c r="V265" s="25"/>
      <c r="W265" s="25"/>
      <c r="X265" s="84" t="str">
        <f t="shared" si="1"/>
        <v>grantPlayerItems</v>
      </c>
      <c r="Y265" s="337" t="s">
        <v>3501</v>
      </c>
      <c r="Z265" s="25"/>
      <c r="AA265" s="25"/>
      <c r="AB265" s="25"/>
      <c r="AC265" s="25"/>
      <c r="AD265" s="25"/>
      <c r="AE265" s="25"/>
    </row>
    <row r="266" spans="1:31" ht="340" outlineLevel="1" x14ac:dyDescent="0.15">
      <c r="A266" s="338" t="s">
        <v>3502</v>
      </c>
      <c r="B266" s="306"/>
      <c r="C266" s="338" t="s">
        <v>2715</v>
      </c>
      <c r="D266" s="339"/>
      <c r="E266" s="338" t="s">
        <v>1675</v>
      </c>
      <c r="F266" s="339"/>
      <c r="G266" s="261" t="s">
        <v>3413</v>
      </c>
      <c r="H266" s="339"/>
      <c r="I266" s="338" t="s">
        <v>2946</v>
      </c>
      <c r="J266" s="84"/>
      <c r="K266" s="84" t="s">
        <v>3503</v>
      </c>
      <c r="L266" s="340"/>
      <c r="M266" s="332" t="s">
        <v>2678</v>
      </c>
      <c r="N266" s="306"/>
      <c r="O266" s="306"/>
      <c r="P266" s="22"/>
      <c r="Q266" s="84"/>
      <c r="R266" s="25"/>
      <c r="S266" s="25"/>
      <c r="T266" s="22"/>
      <c r="U266" s="25"/>
      <c r="V266" s="25"/>
      <c r="W266" s="25"/>
      <c r="X266" s="84" t="str">
        <f t="shared" si="1"/>
        <v>grantPlayerItems</v>
      </c>
      <c r="Y266" s="337" t="s">
        <v>3504</v>
      </c>
      <c r="Z266" s="25"/>
      <c r="AA266" s="25"/>
      <c r="AB266" s="25"/>
      <c r="AC266" s="25"/>
      <c r="AD266" s="25"/>
      <c r="AE266" s="25"/>
    </row>
    <row r="267" spans="1:31" ht="340" outlineLevel="1" x14ac:dyDescent="0.15">
      <c r="A267" s="338" t="s">
        <v>3505</v>
      </c>
      <c r="B267" s="306"/>
      <c r="C267" s="338" t="s">
        <v>2715</v>
      </c>
      <c r="D267" s="339"/>
      <c r="E267" s="338" t="s">
        <v>1675</v>
      </c>
      <c r="F267" s="339"/>
      <c r="G267" s="261" t="s">
        <v>3417</v>
      </c>
      <c r="H267" s="339"/>
      <c r="I267" s="338" t="s">
        <v>2946</v>
      </c>
      <c r="J267" s="84"/>
      <c r="K267" s="84" t="s">
        <v>3506</v>
      </c>
      <c r="L267" s="340"/>
      <c r="M267" s="332" t="s">
        <v>2678</v>
      </c>
      <c r="N267" s="306"/>
      <c r="O267" s="306"/>
      <c r="P267" s="22"/>
      <c r="Q267" s="84"/>
      <c r="R267" s="25"/>
      <c r="S267" s="25"/>
      <c r="T267" s="22"/>
      <c r="U267" s="25"/>
      <c r="V267" s="25"/>
      <c r="W267" s="25"/>
      <c r="X267" s="84" t="str">
        <f t="shared" si="1"/>
        <v>grantPlayerItems</v>
      </c>
      <c r="Y267" s="337" t="s">
        <v>3507</v>
      </c>
      <c r="Z267" s="25"/>
      <c r="AA267" s="25"/>
      <c r="AB267" s="25"/>
      <c r="AC267" s="25"/>
      <c r="AD267" s="25"/>
      <c r="AE267" s="25"/>
    </row>
    <row r="268" spans="1:31" ht="340" outlineLevel="1" x14ac:dyDescent="0.15">
      <c r="A268" s="338" t="s">
        <v>3508</v>
      </c>
      <c r="B268" s="306"/>
      <c r="C268" s="338" t="s">
        <v>2715</v>
      </c>
      <c r="D268" s="339"/>
      <c r="E268" s="338" t="s">
        <v>1675</v>
      </c>
      <c r="F268" s="339"/>
      <c r="G268" s="261" t="s">
        <v>3421</v>
      </c>
      <c r="H268" s="339"/>
      <c r="I268" s="338" t="s">
        <v>2946</v>
      </c>
      <c r="J268" s="84"/>
      <c r="K268" s="84" t="s">
        <v>3509</v>
      </c>
      <c r="L268" s="340"/>
      <c r="M268" s="332" t="s">
        <v>2678</v>
      </c>
      <c r="N268" s="306"/>
      <c r="O268" s="306"/>
      <c r="P268" s="22"/>
      <c r="Q268" s="84"/>
      <c r="R268" s="25"/>
      <c r="S268" s="25"/>
      <c r="T268" s="22"/>
      <c r="U268" s="25"/>
      <c r="V268" s="25"/>
      <c r="W268" s="25"/>
      <c r="X268" s="84" t="str">
        <f t="shared" si="1"/>
        <v>grantPlayerItems</v>
      </c>
      <c r="Y268" s="337" t="s">
        <v>3510</v>
      </c>
      <c r="Z268" s="25"/>
      <c r="AA268" s="25"/>
      <c r="AB268" s="25"/>
      <c r="AC268" s="25"/>
      <c r="AD268" s="25"/>
      <c r="AE268" s="25"/>
    </row>
    <row r="269" spans="1:31" ht="340" outlineLevel="1" x14ac:dyDescent="0.15">
      <c r="A269" s="338" t="s">
        <v>3511</v>
      </c>
      <c r="B269" s="306"/>
      <c r="C269" s="338" t="s">
        <v>2715</v>
      </c>
      <c r="D269" s="339"/>
      <c r="E269" s="338" t="s">
        <v>1675</v>
      </c>
      <c r="F269" s="339"/>
      <c r="G269" s="261" t="s">
        <v>3425</v>
      </c>
      <c r="H269" s="339"/>
      <c r="I269" s="338" t="s">
        <v>2946</v>
      </c>
      <c r="J269" s="84"/>
      <c r="K269" s="84" t="s">
        <v>3512</v>
      </c>
      <c r="L269" s="340"/>
      <c r="M269" s="332" t="s">
        <v>2678</v>
      </c>
      <c r="N269" s="306"/>
      <c r="O269" s="306"/>
      <c r="P269" s="22"/>
      <c r="Q269" s="84"/>
      <c r="R269" s="25"/>
      <c r="S269" s="25"/>
      <c r="T269" s="22"/>
      <c r="U269" s="25"/>
      <c r="V269" s="25"/>
      <c r="W269" s="25"/>
      <c r="X269" s="84" t="str">
        <f t="shared" si="1"/>
        <v>grantPlayerItems</v>
      </c>
      <c r="Y269" s="337" t="s">
        <v>3513</v>
      </c>
      <c r="Z269" s="25"/>
      <c r="AA269" s="25"/>
      <c r="AB269" s="25"/>
      <c r="AC269" s="25"/>
      <c r="AD269" s="25"/>
      <c r="AE269" s="25"/>
    </row>
    <row r="270" spans="1:31" ht="340" x14ac:dyDescent="0.15">
      <c r="A270" s="338" t="s">
        <v>3514</v>
      </c>
      <c r="B270" s="306"/>
      <c r="C270" s="338" t="s">
        <v>2715</v>
      </c>
      <c r="D270" s="339"/>
      <c r="E270" s="338" t="s">
        <v>1948</v>
      </c>
      <c r="F270" s="339"/>
      <c r="G270" s="261" t="s">
        <v>3401</v>
      </c>
      <c r="H270" s="339"/>
      <c r="I270" s="338" t="s">
        <v>2946</v>
      </c>
      <c r="J270" s="84"/>
      <c r="K270" s="84" t="s">
        <v>3515</v>
      </c>
      <c r="L270" s="340"/>
      <c r="M270" s="332" t="s">
        <v>2678</v>
      </c>
      <c r="N270" s="306"/>
      <c r="O270" s="306"/>
      <c r="P270" s="22"/>
      <c r="Q270" s="84"/>
      <c r="R270" s="25"/>
      <c r="S270" s="25"/>
      <c r="T270" s="22"/>
      <c r="U270" s="25"/>
      <c r="V270" s="25"/>
      <c r="W270" s="25"/>
      <c r="X270" s="84" t="str">
        <f t="shared" si="1"/>
        <v>grantPlayerItems</v>
      </c>
      <c r="Y270" s="337" t="s">
        <v>3516</v>
      </c>
      <c r="Z270" s="25"/>
      <c r="AA270" s="25"/>
      <c r="AB270" s="25"/>
      <c r="AC270" s="25"/>
      <c r="AD270" s="25"/>
      <c r="AE270" s="25"/>
    </row>
    <row r="271" spans="1:31" ht="340" outlineLevel="1" x14ac:dyDescent="0.15">
      <c r="A271" s="338" t="s">
        <v>3517</v>
      </c>
      <c r="B271" s="306"/>
      <c r="C271" s="338" t="s">
        <v>2715</v>
      </c>
      <c r="D271" s="339"/>
      <c r="E271" s="338" t="s">
        <v>1948</v>
      </c>
      <c r="F271" s="339"/>
      <c r="G271" s="261" t="s">
        <v>3405</v>
      </c>
      <c r="H271" s="339"/>
      <c r="I271" s="338" t="s">
        <v>2946</v>
      </c>
      <c r="J271" s="84"/>
      <c r="K271" s="84" t="s">
        <v>3518</v>
      </c>
      <c r="L271" s="340"/>
      <c r="M271" s="332" t="s">
        <v>2678</v>
      </c>
      <c r="N271" s="306"/>
      <c r="O271" s="306"/>
      <c r="P271" s="22"/>
      <c r="Q271" s="84"/>
      <c r="R271" s="25"/>
      <c r="S271" s="25"/>
      <c r="T271" s="22"/>
      <c r="U271" s="25"/>
      <c r="V271" s="25"/>
      <c r="W271" s="25"/>
      <c r="X271" s="84" t="str">
        <f t="shared" si="1"/>
        <v>grantPlayerItems</v>
      </c>
      <c r="Y271" s="337" t="s">
        <v>3519</v>
      </c>
      <c r="Z271" s="25"/>
      <c r="AA271" s="25"/>
      <c r="AB271" s="25"/>
      <c r="AC271" s="25"/>
      <c r="AD271" s="25"/>
      <c r="AE271" s="25"/>
    </row>
    <row r="272" spans="1:31" ht="340" outlineLevel="1" x14ac:dyDescent="0.15">
      <c r="A272" s="338" t="s">
        <v>3520</v>
      </c>
      <c r="B272" s="306"/>
      <c r="C272" s="338" t="s">
        <v>2715</v>
      </c>
      <c r="D272" s="339"/>
      <c r="E272" s="338" t="s">
        <v>1948</v>
      </c>
      <c r="F272" s="339"/>
      <c r="G272" s="261" t="s">
        <v>3409</v>
      </c>
      <c r="H272" s="339"/>
      <c r="I272" s="338" t="s">
        <v>2946</v>
      </c>
      <c r="J272" s="84"/>
      <c r="K272" s="84" t="s">
        <v>3521</v>
      </c>
      <c r="L272" s="340"/>
      <c r="M272" s="332" t="s">
        <v>2678</v>
      </c>
      <c r="N272" s="306"/>
      <c r="O272" s="306"/>
      <c r="P272" s="22"/>
      <c r="Q272" s="84"/>
      <c r="R272" s="25"/>
      <c r="S272" s="25"/>
      <c r="T272" s="22"/>
      <c r="U272" s="25"/>
      <c r="V272" s="25"/>
      <c r="W272" s="25"/>
      <c r="X272" s="84" t="str">
        <f t="shared" si="1"/>
        <v>grantPlayerItems</v>
      </c>
      <c r="Y272" s="337" t="s">
        <v>3522</v>
      </c>
      <c r="Z272" s="25"/>
      <c r="AA272" s="25"/>
      <c r="AB272" s="25"/>
      <c r="AC272" s="25"/>
      <c r="AD272" s="25"/>
      <c r="AE272" s="25"/>
    </row>
    <row r="273" spans="1:31" ht="340" outlineLevel="1" x14ac:dyDescent="0.15">
      <c r="A273" s="338" t="s">
        <v>3523</v>
      </c>
      <c r="B273" s="306"/>
      <c r="C273" s="338" t="s">
        <v>2715</v>
      </c>
      <c r="D273" s="339"/>
      <c r="E273" s="338" t="s">
        <v>1948</v>
      </c>
      <c r="F273" s="339"/>
      <c r="G273" s="261" t="s">
        <v>3413</v>
      </c>
      <c r="H273" s="339"/>
      <c r="I273" s="338" t="s">
        <v>2946</v>
      </c>
      <c r="J273" s="84"/>
      <c r="K273" s="84" t="s">
        <v>3524</v>
      </c>
      <c r="L273" s="340"/>
      <c r="M273" s="332" t="s">
        <v>2678</v>
      </c>
      <c r="N273" s="306"/>
      <c r="O273" s="306"/>
      <c r="P273" s="22"/>
      <c r="Q273" s="84"/>
      <c r="R273" s="25"/>
      <c r="S273" s="25"/>
      <c r="T273" s="22"/>
      <c r="U273" s="25"/>
      <c r="V273" s="25"/>
      <c r="W273" s="25"/>
      <c r="X273" s="84" t="str">
        <f t="shared" si="1"/>
        <v>grantPlayerItems</v>
      </c>
      <c r="Y273" s="337" t="s">
        <v>3525</v>
      </c>
      <c r="Z273" s="25"/>
      <c r="AA273" s="25"/>
      <c r="AB273" s="25"/>
      <c r="AC273" s="25"/>
      <c r="AD273" s="25"/>
      <c r="AE273" s="25"/>
    </row>
    <row r="274" spans="1:31" ht="340" outlineLevel="1" x14ac:dyDescent="0.15">
      <c r="A274" s="338" t="s">
        <v>3526</v>
      </c>
      <c r="B274" s="306"/>
      <c r="C274" s="338" t="s">
        <v>2715</v>
      </c>
      <c r="D274" s="339"/>
      <c r="E274" s="338" t="s">
        <v>1948</v>
      </c>
      <c r="F274" s="339"/>
      <c r="G274" s="261" t="s">
        <v>3417</v>
      </c>
      <c r="H274" s="339"/>
      <c r="I274" s="338" t="s">
        <v>2946</v>
      </c>
      <c r="J274" s="84"/>
      <c r="K274" s="84" t="s">
        <v>3527</v>
      </c>
      <c r="L274" s="340"/>
      <c r="M274" s="332" t="s">
        <v>2678</v>
      </c>
      <c r="N274" s="306"/>
      <c r="O274" s="306"/>
      <c r="P274" s="22"/>
      <c r="Q274" s="84"/>
      <c r="R274" s="25"/>
      <c r="S274" s="25"/>
      <c r="T274" s="22"/>
      <c r="U274" s="25"/>
      <c r="V274" s="25"/>
      <c r="W274" s="25"/>
      <c r="X274" s="84" t="str">
        <f t="shared" si="1"/>
        <v>grantPlayerItems</v>
      </c>
      <c r="Y274" s="337" t="s">
        <v>3528</v>
      </c>
      <c r="Z274" s="25"/>
      <c r="AA274" s="25"/>
      <c r="AB274" s="25"/>
      <c r="AC274" s="25"/>
      <c r="AD274" s="25"/>
      <c r="AE274" s="25"/>
    </row>
    <row r="275" spans="1:31" ht="340" outlineLevel="1" x14ac:dyDescent="0.15">
      <c r="A275" s="338" t="s">
        <v>3529</v>
      </c>
      <c r="B275" s="306"/>
      <c r="C275" s="338" t="s">
        <v>2715</v>
      </c>
      <c r="D275" s="339"/>
      <c r="E275" s="338" t="s">
        <v>1948</v>
      </c>
      <c r="F275" s="339"/>
      <c r="G275" s="261" t="s">
        <v>3421</v>
      </c>
      <c r="H275" s="339"/>
      <c r="I275" s="338" t="s">
        <v>2946</v>
      </c>
      <c r="J275" s="84"/>
      <c r="K275" s="84" t="s">
        <v>3530</v>
      </c>
      <c r="L275" s="340"/>
      <c r="M275" s="332" t="s">
        <v>2678</v>
      </c>
      <c r="N275" s="306"/>
      <c r="O275" s="306"/>
      <c r="P275" s="22"/>
      <c r="Q275" s="84"/>
      <c r="R275" s="25"/>
      <c r="S275" s="25"/>
      <c r="T275" s="22"/>
      <c r="U275" s="25"/>
      <c r="V275" s="25"/>
      <c r="W275" s="25"/>
      <c r="X275" s="84" t="str">
        <f t="shared" si="1"/>
        <v>grantPlayerItems</v>
      </c>
      <c r="Y275" s="337" t="s">
        <v>3531</v>
      </c>
      <c r="Z275" s="25"/>
      <c r="AA275" s="25"/>
      <c r="AB275" s="25"/>
      <c r="AC275" s="25"/>
      <c r="AD275" s="25"/>
      <c r="AE275" s="25"/>
    </row>
    <row r="276" spans="1:31" ht="340" outlineLevel="1" x14ac:dyDescent="0.15">
      <c r="A276" s="338" t="s">
        <v>3532</v>
      </c>
      <c r="B276" s="306"/>
      <c r="C276" s="338" t="s">
        <v>2715</v>
      </c>
      <c r="D276" s="339"/>
      <c r="E276" s="338" t="s">
        <v>1948</v>
      </c>
      <c r="F276" s="339"/>
      <c r="G276" s="261" t="s">
        <v>3425</v>
      </c>
      <c r="H276" s="339"/>
      <c r="I276" s="338" t="s">
        <v>2946</v>
      </c>
      <c r="J276" s="84"/>
      <c r="K276" s="84" t="s">
        <v>3533</v>
      </c>
      <c r="L276" s="340"/>
      <c r="M276" s="332" t="s">
        <v>2678</v>
      </c>
      <c r="N276" s="306"/>
      <c r="O276" s="306"/>
      <c r="P276" s="22"/>
      <c r="Q276" s="84"/>
      <c r="R276" s="25"/>
      <c r="S276" s="25"/>
      <c r="T276" s="22"/>
      <c r="U276" s="25"/>
      <c r="V276" s="25"/>
      <c r="W276" s="25"/>
      <c r="X276" s="84" t="str">
        <f t="shared" si="1"/>
        <v>grantPlayerItems</v>
      </c>
      <c r="Y276" s="337" t="s">
        <v>3534</v>
      </c>
      <c r="Z276" s="25"/>
      <c r="AA276" s="25"/>
      <c r="AB276" s="25"/>
      <c r="AC276" s="25"/>
      <c r="AD276" s="25"/>
      <c r="AE276" s="25"/>
    </row>
    <row r="277" spans="1:31" ht="340" x14ac:dyDescent="0.15">
      <c r="A277" s="338" t="s">
        <v>3535</v>
      </c>
      <c r="B277" s="306"/>
      <c r="C277" s="338" t="s">
        <v>2715</v>
      </c>
      <c r="D277" s="339"/>
      <c r="E277" s="338" t="s">
        <v>1701</v>
      </c>
      <c r="F277" s="339"/>
      <c r="G277" s="261" t="s">
        <v>3401</v>
      </c>
      <c r="H277" s="339"/>
      <c r="I277" s="338" t="s">
        <v>2946</v>
      </c>
      <c r="J277" s="84"/>
      <c r="K277" s="84" t="s">
        <v>3536</v>
      </c>
      <c r="L277" s="340"/>
      <c r="M277" s="332" t="s">
        <v>2678</v>
      </c>
      <c r="N277" s="306"/>
      <c r="O277" s="306"/>
      <c r="P277" s="22"/>
      <c r="Q277" s="84"/>
      <c r="R277" s="25"/>
      <c r="S277" s="25"/>
      <c r="T277" s="22"/>
      <c r="U277" s="25"/>
      <c r="V277" s="25"/>
      <c r="W277" s="25"/>
      <c r="X277" s="84" t="str">
        <f t="shared" si="1"/>
        <v>grantPlayerItems</v>
      </c>
      <c r="Y277" s="337" t="s">
        <v>3537</v>
      </c>
      <c r="Z277" s="25"/>
      <c r="AA277" s="25"/>
      <c r="AB277" s="25"/>
      <c r="AC277" s="25"/>
      <c r="AD277" s="25"/>
      <c r="AE277" s="25"/>
    </row>
    <row r="278" spans="1:31" ht="340" outlineLevel="1" x14ac:dyDescent="0.15">
      <c r="A278" s="338" t="s">
        <v>3538</v>
      </c>
      <c r="B278" s="306"/>
      <c r="C278" s="338" t="s">
        <v>2715</v>
      </c>
      <c r="D278" s="339"/>
      <c r="E278" s="338" t="s">
        <v>1701</v>
      </c>
      <c r="F278" s="339"/>
      <c r="G278" s="261" t="s">
        <v>3405</v>
      </c>
      <c r="H278" s="339"/>
      <c r="I278" s="338" t="s">
        <v>2946</v>
      </c>
      <c r="J278" s="84"/>
      <c r="K278" s="84" t="s">
        <v>3539</v>
      </c>
      <c r="L278" s="340"/>
      <c r="M278" s="332" t="s">
        <v>2678</v>
      </c>
      <c r="N278" s="306"/>
      <c r="O278" s="306"/>
      <c r="P278" s="22"/>
      <c r="Q278" s="84"/>
      <c r="R278" s="25"/>
      <c r="S278" s="25"/>
      <c r="T278" s="22"/>
      <c r="U278" s="25"/>
      <c r="V278" s="25"/>
      <c r="W278" s="25"/>
      <c r="X278" s="84" t="str">
        <f t="shared" si="1"/>
        <v>grantPlayerItems</v>
      </c>
      <c r="Y278" s="337" t="s">
        <v>3540</v>
      </c>
      <c r="Z278" s="25"/>
      <c r="AA278" s="25"/>
      <c r="AB278" s="25"/>
      <c r="AC278" s="25"/>
      <c r="AD278" s="25"/>
      <c r="AE278" s="25"/>
    </row>
    <row r="279" spans="1:31" ht="340" outlineLevel="1" x14ac:dyDescent="0.15">
      <c r="A279" s="338" t="s">
        <v>3541</v>
      </c>
      <c r="B279" s="306"/>
      <c r="C279" s="338" t="s">
        <v>2715</v>
      </c>
      <c r="D279" s="339"/>
      <c r="E279" s="338" t="s">
        <v>1701</v>
      </c>
      <c r="F279" s="339"/>
      <c r="G279" s="261" t="s">
        <v>3409</v>
      </c>
      <c r="H279" s="339"/>
      <c r="I279" s="338" t="s">
        <v>2946</v>
      </c>
      <c r="J279" s="84"/>
      <c r="K279" s="84" t="s">
        <v>3542</v>
      </c>
      <c r="L279" s="340"/>
      <c r="M279" s="332" t="s">
        <v>2678</v>
      </c>
      <c r="N279" s="306"/>
      <c r="O279" s="306"/>
      <c r="P279" s="22"/>
      <c r="Q279" s="84"/>
      <c r="R279" s="25"/>
      <c r="S279" s="25"/>
      <c r="T279" s="22"/>
      <c r="U279" s="25"/>
      <c r="V279" s="25"/>
      <c r="W279" s="25"/>
      <c r="X279" s="84" t="str">
        <f t="shared" si="1"/>
        <v>grantPlayerItems</v>
      </c>
      <c r="Y279" s="337" t="s">
        <v>3543</v>
      </c>
      <c r="Z279" s="25"/>
      <c r="AA279" s="25"/>
      <c r="AB279" s="25"/>
      <c r="AC279" s="25"/>
      <c r="AD279" s="25"/>
      <c r="AE279" s="25"/>
    </row>
    <row r="280" spans="1:31" ht="340" outlineLevel="1" x14ac:dyDescent="0.15">
      <c r="A280" s="338" t="s">
        <v>3544</v>
      </c>
      <c r="B280" s="306"/>
      <c r="C280" s="338" t="s">
        <v>2715</v>
      </c>
      <c r="D280" s="339"/>
      <c r="E280" s="338" t="s">
        <v>1701</v>
      </c>
      <c r="F280" s="339"/>
      <c r="G280" s="261" t="s">
        <v>3413</v>
      </c>
      <c r="H280" s="339"/>
      <c r="I280" s="338" t="s">
        <v>2946</v>
      </c>
      <c r="J280" s="84"/>
      <c r="K280" s="84" t="s">
        <v>3545</v>
      </c>
      <c r="L280" s="340"/>
      <c r="M280" s="332" t="s">
        <v>2678</v>
      </c>
      <c r="N280" s="306"/>
      <c r="O280" s="306"/>
      <c r="P280" s="22"/>
      <c r="Q280" s="84"/>
      <c r="R280" s="25"/>
      <c r="S280" s="25"/>
      <c r="T280" s="22"/>
      <c r="U280" s="25"/>
      <c r="V280" s="25"/>
      <c r="W280" s="25"/>
      <c r="X280" s="84" t="str">
        <f t="shared" si="1"/>
        <v>grantPlayerItems</v>
      </c>
      <c r="Y280" s="337" t="s">
        <v>3546</v>
      </c>
      <c r="Z280" s="25"/>
      <c r="AA280" s="25"/>
      <c r="AB280" s="25"/>
      <c r="AC280" s="25"/>
      <c r="AD280" s="25"/>
      <c r="AE280" s="25"/>
    </row>
    <row r="281" spans="1:31" ht="340" outlineLevel="1" x14ac:dyDescent="0.15">
      <c r="A281" s="338" t="s">
        <v>3547</v>
      </c>
      <c r="B281" s="306"/>
      <c r="C281" s="338" t="s">
        <v>2715</v>
      </c>
      <c r="D281" s="339"/>
      <c r="E281" s="338" t="s">
        <v>1701</v>
      </c>
      <c r="F281" s="339"/>
      <c r="G281" s="261" t="s">
        <v>3417</v>
      </c>
      <c r="H281" s="339"/>
      <c r="I281" s="338" t="s">
        <v>2946</v>
      </c>
      <c r="J281" s="84"/>
      <c r="K281" s="84" t="s">
        <v>3548</v>
      </c>
      <c r="L281" s="340"/>
      <c r="M281" s="332" t="s">
        <v>2678</v>
      </c>
      <c r="N281" s="306"/>
      <c r="O281" s="306"/>
      <c r="P281" s="22"/>
      <c r="Q281" s="84"/>
      <c r="R281" s="25"/>
      <c r="S281" s="25"/>
      <c r="T281" s="22"/>
      <c r="U281" s="25"/>
      <c r="V281" s="25"/>
      <c r="W281" s="25"/>
      <c r="X281" s="84" t="str">
        <f t="shared" si="1"/>
        <v>grantPlayerItems</v>
      </c>
      <c r="Y281" s="337" t="s">
        <v>3549</v>
      </c>
      <c r="Z281" s="25"/>
      <c r="AA281" s="25"/>
      <c r="AB281" s="25"/>
      <c r="AC281" s="25"/>
      <c r="AD281" s="25"/>
      <c r="AE281" s="25"/>
    </row>
    <row r="282" spans="1:31" ht="340" outlineLevel="1" x14ac:dyDescent="0.15">
      <c r="A282" s="338" t="s">
        <v>3550</v>
      </c>
      <c r="B282" s="306"/>
      <c r="C282" s="338" t="s">
        <v>2715</v>
      </c>
      <c r="D282" s="339"/>
      <c r="E282" s="338" t="s">
        <v>1701</v>
      </c>
      <c r="F282" s="339"/>
      <c r="G282" s="261" t="s">
        <v>3421</v>
      </c>
      <c r="H282" s="339"/>
      <c r="I282" s="338" t="s">
        <v>2946</v>
      </c>
      <c r="J282" s="84"/>
      <c r="K282" s="84" t="s">
        <v>3551</v>
      </c>
      <c r="L282" s="340"/>
      <c r="M282" s="332" t="s">
        <v>2678</v>
      </c>
      <c r="N282" s="306"/>
      <c r="O282" s="306"/>
      <c r="P282" s="22"/>
      <c r="Q282" s="84"/>
      <c r="R282" s="25"/>
      <c r="S282" s="25"/>
      <c r="T282" s="22"/>
      <c r="U282" s="25"/>
      <c r="V282" s="25"/>
      <c r="W282" s="25"/>
      <c r="X282" s="84" t="str">
        <f t="shared" si="1"/>
        <v>grantPlayerItems</v>
      </c>
      <c r="Y282" s="337" t="s">
        <v>3552</v>
      </c>
      <c r="Z282" s="25"/>
      <c r="AA282" s="25"/>
      <c r="AB282" s="25"/>
      <c r="AC282" s="25"/>
      <c r="AD282" s="25"/>
      <c r="AE282" s="25"/>
    </row>
    <row r="283" spans="1:31" ht="340" outlineLevel="1" x14ac:dyDescent="0.15">
      <c r="A283" s="338" t="s">
        <v>3553</v>
      </c>
      <c r="B283" s="306"/>
      <c r="C283" s="338" t="s">
        <v>2715</v>
      </c>
      <c r="D283" s="339"/>
      <c r="E283" s="338" t="s">
        <v>1701</v>
      </c>
      <c r="F283" s="339"/>
      <c r="G283" s="261" t="s">
        <v>3425</v>
      </c>
      <c r="H283" s="339"/>
      <c r="I283" s="338" t="s">
        <v>2946</v>
      </c>
      <c r="J283" s="84"/>
      <c r="K283" s="84" t="s">
        <v>3554</v>
      </c>
      <c r="L283" s="340"/>
      <c r="M283" s="332" t="s">
        <v>2678</v>
      </c>
      <c r="N283" s="306"/>
      <c r="O283" s="306"/>
      <c r="P283" s="22"/>
      <c r="Q283" s="84"/>
      <c r="R283" s="25"/>
      <c r="S283" s="25"/>
      <c r="T283" s="22"/>
      <c r="U283" s="25"/>
      <c r="V283" s="25"/>
      <c r="W283" s="25"/>
      <c r="X283" s="84" t="str">
        <f t="shared" si="1"/>
        <v>grantPlayerItems</v>
      </c>
      <c r="Y283" s="337" t="s">
        <v>3555</v>
      </c>
      <c r="Z283" s="25"/>
      <c r="AA283" s="25"/>
      <c r="AB283" s="25"/>
      <c r="AC283" s="25"/>
      <c r="AD283" s="25"/>
      <c r="AE283" s="25"/>
    </row>
    <row r="284" spans="1:31" ht="340" x14ac:dyDescent="0.15">
      <c r="A284" s="338" t="s">
        <v>3556</v>
      </c>
      <c r="B284" s="306"/>
      <c r="C284" s="338" t="s">
        <v>2715</v>
      </c>
      <c r="D284" s="339"/>
      <c r="E284" s="338" t="s">
        <v>1885</v>
      </c>
      <c r="F284" s="339"/>
      <c r="G284" s="261" t="s">
        <v>3401</v>
      </c>
      <c r="H284" s="339"/>
      <c r="I284" s="338" t="s">
        <v>2946</v>
      </c>
      <c r="J284" s="84"/>
      <c r="K284" s="84" t="s">
        <v>3557</v>
      </c>
      <c r="L284" s="340"/>
      <c r="M284" s="332" t="s">
        <v>2678</v>
      </c>
      <c r="N284" s="306"/>
      <c r="O284" s="306"/>
      <c r="P284" s="22"/>
      <c r="Q284" s="84"/>
      <c r="R284" s="25"/>
      <c r="S284" s="25"/>
      <c r="T284" s="22"/>
      <c r="U284" s="25"/>
      <c r="V284" s="25"/>
      <c r="W284" s="25"/>
      <c r="X284" s="84" t="str">
        <f t="shared" si="1"/>
        <v>grantPlayerItems</v>
      </c>
      <c r="Y284" s="337" t="s">
        <v>3558</v>
      </c>
      <c r="Z284" s="25"/>
      <c r="AA284" s="25"/>
      <c r="AB284" s="25"/>
      <c r="AC284" s="25"/>
      <c r="AD284" s="25"/>
      <c r="AE284" s="25"/>
    </row>
    <row r="285" spans="1:31" ht="340" outlineLevel="1" x14ac:dyDescent="0.15">
      <c r="A285" s="338" t="s">
        <v>3559</v>
      </c>
      <c r="B285" s="306"/>
      <c r="C285" s="338" t="s">
        <v>2715</v>
      </c>
      <c r="D285" s="339"/>
      <c r="E285" s="338" t="s">
        <v>1885</v>
      </c>
      <c r="F285" s="339"/>
      <c r="G285" s="261" t="s">
        <v>3405</v>
      </c>
      <c r="H285" s="339"/>
      <c r="I285" s="338" t="s">
        <v>2946</v>
      </c>
      <c r="J285" s="84"/>
      <c r="K285" s="84" t="s">
        <v>3560</v>
      </c>
      <c r="L285" s="340"/>
      <c r="M285" s="332" t="s">
        <v>2678</v>
      </c>
      <c r="N285" s="306"/>
      <c r="O285" s="306"/>
      <c r="P285" s="22"/>
      <c r="Q285" s="84"/>
      <c r="R285" s="25"/>
      <c r="S285" s="25"/>
      <c r="T285" s="22"/>
      <c r="U285" s="25"/>
      <c r="V285" s="25"/>
      <c r="W285" s="25"/>
      <c r="X285" s="84" t="str">
        <f t="shared" si="1"/>
        <v>grantPlayerItems</v>
      </c>
      <c r="Y285" s="337" t="s">
        <v>3561</v>
      </c>
      <c r="Z285" s="25"/>
      <c r="AA285" s="25"/>
      <c r="AB285" s="25"/>
      <c r="AC285" s="25"/>
      <c r="AD285" s="25"/>
      <c r="AE285" s="25"/>
    </row>
    <row r="286" spans="1:31" ht="340" outlineLevel="1" x14ac:dyDescent="0.15">
      <c r="A286" s="338" t="s">
        <v>3562</v>
      </c>
      <c r="B286" s="306"/>
      <c r="C286" s="338" t="s">
        <v>2715</v>
      </c>
      <c r="D286" s="339"/>
      <c r="E286" s="338" t="s">
        <v>1885</v>
      </c>
      <c r="F286" s="339"/>
      <c r="G286" s="261" t="s">
        <v>3409</v>
      </c>
      <c r="H286" s="339"/>
      <c r="I286" s="338" t="s">
        <v>2946</v>
      </c>
      <c r="J286" s="84"/>
      <c r="K286" s="84" t="s">
        <v>3563</v>
      </c>
      <c r="L286" s="340"/>
      <c r="M286" s="332" t="s">
        <v>2678</v>
      </c>
      <c r="N286" s="306"/>
      <c r="O286" s="306"/>
      <c r="P286" s="22"/>
      <c r="Q286" s="84"/>
      <c r="R286" s="25"/>
      <c r="S286" s="25"/>
      <c r="T286" s="22"/>
      <c r="U286" s="25"/>
      <c r="V286" s="25"/>
      <c r="W286" s="25"/>
      <c r="X286" s="84" t="str">
        <f t="shared" si="1"/>
        <v>grantPlayerItems</v>
      </c>
      <c r="Y286" s="337" t="s">
        <v>3564</v>
      </c>
      <c r="Z286" s="25"/>
      <c r="AA286" s="25"/>
      <c r="AB286" s="25"/>
      <c r="AC286" s="25"/>
      <c r="AD286" s="25"/>
      <c r="AE286" s="25"/>
    </row>
    <row r="287" spans="1:31" ht="340" outlineLevel="1" x14ac:dyDescent="0.15">
      <c r="A287" s="338" t="s">
        <v>3565</v>
      </c>
      <c r="B287" s="306"/>
      <c r="C287" s="338" t="s">
        <v>2715</v>
      </c>
      <c r="D287" s="339"/>
      <c r="E287" s="338" t="s">
        <v>1885</v>
      </c>
      <c r="F287" s="339"/>
      <c r="G287" s="261" t="s">
        <v>3413</v>
      </c>
      <c r="H287" s="339"/>
      <c r="I287" s="338" t="s">
        <v>2946</v>
      </c>
      <c r="J287" s="84"/>
      <c r="K287" s="84" t="s">
        <v>3566</v>
      </c>
      <c r="L287" s="340"/>
      <c r="M287" s="332" t="s">
        <v>2678</v>
      </c>
      <c r="N287" s="306"/>
      <c r="O287" s="306"/>
      <c r="P287" s="22"/>
      <c r="Q287" s="84"/>
      <c r="R287" s="25"/>
      <c r="S287" s="25"/>
      <c r="T287" s="22"/>
      <c r="U287" s="25"/>
      <c r="V287" s="25"/>
      <c r="W287" s="25"/>
      <c r="X287" s="84" t="str">
        <f t="shared" si="1"/>
        <v>grantPlayerItems</v>
      </c>
      <c r="Y287" s="337" t="s">
        <v>3567</v>
      </c>
      <c r="Z287" s="25"/>
      <c r="AA287" s="25"/>
      <c r="AB287" s="25"/>
      <c r="AC287" s="25"/>
      <c r="AD287" s="25"/>
      <c r="AE287" s="25"/>
    </row>
    <row r="288" spans="1:31" ht="340" outlineLevel="1" x14ac:dyDescent="0.15">
      <c r="A288" s="338" t="s">
        <v>3568</v>
      </c>
      <c r="B288" s="306"/>
      <c r="C288" s="338" t="s">
        <v>2715</v>
      </c>
      <c r="D288" s="339"/>
      <c r="E288" s="338" t="s">
        <v>1885</v>
      </c>
      <c r="F288" s="339"/>
      <c r="G288" s="261" t="s">
        <v>3417</v>
      </c>
      <c r="H288" s="339"/>
      <c r="I288" s="338" t="s">
        <v>2946</v>
      </c>
      <c r="J288" s="84"/>
      <c r="K288" s="84" t="s">
        <v>3569</v>
      </c>
      <c r="L288" s="340"/>
      <c r="M288" s="332" t="s">
        <v>2678</v>
      </c>
      <c r="N288" s="306"/>
      <c r="O288" s="306"/>
      <c r="P288" s="22"/>
      <c r="Q288" s="84"/>
      <c r="R288" s="25"/>
      <c r="S288" s="25"/>
      <c r="T288" s="22"/>
      <c r="U288" s="25"/>
      <c r="V288" s="25"/>
      <c r="W288" s="25"/>
      <c r="X288" s="84" t="str">
        <f t="shared" si="1"/>
        <v>grantPlayerItems</v>
      </c>
      <c r="Y288" s="337" t="s">
        <v>3570</v>
      </c>
      <c r="Z288" s="25"/>
      <c r="AA288" s="25"/>
      <c r="AB288" s="25"/>
      <c r="AC288" s="25"/>
      <c r="AD288" s="25"/>
      <c r="AE288" s="25"/>
    </row>
    <row r="289" spans="1:31" ht="340" outlineLevel="1" x14ac:dyDescent="0.15">
      <c r="A289" s="338" t="s">
        <v>3571</v>
      </c>
      <c r="B289" s="306"/>
      <c r="C289" s="338" t="s">
        <v>2715</v>
      </c>
      <c r="D289" s="339"/>
      <c r="E289" s="338" t="s">
        <v>1885</v>
      </c>
      <c r="F289" s="339"/>
      <c r="G289" s="261" t="s">
        <v>3421</v>
      </c>
      <c r="H289" s="339"/>
      <c r="I289" s="338" t="s">
        <v>2946</v>
      </c>
      <c r="J289" s="84"/>
      <c r="K289" s="84" t="s">
        <v>3572</v>
      </c>
      <c r="L289" s="340"/>
      <c r="M289" s="332" t="s">
        <v>2678</v>
      </c>
      <c r="N289" s="306"/>
      <c r="O289" s="306"/>
      <c r="P289" s="22"/>
      <c r="Q289" s="84"/>
      <c r="R289" s="25"/>
      <c r="S289" s="25"/>
      <c r="T289" s="22"/>
      <c r="U289" s="25"/>
      <c r="V289" s="25"/>
      <c r="W289" s="25"/>
      <c r="X289" s="84" t="str">
        <f t="shared" si="1"/>
        <v>grantPlayerItems</v>
      </c>
      <c r="Y289" s="337" t="s">
        <v>3573</v>
      </c>
      <c r="Z289" s="25"/>
      <c r="AA289" s="25"/>
      <c r="AB289" s="25"/>
      <c r="AC289" s="25"/>
      <c r="AD289" s="25"/>
      <c r="AE289" s="25"/>
    </row>
    <row r="290" spans="1:31" ht="340" outlineLevel="1" x14ac:dyDescent="0.15">
      <c r="A290" s="338" t="s">
        <v>3574</v>
      </c>
      <c r="B290" s="306"/>
      <c r="C290" s="338" t="s">
        <v>2715</v>
      </c>
      <c r="D290" s="339"/>
      <c r="E290" s="338" t="s">
        <v>1885</v>
      </c>
      <c r="F290" s="339"/>
      <c r="G290" s="261" t="s">
        <v>3425</v>
      </c>
      <c r="H290" s="339"/>
      <c r="I290" s="338" t="s">
        <v>2946</v>
      </c>
      <c r="J290" s="84"/>
      <c r="K290" s="84" t="s">
        <v>3575</v>
      </c>
      <c r="L290" s="340"/>
      <c r="M290" s="332" t="s">
        <v>2678</v>
      </c>
      <c r="N290" s="306"/>
      <c r="O290" s="306"/>
      <c r="P290" s="22"/>
      <c r="Q290" s="84"/>
      <c r="R290" s="25"/>
      <c r="S290" s="25"/>
      <c r="T290" s="22"/>
      <c r="U290" s="25"/>
      <c r="V290" s="25"/>
      <c r="W290" s="25"/>
      <c r="X290" s="84" t="str">
        <f t="shared" si="1"/>
        <v>grantPlayerItems</v>
      </c>
      <c r="Y290" s="337" t="s">
        <v>3576</v>
      </c>
      <c r="Z290" s="25"/>
      <c r="AA290" s="25"/>
      <c r="AB290" s="25"/>
      <c r="AC290" s="25"/>
      <c r="AD290" s="25"/>
      <c r="AE290" s="25"/>
    </row>
    <row r="291" spans="1:31" ht="340" x14ac:dyDescent="0.15">
      <c r="A291" s="338" t="s">
        <v>3577</v>
      </c>
      <c r="B291" s="306"/>
      <c r="C291" s="338" t="s">
        <v>2715</v>
      </c>
      <c r="D291" s="339"/>
      <c r="E291" s="338" t="s">
        <v>1772</v>
      </c>
      <c r="F291" s="339"/>
      <c r="G291" s="261" t="s">
        <v>3401</v>
      </c>
      <c r="H291" s="339"/>
      <c r="I291" s="338" t="s">
        <v>2946</v>
      </c>
      <c r="J291" s="84"/>
      <c r="K291" s="84" t="s">
        <v>3578</v>
      </c>
      <c r="L291" s="340"/>
      <c r="M291" s="332" t="s">
        <v>2678</v>
      </c>
      <c r="N291" s="306"/>
      <c r="O291" s="306"/>
      <c r="P291" s="22"/>
      <c r="Q291" s="84"/>
      <c r="R291" s="25"/>
      <c r="S291" s="25"/>
      <c r="T291" s="22"/>
      <c r="U291" s="25"/>
      <c r="V291" s="25"/>
      <c r="W291" s="25"/>
      <c r="X291" s="84" t="str">
        <f t="shared" si="1"/>
        <v>grantPlayerItems</v>
      </c>
      <c r="Y291" s="337" t="s">
        <v>3579</v>
      </c>
      <c r="Z291" s="25"/>
      <c r="AA291" s="25"/>
      <c r="AB291" s="25"/>
      <c r="AC291" s="25"/>
      <c r="AD291" s="25"/>
      <c r="AE291" s="25"/>
    </row>
    <row r="292" spans="1:31" ht="340" outlineLevel="1" x14ac:dyDescent="0.15">
      <c r="A292" s="338" t="s">
        <v>3580</v>
      </c>
      <c r="B292" s="306"/>
      <c r="C292" s="338" t="s">
        <v>2715</v>
      </c>
      <c r="D292" s="339"/>
      <c r="E292" s="338" t="s">
        <v>1772</v>
      </c>
      <c r="F292" s="339"/>
      <c r="G292" s="261" t="s">
        <v>3405</v>
      </c>
      <c r="H292" s="339"/>
      <c r="I292" s="338" t="s">
        <v>2946</v>
      </c>
      <c r="J292" s="84"/>
      <c r="K292" s="84" t="s">
        <v>3581</v>
      </c>
      <c r="L292" s="340"/>
      <c r="M292" s="332" t="s">
        <v>2678</v>
      </c>
      <c r="N292" s="306"/>
      <c r="O292" s="306"/>
      <c r="P292" s="22"/>
      <c r="Q292" s="84"/>
      <c r="R292" s="25"/>
      <c r="S292" s="25"/>
      <c r="T292" s="22"/>
      <c r="U292" s="25"/>
      <c r="V292" s="25"/>
      <c r="W292" s="25"/>
      <c r="X292" s="84" t="str">
        <f t="shared" si="1"/>
        <v>grantPlayerItems</v>
      </c>
      <c r="Y292" s="337" t="s">
        <v>3582</v>
      </c>
      <c r="Z292" s="25"/>
      <c r="AA292" s="25"/>
      <c r="AB292" s="25"/>
      <c r="AC292" s="25"/>
      <c r="AD292" s="25"/>
      <c r="AE292" s="25"/>
    </row>
    <row r="293" spans="1:31" ht="340" outlineLevel="1" x14ac:dyDescent="0.15">
      <c r="A293" s="338" t="s">
        <v>3583</v>
      </c>
      <c r="B293" s="306"/>
      <c r="C293" s="338" t="s">
        <v>2715</v>
      </c>
      <c r="D293" s="339"/>
      <c r="E293" s="338" t="s">
        <v>1772</v>
      </c>
      <c r="F293" s="339"/>
      <c r="G293" s="261" t="s">
        <v>3409</v>
      </c>
      <c r="H293" s="339"/>
      <c r="I293" s="338" t="s">
        <v>2946</v>
      </c>
      <c r="J293" s="84"/>
      <c r="K293" s="84" t="s">
        <v>3584</v>
      </c>
      <c r="L293" s="340"/>
      <c r="M293" s="332" t="s">
        <v>2678</v>
      </c>
      <c r="N293" s="306"/>
      <c r="O293" s="306"/>
      <c r="P293" s="22"/>
      <c r="Q293" s="84"/>
      <c r="R293" s="25"/>
      <c r="S293" s="25"/>
      <c r="T293" s="22"/>
      <c r="U293" s="25"/>
      <c r="V293" s="25"/>
      <c r="W293" s="25"/>
      <c r="X293" s="84" t="str">
        <f t="shared" si="1"/>
        <v>grantPlayerItems</v>
      </c>
      <c r="Y293" s="337" t="s">
        <v>3585</v>
      </c>
      <c r="Z293" s="25"/>
      <c r="AA293" s="25"/>
      <c r="AB293" s="25"/>
      <c r="AC293" s="25"/>
      <c r="AD293" s="25"/>
      <c r="AE293" s="25"/>
    </row>
    <row r="294" spans="1:31" ht="340" outlineLevel="1" x14ac:dyDescent="0.15">
      <c r="A294" s="338" t="s">
        <v>3586</v>
      </c>
      <c r="B294" s="306"/>
      <c r="C294" s="338" t="s">
        <v>2715</v>
      </c>
      <c r="D294" s="339"/>
      <c r="E294" s="338" t="s">
        <v>1772</v>
      </c>
      <c r="F294" s="339"/>
      <c r="G294" s="261" t="s">
        <v>3413</v>
      </c>
      <c r="H294" s="339"/>
      <c r="I294" s="338" t="s">
        <v>2946</v>
      </c>
      <c r="J294" s="84"/>
      <c r="K294" s="84" t="s">
        <v>3587</v>
      </c>
      <c r="L294" s="340"/>
      <c r="M294" s="332" t="s">
        <v>2678</v>
      </c>
      <c r="N294" s="306"/>
      <c r="O294" s="306"/>
      <c r="P294" s="22"/>
      <c r="Q294" s="84"/>
      <c r="R294" s="25"/>
      <c r="S294" s="25"/>
      <c r="T294" s="22"/>
      <c r="U294" s="25"/>
      <c r="V294" s="25"/>
      <c r="W294" s="25"/>
      <c r="X294" s="84" t="str">
        <f t="shared" si="1"/>
        <v>grantPlayerItems</v>
      </c>
      <c r="Y294" s="337" t="s">
        <v>3588</v>
      </c>
      <c r="Z294" s="25"/>
      <c r="AA294" s="25"/>
      <c r="AB294" s="25"/>
      <c r="AC294" s="25"/>
      <c r="AD294" s="25"/>
      <c r="AE294" s="25"/>
    </row>
    <row r="295" spans="1:31" ht="340" outlineLevel="1" x14ac:dyDescent="0.15">
      <c r="A295" s="338" t="s">
        <v>3589</v>
      </c>
      <c r="B295" s="306"/>
      <c r="C295" s="338" t="s">
        <v>2715</v>
      </c>
      <c r="D295" s="339"/>
      <c r="E295" s="338" t="s">
        <v>1772</v>
      </c>
      <c r="F295" s="339"/>
      <c r="G295" s="261" t="s">
        <v>3417</v>
      </c>
      <c r="H295" s="339"/>
      <c r="I295" s="338" t="s">
        <v>2946</v>
      </c>
      <c r="J295" s="84"/>
      <c r="K295" s="84" t="s">
        <v>3590</v>
      </c>
      <c r="L295" s="340"/>
      <c r="M295" s="332" t="s">
        <v>2678</v>
      </c>
      <c r="N295" s="306"/>
      <c r="O295" s="306"/>
      <c r="P295" s="22"/>
      <c r="Q295" s="84"/>
      <c r="R295" s="25"/>
      <c r="S295" s="25"/>
      <c r="T295" s="22"/>
      <c r="U295" s="25"/>
      <c r="V295" s="25"/>
      <c r="W295" s="25"/>
      <c r="X295" s="84" t="str">
        <f t="shared" si="1"/>
        <v>grantPlayerItems</v>
      </c>
      <c r="Y295" s="337" t="s">
        <v>3591</v>
      </c>
      <c r="Z295" s="25"/>
      <c r="AA295" s="25"/>
      <c r="AB295" s="25"/>
      <c r="AC295" s="25"/>
      <c r="AD295" s="25"/>
      <c r="AE295" s="25"/>
    </row>
    <row r="296" spans="1:31" ht="340" outlineLevel="1" x14ac:dyDescent="0.15">
      <c r="A296" s="338" t="s">
        <v>3592</v>
      </c>
      <c r="B296" s="306"/>
      <c r="C296" s="338" t="s">
        <v>2715</v>
      </c>
      <c r="D296" s="339"/>
      <c r="E296" s="338" t="s">
        <v>1772</v>
      </c>
      <c r="F296" s="339"/>
      <c r="G296" s="261" t="s">
        <v>3421</v>
      </c>
      <c r="H296" s="339"/>
      <c r="I296" s="338" t="s">
        <v>2946</v>
      </c>
      <c r="J296" s="84"/>
      <c r="K296" s="84" t="s">
        <v>3593</v>
      </c>
      <c r="L296" s="340"/>
      <c r="M296" s="332" t="s">
        <v>2678</v>
      </c>
      <c r="N296" s="306"/>
      <c r="O296" s="306"/>
      <c r="P296" s="22"/>
      <c r="Q296" s="84"/>
      <c r="R296" s="25"/>
      <c r="S296" s="25"/>
      <c r="T296" s="22"/>
      <c r="U296" s="25"/>
      <c r="V296" s="25"/>
      <c r="W296" s="25"/>
      <c r="X296" s="84" t="str">
        <f t="shared" si="1"/>
        <v>grantPlayerItems</v>
      </c>
      <c r="Y296" s="337" t="s">
        <v>3594</v>
      </c>
      <c r="Z296" s="25"/>
      <c r="AA296" s="25"/>
      <c r="AB296" s="25"/>
      <c r="AC296" s="25"/>
      <c r="AD296" s="25"/>
      <c r="AE296" s="25"/>
    </row>
    <row r="297" spans="1:31" ht="340" outlineLevel="1" x14ac:dyDescent="0.15">
      <c r="A297" s="338" t="s">
        <v>3595</v>
      </c>
      <c r="B297" s="306"/>
      <c r="C297" s="338" t="s">
        <v>2715</v>
      </c>
      <c r="D297" s="339"/>
      <c r="E297" s="338" t="s">
        <v>1772</v>
      </c>
      <c r="F297" s="339"/>
      <c r="G297" s="261" t="s">
        <v>3425</v>
      </c>
      <c r="H297" s="339"/>
      <c r="I297" s="338" t="s">
        <v>2946</v>
      </c>
      <c r="J297" s="84"/>
      <c r="K297" s="84" t="s">
        <v>3596</v>
      </c>
      <c r="L297" s="340"/>
      <c r="M297" s="332" t="s">
        <v>2678</v>
      </c>
      <c r="N297" s="306"/>
      <c r="O297" s="306"/>
      <c r="P297" s="22"/>
      <c r="Q297" s="84"/>
      <c r="R297" s="25"/>
      <c r="S297" s="25"/>
      <c r="T297" s="22"/>
      <c r="U297" s="25"/>
      <c r="V297" s="25"/>
      <c r="W297" s="25"/>
      <c r="X297" s="84" t="str">
        <f t="shared" si="1"/>
        <v>grantPlayerItems</v>
      </c>
      <c r="Y297" s="337" t="s">
        <v>3597</v>
      </c>
      <c r="Z297" s="25"/>
      <c r="AA297" s="25"/>
      <c r="AB297" s="25"/>
      <c r="AC297" s="25"/>
      <c r="AD297" s="25"/>
      <c r="AE297" s="25"/>
    </row>
    <row r="298" spans="1:31" ht="340" x14ac:dyDescent="0.15">
      <c r="A298" s="338" t="s">
        <v>3598</v>
      </c>
      <c r="B298" s="306"/>
      <c r="C298" s="338" t="s">
        <v>2715</v>
      </c>
      <c r="D298" s="339"/>
      <c r="E298" s="338" t="s">
        <v>1853</v>
      </c>
      <c r="F298" s="339"/>
      <c r="G298" s="261" t="s">
        <v>3401</v>
      </c>
      <c r="H298" s="339"/>
      <c r="I298" s="338" t="s">
        <v>2946</v>
      </c>
      <c r="J298" s="84"/>
      <c r="K298" s="84" t="s">
        <v>3599</v>
      </c>
      <c r="L298" s="340"/>
      <c r="M298" s="332" t="s">
        <v>2678</v>
      </c>
      <c r="N298" s="306"/>
      <c r="O298" s="306"/>
      <c r="P298" s="22"/>
      <c r="Q298" s="84"/>
      <c r="R298" s="25"/>
      <c r="S298" s="25"/>
      <c r="T298" s="22"/>
      <c r="U298" s="25"/>
      <c r="V298" s="25"/>
      <c r="W298" s="25"/>
      <c r="X298" s="84" t="str">
        <f t="shared" si="1"/>
        <v>grantPlayerItems</v>
      </c>
      <c r="Y298" s="337" t="s">
        <v>3600</v>
      </c>
      <c r="Z298" s="25"/>
      <c r="AA298" s="25"/>
      <c r="AB298" s="25"/>
      <c r="AC298" s="25"/>
      <c r="AD298" s="25"/>
      <c r="AE298" s="25"/>
    </row>
    <row r="299" spans="1:31" ht="340" outlineLevel="1" x14ac:dyDescent="0.15">
      <c r="A299" s="338" t="s">
        <v>3601</v>
      </c>
      <c r="B299" s="306"/>
      <c r="C299" s="338" t="s">
        <v>2715</v>
      </c>
      <c r="D299" s="339"/>
      <c r="E299" s="338" t="s">
        <v>1853</v>
      </c>
      <c r="F299" s="339"/>
      <c r="G299" s="261" t="s">
        <v>3405</v>
      </c>
      <c r="H299" s="339"/>
      <c r="I299" s="338" t="s">
        <v>2946</v>
      </c>
      <c r="J299" s="84"/>
      <c r="K299" s="84" t="s">
        <v>3602</v>
      </c>
      <c r="L299" s="340"/>
      <c r="M299" s="332" t="s">
        <v>2678</v>
      </c>
      <c r="N299" s="306"/>
      <c r="O299" s="306"/>
      <c r="P299" s="22"/>
      <c r="Q299" s="84"/>
      <c r="R299" s="25"/>
      <c r="S299" s="25"/>
      <c r="T299" s="22"/>
      <c r="U299" s="25"/>
      <c r="V299" s="25"/>
      <c r="W299" s="25"/>
      <c r="X299" s="84" t="str">
        <f t="shared" si="1"/>
        <v>grantPlayerItems</v>
      </c>
      <c r="Y299" s="337" t="s">
        <v>3603</v>
      </c>
      <c r="Z299" s="25"/>
      <c r="AA299" s="25"/>
      <c r="AB299" s="25"/>
      <c r="AC299" s="25"/>
      <c r="AD299" s="25"/>
      <c r="AE299" s="25"/>
    </row>
    <row r="300" spans="1:31" ht="340" outlineLevel="1" x14ac:dyDescent="0.15">
      <c r="A300" s="338" t="s">
        <v>3604</v>
      </c>
      <c r="B300" s="306"/>
      <c r="C300" s="338" t="s">
        <v>2715</v>
      </c>
      <c r="D300" s="339"/>
      <c r="E300" s="338" t="s">
        <v>1853</v>
      </c>
      <c r="F300" s="339"/>
      <c r="G300" s="261" t="s">
        <v>3409</v>
      </c>
      <c r="H300" s="339"/>
      <c r="I300" s="338" t="s">
        <v>2946</v>
      </c>
      <c r="J300" s="84"/>
      <c r="K300" s="84" t="s">
        <v>3605</v>
      </c>
      <c r="L300" s="340"/>
      <c r="M300" s="332" t="s">
        <v>2678</v>
      </c>
      <c r="N300" s="306"/>
      <c r="O300" s="306"/>
      <c r="P300" s="22"/>
      <c r="Q300" s="84"/>
      <c r="R300" s="25"/>
      <c r="S300" s="25"/>
      <c r="T300" s="22"/>
      <c r="U300" s="25"/>
      <c r="V300" s="25"/>
      <c r="W300" s="25"/>
      <c r="X300" s="84" t="str">
        <f t="shared" si="1"/>
        <v>grantPlayerItems</v>
      </c>
      <c r="Y300" s="337" t="s">
        <v>3606</v>
      </c>
      <c r="Z300" s="25"/>
      <c r="AA300" s="25"/>
      <c r="AB300" s="25"/>
      <c r="AC300" s="25"/>
      <c r="AD300" s="25"/>
      <c r="AE300" s="25"/>
    </row>
    <row r="301" spans="1:31" ht="340" outlineLevel="1" x14ac:dyDescent="0.15">
      <c r="A301" s="338" t="s">
        <v>3607</v>
      </c>
      <c r="B301" s="306"/>
      <c r="C301" s="338" t="s">
        <v>2715</v>
      </c>
      <c r="D301" s="339"/>
      <c r="E301" s="338" t="s">
        <v>1853</v>
      </c>
      <c r="F301" s="339"/>
      <c r="G301" s="261" t="s">
        <v>3413</v>
      </c>
      <c r="H301" s="339"/>
      <c r="I301" s="338" t="s">
        <v>2946</v>
      </c>
      <c r="J301" s="84"/>
      <c r="K301" s="84" t="s">
        <v>3608</v>
      </c>
      <c r="L301" s="340"/>
      <c r="M301" s="332" t="s">
        <v>2678</v>
      </c>
      <c r="N301" s="306"/>
      <c r="O301" s="306"/>
      <c r="P301" s="22"/>
      <c r="Q301" s="84"/>
      <c r="R301" s="25"/>
      <c r="S301" s="25"/>
      <c r="T301" s="22"/>
      <c r="U301" s="25"/>
      <c r="V301" s="25"/>
      <c r="W301" s="25"/>
      <c r="X301" s="84" t="str">
        <f t="shared" si="1"/>
        <v>grantPlayerItems</v>
      </c>
      <c r="Y301" s="337" t="s">
        <v>3609</v>
      </c>
      <c r="Z301" s="25"/>
      <c r="AA301" s="25"/>
      <c r="AB301" s="25"/>
      <c r="AC301" s="25"/>
      <c r="AD301" s="25"/>
      <c r="AE301" s="25"/>
    </row>
    <row r="302" spans="1:31" ht="340" outlineLevel="1" x14ac:dyDescent="0.15">
      <c r="A302" s="338" t="s">
        <v>3610</v>
      </c>
      <c r="B302" s="306"/>
      <c r="C302" s="338" t="s">
        <v>2715</v>
      </c>
      <c r="D302" s="339"/>
      <c r="E302" s="338" t="s">
        <v>1853</v>
      </c>
      <c r="F302" s="339"/>
      <c r="G302" s="261" t="s">
        <v>3417</v>
      </c>
      <c r="H302" s="339"/>
      <c r="I302" s="338" t="s">
        <v>2946</v>
      </c>
      <c r="J302" s="84"/>
      <c r="K302" s="84" t="s">
        <v>3611</v>
      </c>
      <c r="L302" s="340"/>
      <c r="M302" s="332" t="s">
        <v>2678</v>
      </c>
      <c r="N302" s="306"/>
      <c r="O302" s="306"/>
      <c r="P302" s="22"/>
      <c r="Q302" s="84"/>
      <c r="R302" s="25"/>
      <c r="S302" s="25"/>
      <c r="T302" s="22"/>
      <c r="U302" s="25"/>
      <c r="V302" s="25"/>
      <c r="W302" s="25"/>
      <c r="X302" s="84" t="str">
        <f t="shared" si="1"/>
        <v>grantPlayerItems</v>
      </c>
      <c r="Y302" s="337" t="s">
        <v>3612</v>
      </c>
      <c r="Z302" s="25"/>
      <c r="AA302" s="25"/>
      <c r="AB302" s="25"/>
      <c r="AC302" s="25"/>
      <c r="AD302" s="25"/>
      <c r="AE302" s="25"/>
    </row>
    <row r="303" spans="1:31" ht="340" outlineLevel="1" x14ac:dyDescent="0.15">
      <c r="A303" s="338" t="s">
        <v>3613</v>
      </c>
      <c r="B303" s="306"/>
      <c r="C303" s="338" t="s">
        <v>2715</v>
      </c>
      <c r="D303" s="339"/>
      <c r="E303" s="338" t="s">
        <v>1853</v>
      </c>
      <c r="F303" s="339"/>
      <c r="G303" s="261" t="s">
        <v>3421</v>
      </c>
      <c r="H303" s="339"/>
      <c r="I303" s="338" t="s">
        <v>2946</v>
      </c>
      <c r="J303" s="84"/>
      <c r="K303" s="84" t="s">
        <v>3614</v>
      </c>
      <c r="L303" s="340"/>
      <c r="M303" s="332" t="s">
        <v>2678</v>
      </c>
      <c r="N303" s="306"/>
      <c r="O303" s="306"/>
      <c r="P303" s="22"/>
      <c r="Q303" s="84"/>
      <c r="R303" s="25"/>
      <c r="S303" s="25"/>
      <c r="T303" s="22"/>
      <c r="U303" s="25"/>
      <c r="V303" s="25"/>
      <c r="W303" s="25"/>
      <c r="X303" s="84" t="str">
        <f t="shared" si="1"/>
        <v>grantPlayerItems</v>
      </c>
      <c r="Y303" s="337" t="s">
        <v>3615</v>
      </c>
      <c r="Z303" s="25"/>
      <c r="AA303" s="25"/>
      <c r="AB303" s="25"/>
      <c r="AC303" s="25"/>
      <c r="AD303" s="25"/>
      <c r="AE303" s="25"/>
    </row>
    <row r="304" spans="1:31" ht="340" outlineLevel="1" x14ac:dyDescent="0.15">
      <c r="A304" s="338" t="s">
        <v>3616</v>
      </c>
      <c r="B304" s="306"/>
      <c r="C304" s="338" t="s">
        <v>2715</v>
      </c>
      <c r="D304" s="339"/>
      <c r="E304" s="338" t="s">
        <v>1853</v>
      </c>
      <c r="F304" s="339"/>
      <c r="G304" s="261" t="s">
        <v>3425</v>
      </c>
      <c r="H304" s="339"/>
      <c r="I304" s="338" t="s">
        <v>2946</v>
      </c>
      <c r="J304" s="84"/>
      <c r="K304" s="84" t="s">
        <v>3617</v>
      </c>
      <c r="L304" s="340"/>
      <c r="M304" s="332" t="s">
        <v>2678</v>
      </c>
      <c r="N304" s="306"/>
      <c r="O304" s="306"/>
      <c r="P304" s="22"/>
      <c r="Q304" s="84"/>
      <c r="R304" s="25"/>
      <c r="S304" s="25"/>
      <c r="T304" s="22"/>
      <c r="U304" s="25"/>
      <c r="V304" s="25"/>
      <c r="W304" s="25"/>
      <c r="X304" s="84" t="str">
        <f t="shared" si="1"/>
        <v>grantPlayerItems</v>
      </c>
      <c r="Y304" s="337" t="s">
        <v>3618</v>
      </c>
      <c r="Z304" s="25"/>
      <c r="AA304" s="25"/>
      <c r="AB304" s="25"/>
      <c r="AC304" s="25"/>
      <c r="AD304" s="25"/>
      <c r="AE304" s="25"/>
    </row>
    <row r="305" spans="1:31" ht="340" x14ac:dyDescent="0.15">
      <c r="A305" s="338" t="s">
        <v>3619</v>
      </c>
      <c r="B305" s="306"/>
      <c r="C305" s="338" t="s">
        <v>2715</v>
      </c>
      <c r="D305" s="339"/>
      <c r="E305" s="338" t="s">
        <v>1879</v>
      </c>
      <c r="F305" s="339"/>
      <c r="G305" s="261" t="s">
        <v>3401</v>
      </c>
      <c r="H305" s="339"/>
      <c r="I305" s="338" t="s">
        <v>2946</v>
      </c>
      <c r="J305" s="84"/>
      <c r="K305" s="84" t="s">
        <v>3620</v>
      </c>
      <c r="L305" s="340"/>
      <c r="M305" s="332" t="s">
        <v>2678</v>
      </c>
      <c r="N305" s="306"/>
      <c r="O305" s="306"/>
      <c r="P305" s="22"/>
      <c r="Q305" s="84"/>
      <c r="R305" s="25"/>
      <c r="S305" s="25"/>
      <c r="T305" s="22"/>
      <c r="U305" s="25"/>
      <c r="V305" s="25"/>
      <c r="W305" s="25"/>
      <c r="X305" s="84" t="str">
        <f t="shared" si="1"/>
        <v>grantPlayerItems</v>
      </c>
      <c r="Y305" s="337" t="s">
        <v>3621</v>
      </c>
      <c r="Z305" s="25"/>
      <c r="AA305" s="25"/>
      <c r="AB305" s="25"/>
      <c r="AC305" s="25"/>
      <c r="AD305" s="25"/>
      <c r="AE305" s="25"/>
    </row>
    <row r="306" spans="1:31" ht="340" outlineLevel="1" x14ac:dyDescent="0.15">
      <c r="A306" s="338" t="s">
        <v>3622</v>
      </c>
      <c r="B306" s="306"/>
      <c r="C306" s="338" t="s">
        <v>2715</v>
      </c>
      <c r="D306" s="339"/>
      <c r="E306" s="338" t="s">
        <v>1879</v>
      </c>
      <c r="F306" s="339"/>
      <c r="G306" s="261" t="s">
        <v>3405</v>
      </c>
      <c r="H306" s="339"/>
      <c r="I306" s="338" t="s">
        <v>2946</v>
      </c>
      <c r="J306" s="84"/>
      <c r="K306" s="84" t="s">
        <v>3623</v>
      </c>
      <c r="L306" s="340"/>
      <c r="M306" s="332" t="s">
        <v>2678</v>
      </c>
      <c r="N306" s="306"/>
      <c r="O306" s="306"/>
      <c r="P306" s="22"/>
      <c r="Q306" s="84"/>
      <c r="R306" s="25"/>
      <c r="S306" s="25"/>
      <c r="T306" s="22"/>
      <c r="U306" s="25"/>
      <c r="V306" s="25"/>
      <c r="W306" s="25"/>
      <c r="X306" s="84" t="str">
        <f t="shared" si="1"/>
        <v>grantPlayerItems</v>
      </c>
      <c r="Y306" s="337" t="s">
        <v>3624</v>
      </c>
      <c r="Z306" s="25"/>
      <c r="AA306" s="25"/>
      <c r="AB306" s="25"/>
      <c r="AC306" s="25"/>
      <c r="AD306" s="25"/>
      <c r="AE306" s="25"/>
    </row>
    <row r="307" spans="1:31" ht="340" outlineLevel="1" x14ac:dyDescent="0.15">
      <c r="A307" s="338" t="s">
        <v>3625</v>
      </c>
      <c r="B307" s="306"/>
      <c r="C307" s="338" t="s">
        <v>2715</v>
      </c>
      <c r="D307" s="339"/>
      <c r="E307" s="338" t="s">
        <v>1879</v>
      </c>
      <c r="F307" s="339"/>
      <c r="G307" s="261" t="s">
        <v>3409</v>
      </c>
      <c r="H307" s="339"/>
      <c r="I307" s="338" t="s">
        <v>2946</v>
      </c>
      <c r="J307" s="84"/>
      <c r="K307" s="84" t="s">
        <v>3626</v>
      </c>
      <c r="L307" s="340"/>
      <c r="M307" s="332" t="s">
        <v>2678</v>
      </c>
      <c r="N307" s="306"/>
      <c r="O307" s="306"/>
      <c r="P307" s="22"/>
      <c r="Q307" s="84"/>
      <c r="R307" s="25"/>
      <c r="S307" s="25"/>
      <c r="T307" s="22"/>
      <c r="U307" s="25"/>
      <c r="V307" s="25"/>
      <c r="W307" s="25"/>
      <c r="X307" s="84" t="str">
        <f t="shared" si="1"/>
        <v>grantPlayerItems</v>
      </c>
      <c r="Y307" s="337" t="s">
        <v>3627</v>
      </c>
      <c r="Z307" s="25"/>
      <c r="AA307" s="25"/>
      <c r="AB307" s="25"/>
      <c r="AC307" s="25"/>
      <c r="AD307" s="25"/>
      <c r="AE307" s="25"/>
    </row>
    <row r="308" spans="1:31" ht="340" outlineLevel="1" x14ac:dyDescent="0.15">
      <c r="A308" s="338" t="s">
        <v>3628</v>
      </c>
      <c r="B308" s="306"/>
      <c r="C308" s="338" t="s">
        <v>2715</v>
      </c>
      <c r="D308" s="339"/>
      <c r="E308" s="338" t="s">
        <v>1879</v>
      </c>
      <c r="F308" s="339"/>
      <c r="G308" s="261" t="s">
        <v>3413</v>
      </c>
      <c r="H308" s="339"/>
      <c r="I308" s="338" t="s">
        <v>2946</v>
      </c>
      <c r="J308" s="84"/>
      <c r="K308" s="84" t="s">
        <v>3629</v>
      </c>
      <c r="L308" s="340"/>
      <c r="M308" s="332" t="s">
        <v>2678</v>
      </c>
      <c r="N308" s="306"/>
      <c r="O308" s="306"/>
      <c r="P308" s="22"/>
      <c r="Q308" s="84"/>
      <c r="R308" s="25"/>
      <c r="S308" s="25"/>
      <c r="T308" s="22"/>
      <c r="U308" s="25"/>
      <c r="V308" s="25"/>
      <c r="W308" s="25"/>
      <c r="X308" s="84" t="str">
        <f t="shared" si="1"/>
        <v>grantPlayerItems</v>
      </c>
      <c r="Y308" s="337" t="s">
        <v>3630</v>
      </c>
      <c r="Z308" s="25"/>
      <c r="AA308" s="25"/>
      <c r="AB308" s="25"/>
      <c r="AC308" s="25"/>
      <c r="AD308" s="25"/>
      <c r="AE308" s="25"/>
    </row>
    <row r="309" spans="1:31" ht="340" outlineLevel="1" x14ac:dyDescent="0.15">
      <c r="A309" s="338" t="s">
        <v>3631</v>
      </c>
      <c r="B309" s="306"/>
      <c r="C309" s="338" t="s">
        <v>2715</v>
      </c>
      <c r="D309" s="339"/>
      <c r="E309" s="338" t="s">
        <v>1879</v>
      </c>
      <c r="F309" s="339"/>
      <c r="G309" s="261" t="s">
        <v>3417</v>
      </c>
      <c r="H309" s="339"/>
      <c r="I309" s="338" t="s">
        <v>2946</v>
      </c>
      <c r="J309" s="84"/>
      <c r="K309" s="84" t="s">
        <v>3632</v>
      </c>
      <c r="L309" s="340"/>
      <c r="M309" s="332" t="s">
        <v>2678</v>
      </c>
      <c r="N309" s="306"/>
      <c r="O309" s="306"/>
      <c r="P309" s="22"/>
      <c r="Q309" s="84"/>
      <c r="R309" s="25"/>
      <c r="S309" s="25"/>
      <c r="T309" s="22"/>
      <c r="U309" s="25"/>
      <c r="V309" s="25"/>
      <c r="W309" s="25"/>
      <c r="X309" s="84" t="str">
        <f t="shared" si="1"/>
        <v>grantPlayerItems</v>
      </c>
      <c r="Y309" s="337" t="s">
        <v>3633</v>
      </c>
      <c r="Z309" s="25"/>
      <c r="AA309" s="25"/>
      <c r="AB309" s="25"/>
      <c r="AC309" s="25"/>
      <c r="AD309" s="25"/>
      <c r="AE309" s="25"/>
    </row>
    <row r="310" spans="1:31" ht="340" outlineLevel="1" x14ac:dyDescent="0.15">
      <c r="A310" s="338" t="s">
        <v>3634</v>
      </c>
      <c r="B310" s="306"/>
      <c r="C310" s="338" t="s">
        <v>2715</v>
      </c>
      <c r="D310" s="339"/>
      <c r="E310" s="338" t="s">
        <v>1879</v>
      </c>
      <c r="F310" s="339"/>
      <c r="G310" s="261" t="s">
        <v>3421</v>
      </c>
      <c r="H310" s="339"/>
      <c r="I310" s="338" t="s">
        <v>2946</v>
      </c>
      <c r="J310" s="84"/>
      <c r="K310" s="84" t="s">
        <v>3635</v>
      </c>
      <c r="L310" s="340"/>
      <c r="M310" s="332" t="s">
        <v>2678</v>
      </c>
      <c r="N310" s="306"/>
      <c r="O310" s="306"/>
      <c r="P310" s="22"/>
      <c r="Q310" s="84"/>
      <c r="R310" s="25"/>
      <c r="S310" s="25"/>
      <c r="T310" s="22"/>
      <c r="U310" s="25"/>
      <c r="V310" s="25"/>
      <c r="W310" s="25"/>
      <c r="X310" s="84" t="str">
        <f t="shared" si="1"/>
        <v>grantPlayerItems</v>
      </c>
      <c r="Y310" s="337" t="s">
        <v>3636</v>
      </c>
      <c r="Z310" s="25"/>
      <c r="AA310" s="25"/>
      <c r="AB310" s="25"/>
      <c r="AC310" s="25"/>
      <c r="AD310" s="25"/>
      <c r="AE310" s="25"/>
    </row>
    <row r="311" spans="1:31" ht="340" outlineLevel="1" x14ac:dyDescent="0.15">
      <c r="A311" s="338" t="s">
        <v>3637</v>
      </c>
      <c r="B311" s="306"/>
      <c r="C311" s="338" t="s">
        <v>2715</v>
      </c>
      <c r="D311" s="339"/>
      <c r="E311" s="338" t="s">
        <v>1879</v>
      </c>
      <c r="F311" s="339"/>
      <c r="G311" s="261" t="s">
        <v>3425</v>
      </c>
      <c r="H311" s="339"/>
      <c r="I311" s="338" t="s">
        <v>2946</v>
      </c>
      <c r="J311" s="84"/>
      <c r="K311" s="84" t="s">
        <v>3638</v>
      </c>
      <c r="L311" s="340"/>
      <c r="M311" s="332" t="s">
        <v>2678</v>
      </c>
      <c r="N311" s="306"/>
      <c r="O311" s="306"/>
      <c r="P311" s="22"/>
      <c r="Q311" s="84"/>
      <c r="R311" s="25"/>
      <c r="S311" s="25"/>
      <c r="T311" s="22"/>
      <c r="U311" s="25"/>
      <c r="V311" s="25"/>
      <c r="W311" s="25"/>
      <c r="X311" s="84" t="str">
        <f t="shared" si="1"/>
        <v>grantPlayerItems</v>
      </c>
      <c r="Y311" s="337" t="s">
        <v>3639</v>
      </c>
      <c r="Z311" s="25"/>
      <c r="AA311" s="25"/>
      <c r="AB311" s="25"/>
      <c r="AC311" s="25"/>
      <c r="AD311" s="25"/>
      <c r="AE311" s="25"/>
    </row>
    <row r="312" spans="1:31" ht="340" x14ac:dyDescent="0.15">
      <c r="A312" s="338" t="s">
        <v>3640</v>
      </c>
      <c r="B312" s="306"/>
      <c r="C312" s="338" t="s">
        <v>2715</v>
      </c>
      <c r="D312" s="339"/>
      <c r="E312" s="338" t="s">
        <v>1992</v>
      </c>
      <c r="F312" s="339"/>
      <c r="G312" s="261" t="s">
        <v>3401</v>
      </c>
      <c r="H312" s="339"/>
      <c r="I312" s="338" t="s">
        <v>2946</v>
      </c>
      <c r="J312" s="84"/>
      <c r="K312" s="84" t="s">
        <v>3641</v>
      </c>
      <c r="L312" s="340"/>
      <c r="M312" s="332" t="s">
        <v>2678</v>
      </c>
      <c r="N312" s="306"/>
      <c r="O312" s="306"/>
      <c r="P312" s="22"/>
      <c r="Q312" s="84"/>
      <c r="R312" s="25"/>
      <c r="S312" s="25"/>
      <c r="T312" s="22"/>
      <c r="U312" s="25"/>
      <c r="V312" s="25"/>
      <c r="W312" s="25"/>
      <c r="X312" s="84" t="str">
        <f t="shared" si="1"/>
        <v>grantPlayerItems</v>
      </c>
      <c r="Y312" s="337" t="s">
        <v>3642</v>
      </c>
      <c r="Z312" s="25"/>
      <c r="AA312" s="25"/>
      <c r="AB312" s="25"/>
      <c r="AC312" s="25"/>
      <c r="AD312" s="25"/>
      <c r="AE312" s="25"/>
    </row>
    <row r="313" spans="1:31" ht="340" outlineLevel="1" x14ac:dyDescent="0.15">
      <c r="A313" s="338" t="s">
        <v>3643</v>
      </c>
      <c r="B313" s="306"/>
      <c r="C313" s="338" t="s">
        <v>2715</v>
      </c>
      <c r="D313" s="339"/>
      <c r="E313" s="338" t="s">
        <v>1992</v>
      </c>
      <c r="F313" s="339"/>
      <c r="G313" s="261" t="s">
        <v>3405</v>
      </c>
      <c r="H313" s="339"/>
      <c r="I313" s="338" t="s">
        <v>2946</v>
      </c>
      <c r="J313" s="84"/>
      <c r="K313" s="84" t="s">
        <v>3644</v>
      </c>
      <c r="L313" s="340"/>
      <c r="M313" s="332" t="s">
        <v>2678</v>
      </c>
      <c r="N313" s="306"/>
      <c r="O313" s="306"/>
      <c r="P313" s="22"/>
      <c r="Q313" s="84"/>
      <c r="R313" s="25"/>
      <c r="S313" s="25"/>
      <c r="T313" s="22"/>
      <c r="U313" s="25"/>
      <c r="V313" s="25"/>
      <c r="W313" s="25"/>
      <c r="X313" s="84" t="str">
        <f t="shared" si="1"/>
        <v>grantPlayerItems</v>
      </c>
      <c r="Y313" s="337" t="s">
        <v>3645</v>
      </c>
      <c r="Z313" s="25"/>
      <c r="AA313" s="25"/>
      <c r="AB313" s="25"/>
      <c r="AC313" s="25"/>
      <c r="AD313" s="25"/>
      <c r="AE313" s="25"/>
    </row>
    <row r="314" spans="1:31" ht="340" outlineLevel="1" x14ac:dyDescent="0.15">
      <c r="A314" s="338" t="s">
        <v>3646</v>
      </c>
      <c r="B314" s="306"/>
      <c r="C314" s="338" t="s">
        <v>2715</v>
      </c>
      <c r="D314" s="339"/>
      <c r="E314" s="338" t="s">
        <v>1992</v>
      </c>
      <c r="F314" s="339"/>
      <c r="G314" s="261" t="s">
        <v>3409</v>
      </c>
      <c r="H314" s="339"/>
      <c r="I314" s="338" t="s">
        <v>2946</v>
      </c>
      <c r="J314" s="84"/>
      <c r="K314" s="84" t="s">
        <v>3647</v>
      </c>
      <c r="L314" s="340"/>
      <c r="M314" s="332" t="s">
        <v>2678</v>
      </c>
      <c r="N314" s="306"/>
      <c r="O314" s="306"/>
      <c r="P314" s="22"/>
      <c r="Q314" s="84"/>
      <c r="R314" s="25"/>
      <c r="S314" s="25"/>
      <c r="T314" s="22"/>
      <c r="U314" s="25"/>
      <c r="V314" s="25"/>
      <c r="W314" s="25"/>
      <c r="X314" s="84" t="str">
        <f t="shared" si="1"/>
        <v>grantPlayerItems</v>
      </c>
      <c r="Y314" s="337" t="s">
        <v>3648</v>
      </c>
      <c r="Z314" s="25"/>
      <c r="AA314" s="25"/>
      <c r="AB314" s="25"/>
      <c r="AC314" s="25"/>
      <c r="AD314" s="25"/>
      <c r="AE314" s="25"/>
    </row>
    <row r="315" spans="1:31" ht="340" outlineLevel="1" x14ac:dyDescent="0.15">
      <c r="A315" s="338" t="s">
        <v>3649</v>
      </c>
      <c r="B315" s="306"/>
      <c r="C315" s="338" t="s">
        <v>2715</v>
      </c>
      <c r="D315" s="339"/>
      <c r="E315" s="338" t="s">
        <v>1992</v>
      </c>
      <c r="F315" s="339"/>
      <c r="G315" s="261" t="s">
        <v>3413</v>
      </c>
      <c r="H315" s="339"/>
      <c r="I315" s="338" t="s">
        <v>2946</v>
      </c>
      <c r="J315" s="84"/>
      <c r="K315" s="84" t="s">
        <v>3650</v>
      </c>
      <c r="L315" s="340"/>
      <c r="M315" s="332" t="s">
        <v>2678</v>
      </c>
      <c r="N315" s="306"/>
      <c r="O315" s="306"/>
      <c r="P315" s="22"/>
      <c r="Q315" s="84"/>
      <c r="R315" s="25"/>
      <c r="S315" s="25"/>
      <c r="T315" s="22"/>
      <c r="U315" s="25"/>
      <c r="V315" s="25"/>
      <c r="W315" s="25"/>
      <c r="X315" s="84" t="str">
        <f t="shared" si="1"/>
        <v>grantPlayerItems</v>
      </c>
      <c r="Y315" s="337" t="s">
        <v>3651</v>
      </c>
      <c r="Z315" s="25"/>
      <c r="AA315" s="25"/>
      <c r="AB315" s="25"/>
      <c r="AC315" s="25"/>
      <c r="AD315" s="25"/>
      <c r="AE315" s="25"/>
    </row>
    <row r="316" spans="1:31" ht="340" outlineLevel="1" x14ac:dyDescent="0.15">
      <c r="A316" s="338" t="s">
        <v>3652</v>
      </c>
      <c r="B316" s="306"/>
      <c r="C316" s="338" t="s">
        <v>2715</v>
      </c>
      <c r="D316" s="339"/>
      <c r="E316" s="338" t="s">
        <v>1992</v>
      </c>
      <c r="F316" s="339"/>
      <c r="G316" s="261" t="s">
        <v>3417</v>
      </c>
      <c r="H316" s="339"/>
      <c r="I316" s="338" t="s">
        <v>2946</v>
      </c>
      <c r="J316" s="84"/>
      <c r="K316" s="84" t="s">
        <v>3653</v>
      </c>
      <c r="L316" s="340"/>
      <c r="M316" s="332" t="s">
        <v>2678</v>
      </c>
      <c r="N316" s="306"/>
      <c r="O316" s="306"/>
      <c r="P316" s="22"/>
      <c r="Q316" s="84"/>
      <c r="R316" s="25"/>
      <c r="S316" s="25"/>
      <c r="T316" s="22"/>
      <c r="U316" s="25"/>
      <c r="V316" s="25"/>
      <c r="W316" s="25"/>
      <c r="X316" s="84" t="str">
        <f t="shared" si="1"/>
        <v>grantPlayerItems</v>
      </c>
      <c r="Y316" s="337" t="s">
        <v>3654</v>
      </c>
      <c r="Z316" s="25"/>
      <c r="AA316" s="25"/>
      <c r="AB316" s="25"/>
      <c r="AC316" s="25"/>
      <c r="AD316" s="25"/>
      <c r="AE316" s="25"/>
    </row>
    <row r="317" spans="1:31" ht="340" outlineLevel="1" x14ac:dyDescent="0.15">
      <c r="A317" s="338" t="s">
        <v>3655</v>
      </c>
      <c r="B317" s="306"/>
      <c r="C317" s="338" t="s">
        <v>2715</v>
      </c>
      <c r="D317" s="339"/>
      <c r="E317" s="338" t="s">
        <v>1992</v>
      </c>
      <c r="F317" s="339"/>
      <c r="G317" s="261" t="s">
        <v>3421</v>
      </c>
      <c r="H317" s="339"/>
      <c r="I317" s="338" t="s">
        <v>2946</v>
      </c>
      <c r="J317" s="84"/>
      <c r="K317" s="84" t="s">
        <v>3656</v>
      </c>
      <c r="L317" s="340"/>
      <c r="M317" s="332" t="s">
        <v>2678</v>
      </c>
      <c r="N317" s="306"/>
      <c r="O317" s="306"/>
      <c r="P317" s="22"/>
      <c r="Q317" s="84"/>
      <c r="R317" s="25"/>
      <c r="S317" s="25"/>
      <c r="T317" s="22"/>
      <c r="U317" s="25"/>
      <c r="V317" s="25"/>
      <c r="W317" s="25"/>
      <c r="X317" s="84" t="str">
        <f t="shared" si="1"/>
        <v>grantPlayerItems</v>
      </c>
      <c r="Y317" s="337" t="s">
        <v>3657</v>
      </c>
      <c r="Z317" s="25"/>
      <c r="AA317" s="25"/>
      <c r="AB317" s="25"/>
      <c r="AC317" s="25"/>
      <c r="AD317" s="25"/>
      <c r="AE317" s="25"/>
    </row>
    <row r="318" spans="1:31" ht="340" outlineLevel="1" x14ac:dyDescent="0.15">
      <c r="A318" s="338" t="s">
        <v>3658</v>
      </c>
      <c r="B318" s="306"/>
      <c r="C318" s="338" t="s">
        <v>2715</v>
      </c>
      <c r="D318" s="339"/>
      <c r="E318" s="338" t="s">
        <v>1992</v>
      </c>
      <c r="F318" s="339"/>
      <c r="G318" s="261" t="s">
        <v>3425</v>
      </c>
      <c r="H318" s="339"/>
      <c r="I318" s="338" t="s">
        <v>2946</v>
      </c>
      <c r="J318" s="84"/>
      <c r="K318" s="84" t="s">
        <v>3659</v>
      </c>
      <c r="L318" s="340"/>
      <c r="M318" s="332" t="s">
        <v>2678</v>
      </c>
      <c r="N318" s="306"/>
      <c r="O318" s="306"/>
      <c r="P318" s="22"/>
      <c r="Q318" s="84"/>
      <c r="R318" s="25"/>
      <c r="S318" s="25"/>
      <c r="T318" s="22"/>
      <c r="U318" s="25"/>
      <c r="V318" s="25"/>
      <c r="W318" s="25"/>
      <c r="X318" s="84" t="str">
        <f t="shared" si="1"/>
        <v>grantPlayerItems</v>
      </c>
      <c r="Y318" s="337" t="s">
        <v>3660</v>
      </c>
      <c r="Z318" s="25"/>
      <c r="AA318" s="25"/>
      <c r="AB318" s="25"/>
      <c r="AC318" s="25"/>
      <c r="AD318" s="25"/>
      <c r="AE318" s="25"/>
    </row>
    <row r="319" spans="1:31" ht="340" x14ac:dyDescent="0.15">
      <c r="A319" s="338" t="s">
        <v>3661</v>
      </c>
      <c r="B319" s="306"/>
      <c r="C319" s="338" t="s">
        <v>2715</v>
      </c>
      <c r="D319" s="339"/>
      <c r="E319" s="338" t="s">
        <v>1955</v>
      </c>
      <c r="F319" s="339"/>
      <c r="G319" s="261" t="s">
        <v>3401</v>
      </c>
      <c r="H319" s="339"/>
      <c r="I319" s="338" t="s">
        <v>2946</v>
      </c>
      <c r="J319" s="84"/>
      <c r="K319" s="84" t="s">
        <v>3662</v>
      </c>
      <c r="L319" s="340"/>
      <c r="M319" s="332" t="s">
        <v>2678</v>
      </c>
      <c r="N319" s="306"/>
      <c r="O319" s="306"/>
      <c r="P319" s="22"/>
      <c r="Q319" s="84"/>
      <c r="R319" s="25"/>
      <c r="S319" s="25"/>
      <c r="T319" s="22"/>
      <c r="U319" s="25"/>
      <c r="V319" s="25"/>
      <c r="W319" s="25"/>
      <c r="X319" s="84" t="str">
        <f t="shared" si="1"/>
        <v>grantPlayerItems</v>
      </c>
      <c r="Y319" s="337" t="s">
        <v>3663</v>
      </c>
      <c r="Z319" s="25"/>
      <c r="AA319" s="25"/>
      <c r="AB319" s="25"/>
      <c r="AC319" s="25"/>
      <c r="AD319" s="25"/>
      <c r="AE319" s="25"/>
    </row>
    <row r="320" spans="1:31" ht="340" outlineLevel="1" x14ac:dyDescent="0.15">
      <c r="A320" s="338" t="s">
        <v>3664</v>
      </c>
      <c r="B320" s="306"/>
      <c r="C320" s="338" t="s">
        <v>2715</v>
      </c>
      <c r="D320" s="339"/>
      <c r="E320" s="338" t="s">
        <v>1955</v>
      </c>
      <c r="F320" s="339"/>
      <c r="G320" s="261" t="s">
        <v>3405</v>
      </c>
      <c r="H320" s="339"/>
      <c r="I320" s="338" t="s">
        <v>2946</v>
      </c>
      <c r="J320" s="84"/>
      <c r="K320" s="84" t="s">
        <v>3665</v>
      </c>
      <c r="L320" s="340"/>
      <c r="M320" s="332" t="s">
        <v>2678</v>
      </c>
      <c r="N320" s="306"/>
      <c r="O320" s="306"/>
      <c r="P320" s="22"/>
      <c r="Q320" s="84"/>
      <c r="R320" s="25"/>
      <c r="S320" s="25"/>
      <c r="T320" s="22"/>
      <c r="U320" s="25"/>
      <c r="V320" s="25"/>
      <c r="W320" s="25"/>
      <c r="X320" s="84" t="str">
        <f t="shared" si="1"/>
        <v>grantPlayerItems</v>
      </c>
      <c r="Y320" s="337" t="s">
        <v>3666</v>
      </c>
      <c r="Z320" s="25"/>
      <c r="AA320" s="25"/>
      <c r="AB320" s="25"/>
      <c r="AC320" s="25"/>
      <c r="AD320" s="25"/>
      <c r="AE320" s="25"/>
    </row>
    <row r="321" spans="1:31" ht="340" outlineLevel="1" x14ac:dyDescent="0.15">
      <c r="A321" s="338" t="s">
        <v>3667</v>
      </c>
      <c r="B321" s="306"/>
      <c r="C321" s="338" t="s">
        <v>2715</v>
      </c>
      <c r="D321" s="339"/>
      <c r="E321" s="338" t="s">
        <v>1955</v>
      </c>
      <c r="F321" s="339"/>
      <c r="G321" s="261" t="s">
        <v>3409</v>
      </c>
      <c r="H321" s="339"/>
      <c r="I321" s="338" t="s">
        <v>2946</v>
      </c>
      <c r="J321" s="84"/>
      <c r="K321" s="84" t="s">
        <v>3668</v>
      </c>
      <c r="L321" s="340"/>
      <c r="M321" s="332" t="s">
        <v>2678</v>
      </c>
      <c r="N321" s="306"/>
      <c r="O321" s="306"/>
      <c r="P321" s="22"/>
      <c r="Q321" s="84"/>
      <c r="R321" s="25"/>
      <c r="S321" s="25"/>
      <c r="T321" s="22"/>
      <c r="U321" s="25"/>
      <c r="V321" s="25"/>
      <c r="W321" s="25"/>
      <c r="X321" s="84" t="str">
        <f t="shared" si="1"/>
        <v>grantPlayerItems</v>
      </c>
      <c r="Y321" s="337" t="s">
        <v>3669</v>
      </c>
      <c r="Z321" s="25"/>
      <c r="AA321" s="25"/>
      <c r="AB321" s="25"/>
      <c r="AC321" s="25"/>
      <c r="AD321" s="25"/>
      <c r="AE321" s="25"/>
    </row>
    <row r="322" spans="1:31" ht="340" outlineLevel="1" x14ac:dyDescent="0.15">
      <c r="A322" s="338" t="s">
        <v>3670</v>
      </c>
      <c r="B322" s="306"/>
      <c r="C322" s="338" t="s">
        <v>2715</v>
      </c>
      <c r="D322" s="339"/>
      <c r="E322" s="338" t="s">
        <v>1955</v>
      </c>
      <c r="F322" s="339"/>
      <c r="G322" s="261" t="s">
        <v>3413</v>
      </c>
      <c r="H322" s="339"/>
      <c r="I322" s="338" t="s">
        <v>2946</v>
      </c>
      <c r="J322" s="84"/>
      <c r="K322" s="84" t="s">
        <v>3671</v>
      </c>
      <c r="L322" s="340"/>
      <c r="M322" s="332" t="s">
        <v>2678</v>
      </c>
      <c r="N322" s="306"/>
      <c r="O322" s="306"/>
      <c r="P322" s="22"/>
      <c r="Q322" s="84"/>
      <c r="R322" s="25"/>
      <c r="S322" s="25"/>
      <c r="T322" s="22"/>
      <c r="U322" s="25"/>
      <c r="V322" s="25"/>
      <c r="W322" s="25"/>
      <c r="X322" s="84" t="str">
        <f t="shared" si="1"/>
        <v>grantPlayerItems</v>
      </c>
      <c r="Y322" s="337" t="s">
        <v>3672</v>
      </c>
      <c r="Z322" s="25"/>
      <c r="AA322" s="25"/>
      <c r="AB322" s="25"/>
      <c r="AC322" s="25"/>
      <c r="AD322" s="25"/>
      <c r="AE322" s="25"/>
    </row>
    <row r="323" spans="1:31" ht="340" outlineLevel="1" x14ac:dyDescent="0.15">
      <c r="A323" s="338" t="s">
        <v>3673</v>
      </c>
      <c r="B323" s="306"/>
      <c r="C323" s="338" t="s">
        <v>2715</v>
      </c>
      <c r="D323" s="339"/>
      <c r="E323" s="338" t="s">
        <v>1955</v>
      </c>
      <c r="F323" s="339"/>
      <c r="G323" s="261" t="s">
        <v>3417</v>
      </c>
      <c r="H323" s="339"/>
      <c r="I323" s="338" t="s">
        <v>2946</v>
      </c>
      <c r="J323" s="84"/>
      <c r="K323" s="84" t="s">
        <v>3674</v>
      </c>
      <c r="L323" s="340"/>
      <c r="M323" s="332" t="s">
        <v>2678</v>
      </c>
      <c r="N323" s="306"/>
      <c r="O323" s="306"/>
      <c r="P323" s="22"/>
      <c r="Q323" s="84"/>
      <c r="R323" s="25"/>
      <c r="S323" s="25"/>
      <c r="T323" s="22"/>
      <c r="U323" s="25"/>
      <c r="V323" s="25"/>
      <c r="W323" s="25"/>
      <c r="X323" s="84" t="str">
        <f t="shared" si="1"/>
        <v>grantPlayerItems</v>
      </c>
      <c r="Y323" s="337" t="s">
        <v>3675</v>
      </c>
      <c r="Z323" s="25"/>
      <c r="AA323" s="25"/>
      <c r="AB323" s="25"/>
      <c r="AC323" s="25"/>
      <c r="AD323" s="25"/>
      <c r="AE323" s="25"/>
    </row>
    <row r="324" spans="1:31" ht="340" outlineLevel="1" x14ac:dyDescent="0.15">
      <c r="A324" s="338" t="s">
        <v>3676</v>
      </c>
      <c r="B324" s="306"/>
      <c r="C324" s="338" t="s">
        <v>2715</v>
      </c>
      <c r="D324" s="339"/>
      <c r="E324" s="338" t="s">
        <v>1955</v>
      </c>
      <c r="F324" s="339"/>
      <c r="G324" s="261" t="s">
        <v>3421</v>
      </c>
      <c r="H324" s="339"/>
      <c r="I324" s="338" t="s">
        <v>2946</v>
      </c>
      <c r="J324" s="84"/>
      <c r="K324" s="84" t="s">
        <v>3677</v>
      </c>
      <c r="L324" s="340"/>
      <c r="M324" s="332" t="s">
        <v>2678</v>
      </c>
      <c r="N324" s="306"/>
      <c r="O324" s="306"/>
      <c r="P324" s="22"/>
      <c r="Q324" s="84"/>
      <c r="R324" s="25"/>
      <c r="S324" s="25"/>
      <c r="T324" s="22"/>
      <c r="U324" s="25"/>
      <c r="V324" s="25"/>
      <c r="W324" s="25"/>
      <c r="X324" s="84" t="str">
        <f t="shared" si="1"/>
        <v>grantPlayerItems</v>
      </c>
      <c r="Y324" s="337" t="s">
        <v>3678</v>
      </c>
      <c r="Z324" s="25"/>
      <c r="AA324" s="25"/>
      <c r="AB324" s="25"/>
      <c r="AC324" s="25"/>
      <c r="AD324" s="25"/>
      <c r="AE324" s="25"/>
    </row>
    <row r="325" spans="1:31" ht="340" outlineLevel="1" x14ac:dyDescent="0.15">
      <c r="A325" s="338" t="s">
        <v>3679</v>
      </c>
      <c r="B325" s="306"/>
      <c r="C325" s="338" t="s">
        <v>2715</v>
      </c>
      <c r="D325" s="339"/>
      <c r="E325" s="338" t="s">
        <v>1955</v>
      </c>
      <c r="F325" s="339"/>
      <c r="G325" s="261" t="s">
        <v>3425</v>
      </c>
      <c r="H325" s="339"/>
      <c r="I325" s="338" t="s">
        <v>2946</v>
      </c>
      <c r="J325" s="84"/>
      <c r="K325" s="84" t="s">
        <v>3680</v>
      </c>
      <c r="L325" s="340"/>
      <c r="M325" s="332" t="s">
        <v>2678</v>
      </c>
      <c r="N325" s="306"/>
      <c r="O325" s="306"/>
      <c r="P325" s="22"/>
      <c r="Q325" s="84"/>
      <c r="R325" s="25"/>
      <c r="S325" s="25"/>
      <c r="T325" s="22"/>
      <c r="U325" s="25"/>
      <c r="V325" s="25"/>
      <c r="W325" s="25"/>
      <c r="X325" s="84" t="str">
        <f t="shared" si="1"/>
        <v>grantPlayerItems</v>
      </c>
      <c r="Y325" s="337" t="s">
        <v>3681</v>
      </c>
      <c r="Z325" s="25"/>
      <c r="AA325" s="25"/>
      <c r="AB325" s="25"/>
      <c r="AC325" s="25"/>
      <c r="AD325" s="25"/>
      <c r="AE325" s="25"/>
    </row>
    <row r="326" spans="1:31" ht="340" x14ac:dyDescent="0.15">
      <c r="A326" s="338" t="s">
        <v>3682</v>
      </c>
      <c r="B326" s="306"/>
      <c r="C326" s="338" t="s">
        <v>2715</v>
      </c>
      <c r="D326" s="339"/>
      <c r="E326" s="338" t="s">
        <v>1796</v>
      </c>
      <c r="F326" s="339"/>
      <c r="G326" s="261" t="s">
        <v>3401</v>
      </c>
      <c r="H326" s="339"/>
      <c r="I326" s="338" t="s">
        <v>2946</v>
      </c>
      <c r="J326" s="84"/>
      <c r="K326" s="84" t="s">
        <v>3683</v>
      </c>
      <c r="L326" s="340"/>
      <c r="M326" s="332" t="s">
        <v>2678</v>
      </c>
      <c r="N326" s="306"/>
      <c r="O326" s="306"/>
      <c r="P326" s="22"/>
      <c r="Q326" s="84"/>
      <c r="R326" s="25"/>
      <c r="S326" s="25"/>
      <c r="T326" s="22"/>
      <c r="U326" s="25"/>
      <c r="V326" s="25"/>
      <c r="W326" s="25"/>
      <c r="X326" s="84" t="str">
        <f t="shared" si="1"/>
        <v>grantPlayerItems</v>
      </c>
      <c r="Y326" s="337" t="s">
        <v>3684</v>
      </c>
      <c r="Z326" s="25"/>
      <c r="AA326" s="25"/>
      <c r="AB326" s="25"/>
      <c r="AC326" s="25"/>
      <c r="AD326" s="25"/>
      <c r="AE326" s="25"/>
    </row>
    <row r="327" spans="1:31" ht="340" outlineLevel="1" x14ac:dyDescent="0.15">
      <c r="A327" s="338" t="s">
        <v>3685</v>
      </c>
      <c r="B327" s="306"/>
      <c r="C327" s="338" t="s">
        <v>2715</v>
      </c>
      <c r="D327" s="339"/>
      <c r="E327" s="338" t="s">
        <v>1796</v>
      </c>
      <c r="F327" s="339"/>
      <c r="G327" s="261" t="s">
        <v>3405</v>
      </c>
      <c r="H327" s="339"/>
      <c r="I327" s="338" t="s">
        <v>2946</v>
      </c>
      <c r="J327" s="84"/>
      <c r="K327" s="84" t="s">
        <v>3686</v>
      </c>
      <c r="L327" s="340"/>
      <c r="M327" s="332" t="s">
        <v>2678</v>
      </c>
      <c r="N327" s="306"/>
      <c r="O327" s="306"/>
      <c r="P327" s="22"/>
      <c r="Q327" s="84"/>
      <c r="R327" s="25"/>
      <c r="S327" s="25"/>
      <c r="T327" s="22"/>
      <c r="U327" s="25"/>
      <c r="V327" s="25"/>
      <c r="W327" s="25"/>
      <c r="X327" s="84" t="str">
        <f t="shared" si="1"/>
        <v>grantPlayerItems</v>
      </c>
      <c r="Y327" s="337" t="s">
        <v>3687</v>
      </c>
      <c r="Z327" s="25"/>
      <c r="AA327" s="25"/>
      <c r="AB327" s="25"/>
      <c r="AC327" s="25"/>
      <c r="AD327" s="25"/>
      <c r="AE327" s="25"/>
    </row>
    <row r="328" spans="1:31" ht="340" outlineLevel="1" x14ac:dyDescent="0.15">
      <c r="A328" s="338" t="s">
        <v>3688</v>
      </c>
      <c r="B328" s="306"/>
      <c r="C328" s="338" t="s">
        <v>2715</v>
      </c>
      <c r="D328" s="339"/>
      <c r="E328" s="338" t="s">
        <v>1796</v>
      </c>
      <c r="F328" s="339"/>
      <c r="G328" s="261" t="s">
        <v>3409</v>
      </c>
      <c r="H328" s="339"/>
      <c r="I328" s="338" t="s">
        <v>2946</v>
      </c>
      <c r="J328" s="84"/>
      <c r="K328" s="84" t="s">
        <v>3689</v>
      </c>
      <c r="L328" s="340"/>
      <c r="M328" s="332" t="s">
        <v>2678</v>
      </c>
      <c r="N328" s="306"/>
      <c r="O328" s="306"/>
      <c r="P328" s="22"/>
      <c r="Q328" s="84"/>
      <c r="R328" s="25"/>
      <c r="S328" s="25"/>
      <c r="T328" s="22"/>
      <c r="U328" s="25"/>
      <c r="V328" s="25"/>
      <c r="W328" s="25"/>
      <c r="X328" s="84" t="str">
        <f t="shared" si="1"/>
        <v>grantPlayerItems</v>
      </c>
      <c r="Y328" s="337" t="s">
        <v>3690</v>
      </c>
      <c r="Z328" s="25"/>
      <c r="AA328" s="25"/>
      <c r="AB328" s="25"/>
      <c r="AC328" s="25"/>
      <c r="AD328" s="25"/>
      <c r="AE328" s="25"/>
    </row>
    <row r="329" spans="1:31" ht="340" outlineLevel="1" x14ac:dyDescent="0.15">
      <c r="A329" s="338" t="s">
        <v>3691</v>
      </c>
      <c r="B329" s="306"/>
      <c r="C329" s="338" t="s">
        <v>2715</v>
      </c>
      <c r="D329" s="339"/>
      <c r="E329" s="338" t="s">
        <v>1796</v>
      </c>
      <c r="F329" s="339"/>
      <c r="G329" s="261" t="s">
        <v>3413</v>
      </c>
      <c r="H329" s="339"/>
      <c r="I329" s="338" t="s">
        <v>2946</v>
      </c>
      <c r="J329" s="84"/>
      <c r="K329" s="84" t="s">
        <v>3692</v>
      </c>
      <c r="L329" s="340"/>
      <c r="M329" s="332" t="s">
        <v>2678</v>
      </c>
      <c r="N329" s="306"/>
      <c r="O329" s="306"/>
      <c r="P329" s="22"/>
      <c r="Q329" s="84"/>
      <c r="R329" s="25"/>
      <c r="S329" s="25"/>
      <c r="T329" s="22"/>
      <c r="U329" s="25"/>
      <c r="V329" s="25"/>
      <c r="W329" s="25"/>
      <c r="X329" s="84" t="str">
        <f t="shared" si="1"/>
        <v>grantPlayerItems</v>
      </c>
      <c r="Y329" s="337" t="s">
        <v>3693</v>
      </c>
      <c r="Z329" s="25"/>
      <c r="AA329" s="25"/>
      <c r="AB329" s="25"/>
      <c r="AC329" s="25"/>
      <c r="AD329" s="25"/>
      <c r="AE329" s="25"/>
    </row>
    <row r="330" spans="1:31" ht="340" outlineLevel="1" x14ac:dyDescent="0.15">
      <c r="A330" s="338" t="s">
        <v>3694</v>
      </c>
      <c r="B330" s="306"/>
      <c r="C330" s="338" t="s">
        <v>2715</v>
      </c>
      <c r="D330" s="339"/>
      <c r="E330" s="338" t="s">
        <v>1796</v>
      </c>
      <c r="F330" s="339"/>
      <c r="G330" s="261" t="s">
        <v>3417</v>
      </c>
      <c r="H330" s="339"/>
      <c r="I330" s="338" t="s">
        <v>2946</v>
      </c>
      <c r="J330" s="84"/>
      <c r="K330" s="84" t="s">
        <v>3695</v>
      </c>
      <c r="L330" s="340"/>
      <c r="M330" s="332" t="s">
        <v>2678</v>
      </c>
      <c r="N330" s="306"/>
      <c r="O330" s="306"/>
      <c r="P330" s="22"/>
      <c r="Q330" s="84"/>
      <c r="R330" s="25"/>
      <c r="S330" s="25"/>
      <c r="T330" s="22"/>
      <c r="U330" s="25"/>
      <c r="V330" s="25"/>
      <c r="W330" s="25"/>
      <c r="X330" s="84" t="str">
        <f t="shared" si="1"/>
        <v>grantPlayerItems</v>
      </c>
      <c r="Y330" s="337" t="s">
        <v>3696</v>
      </c>
      <c r="Z330" s="25"/>
      <c r="AA330" s="25"/>
      <c r="AB330" s="25"/>
      <c r="AC330" s="25"/>
      <c r="AD330" s="25"/>
      <c r="AE330" s="25"/>
    </row>
    <row r="331" spans="1:31" ht="340" outlineLevel="1" x14ac:dyDescent="0.15">
      <c r="A331" s="338" t="s">
        <v>3697</v>
      </c>
      <c r="B331" s="306"/>
      <c r="C331" s="338" t="s">
        <v>2715</v>
      </c>
      <c r="D331" s="339"/>
      <c r="E331" s="338" t="s">
        <v>1796</v>
      </c>
      <c r="F331" s="339"/>
      <c r="G331" s="261" t="s">
        <v>3421</v>
      </c>
      <c r="H331" s="339"/>
      <c r="I331" s="338" t="s">
        <v>2946</v>
      </c>
      <c r="J331" s="84"/>
      <c r="K331" s="84" t="s">
        <v>3698</v>
      </c>
      <c r="L331" s="340"/>
      <c r="M331" s="332" t="s">
        <v>2678</v>
      </c>
      <c r="N331" s="306"/>
      <c r="O331" s="306"/>
      <c r="P331" s="22"/>
      <c r="Q331" s="84"/>
      <c r="R331" s="25"/>
      <c r="S331" s="25"/>
      <c r="T331" s="22"/>
      <c r="U331" s="25"/>
      <c r="V331" s="25"/>
      <c r="W331" s="25"/>
      <c r="X331" s="84" t="str">
        <f t="shared" si="1"/>
        <v>grantPlayerItems</v>
      </c>
      <c r="Y331" s="337" t="s">
        <v>3699</v>
      </c>
      <c r="Z331" s="25"/>
      <c r="AA331" s="25"/>
      <c r="AB331" s="25"/>
      <c r="AC331" s="25"/>
      <c r="AD331" s="25"/>
      <c r="AE331" s="25"/>
    </row>
    <row r="332" spans="1:31" ht="340" outlineLevel="1" x14ac:dyDescent="0.15">
      <c r="A332" s="338" t="s">
        <v>3700</v>
      </c>
      <c r="B332" s="306"/>
      <c r="C332" s="338" t="s">
        <v>2715</v>
      </c>
      <c r="D332" s="339"/>
      <c r="E332" s="338" t="s">
        <v>1796</v>
      </c>
      <c r="F332" s="339"/>
      <c r="G332" s="261" t="s">
        <v>3425</v>
      </c>
      <c r="H332" s="339"/>
      <c r="I332" s="338" t="s">
        <v>2946</v>
      </c>
      <c r="J332" s="84"/>
      <c r="K332" s="84" t="s">
        <v>3701</v>
      </c>
      <c r="L332" s="340"/>
      <c r="M332" s="332" t="s">
        <v>2678</v>
      </c>
      <c r="N332" s="306"/>
      <c r="O332" s="306"/>
      <c r="P332" s="22"/>
      <c r="Q332" s="84"/>
      <c r="R332" s="25"/>
      <c r="S332" s="25"/>
      <c r="T332" s="22"/>
      <c r="U332" s="25"/>
      <c r="V332" s="25"/>
      <c r="W332" s="25"/>
      <c r="X332" s="84" t="str">
        <f t="shared" si="1"/>
        <v>grantPlayerItems</v>
      </c>
      <c r="Y332" s="337" t="s">
        <v>3702</v>
      </c>
      <c r="Z332" s="25"/>
      <c r="AA332" s="25"/>
      <c r="AB332" s="25"/>
      <c r="AC332" s="25"/>
      <c r="AD332" s="25"/>
      <c r="AE332" s="25"/>
    </row>
    <row r="333" spans="1:31" ht="340" x14ac:dyDescent="0.15">
      <c r="A333" s="338" t="s">
        <v>3703</v>
      </c>
      <c r="B333" s="306"/>
      <c r="C333" s="338" t="s">
        <v>2715</v>
      </c>
      <c r="D333" s="339"/>
      <c r="E333" s="338" t="s">
        <v>1695</v>
      </c>
      <c r="F333" s="339"/>
      <c r="G333" s="261" t="s">
        <v>3401</v>
      </c>
      <c r="H333" s="339"/>
      <c r="I333" s="338" t="s">
        <v>2946</v>
      </c>
      <c r="J333" s="84"/>
      <c r="K333" s="84" t="s">
        <v>3704</v>
      </c>
      <c r="L333" s="340"/>
      <c r="M333" s="332" t="s">
        <v>2678</v>
      </c>
      <c r="N333" s="306"/>
      <c r="O333" s="306"/>
      <c r="P333" s="22"/>
      <c r="Q333" s="84"/>
      <c r="R333" s="25"/>
      <c r="S333" s="25"/>
      <c r="T333" s="22"/>
      <c r="U333" s="25"/>
      <c r="V333" s="25"/>
      <c r="W333" s="25"/>
      <c r="X333" s="84" t="str">
        <f t="shared" si="1"/>
        <v>grantPlayerItems</v>
      </c>
      <c r="Y333" s="337" t="s">
        <v>3705</v>
      </c>
      <c r="Z333" s="25"/>
      <c r="AA333" s="25"/>
      <c r="AB333" s="25"/>
      <c r="AC333" s="25"/>
      <c r="AD333" s="25"/>
      <c r="AE333" s="25"/>
    </row>
    <row r="334" spans="1:31" ht="340" outlineLevel="1" x14ac:dyDescent="0.15">
      <c r="A334" s="338" t="s">
        <v>3706</v>
      </c>
      <c r="B334" s="306"/>
      <c r="C334" s="338" t="s">
        <v>2715</v>
      </c>
      <c r="D334" s="339"/>
      <c r="E334" s="338" t="s">
        <v>1695</v>
      </c>
      <c r="F334" s="339"/>
      <c r="G334" s="261" t="s">
        <v>3405</v>
      </c>
      <c r="H334" s="339"/>
      <c r="I334" s="338" t="s">
        <v>2946</v>
      </c>
      <c r="J334" s="84"/>
      <c r="K334" s="84" t="s">
        <v>3707</v>
      </c>
      <c r="L334" s="340"/>
      <c r="M334" s="332" t="s">
        <v>2678</v>
      </c>
      <c r="N334" s="306"/>
      <c r="O334" s="306"/>
      <c r="P334" s="22"/>
      <c r="Q334" s="84"/>
      <c r="R334" s="25"/>
      <c r="S334" s="25"/>
      <c r="T334" s="22"/>
      <c r="U334" s="25"/>
      <c r="V334" s="25"/>
      <c r="W334" s="25"/>
      <c r="X334" s="84" t="str">
        <f t="shared" si="1"/>
        <v>grantPlayerItems</v>
      </c>
      <c r="Y334" s="337" t="s">
        <v>3708</v>
      </c>
      <c r="Z334" s="25"/>
      <c r="AA334" s="25"/>
      <c r="AB334" s="25"/>
      <c r="AC334" s="25"/>
      <c r="AD334" s="25"/>
      <c r="AE334" s="25"/>
    </row>
    <row r="335" spans="1:31" ht="340" outlineLevel="1" x14ac:dyDescent="0.15">
      <c r="A335" s="338" t="s">
        <v>3709</v>
      </c>
      <c r="B335" s="306"/>
      <c r="C335" s="338" t="s">
        <v>2715</v>
      </c>
      <c r="D335" s="339"/>
      <c r="E335" s="338" t="s">
        <v>1695</v>
      </c>
      <c r="F335" s="339"/>
      <c r="G335" s="261" t="s">
        <v>3409</v>
      </c>
      <c r="H335" s="339"/>
      <c r="I335" s="338" t="s">
        <v>2946</v>
      </c>
      <c r="J335" s="84"/>
      <c r="K335" s="84" t="s">
        <v>3710</v>
      </c>
      <c r="L335" s="340"/>
      <c r="M335" s="332" t="s">
        <v>2678</v>
      </c>
      <c r="N335" s="306"/>
      <c r="O335" s="306"/>
      <c r="P335" s="22"/>
      <c r="Q335" s="84"/>
      <c r="R335" s="25"/>
      <c r="S335" s="25"/>
      <c r="T335" s="22"/>
      <c r="U335" s="25"/>
      <c r="V335" s="25"/>
      <c r="W335" s="25"/>
      <c r="X335" s="84" t="str">
        <f t="shared" si="1"/>
        <v>grantPlayerItems</v>
      </c>
      <c r="Y335" s="337" t="s">
        <v>3711</v>
      </c>
      <c r="Z335" s="25"/>
      <c r="AA335" s="25"/>
      <c r="AB335" s="25"/>
      <c r="AC335" s="25"/>
      <c r="AD335" s="25"/>
      <c r="AE335" s="25"/>
    </row>
    <row r="336" spans="1:31" ht="340" outlineLevel="1" x14ac:dyDescent="0.15">
      <c r="A336" s="338" t="s">
        <v>3712</v>
      </c>
      <c r="B336" s="306"/>
      <c r="C336" s="338" t="s">
        <v>2715</v>
      </c>
      <c r="D336" s="339"/>
      <c r="E336" s="338" t="s">
        <v>1695</v>
      </c>
      <c r="F336" s="339"/>
      <c r="G336" s="261" t="s">
        <v>3413</v>
      </c>
      <c r="H336" s="339"/>
      <c r="I336" s="338" t="s">
        <v>2946</v>
      </c>
      <c r="J336" s="84"/>
      <c r="K336" s="84" t="s">
        <v>3713</v>
      </c>
      <c r="L336" s="340"/>
      <c r="M336" s="332" t="s">
        <v>2678</v>
      </c>
      <c r="N336" s="306"/>
      <c r="O336" s="306"/>
      <c r="P336" s="22"/>
      <c r="Q336" s="84"/>
      <c r="R336" s="25"/>
      <c r="S336" s="25"/>
      <c r="T336" s="22"/>
      <c r="U336" s="25"/>
      <c r="V336" s="25"/>
      <c r="W336" s="25"/>
      <c r="X336" s="84" t="str">
        <f t="shared" si="1"/>
        <v>grantPlayerItems</v>
      </c>
      <c r="Y336" s="337" t="s">
        <v>3714</v>
      </c>
      <c r="Z336" s="25"/>
      <c r="AA336" s="25"/>
      <c r="AB336" s="25"/>
      <c r="AC336" s="25"/>
      <c r="AD336" s="25"/>
      <c r="AE336" s="25"/>
    </row>
    <row r="337" spans="1:31" ht="340" outlineLevel="1" x14ac:dyDescent="0.15">
      <c r="A337" s="338" t="s">
        <v>3715</v>
      </c>
      <c r="B337" s="306"/>
      <c r="C337" s="338" t="s">
        <v>2715</v>
      </c>
      <c r="D337" s="339"/>
      <c r="E337" s="338" t="s">
        <v>1695</v>
      </c>
      <c r="F337" s="339"/>
      <c r="G337" s="261" t="s">
        <v>3417</v>
      </c>
      <c r="H337" s="339"/>
      <c r="I337" s="338" t="s">
        <v>2946</v>
      </c>
      <c r="J337" s="84"/>
      <c r="K337" s="84" t="s">
        <v>3716</v>
      </c>
      <c r="L337" s="340"/>
      <c r="M337" s="332" t="s">
        <v>2678</v>
      </c>
      <c r="N337" s="306"/>
      <c r="O337" s="306"/>
      <c r="P337" s="22"/>
      <c r="Q337" s="84"/>
      <c r="R337" s="25"/>
      <c r="S337" s="25"/>
      <c r="T337" s="22"/>
      <c r="U337" s="25"/>
      <c r="V337" s="25"/>
      <c r="W337" s="25"/>
      <c r="X337" s="84" t="str">
        <f t="shared" si="1"/>
        <v>grantPlayerItems</v>
      </c>
      <c r="Y337" s="337" t="s">
        <v>3717</v>
      </c>
      <c r="Z337" s="25"/>
      <c r="AA337" s="25"/>
      <c r="AB337" s="25"/>
      <c r="AC337" s="25"/>
      <c r="AD337" s="25"/>
      <c r="AE337" s="25"/>
    </row>
    <row r="338" spans="1:31" ht="340" outlineLevel="1" x14ac:dyDescent="0.15">
      <c r="A338" s="338" t="s">
        <v>3718</v>
      </c>
      <c r="B338" s="306"/>
      <c r="C338" s="338" t="s">
        <v>2715</v>
      </c>
      <c r="D338" s="339"/>
      <c r="E338" s="338" t="s">
        <v>1695</v>
      </c>
      <c r="F338" s="339"/>
      <c r="G338" s="261" t="s">
        <v>3421</v>
      </c>
      <c r="H338" s="339"/>
      <c r="I338" s="338" t="s">
        <v>2946</v>
      </c>
      <c r="J338" s="84"/>
      <c r="K338" s="84" t="s">
        <v>3719</v>
      </c>
      <c r="L338" s="340"/>
      <c r="M338" s="332" t="s">
        <v>2678</v>
      </c>
      <c r="N338" s="306"/>
      <c r="O338" s="306"/>
      <c r="P338" s="22"/>
      <c r="Q338" s="84"/>
      <c r="R338" s="25"/>
      <c r="S338" s="25"/>
      <c r="T338" s="22"/>
      <c r="U338" s="25"/>
      <c r="V338" s="25"/>
      <c r="W338" s="25"/>
      <c r="X338" s="84" t="str">
        <f t="shared" si="1"/>
        <v>grantPlayerItems</v>
      </c>
      <c r="Y338" s="337" t="s">
        <v>3720</v>
      </c>
      <c r="Z338" s="25"/>
      <c r="AA338" s="25"/>
      <c r="AB338" s="25"/>
      <c r="AC338" s="25"/>
      <c r="AD338" s="25"/>
      <c r="AE338" s="25"/>
    </row>
    <row r="339" spans="1:31" ht="340" outlineLevel="1" x14ac:dyDescent="0.15">
      <c r="A339" s="338" t="s">
        <v>3721</v>
      </c>
      <c r="B339" s="306"/>
      <c r="C339" s="338" t="s">
        <v>2715</v>
      </c>
      <c r="D339" s="339"/>
      <c r="E339" s="338" t="s">
        <v>1695</v>
      </c>
      <c r="F339" s="339"/>
      <c r="G339" s="261" t="s">
        <v>3425</v>
      </c>
      <c r="H339" s="339"/>
      <c r="I339" s="338" t="s">
        <v>2946</v>
      </c>
      <c r="J339" s="84"/>
      <c r="K339" s="84" t="s">
        <v>3722</v>
      </c>
      <c r="L339" s="340"/>
      <c r="M339" s="332" t="s">
        <v>2678</v>
      </c>
      <c r="N339" s="306"/>
      <c r="O339" s="306"/>
      <c r="P339" s="22"/>
      <c r="Q339" s="84"/>
      <c r="R339" s="25"/>
      <c r="S339" s="25"/>
      <c r="T339" s="22"/>
      <c r="U339" s="25"/>
      <c r="V339" s="25"/>
      <c r="W339" s="25"/>
      <c r="X339" s="84" t="str">
        <f t="shared" si="1"/>
        <v>grantPlayerItems</v>
      </c>
      <c r="Y339" s="337" t="s">
        <v>3723</v>
      </c>
      <c r="Z339" s="25"/>
      <c r="AA339" s="25"/>
      <c r="AB339" s="25"/>
      <c r="AC339" s="25"/>
      <c r="AD339" s="25"/>
      <c r="AE339" s="25"/>
    </row>
    <row r="340" spans="1:31" ht="340" x14ac:dyDescent="0.15">
      <c r="A340" s="338" t="s">
        <v>3724</v>
      </c>
      <c r="B340" s="306"/>
      <c r="C340" s="338" t="s">
        <v>2715</v>
      </c>
      <c r="D340" s="339"/>
      <c r="E340" s="338" t="s">
        <v>1999</v>
      </c>
      <c r="F340" s="339"/>
      <c r="G340" s="261" t="s">
        <v>3401</v>
      </c>
      <c r="H340" s="339"/>
      <c r="I340" s="338" t="s">
        <v>2946</v>
      </c>
      <c r="J340" s="84"/>
      <c r="K340" s="84" t="s">
        <v>3725</v>
      </c>
      <c r="L340" s="340"/>
      <c r="M340" s="332" t="s">
        <v>2678</v>
      </c>
      <c r="N340" s="306"/>
      <c r="O340" s="306"/>
      <c r="P340" s="22"/>
      <c r="Q340" s="84"/>
      <c r="R340" s="25"/>
      <c r="S340" s="25"/>
      <c r="T340" s="22"/>
      <c r="U340" s="25"/>
      <c r="V340" s="25"/>
      <c r="W340" s="25"/>
      <c r="X340" s="84" t="str">
        <f t="shared" si="1"/>
        <v>grantPlayerItems</v>
      </c>
      <c r="Y340" s="337" t="s">
        <v>3726</v>
      </c>
      <c r="Z340" s="25"/>
      <c r="AA340" s="25"/>
      <c r="AB340" s="25"/>
      <c r="AC340" s="25"/>
      <c r="AD340" s="25"/>
      <c r="AE340" s="25"/>
    </row>
    <row r="341" spans="1:31" ht="340" outlineLevel="1" x14ac:dyDescent="0.15">
      <c r="A341" s="338" t="s">
        <v>3727</v>
      </c>
      <c r="B341" s="306"/>
      <c r="C341" s="338" t="s">
        <v>2715</v>
      </c>
      <c r="D341" s="339"/>
      <c r="E341" s="338" t="s">
        <v>1999</v>
      </c>
      <c r="F341" s="339"/>
      <c r="G341" s="261" t="s">
        <v>3405</v>
      </c>
      <c r="H341" s="339"/>
      <c r="I341" s="338" t="s">
        <v>2946</v>
      </c>
      <c r="J341" s="84"/>
      <c r="K341" s="84" t="s">
        <v>3728</v>
      </c>
      <c r="L341" s="340"/>
      <c r="M341" s="332" t="s">
        <v>2678</v>
      </c>
      <c r="N341" s="306"/>
      <c r="O341" s="306"/>
      <c r="P341" s="22"/>
      <c r="Q341" s="84"/>
      <c r="R341" s="25"/>
      <c r="S341" s="25"/>
      <c r="T341" s="22"/>
      <c r="U341" s="25"/>
      <c r="V341" s="25"/>
      <c r="W341" s="25"/>
      <c r="X341" s="84" t="str">
        <f t="shared" si="1"/>
        <v>grantPlayerItems</v>
      </c>
      <c r="Y341" s="337" t="s">
        <v>3729</v>
      </c>
      <c r="Z341" s="25"/>
      <c r="AA341" s="25"/>
      <c r="AB341" s="25"/>
      <c r="AC341" s="25"/>
      <c r="AD341" s="25"/>
      <c r="AE341" s="25"/>
    </row>
    <row r="342" spans="1:31" ht="340" outlineLevel="1" x14ac:dyDescent="0.15">
      <c r="A342" s="338" t="s">
        <v>3730</v>
      </c>
      <c r="B342" s="306"/>
      <c r="C342" s="338" t="s">
        <v>2715</v>
      </c>
      <c r="D342" s="339"/>
      <c r="E342" s="338" t="s">
        <v>1999</v>
      </c>
      <c r="F342" s="339"/>
      <c r="G342" s="261" t="s">
        <v>3409</v>
      </c>
      <c r="H342" s="339"/>
      <c r="I342" s="338" t="s">
        <v>2946</v>
      </c>
      <c r="J342" s="84"/>
      <c r="K342" s="84" t="s">
        <v>3731</v>
      </c>
      <c r="L342" s="340"/>
      <c r="M342" s="332" t="s">
        <v>2678</v>
      </c>
      <c r="N342" s="306"/>
      <c r="O342" s="306"/>
      <c r="P342" s="22"/>
      <c r="Q342" s="84"/>
      <c r="R342" s="25"/>
      <c r="S342" s="25"/>
      <c r="T342" s="22"/>
      <c r="U342" s="25"/>
      <c r="V342" s="25"/>
      <c r="W342" s="25"/>
      <c r="X342" s="84" t="str">
        <f t="shared" si="1"/>
        <v>grantPlayerItems</v>
      </c>
      <c r="Y342" s="337" t="s">
        <v>3732</v>
      </c>
      <c r="Z342" s="25"/>
      <c r="AA342" s="25"/>
      <c r="AB342" s="25"/>
      <c r="AC342" s="25"/>
      <c r="AD342" s="25"/>
      <c r="AE342" s="25"/>
    </row>
    <row r="343" spans="1:31" ht="340" outlineLevel="1" x14ac:dyDescent="0.15">
      <c r="A343" s="338" t="s">
        <v>3733</v>
      </c>
      <c r="B343" s="306"/>
      <c r="C343" s="338" t="s">
        <v>2715</v>
      </c>
      <c r="D343" s="339"/>
      <c r="E343" s="338" t="s">
        <v>1999</v>
      </c>
      <c r="F343" s="339"/>
      <c r="G343" s="261" t="s">
        <v>3413</v>
      </c>
      <c r="H343" s="339"/>
      <c r="I343" s="338" t="s">
        <v>2946</v>
      </c>
      <c r="J343" s="84"/>
      <c r="K343" s="84" t="s">
        <v>3734</v>
      </c>
      <c r="L343" s="340"/>
      <c r="M343" s="332" t="s">
        <v>2678</v>
      </c>
      <c r="N343" s="306"/>
      <c r="O343" s="306"/>
      <c r="P343" s="22"/>
      <c r="Q343" s="84"/>
      <c r="R343" s="25"/>
      <c r="S343" s="25"/>
      <c r="T343" s="22"/>
      <c r="U343" s="25"/>
      <c r="V343" s="25"/>
      <c r="W343" s="25"/>
      <c r="X343" s="84" t="str">
        <f t="shared" si="1"/>
        <v>grantPlayerItems</v>
      </c>
      <c r="Y343" s="337" t="s">
        <v>3735</v>
      </c>
      <c r="Z343" s="25"/>
      <c r="AA343" s="25"/>
      <c r="AB343" s="25"/>
      <c r="AC343" s="25"/>
      <c r="AD343" s="25"/>
      <c r="AE343" s="25"/>
    </row>
    <row r="344" spans="1:31" ht="340" outlineLevel="1" x14ac:dyDescent="0.15">
      <c r="A344" s="338" t="s">
        <v>3736</v>
      </c>
      <c r="B344" s="306"/>
      <c r="C344" s="338" t="s">
        <v>2715</v>
      </c>
      <c r="D344" s="339"/>
      <c r="E344" s="338" t="s">
        <v>1999</v>
      </c>
      <c r="F344" s="339"/>
      <c r="G344" s="261" t="s">
        <v>3417</v>
      </c>
      <c r="H344" s="339"/>
      <c r="I344" s="338" t="s">
        <v>2946</v>
      </c>
      <c r="J344" s="84"/>
      <c r="K344" s="84" t="s">
        <v>3737</v>
      </c>
      <c r="L344" s="340"/>
      <c r="M344" s="332" t="s">
        <v>2678</v>
      </c>
      <c r="N344" s="306"/>
      <c r="O344" s="306"/>
      <c r="P344" s="22"/>
      <c r="Q344" s="84"/>
      <c r="R344" s="25"/>
      <c r="S344" s="25"/>
      <c r="T344" s="22"/>
      <c r="U344" s="25"/>
      <c r="V344" s="25"/>
      <c r="W344" s="25"/>
      <c r="X344" s="84" t="str">
        <f t="shared" si="1"/>
        <v>grantPlayerItems</v>
      </c>
      <c r="Y344" s="337" t="s">
        <v>3738</v>
      </c>
      <c r="Z344" s="25"/>
      <c r="AA344" s="25"/>
      <c r="AB344" s="25"/>
      <c r="AC344" s="25"/>
      <c r="AD344" s="25"/>
      <c r="AE344" s="25"/>
    </row>
    <row r="345" spans="1:31" ht="340" outlineLevel="1" x14ac:dyDescent="0.15">
      <c r="A345" s="338" t="s">
        <v>3739</v>
      </c>
      <c r="B345" s="306"/>
      <c r="C345" s="338" t="s">
        <v>2715</v>
      </c>
      <c r="D345" s="339"/>
      <c r="E345" s="338" t="s">
        <v>1999</v>
      </c>
      <c r="F345" s="339"/>
      <c r="G345" s="261" t="s">
        <v>3421</v>
      </c>
      <c r="H345" s="339"/>
      <c r="I345" s="338" t="s">
        <v>2946</v>
      </c>
      <c r="J345" s="84"/>
      <c r="K345" s="84" t="s">
        <v>3740</v>
      </c>
      <c r="L345" s="340"/>
      <c r="M345" s="332" t="s">
        <v>2678</v>
      </c>
      <c r="N345" s="306"/>
      <c r="O345" s="306"/>
      <c r="P345" s="22"/>
      <c r="Q345" s="84"/>
      <c r="R345" s="25"/>
      <c r="S345" s="25"/>
      <c r="T345" s="22"/>
      <c r="U345" s="25"/>
      <c r="V345" s="25"/>
      <c r="W345" s="25"/>
      <c r="X345" s="84" t="str">
        <f t="shared" si="1"/>
        <v>grantPlayerItems</v>
      </c>
      <c r="Y345" s="337" t="s">
        <v>3741</v>
      </c>
      <c r="Z345" s="25"/>
      <c r="AA345" s="25"/>
      <c r="AB345" s="25"/>
      <c r="AC345" s="25"/>
      <c r="AD345" s="25"/>
      <c r="AE345" s="25"/>
    </row>
    <row r="346" spans="1:31" ht="340" outlineLevel="1" x14ac:dyDescent="0.15">
      <c r="A346" s="338" t="s">
        <v>3742</v>
      </c>
      <c r="B346" s="306"/>
      <c r="C346" s="338" t="s">
        <v>2715</v>
      </c>
      <c r="D346" s="339"/>
      <c r="E346" s="338" t="s">
        <v>1999</v>
      </c>
      <c r="F346" s="339"/>
      <c r="G346" s="261" t="s">
        <v>3425</v>
      </c>
      <c r="H346" s="339"/>
      <c r="I346" s="338" t="s">
        <v>2946</v>
      </c>
      <c r="J346" s="84"/>
      <c r="K346" s="84" t="s">
        <v>3743</v>
      </c>
      <c r="L346" s="340"/>
      <c r="M346" s="332" t="s">
        <v>2678</v>
      </c>
      <c r="N346" s="306"/>
      <c r="O346" s="306"/>
      <c r="P346" s="22"/>
      <c r="Q346" s="84"/>
      <c r="R346" s="25"/>
      <c r="S346" s="25"/>
      <c r="T346" s="22"/>
      <c r="U346" s="25"/>
      <c r="V346" s="25"/>
      <c r="W346" s="25"/>
      <c r="X346" s="84" t="str">
        <f t="shared" si="1"/>
        <v>grantPlayerItems</v>
      </c>
      <c r="Y346" s="337" t="s">
        <v>3744</v>
      </c>
      <c r="Z346" s="25"/>
      <c r="AA346" s="25"/>
      <c r="AB346" s="25"/>
      <c r="AC346" s="25"/>
      <c r="AD346" s="25"/>
      <c r="AE346" s="25"/>
    </row>
    <row r="347" spans="1:31" ht="340" x14ac:dyDescent="0.15">
      <c r="A347" s="338" t="s">
        <v>3745</v>
      </c>
      <c r="B347" s="306"/>
      <c r="C347" s="338" t="s">
        <v>2715</v>
      </c>
      <c r="D347" s="339"/>
      <c r="E347" s="338" t="s">
        <v>1985</v>
      </c>
      <c r="F347" s="339"/>
      <c r="G347" s="261" t="s">
        <v>3401</v>
      </c>
      <c r="H347" s="339"/>
      <c r="I347" s="338" t="s">
        <v>2946</v>
      </c>
      <c r="J347" s="84"/>
      <c r="K347" s="84" t="s">
        <v>3746</v>
      </c>
      <c r="L347" s="340"/>
      <c r="M347" s="332" t="s">
        <v>2678</v>
      </c>
      <c r="N347" s="306"/>
      <c r="O347" s="306"/>
      <c r="P347" s="22"/>
      <c r="Q347" s="84"/>
      <c r="R347" s="25"/>
      <c r="S347" s="25"/>
      <c r="T347" s="22"/>
      <c r="U347" s="25"/>
      <c r="V347" s="25"/>
      <c r="W347" s="25"/>
      <c r="X347" s="84" t="str">
        <f t="shared" si="1"/>
        <v>grantPlayerItems</v>
      </c>
      <c r="Y347" s="337" t="s">
        <v>3747</v>
      </c>
      <c r="Z347" s="25"/>
      <c r="AA347" s="25"/>
      <c r="AB347" s="25"/>
      <c r="AC347" s="25"/>
      <c r="AD347" s="25"/>
      <c r="AE347" s="25"/>
    </row>
    <row r="348" spans="1:31" ht="340" outlineLevel="1" x14ac:dyDescent="0.15">
      <c r="A348" s="338" t="s">
        <v>3748</v>
      </c>
      <c r="B348" s="306"/>
      <c r="C348" s="338" t="s">
        <v>2715</v>
      </c>
      <c r="D348" s="339"/>
      <c r="E348" s="338" t="s">
        <v>1985</v>
      </c>
      <c r="F348" s="339"/>
      <c r="G348" s="261" t="s">
        <v>3405</v>
      </c>
      <c r="H348" s="339"/>
      <c r="I348" s="338" t="s">
        <v>2946</v>
      </c>
      <c r="J348" s="84"/>
      <c r="K348" s="84" t="s">
        <v>3749</v>
      </c>
      <c r="L348" s="340"/>
      <c r="M348" s="332" t="s">
        <v>2678</v>
      </c>
      <c r="N348" s="306"/>
      <c r="O348" s="306"/>
      <c r="P348" s="22"/>
      <c r="Q348" s="84"/>
      <c r="R348" s="25"/>
      <c r="S348" s="25"/>
      <c r="T348" s="22"/>
      <c r="U348" s="25"/>
      <c r="V348" s="25"/>
      <c r="W348" s="25"/>
      <c r="X348" s="84" t="str">
        <f t="shared" si="1"/>
        <v>grantPlayerItems</v>
      </c>
      <c r="Y348" s="337" t="s">
        <v>3750</v>
      </c>
      <c r="Z348" s="25"/>
      <c r="AA348" s="25"/>
      <c r="AB348" s="25"/>
      <c r="AC348" s="25"/>
      <c r="AD348" s="25"/>
      <c r="AE348" s="25"/>
    </row>
    <row r="349" spans="1:31" ht="340" outlineLevel="1" x14ac:dyDescent="0.15">
      <c r="A349" s="338" t="s">
        <v>3751</v>
      </c>
      <c r="B349" s="306"/>
      <c r="C349" s="338" t="s">
        <v>2715</v>
      </c>
      <c r="D349" s="339"/>
      <c r="E349" s="338" t="s">
        <v>1985</v>
      </c>
      <c r="F349" s="339"/>
      <c r="G349" s="261" t="s">
        <v>3409</v>
      </c>
      <c r="H349" s="339"/>
      <c r="I349" s="338" t="s">
        <v>2946</v>
      </c>
      <c r="J349" s="84"/>
      <c r="K349" s="84" t="s">
        <v>3752</v>
      </c>
      <c r="L349" s="340"/>
      <c r="M349" s="332" t="s">
        <v>2678</v>
      </c>
      <c r="N349" s="306"/>
      <c r="O349" s="306"/>
      <c r="P349" s="22"/>
      <c r="Q349" s="84"/>
      <c r="R349" s="25"/>
      <c r="S349" s="25"/>
      <c r="T349" s="22"/>
      <c r="U349" s="25"/>
      <c r="V349" s="25"/>
      <c r="W349" s="25"/>
      <c r="X349" s="84" t="str">
        <f t="shared" si="1"/>
        <v>grantPlayerItems</v>
      </c>
      <c r="Y349" s="337" t="s">
        <v>3753</v>
      </c>
      <c r="Z349" s="25"/>
      <c r="AA349" s="25"/>
      <c r="AB349" s="25"/>
      <c r="AC349" s="25"/>
      <c r="AD349" s="25"/>
      <c r="AE349" s="25"/>
    </row>
    <row r="350" spans="1:31" ht="340" outlineLevel="1" x14ac:dyDescent="0.15">
      <c r="A350" s="338" t="s">
        <v>3754</v>
      </c>
      <c r="B350" s="306"/>
      <c r="C350" s="338" t="s">
        <v>2715</v>
      </c>
      <c r="D350" s="339"/>
      <c r="E350" s="338" t="s">
        <v>1985</v>
      </c>
      <c r="F350" s="339"/>
      <c r="G350" s="261" t="s">
        <v>3413</v>
      </c>
      <c r="H350" s="339"/>
      <c r="I350" s="338" t="s">
        <v>2946</v>
      </c>
      <c r="J350" s="84"/>
      <c r="K350" s="84" t="s">
        <v>3755</v>
      </c>
      <c r="L350" s="340"/>
      <c r="M350" s="332" t="s">
        <v>2678</v>
      </c>
      <c r="N350" s="306"/>
      <c r="O350" s="306"/>
      <c r="P350" s="22"/>
      <c r="Q350" s="84"/>
      <c r="R350" s="25"/>
      <c r="S350" s="25"/>
      <c r="T350" s="22"/>
      <c r="U350" s="25"/>
      <c r="V350" s="25"/>
      <c r="W350" s="25"/>
      <c r="X350" s="84" t="str">
        <f t="shared" si="1"/>
        <v>grantPlayerItems</v>
      </c>
      <c r="Y350" s="337" t="s">
        <v>3756</v>
      </c>
      <c r="Z350" s="25"/>
      <c r="AA350" s="25"/>
      <c r="AB350" s="25"/>
      <c r="AC350" s="25"/>
      <c r="AD350" s="25"/>
      <c r="AE350" s="25"/>
    </row>
    <row r="351" spans="1:31" ht="340" outlineLevel="1" x14ac:dyDescent="0.15">
      <c r="A351" s="338" t="s">
        <v>3757</v>
      </c>
      <c r="B351" s="306"/>
      <c r="C351" s="338" t="s">
        <v>2715</v>
      </c>
      <c r="D351" s="339"/>
      <c r="E351" s="338" t="s">
        <v>1985</v>
      </c>
      <c r="F351" s="339"/>
      <c r="G351" s="261" t="s">
        <v>3417</v>
      </c>
      <c r="H351" s="339"/>
      <c r="I351" s="338" t="s">
        <v>2946</v>
      </c>
      <c r="J351" s="84"/>
      <c r="K351" s="84" t="s">
        <v>3758</v>
      </c>
      <c r="L351" s="340"/>
      <c r="M351" s="332" t="s">
        <v>2678</v>
      </c>
      <c r="N351" s="306"/>
      <c r="O351" s="306"/>
      <c r="P351" s="22"/>
      <c r="Q351" s="84"/>
      <c r="R351" s="25"/>
      <c r="S351" s="25"/>
      <c r="T351" s="22"/>
      <c r="U351" s="25"/>
      <c r="V351" s="25"/>
      <c r="W351" s="25"/>
      <c r="X351" s="84" t="str">
        <f t="shared" si="1"/>
        <v>grantPlayerItems</v>
      </c>
      <c r="Y351" s="337" t="s">
        <v>3759</v>
      </c>
      <c r="Z351" s="25"/>
      <c r="AA351" s="25"/>
      <c r="AB351" s="25"/>
      <c r="AC351" s="25"/>
      <c r="AD351" s="25"/>
      <c r="AE351" s="25"/>
    </row>
    <row r="352" spans="1:31" ht="340" outlineLevel="1" x14ac:dyDescent="0.15">
      <c r="A352" s="338" t="s">
        <v>3760</v>
      </c>
      <c r="B352" s="306"/>
      <c r="C352" s="338" t="s">
        <v>2715</v>
      </c>
      <c r="D352" s="339"/>
      <c r="E352" s="338" t="s">
        <v>1985</v>
      </c>
      <c r="F352" s="339"/>
      <c r="G352" s="261" t="s">
        <v>3421</v>
      </c>
      <c r="H352" s="339"/>
      <c r="I352" s="338" t="s">
        <v>2946</v>
      </c>
      <c r="J352" s="84"/>
      <c r="K352" s="84" t="s">
        <v>3761</v>
      </c>
      <c r="L352" s="340"/>
      <c r="M352" s="332" t="s">
        <v>2678</v>
      </c>
      <c r="N352" s="306"/>
      <c r="O352" s="306"/>
      <c r="P352" s="22"/>
      <c r="Q352" s="84"/>
      <c r="R352" s="25"/>
      <c r="S352" s="25"/>
      <c r="T352" s="22"/>
      <c r="U352" s="25"/>
      <c r="V352" s="25"/>
      <c r="W352" s="25"/>
      <c r="X352" s="84" t="str">
        <f t="shared" si="1"/>
        <v>grantPlayerItems</v>
      </c>
      <c r="Y352" s="337" t="s">
        <v>3762</v>
      </c>
      <c r="Z352" s="25"/>
      <c r="AA352" s="25"/>
      <c r="AB352" s="25"/>
      <c r="AC352" s="25"/>
      <c r="AD352" s="25"/>
      <c r="AE352" s="25"/>
    </row>
    <row r="353" spans="1:31" ht="340" outlineLevel="1" x14ac:dyDescent="0.15">
      <c r="A353" s="338" t="s">
        <v>3763</v>
      </c>
      <c r="B353" s="306"/>
      <c r="C353" s="338" t="s">
        <v>2715</v>
      </c>
      <c r="D353" s="339"/>
      <c r="E353" s="338" t="s">
        <v>1985</v>
      </c>
      <c r="F353" s="339"/>
      <c r="G353" s="261" t="s">
        <v>3425</v>
      </c>
      <c r="H353" s="339"/>
      <c r="I353" s="338" t="s">
        <v>2946</v>
      </c>
      <c r="J353" s="84"/>
      <c r="K353" s="84" t="s">
        <v>3764</v>
      </c>
      <c r="L353" s="340"/>
      <c r="M353" s="332" t="s">
        <v>2678</v>
      </c>
      <c r="N353" s="306"/>
      <c r="O353" s="306"/>
      <c r="P353" s="22"/>
      <c r="Q353" s="84"/>
      <c r="R353" s="25"/>
      <c r="S353" s="25"/>
      <c r="T353" s="22"/>
      <c r="U353" s="25"/>
      <c r="V353" s="25"/>
      <c r="W353" s="25"/>
      <c r="X353" s="84" t="str">
        <f t="shared" si="1"/>
        <v>grantPlayerItems</v>
      </c>
      <c r="Y353" s="337" t="s">
        <v>3765</v>
      </c>
      <c r="Z353" s="25"/>
      <c r="AA353" s="25"/>
      <c r="AB353" s="25"/>
      <c r="AC353" s="25"/>
      <c r="AD353" s="25"/>
      <c r="AE353" s="25"/>
    </row>
    <row r="354" spans="1:31" ht="340" x14ac:dyDescent="0.15">
      <c r="A354" s="338" t="s">
        <v>3766</v>
      </c>
      <c r="B354" s="306"/>
      <c r="C354" s="338" t="s">
        <v>2715</v>
      </c>
      <c r="D354" s="339"/>
      <c r="E354" s="338" t="s">
        <v>2013</v>
      </c>
      <c r="F354" s="339"/>
      <c r="G354" s="261" t="s">
        <v>3401</v>
      </c>
      <c r="H354" s="339"/>
      <c r="I354" s="338" t="s">
        <v>2946</v>
      </c>
      <c r="J354" s="84"/>
      <c r="K354" s="84" t="s">
        <v>3767</v>
      </c>
      <c r="L354" s="340"/>
      <c r="M354" s="332" t="s">
        <v>2678</v>
      </c>
      <c r="N354" s="306"/>
      <c r="O354" s="306"/>
      <c r="P354" s="22"/>
      <c r="Q354" s="84"/>
      <c r="R354" s="25"/>
      <c r="S354" s="25"/>
      <c r="T354" s="22"/>
      <c r="U354" s="25"/>
      <c r="V354" s="25"/>
      <c r="W354" s="25"/>
      <c r="X354" s="84" t="str">
        <f t="shared" si="1"/>
        <v>grantPlayerItems</v>
      </c>
      <c r="Y354" s="337" t="s">
        <v>3768</v>
      </c>
      <c r="Z354" s="25"/>
      <c r="AA354" s="25"/>
      <c r="AB354" s="25"/>
      <c r="AC354" s="25"/>
      <c r="AD354" s="25"/>
      <c r="AE354" s="25"/>
    </row>
    <row r="355" spans="1:31" ht="340" outlineLevel="1" x14ac:dyDescent="0.15">
      <c r="A355" s="338" t="s">
        <v>3769</v>
      </c>
      <c r="B355" s="306"/>
      <c r="C355" s="338" t="s">
        <v>2715</v>
      </c>
      <c r="D355" s="339"/>
      <c r="E355" s="338" t="s">
        <v>2013</v>
      </c>
      <c r="F355" s="339"/>
      <c r="G355" s="261" t="s">
        <v>3405</v>
      </c>
      <c r="H355" s="339"/>
      <c r="I355" s="338" t="s">
        <v>2946</v>
      </c>
      <c r="J355" s="84"/>
      <c r="K355" s="84" t="s">
        <v>3770</v>
      </c>
      <c r="L355" s="340"/>
      <c r="M355" s="332" t="s">
        <v>2678</v>
      </c>
      <c r="N355" s="306"/>
      <c r="O355" s="306"/>
      <c r="P355" s="22"/>
      <c r="Q355" s="84"/>
      <c r="R355" s="25"/>
      <c r="S355" s="25"/>
      <c r="T355" s="22"/>
      <c r="U355" s="25"/>
      <c r="V355" s="25"/>
      <c r="W355" s="25"/>
      <c r="X355" s="84" t="str">
        <f t="shared" si="1"/>
        <v>grantPlayerItems</v>
      </c>
      <c r="Y355" s="337" t="s">
        <v>3771</v>
      </c>
      <c r="Z355" s="25"/>
      <c r="AA355" s="25"/>
      <c r="AB355" s="25"/>
      <c r="AC355" s="25"/>
      <c r="AD355" s="25"/>
      <c r="AE355" s="25"/>
    </row>
    <row r="356" spans="1:31" ht="340" outlineLevel="1" x14ac:dyDescent="0.15">
      <c r="A356" s="338" t="s">
        <v>3772</v>
      </c>
      <c r="B356" s="306"/>
      <c r="C356" s="338" t="s">
        <v>2715</v>
      </c>
      <c r="D356" s="339"/>
      <c r="E356" s="338" t="s">
        <v>2013</v>
      </c>
      <c r="F356" s="339"/>
      <c r="G356" s="261" t="s">
        <v>3409</v>
      </c>
      <c r="H356" s="339"/>
      <c r="I356" s="338" t="s">
        <v>2946</v>
      </c>
      <c r="J356" s="84"/>
      <c r="K356" s="84" t="s">
        <v>3773</v>
      </c>
      <c r="L356" s="340"/>
      <c r="M356" s="332" t="s">
        <v>2678</v>
      </c>
      <c r="N356" s="306"/>
      <c r="O356" s="306"/>
      <c r="P356" s="22"/>
      <c r="Q356" s="84"/>
      <c r="R356" s="25"/>
      <c r="S356" s="25"/>
      <c r="T356" s="22"/>
      <c r="U356" s="25"/>
      <c r="V356" s="25"/>
      <c r="W356" s="25"/>
      <c r="X356" s="84" t="str">
        <f t="shared" si="1"/>
        <v>grantPlayerItems</v>
      </c>
      <c r="Y356" s="337" t="s">
        <v>3774</v>
      </c>
      <c r="Z356" s="25"/>
      <c r="AA356" s="25"/>
      <c r="AB356" s="25"/>
      <c r="AC356" s="25"/>
      <c r="AD356" s="25"/>
      <c r="AE356" s="25"/>
    </row>
    <row r="357" spans="1:31" ht="340" outlineLevel="1" x14ac:dyDescent="0.15">
      <c r="A357" s="338" t="s">
        <v>3775</v>
      </c>
      <c r="B357" s="306"/>
      <c r="C357" s="338" t="s">
        <v>2715</v>
      </c>
      <c r="D357" s="339"/>
      <c r="E357" s="338" t="s">
        <v>2013</v>
      </c>
      <c r="F357" s="339"/>
      <c r="G357" s="261" t="s">
        <v>3413</v>
      </c>
      <c r="H357" s="339"/>
      <c r="I357" s="338" t="s">
        <v>2946</v>
      </c>
      <c r="J357" s="84"/>
      <c r="K357" s="84" t="s">
        <v>3776</v>
      </c>
      <c r="L357" s="340"/>
      <c r="M357" s="332" t="s">
        <v>2678</v>
      </c>
      <c r="N357" s="306"/>
      <c r="O357" s="306"/>
      <c r="P357" s="22"/>
      <c r="Q357" s="84"/>
      <c r="R357" s="25"/>
      <c r="S357" s="25"/>
      <c r="T357" s="22"/>
      <c r="U357" s="25"/>
      <c r="V357" s="25"/>
      <c r="W357" s="25"/>
      <c r="X357" s="84" t="str">
        <f t="shared" si="1"/>
        <v>grantPlayerItems</v>
      </c>
      <c r="Y357" s="337" t="s">
        <v>3777</v>
      </c>
      <c r="Z357" s="25"/>
      <c r="AA357" s="25"/>
      <c r="AB357" s="25"/>
      <c r="AC357" s="25"/>
      <c r="AD357" s="25"/>
      <c r="AE357" s="25"/>
    </row>
    <row r="358" spans="1:31" ht="340" outlineLevel="1" x14ac:dyDescent="0.15">
      <c r="A358" s="338" t="s">
        <v>3778</v>
      </c>
      <c r="B358" s="306"/>
      <c r="C358" s="338" t="s">
        <v>2715</v>
      </c>
      <c r="D358" s="339"/>
      <c r="E358" s="338" t="s">
        <v>2013</v>
      </c>
      <c r="F358" s="339"/>
      <c r="G358" s="261" t="s">
        <v>3417</v>
      </c>
      <c r="H358" s="339"/>
      <c r="I358" s="338" t="s">
        <v>2946</v>
      </c>
      <c r="J358" s="84"/>
      <c r="K358" s="84" t="s">
        <v>3779</v>
      </c>
      <c r="L358" s="340"/>
      <c r="M358" s="332" t="s">
        <v>2678</v>
      </c>
      <c r="N358" s="306"/>
      <c r="O358" s="306"/>
      <c r="P358" s="22"/>
      <c r="Q358" s="84"/>
      <c r="R358" s="25"/>
      <c r="S358" s="25"/>
      <c r="T358" s="22"/>
      <c r="U358" s="25"/>
      <c r="V358" s="25"/>
      <c r="W358" s="25"/>
      <c r="X358" s="84" t="str">
        <f t="shared" si="1"/>
        <v>grantPlayerItems</v>
      </c>
      <c r="Y358" s="337" t="s">
        <v>3780</v>
      </c>
      <c r="Z358" s="25"/>
      <c r="AA358" s="25"/>
      <c r="AB358" s="25"/>
      <c r="AC358" s="25"/>
      <c r="AD358" s="25"/>
      <c r="AE358" s="25"/>
    </row>
    <row r="359" spans="1:31" ht="340" outlineLevel="1" x14ac:dyDescent="0.15">
      <c r="A359" s="338" t="s">
        <v>3781</v>
      </c>
      <c r="B359" s="306"/>
      <c r="C359" s="338" t="s">
        <v>2715</v>
      </c>
      <c r="D359" s="339"/>
      <c r="E359" s="338" t="s">
        <v>2013</v>
      </c>
      <c r="F359" s="339"/>
      <c r="G359" s="261" t="s">
        <v>3421</v>
      </c>
      <c r="H359" s="339"/>
      <c r="I359" s="338" t="s">
        <v>2946</v>
      </c>
      <c r="J359" s="84"/>
      <c r="K359" s="84" t="s">
        <v>3782</v>
      </c>
      <c r="L359" s="340"/>
      <c r="M359" s="332" t="s">
        <v>2678</v>
      </c>
      <c r="N359" s="306"/>
      <c r="O359" s="306"/>
      <c r="P359" s="22"/>
      <c r="Q359" s="84"/>
      <c r="R359" s="25"/>
      <c r="S359" s="25"/>
      <c r="T359" s="22"/>
      <c r="U359" s="25"/>
      <c r="V359" s="25"/>
      <c r="W359" s="25"/>
      <c r="X359" s="84" t="str">
        <f t="shared" si="1"/>
        <v>grantPlayerItems</v>
      </c>
      <c r="Y359" s="337" t="s">
        <v>3783</v>
      </c>
      <c r="Z359" s="25"/>
      <c r="AA359" s="25"/>
      <c r="AB359" s="25"/>
      <c r="AC359" s="25"/>
      <c r="AD359" s="25"/>
      <c r="AE359" s="25"/>
    </row>
    <row r="360" spans="1:31" ht="340" outlineLevel="1" x14ac:dyDescent="0.15">
      <c r="A360" s="338" t="s">
        <v>3784</v>
      </c>
      <c r="B360" s="306"/>
      <c r="C360" s="338" t="s">
        <v>2715</v>
      </c>
      <c r="D360" s="339"/>
      <c r="E360" s="338" t="s">
        <v>2013</v>
      </c>
      <c r="F360" s="339"/>
      <c r="G360" s="261" t="s">
        <v>3425</v>
      </c>
      <c r="H360" s="339"/>
      <c r="I360" s="338" t="s">
        <v>2946</v>
      </c>
      <c r="J360" s="84"/>
      <c r="K360" s="84" t="s">
        <v>3785</v>
      </c>
      <c r="L360" s="340"/>
      <c r="M360" s="332" t="s">
        <v>2678</v>
      </c>
      <c r="N360" s="306"/>
      <c r="O360" s="306"/>
      <c r="P360" s="22"/>
      <c r="Q360" s="84"/>
      <c r="R360" s="25"/>
      <c r="S360" s="25"/>
      <c r="T360" s="22"/>
      <c r="U360" s="25"/>
      <c r="V360" s="25"/>
      <c r="W360" s="25"/>
      <c r="X360" s="84" t="str">
        <f t="shared" si="1"/>
        <v>grantPlayerItems</v>
      </c>
      <c r="Y360" s="337" t="s">
        <v>3786</v>
      </c>
      <c r="Z360" s="25"/>
      <c r="AA360" s="25"/>
      <c r="AB360" s="25"/>
      <c r="AC360" s="25"/>
      <c r="AD360" s="25"/>
      <c r="AE360" s="25"/>
    </row>
    <row r="361" spans="1:31" ht="340" x14ac:dyDescent="0.15">
      <c r="A361" s="338" t="s">
        <v>3787</v>
      </c>
      <c r="B361" s="306"/>
      <c r="C361" s="338" t="s">
        <v>2715</v>
      </c>
      <c r="D361" s="339"/>
      <c r="E361" s="338" t="s">
        <v>1859</v>
      </c>
      <c r="F361" s="339"/>
      <c r="G361" s="261" t="s">
        <v>3401</v>
      </c>
      <c r="H361" s="339"/>
      <c r="I361" s="338" t="s">
        <v>2946</v>
      </c>
      <c r="J361" s="84"/>
      <c r="K361" s="84" t="s">
        <v>3788</v>
      </c>
      <c r="L361" s="340"/>
      <c r="M361" s="332" t="s">
        <v>2678</v>
      </c>
      <c r="N361" s="306"/>
      <c r="O361" s="306"/>
      <c r="P361" s="22"/>
      <c r="Q361" s="84"/>
      <c r="R361" s="25"/>
      <c r="S361" s="25"/>
      <c r="T361" s="22"/>
      <c r="U361" s="25"/>
      <c r="V361" s="25"/>
      <c r="W361" s="25"/>
      <c r="X361" s="84" t="str">
        <f t="shared" si="1"/>
        <v>grantPlayerItems</v>
      </c>
      <c r="Y361" s="337" t="s">
        <v>3789</v>
      </c>
      <c r="Z361" s="25"/>
      <c r="AA361" s="25"/>
      <c r="AB361" s="25"/>
      <c r="AC361" s="25"/>
      <c r="AD361" s="25"/>
      <c r="AE361" s="25"/>
    </row>
    <row r="362" spans="1:31" ht="340" outlineLevel="1" x14ac:dyDescent="0.15">
      <c r="A362" s="338" t="s">
        <v>3790</v>
      </c>
      <c r="B362" s="306"/>
      <c r="C362" s="338" t="s">
        <v>2715</v>
      </c>
      <c r="D362" s="339"/>
      <c r="E362" s="338" t="s">
        <v>1859</v>
      </c>
      <c r="F362" s="339"/>
      <c r="G362" s="261" t="s">
        <v>3405</v>
      </c>
      <c r="H362" s="339"/>
      <c r="I362" s="338" t="s">
        <v>2946</v>
      </c>
      <c r="J362" s="84"/>
      <c r="K362" s="84" t="s">
        <v>3791</v>
      </c>
      <c r="L362" s="340"/>
      <c r="M362" s="332" t="s">
        <v>2678</v>
      </c>
      <c r="N362" s="306"/>
      <c r="O362" s="306"/>
      <c r="P362" s="22"/>
      <c r="Q362" s="84"/>
      <c r="R362" s="25"/>
      <c r="S362" s="25"/>
      <c r="T362" s="22"/>
      <c r="U362" s="25"/>
      <c r="V362" s="25"/>
      <c r="W362" s="25"/>
      <c r="X362" s="84" t="str">
        <f t="shared" si="1"/>
        <v>grantPlayerItems</v>
      </c>
      <c r="Y362" s="337" t="s">
        <v>3792</v>
      </c>
      <c r="Z362" s="25"/>
      <c r="AA362" s="25"/>
      <c r="AB362" s="25"/>
      <c r="AC362" s="25"/>
      <c r="AD362" s="25"/>
      <c r="AE362" s="25"/>
    </row>
    <row r="363" spans="1:31" ht="340" outlineLevel="1" x14ac:dyDescent="0.15">
      <c r="A363" s="338" t="s">
        <v>3793</v>
      </c>
      <c r="B363" s="306"/>
      <c r="C363" s="338" t="s">
        <v>2715</v>
      </c>
      <c r="D363" s="339"/>
      <c r="E363" s="338" t="s">
        <v>1859</v>
      </c>
      <c r="F363" s="339"/>
      <c r="G363" s="261" t="s">
        <v>3409</v>
      </c>
      <c r="H363" s="339"/>
      <c r="I363" s="338" t="s">
        <v>2946</v>
      </c>
      <c r="J363" s="84"/>
      <c r="K363" s="84" t="s">
        <v>3794</v>
      </c>
      <c r="L363" s="340"/>
      <c r="M363" s="332" t="s">
        <v>2678</v>
      </c>
      <c r="N363" s="306"/>
      <c r="O363" s="306"/>
      <c r="P363" s="22"/>
      <c r="Q363" s="84"/>
      <c r="R363" s="25"/>
      <c r="S363" s="25"/>
      <c r="T363" s="22"/>
      <c r="U363" s="25"/>
      <c r="V363" s="25"/>
      <c r="W363" s="25"/>
      <c r="X363" s="84" t="str">
        <f t="shared" si="1"/>
        <v>grantPlayerItems</v>
      </c>
      <c r="Y363" s="337" t="s">
        <v>3795</v>
      </c>
      <c r="Z363" s="25"/>
      <c r="AA363" s="25"/>
      <c r="AB363" s="25"/>
      <c r="AC363" s="25"/>
      <c r="AD363" s="25"/>
      <c r="AE363" s="25"/>
    </row>
    <row r="364" spans="1:31" ht="340" outlineLevel="1" x14ac:dyDescent="0.15">
      <c r="A364" s="338" t="s">
        <v>3796</v>
      </c>
      <c r="B364" s="306"/>
      <c r="C364" s="338" t="s">
        <v>2715</v>
      </c>
      <c r="D364" s="339"/>
      <c r="E364" s="338" t="s">
        <v>1859</v>
      </c>
      <c r="F364" s="339"/>
      <c r="G364" s="261" t="s">
        <v>3413</v>
      </c>
      <c r="H364" s="339"/>
      <c r="I364" s="338" t="s">
        <v>2946</v>
      </c>
      <c r="J364" s="84"/>
      <c r="K364" s="84" t="s">
        <v>3797</v>
      </c>
      <c r="L364" s="340"/>
      <c r="M364" s="332" t="s">
        <v>2678</v>
      </c>
      <c r="N364" s="306"/>
      <c r="O364" s="306"/>
      <c r="P364" s="22"/>
      <c r="Q364" s="84"/>
      <c r="R364" s="25"/>
      <c r="S364" s="25"/>
      <c r="T364" s="22"/>
      <c r="U364" s="25"/>
      <c r="V364" s="25"/>
      <c r="W364" s="25"/>
      <c r="X364" s="84" t="str">
        <f t="shared" si="1"/>
        <v>grantPlayerItems</v>
      </c>
      <c r="Y364" s="337" t="s">
        <v>3798</v>
      </c>
      <c r="Z364" s="25"/>
      <c r="AA364" s="25"/>
      <c r="AB364" s="25"/>
      <c r="AC364" s="25"/>
      <c r="AD364" s="25"/>
      <c r="AE364" s="25"/>
    </row>
    <row r="365" spans="1:31" ht="340" outlineLevel="1" x14ac:dyDescent="0.15">
      <c r="A365" s="338" t="s">
        <v>3799</v>
      </c>
      <c r="B365" s="306"/>
      <c r="C365" s="338" t="s">
        <v>2715</v>
      </c>
      <c r="D365" s="339"/>
      <c r="E365" s="338" t="s">
        <v>1859</v>
      </c>
      <c r="F365" s="339"/>
      <c r="G365" s="261" t="s">
        <v>3417</v>
      </c>
      <c r="H365" s="339"/>
      <c r="I365" s="338" t="s">
        <v>2946</v>
      </c>
      <c r="J365" s="84"/>
      <c r="K365" s="84" t="s">
        <v>3800</v>
      </c>
      <c r="L365" s="340"/>
      <c r="M365" s="332" t="s">
        <v>2678</v>
      </c>
      <c r="N365" s="306"/>
      <c r="O365" s="306"/>
      <c r="P365" s="22"/>
      <c r="Q365" s="84"/>
      <c r="R365" s="25"/>
      <c r="S365" s="25"/>
      <c r="T365" s="22"/>
      <c r="U365" s="25"/>
      <c r="V365" s="25"/>
      <c r="W365" s="25"/>
      <c r="X365" s="84" t="str">
        <f t="shared" si="1"/>
        <v>grantPlayerItems</v>
      </c>
      <c r="Y365" s="337" t="s">
        <v>3801</v>
      </c>
      <c r="Z365" s="25"/>
      <c r="AA365" s="25"/>
      <c r="AB365" s="25"/>
      <c r="AC365" s="25"/>
      <c r="AD365" s="25"/>
      <c r="AE365" s="25"/>
    </row>
    <row r="366" spans="1:31" ht="340" outlineLevel="1" x14ac:dyDescent="0.15">
      <c r="A366" s="338" t="s">
        <v>3802</v>
      </c>
      <c r="B366" s="306"/>
      <c r="C366" s="338" t="s">
        <v>2715</v>
      </c>
      <c r="D366" s="339"/>
      <c r="E366" s="338" t="s">
        <v>1859</v>
      </c>
      <c r="F366" s="339"/>
      <c r="G366" s="261" t="s">
        <v>3421</v>
      </c>
      <c r="H366" s="339"/>
      <c r="I366" s="338" t="s">
        <v>2946</v>
      </c>
      <c r="J366" s="84"/>
      <c r="K366" s="84" t="s">
        <v>3803</v>
      </c>
      <c r="L366" s="340"/>
      <c r="M366" s="332" t="s">
        <v>2678</v>
      </c>
      <c r="N366" s="306"/>
      <c r="O366" s="306"/>
      <c r="P366" s="22"/>
      <c r="Q366" s="84"/>
      <c r="R366" s="25"/>
      <c r="S366" s="25"/>
      <c r="T366" s="22"/>
      <c r="U366" s="25"/>
      <c r="V366" s="25"/>
      <c r="W366" s="25"/>
      <c r="X366" s="84" t="str">
        <f t="shared" si="1"/>
        <v>grantPlayerItems</v>
      </c>
      <c r="Y366" s="337" t="s">
        <v>3804</v>
      </c>
      <c r="Z366" s="25"/>
      <c r="AA366" s="25"/>
      <c r="AB366" s="25"/>
      <c r="AC366" s="25"/>
      <c r="AD366" s="25"/>
      <c r="AE366" s="25"/>
    </row>
    <row r="367" spans="1:31" ht="340" outlineLevel="1" x14ac:dyDescent="0.15">
      <c r="A367" s="338" t="s">
        <v>3805</v>
      </c>
      <c r="B367" s="306"/>
      <c r="C367" s="338" t="s">
        <v>2715</v>
      </c>
      <c r="D367" s="339"/>
      <c r="E367" s="338" t="s">
        <v>1859</v>
      </c>
      <c r="F367" s="339"/>
      <c r="G367" s="261" t="s">
        <v>3425</v>
      </c>
      <c r="H367" s="339"/>
      <c r="I367" s="338" t="s">
        <v>2946</v>
      </c>
      <c r="J367" s="84"/>
      <c r="K367" s="84" t="s">
        <v>3806</v>
      </c>
      <c r="L367" s="340"/>
      <c r="M367" s="332" t="s">
        <v>2678</v>
      </c>
      <c r="N367" s="306"/>
      <c r="O367" s="306"/>
      <c r="P367" s="22"/>
      <c r="Q367" s="84"/>
      <c r="R367" s="25"/>
      <c r="S367" s="25"/>
      <c r="T367" s="22"/>
      <c r="U367" s="25"/>
      <c r="V367" s="25"/>
      <c r="W367" s="25"/>
      <c r="X367" s="84" t="str">
        <f t="shared" si="1"/>
        <v>grantPlayerItems</v>
      </c>
      <c r="Y367" s="337" t="s">
        <v>3807</v>
      </c>
      <c r="Z367" s="25"/>
      <c r="AA367" s="25"/>
      <c r="AB367" s="25"/>
      <c r="AC367" s="25"/>
      <c r="AD367" s="25"/>
      <c r="AE367" s="25"/>
    </row>
    <row r="368" spans="1:31" ht="340" x14ac:dyDescent="0.15">
      <c r="A368" s="338" t="s">
        <v>3808</v>
      </c>
      <c r="B368" s="306"/>
      <c r="C368" s="338" t="s">
        <v>2715</v>
      </c>
      <c r="D368" s="339"/>
      <c r="E368" s="338" t="s">
        <v>1746</v>
      </c>
      <c r="F368" s="339"/>
      <c r="G368" s="261" t="s">
        <v>3401</v>
      </c>
      <c r="H368" s="339"/>
      <c r="I368" s="338" t="s">
        <v>2946</v>
      </c>
      <c r="J368" s="84"/>
      <c r="K368" s="84" t="s">
        <v>3809</v>
      </c>
      <c r="L368" s="340"/>
      <c r="M368" s="332" t="s">
        <v>2678</v>
      </c>
      <c r="N368" s="306"/>
      <c r="O368" s="306"/>
      <c r="P368" s="22"/>
      <c r="Q368" s="84"/>
      <c r="R368" s="25"/>
      <c r="S368" s="25"/>
      <c r="T368" s="22"/>
      <c r="U368" s="25"/>
      <c r="V368" s="25"/>
      <c r="W368" s="25"/>
      <c r="X368" s="84" t="str">
        <f t="shared" si="1"/>
        <v>grantPlayerItems</v>
      </c>
      <c r="Y368" s="337" t="s">
        <v>3810</v>
      </c>
      <c r="Z368" s="25"/>
      <c r="AA368" s="25"/>
      <c r="AB368" s="25"/>
      <c r="AC368" s="25"/>
      <c r="AD368" s="25"/>
      <c r="AE368" s="25"/>
    </row>
    <row r="369" spans="1:31" ht="340" outlineLevel="1" x14ac:dyDescent="0.15">
      <c r="A369" s="338" t="s">
        <v>3811</v>
      </c>
      <c r="B369" s="306"/>
      <c r="C369" s="338" t="s">
        <v>2715</v>
      </c>
      <c r="D369" s="339"/>
      <c r="E369" s="338" t="s">
        <v>1746</v>
      </c>
      <c r="F369" s="339"/>
      <c r="G369" s="261" t="s">
        <v>3405</v>
      </c>
      <c r="H369" s="339"/>
      <c r="I369" s="338" t="s">
        <v>2946</v>
      </c>
      <c r="J369" s="84"/>
      <c r="K369" s="84" t="s">
        <v>3812</v>
      </c>
      <c r="L369" s="340"/>
      <c r="M369" s="332" t="s">
        <v>2678</v>
      </c>
      <c r="N369" s="306"/>
      <c r="O369" s="306"/>
      <c r="P369" s="22"/>
      <c r="Q369" s="84"/>
      <c r="R369" s="25"/>
      <c r="S369" s="25"/>
      <c r="T369" s="22"/>
      <c r="U369" s="25"/>
      <c r="V369" s="25"/>
      <c r="W369" s="25"/>
      <c r="X369" s="84" t="str">
        <f t="shared" si="1"/>
        <v>grantPlayerItems</v>
      </c>
      <c r="Y369" s="337" t="s">
        <v>3813</v>
      </c>
      <c r="Z369" s="25"/>
      <c r="AA369" s="25"/>
      <c r="AB369" s="25"/>
      <c r="AC369" s="25"/>
      <c r="AD369" s="25"/>
      <c r="AE369" s="25"/>
    </row>
    <row r="370" spans="1:31" ht="340" outlineLevel="1" x14ac:dyDescent="0.15">
      <c r="A370" s="338" t="s">
        <v>3814</v>
      </c>
      <c r="B370" s="306"/>
      <c r="C370" s="338" t="s">
        <v>2715</v>
      </c>
      <c r="D370" s="339"/>
      <c r="E370" s="338" t="s">
        <v>1746</v>
      </c>
      <c r="F370" s="339"/>
      <c r="G370" s="261" t="s">
        <v>3409</v>
      </c>
      <c r="H370" s="339"/>
      <c r="I370" s="338" t="s">
        <v>2946</v>
      </c>
      <c r="J370" s="84"/>
      <c r="K370" s="84" t="s">
        <v>3815</v>
      </c>
      <c r="L370" s="340"/>
      <c r="M370" s="332" t="s">
        <v>2678</v>
      </c>
      <c r="N370" s="306"/>
      <c r="O370" s="306"/>
      <c r="P370" s="22"/>
      <c r="Q370" s="84"/>
      <c r="R370" s="25"/>
      <c r="S370" s="25"/>
      <c r="T370" s="22"/>
      <c r="U370" s="25"/>
      <c r="V370" s="25"/>
      <c r="W370" s="25"/>
      <c r="X370" s="84" t="str">
        <f t="shared" si="1"/>
        <v>grantPlayerItems</v>
      </c>
      <c r="Y370" s="337" t="s">
        <v>3816</v>
      </c>
      <c r="Z370" s="25"/>
      <c r="AA370" s="25"/>
      <c r="AB370" s="25"/>
      <c r="AC370" s="25"/>
      <c r="AD370" s="25"/>
      <c r="AE370" s="25"/>
    </row>
    <row r="371" spans="1:31" ht="340" outlineLevel="1" x14ac:dyDescent="0.15">
      <c r="A371" s="338" t="s">
        <v>3817</v>
      </c>
      <c r="B371" s="306"/>
      <c r="C371" s="338" t="s">
        <v>2715</v>
      </c>
      <c r="D371" s="339"/>
      <c r="E371" s="338" t="s">
        <v>1746</v>
      </c>
      <c r="F371" s="339"/>
      <c r="G371" s="261" t="s">
        <v>3413</v>
      </c>
      <c r="H371" s="339"/>
      <c r="I371" s="338" t="s">
        <v>2946</v>
      </c>
      <c r="J371" s="84"/>
      <c r="K371" s="84" t="s">
        <v>3818</v>
      </c>
      <c r="L371" s="340"/>
      <c r="M371" s="332" t="s">
        <v>2678</v>
      </c>
      <c r="N371" s="306"/>
      <c r="O371" s="306"/>
      <c r="P371" s="22"/>
      <c r="Q371" s="84"/>
      <c r="R371" s="25"/>
      <c r="S371" s="25"/>
      <c r="T371" s="22"/>
      <c r="U371" s="25"/>
      <c r="V371" s="25"/>
      <c r="W371" s="25"/>
      <c r="X371" s="84" t="str">
        <f t="shared" si="1"/>
        <v>grantPlayerItems</v>
      </c>
      <c r="Y371" s="337" t="s">
        <v>3819</v>
      </c>
      <c r="Z371" s="25"/>
      <c r="AA371" s="25"/>
      <c r="AB371" s="25"/>
      <c r="AC371" s="25"/>
      <c r="AD371" s="25"/>
      <c r="AE371" s="25"/>
    </row>
    <row r="372" spans="1:31" ht="340" outlineLevel="1" x14ac:dyDescent="0.15">
      <c r="A372" s="338" t="s">
        <v>3820</v>
      </c>
      <c r="B372" s="306"/>
      <c r="C372" s="338" t="s">
        <v>2715</v>
      </c>
      <c r="D372" s="339"/>
      <c r="E372" s="338" t="s">
        <v>1746</v>
      </c>
      <c r="F372" s="339"/>
      <c r="G372" s="261" t="s">
        <v>3417</v>
      </c>
      <c r="H372" s="339"/>
      <c r="I372" s="338" t="s">
        <v>2946</v>
      </c>
      <c r="J372" s="84"/>
      <c r="K372" s="84" t="s">
        <v>3821</v>
      </c>
      <c r="L372" s="340"/>
      <c r="M372" s="332" t="s">
        <v>2678</v>
      </c>
      <c r="N372" s="306"/>
      <c r="O372" s="306"/>
      <c r="P372" s="22"/>
      <c r="Q372" s="84"/>
      <c r="R372" s="25"/>
      <c r="S372" s="25"/>
      <c r="T372" s="22"/>
      <c r="U372" s="25"/>
      <c r="V372" s="25"/>
      <c r="W372" s="25"/>
      <c r="X372" s="84" t="str">
        <f t="shared" si="1"/>
        <v>grantPlayerItems</v>
      </c>
      <c r="Y372" s="337" t="s">
        <v>3822</v>
      </c>
      <c r="Z372" s="25"/>
      <c r="AA372" s="25"/>
      <c r="AB372" s="25"/>
      <c r="AC372" s="25"/>
      <c r="AD372" s="25"/>
      <c r="AE372" s="25"/>
    </row>
    <row r="373" spans="1:31" ht="340" outlineLevel="1" x14ac:dyDescent="0.15">
      <c r="A373" s="338" t="s">
        <v>3823</v>
      </c>
      <c r="B373" s="306"/>
      <c r="C373" s="338" t="s">
        <v>2715</v>
      </c>
      <c r="D373" s="339"/>
      <c r="E373" s="338" t="s">
        <v>1746</v>
      </c>
      <c r="F373" s="339"/>
      <c r="G373" s="261" t="s">
        <v>3421</v>
      </c>
      <c r="H373" s="339"/>
      <c r="I373" s="338" t="s">
        <v>2946</v>
      </c>
      <c r="J373" s="84"/>
      <c r="K373" s="84" t="s">
        <v>3824</v>
      </c>
      <c r="L373" s="340"/>
      <c r="M373" s="332" t="s">
        <v>2678</v>
      </c>
      <c r="N373" s="306"/>
      <c r="O373" s="306"/>
      <c r="P373" s="22"/>
      <c r="Q373" s="84"/>
      <c r="R373" s="25"/>
      <c r="S373" s="25"/>
      <c r="T373" s="22"/>
      <c r="U373" s="25"/>
      <c r="V373" s="25"/>
      <c r="W373" s="25"/>
      <c r="X373" s="84" t="str">
        <f t="shared" si="1"/>
        <v>grantPlayerItems</v>
      </c>
      <c r="Y373" s="337" t="s">
        <v>3825</v>
      </c>
      <c r="Z373" s="25"/>
      <c r="AA373" s="25"/>
      <c r="AB373" s="25"/>
      <c r="AC373" s="25"/>
      <c r="AD373" s="25"/>
      <c r="AE373" s="25"/>
    </row>
    <row r="374" spans="1:31" ht="340" outlineLevel="1" x14ac:dyDescent="0.15">
      <c r="A374" s="338" t="s">
        <v>3826</v>
      </c>
      <c r="B374" s="306"/>
      <c r="C374" s="338" t="s">
        <v>2715</v>
      </c>
      <c r="D374" s="339"/>
      <c r="E374" s="338" t="s">
        <v>1746</v>
      </c>
      <c r="F374" s="339"/>
      <c r="G374" s="261" t="s">
        <v>3425</v>
      </c>
      <c r="H374" s="339"/>
      <c r="I374" s="338" t="s">
        <v>2946</v>
      </c>
      <c r="J374" s="84"/>
      <c r="K374" s="84" t="s">
        <v>3827</v>
      </c>
      <c r="L374" s="340"/>
      <c r="M374" s="332" t="s">
        <v>2678</v>
      </c>
      <c r="N374" s="306"/>
      <c r="O374" s="306"/>
      <c r="P374" s="22"/>
      <c r="Q374" s="84"/>
      <c r="R374" s="25"/>
      <c r="S374" s="25"/>
      <c r="T374" s="22"/>
      <c r="U374" s="25"/>
      <c r="V374" s="25"/>
      <c r="W374" s="25"/>
      <c r="X374" s="84" t="str">
        <f t="shared" si="1"/>
        <v>grantPlayerItems</v>
      </c>
      <c r="Y374" s="337" t="s">
        <v>3828</v>
      </c>
      <c r="Z374" s="25"/>
      <c r="AA374" s="25"/>
      <c r="AB374" s="25"/>
      <c r="AC374" s="25"/>
      <c r="AD374" s="25"/>
      <c r="AE374" s="25"/>
    </row>
    <row r="375" spans="1:31" ht="340" x14ac:dyDescent="0.15">
      <c r="A375" s="338" t="s">
        <v>3829</v>
      </c>
      <c r="B375" s="306"/>
      <c r="C375" s="338" t="s">
        <v>2715</v>
      </c>
      <c r="D375" s="339"/>
      <c r="E375" s="338" t="s">
        <v>1915</v>
      </c>
      <c r="F375" s="339"/>
      <c r="G375" s="261" t="s">
        <v>3401</v>
      </c>
      <c r="H375" s="339"/>
      <c r="I375" s="338" t="s">
        <v>2946</v>
      </c>
      <c r="J375" s="84"/>
      <c r="K375" s="84" t="s">
        <v>3830</v>
      </c>
      <c r="L375" s="340"/>
      <c r="M375" s="332" t="s">
        <v>2678</v>
      </c>
      <c r="N375" s="306"/>
      <c r="O375" s="306"/>
      <c r="P375" s="22"/>
      <c r="Q375" s="84"/>
      <c r="R375" s="25"/>
      <c r="S375" s="25"/>
      <c r="T375" s="22"/>
      <c r="U375" s="25"/>
      <c r="V375" s="25"/>
      <c r="W375" s="25"/>
      <c r="X375" s="84" t="str">
        <f t="shared" si="1"/>
        <v>grantPlayerItems</v>
      </c>
      <c r="Y375" s="337" t="s">
        <v>3831</v>
      </c>
      <c r="Z375" s="25"/>
      <c r="AA375" s="25"/>
      <c r="AB375" s="25"/>
      <c r="AC375" s="25"/>
      <c r="AD375" s="25"/>
      <c r="AE375" s="25"/>
    </row>
    <row r="376" spans="1:31" ht="340" outlineLevel="1" x14ac:dyDescent="0.15">
      <c r="A376" s="338" t="s">
        <v>3832</v>
      </c>
      <c r="B376" s="306"/>
      <c r="C376" s="338" t="s">
        <v>2715</v>
      </c>
      <c r="D376" s="339"/>
      <c r="E376" s="338" t="s">
        <v>1915</v>
      </c>
      <c r="F376" s="339"/>
      <c r="G376" s="261" t="s">
        <v>3405</v>
      </c>
      <c r="H376" s="339"/>
      <c r="I376" s="338" t="s">
        <v>2946</v>
      </c>
      <c r="J376" s="84"/>
      <c r="K376" s="84" t="s">
        <v>3833</v>
      </c>
      <c r="L376" s="340"/>
      <c r="M376" s="332" t="s">
        <v>2678</v>
      </c>
      <c r="N376" s="306"/>
      <c r="O376" s="306"/>
      <c r="P376" s="22"/>
      <c r="Q376" s="84"/>
      <c r="R376" s="25"/>
      <c r="S376" s="25"/>
      <c r="T376" s="22"/>
      <c r="U376" s="25"/>
      <c r="V376" s="25"/>
      <c r="W376" s="25"/>
      <c r="X376" s="84" t="str">
        <f t="shared" si="1"/>
        <v>grantPlayerItems</v>
      </c>
      <c r="Y376" s="337" t="s">
        <v>3834</v>
      </c>
      <c r="Z376" s="25"/>
      <c r="AA376" s="25"/>
      <c r="AB376" s="25"/>
      <c r="AC376" s="25"/>
      <c r="AD376" s="25"/>
      <c r="AE376" s="25"/>
    </row>
    <row r="377" spans="1:31" ht="340" outlineLevel="1" x14ac:dyDescent="0.15">
      <c r="A377" s="338" t="s">
        <v>3835</v>
      </c>
      <c r="B377" s="306"/>
      <c r="C377" s="338" t="s">
        <v>2715</v>
      </c>
      <c r="D377" s="339"/>
      <c r="E377" s="338" t="s">
        <v>1915</v>
      </c>
      <c r="F377" s="339"/>
      <c r="G377" s="261" t="s">
        <v>3409</v>
      </c>
      <c r="H377" s="339"/>
      <c r="I377" s="338" t="s">
        <v>2946</v>
      </c>
      <c r="J377" s="84"/>
      <c r="K377" s="84" t="s">
        <v>3836</v>
      </c>
      <c r="L377" s="340"/>
      <c r="M377" s="332" t="s">
        <v>2678</v>
      </c>
      <c r="N377" s="306"/>
      <c r="O377" s="306"/>
      <c r="P377" s="22"/>
      <c r="Q377" s="84"/>
      <c r="R377" s="25"/>
      <c r="S377" s="25"/>
      <c r="T377" s="22"/>
      <c r="U377" s="25"/>
      <c r="V377" s="25"/>
      <c r="W377" s="25"/>
      <c r="X377" s="84" t="str">
        <f t="shared" si="1"/>
        <v>grantPlayerItems</v>
      </c>
      <c r="Y377" s="337" t="s">
        <v>3837</v>
      </c>
      <c r="Z377" s="25"/>
      <c r="AA377" s="25"/>
      <c r="AB377" s="25"/>
      <c r="AC377" s="25"/>
      <c r="AD377" s="25"/>
      <c r="AE377" s="25"/>
    </row>
    <row r="378" spans="1:31" ht="340" outlineLevel="1" x14ac:dyDescent="0.15">
      <c r="A378" s="338" t="s">
        <v>3838</v>
      </c>
      <c r="B378" s="306"/>
      <c r="C378" s="338" t="s">
        <v>2715</v>
      </c>
      <c r="D378" s="339"/>
      <c r="E378" s="338" t="s">
        <v>1915</v>
      </c>
      <c r="F378" s="339"/>
      <c r="G378" s="261" t="s">
        <v>3413</v>
      </c>
      <c r="H378" s="339"/>
      <c r="I378" s="338" t="s">
        <v>2946</v>
      </c>
      <c r="J378" s="84"/>
      <c r="K378" s="84" t="s">
        <v>3839</v>
      </c>
      <c r="L378" s="340"/>
      <c r="M378" s="332" t="s">
        <v>2678</v>
      </c>
      <c r="N378" s="306"/>
      <c r="O378" s="306"/>
      <c r="P378" s="22"/>
      <c r="Q378" s="84"/>
      <c r="R378" s="25"/>
      <c r="S378" s="25"/>
      <c r="T378" s="22"/>
      <c r="U378" s="25"/>
      <c r="V378" s="25"/>
      <c r="W378" s="25"/>
      <c r="X378" s="84" t="str">
        <f t="shared" si="1"/>
        <v>grantPlayerItems</v>
      </c>
      <c r="Y378" s="337" t="s">
        <v>3840</v>
      </c>
      <c r="Z378" s="25"/>
      <c r="AA378" s="25"/>
      <c r="AB378" s="25"/>
      <c r="AC378" s="25"/>
      <c r="AD378" s="25"/>
      <c r="AE378" s="25"/>
    </row>
    <row r="379" spans="1:31" ht="340" outlineLevel="1" x14ac:dyDescent="0.15">
      <c r="A379" s="338" t="s">
        <v>3841</v>
      </c>
      <c r="B379" s="306"/>
      <c r="C379" s="338" t="s">
        <v>2715</v>
      </c>
      <c r="D379" s="339"/>
      <c r="E379" s="338" t="s">
        <v>1915</v>
      </c>
      <c r="F379" s="339"/>
      <c r="G379" s="261" t="s">
        <v>3417</v>
      </c>
      <c r="H379" s="339"/>
      <c r="I379" s="338" t="s">
        <v>2946</v>
      </c>
      <c r="J379" s="84"/>
      <c r="K379" s="84" t="s">
        <v>3842</v>
      </c>
      <c r="L379" s="340"/>
      <c r="M379" s="332" t="s">
        <v>2678</v>
      </c>
      <c r="N379" s="306"/>
      <c r="O379" s="306"/>
      <c r="P379" s="22"/>
      <c r="Q379" s="84"/>
      <c r="R379" s="25"/>
      <c r="S379" s="25"/>
      <c r="T379" s="22"/>
      <c r="U379" s="25"/>
      <c r="V379" s="25"/>
      <c r="W379" s="25"/>
      <c r="X379" s="84" t="str">
        <f t="shared" si="1"/>
        <v>grantPlayerItems</v>
      </c>
      <c r="Y379" s="337" t="s">
        <v>3843</v>
      </c>
      <c r="Z379" s="25"/>
      <c r="AA379" s="25"/>
      <c r="AB379" s="25"/>
      <c r="AC379" s="25"/>
      <c r="AD379" s="25"/>
      <c r="AE379" s="25"/>
    </row>
    <row r="380" spans="1:31" ht="340" outlineLevel="1" x14ac:dyDescent="0.15">
      <c r="A380" s="338" t="s">
        <v>3844</v>
      </c>
      <c r="B380" s="306"/>
      <c r="C380" s="338" t="s">
        <v>2715</v>
      </c>
      <c r="D380" s="339"/>
      <c r="E380" s="338" t="s">
        <v>1915</v>
      </c>
      <c r="F380" s="339"/>
      <c r="G380" s="261" t="s">
        <v>3421</v>
      </c>
      <c r="H380" s="339"/>
      <c r="I380" s="338" t="s">
        <v>2946</v>
      </c>
      <c r="J380" s="84"/>
      <c r="K380" s="84" t="s">
        <v>3845</v>
      </c>
      <c r="L380" s="340"/>
      <c r="M380" s="332" t="s">
        <v>2678</v>
      </c>
      <c r="N380" s="306"/>
      <c r="O380" s="306"/>
      <c r="P380" s="22"/>
      <c r="Q380" s="84"/>
      <c r="R380" s="25"/>
      <c r="S380" s="25"/>
      <c r="T380" s="22"/>
      <c r="U380" s="25"/>
      <c r="V380" s="25"/>
      <c r="W380" s="25"/>
      <c r="X380" s="84" t="str">
        <f t="shared" si="1"/>
        <v>grantPlayerItems</v>
      </c>
      <c r="Y380" s="337" t="s">
        <v>3846</v>
      </c>
      <c r="Z380" s="25"/>
      <c r="AA380" s="25"/>
      <c r="AB380" s="25"/>
      <c r="AC380" s="25"/>
      <c r="AD380" s="25"/>
      <c r="AE380" s="25"/>
    </row>
    <row r="381" spans="1:31" ht="340" outlineLevel="1" x14ac:dyDescent="0.15">
      <c r="A381" s="338" t="s">
        <v>3847</v>
      </c>
      <c r="B381" s="306"/>
      <c r="C381" s="338" t="s">
        <v>2715</v>
      </c>
      <c r="D381" s="339"/>
      <c r="E381" s="338" t="s">
        <v>1915</v>
      </c>
      <c r="F381" s="339"/>
      <c r="G381" s="261" t="s">
        <v>3425</v>
      </c>
      <c r="H381" s="339"/>
      <c r="I381" s="338" t="s">
        <v>2946</v>
      </c>
      <c r="J381" s="84"/>
      <c r="K381" s="84" t="s">
        <v>3848</v>
      </c>
      <c r="L381" s="340"/>
      <c r="M381" s="332" t="s">
        <v>2678</v>
      </c>
      <c r="N381" s="306"/>
      <c r="O381" s="306"/>
      <c r="P381" s="22"/>
      <c r="Q381" s="84"/>
      <c r="R381" s="25"/>
      <c r="S381" s="25"/>
      <c r="T381" s="22"/>
      <c r="U381" s="25"/>
      <c r="V381" s="25"/>
      <c r="W381" s="25"/>
      <c r="X381" s="84" t="str">
        <f t="shared" si="1"/>
        <v>grantPlayerItems</v>
      </c>
      <c r="Y381" s="337" t="s">
        <v>3849</v>
      </c>
      <c r="Z381" s="25"/>
      <c r="AA381" s="25"/>
      <c r="AB381" s="25"/>
      <c r="AC381" s="25"/>
      <c r="AD381" s="25"/>
      <c r="AE381" s="25"/>
    </row>
    <row r="382" spans="1:31" ht="340" x14ac:dyDescent="0.15">
      <c r="A382" s="338" t="s">
        <v>3850</v>
      </c>
      <c r="B382" s="306"/>
      <c r="C382" s="338" t="s">
        <v>2715</v>
      </c>
      <c r="D382" s="339"/>
      <c r="E382" s="338" t="s">
        <v>1740</v>
      </c>
      <c r="F382" s="339"/>
      <c r="G382" s="261" t="s">
        <v>3401</v>
      </c>
      <c r="H382" s="339"/>
      <c r="I382" s="338" t="s">
        <v>2946</v>
      </c>
      <c r="J382" s="84"/>
      <c r="K382" s="84" t="s">
        <v>3851</v>
      </c>
      <c r="L382" s="340"/>
      <c r="M382" s="332" t="s">
        <v>2678</v>
      </c>
      <c r="N382" s="306"/>
      <c r="O382" s="306"/>
      <c r="P382" s="22"/>
      <c r="Q382" s="84"/>
      <c r="R382" s="25"/>
      <c r="S382" s="25"/>
      <c r="T382" s="22"/>
      <c r="U382" s="25"/>
      <c r="V382" s="25"/>
      <c r="W382" s="25"/>
      <c r="X382" s="84" t="str">
        <f t="shared" si="1"/>
        <v>grantPlayerItems</v>
      </c>
      <c r="Y382" s="337" t="s">
        <v>3852</v>
      </c>
      <c r="Z382" s="25"/>
      <c r="AA382" s="25"/>
      <c r="AB382" s="25"/>
      <c r="AC382" s="25"/>
      <c r="AD382" s="25"/>
      <c r="AE382" s="25"/>
    </row>
    <row r="383" spans="1:31" ht="340" outlineLevel="1" x14ac:dyDescent="0.15">
      <c r="A383" s="338" t="s">
        <v>3853</v>
      </c>
      <c r="B383" s="306"/>
      <c r="C383" s="338" t="s">
        <v>2715</v>
      </c>
      <c r="D383" s="339"/>
      <c r="E383" s="338" t="s">
        <v>1740</v>
      </c>
      <c r="F383" s="339"/>
      <c r="G383" s="261" t="s">
        <v>3405</v>
      </c>
      <c r="H383" s="339"/>
      <c r="I383" s="338" t="s">
        <v>2946</v>
      </c>
      <c r="J383" s="84"/>
      <c r="K383" s="84" t="s">
        <v>3854</v>
      </c>
      <c r="L383" s="340"/>
      <c r="M383" s="332" t="s">
        <v>2678</v>
      </c>
      <c r="N383" s="306"/>
      <c r="O383" s="306"/>
      <c r="P383" s="22"/>
      <c r="Q383" s="84"/>
      <c r="R383" s="25"/>
      <c r="S383" s="25"/>
      <c r="T383" s="22"/>
      <c r="U383" s="25"/>
      <c r="V383" s="25"/>
      <c r="W383" s="25"/>
      <c r="X383" s="84" t="str">
        <f t="shared" ref="X383:X535" si="2">IF(D383&lt;&gt;"", "grantPlayerStatistics", "grantPlayerItems")</f>
        <v>grantPlayerItems</v>
      </c>
      <c r="Y383" s="337" t="s">
        <v>3855</v>
      </c>
      <c r="Z383" s="25"/>
      <c r="AA383" s="25"/>
      <c r="AB383" s="25"/>
      <c r="AC383" s="25"/>
      <c r="AD383" s="25"/>
      <c r="AE383" s="25"/>
    </row>
    <row r="384" spans="1:31" ht="340" outlineLevel="1" x14ac:dyDescent="0.15">
      <c r="A384" s="338" t="s">
        <v>3856</v>
      </c>
      <c r="B384" s="306"/>
      <c r="C384" s="338" t="s">
        <v>2715</v>
      </c>
      <c r="D384" s="339"/>
      <c r="E384" s="338" t="s">
        <v>1740</v>
      </c>
      <c r="F384" s="339"/>
      <c r="G384" s="261" t="s">
        <v>3409</v>
      </c>
      <c r="H384" s="339"/>
      <c r="I384" s="338" t="s">
        <v>2946</v>
      </c>
      <c r="J384" s="84"/>
      <c r="K384" s="84" t="s">
        <v>3857</v>
      </c>
      <c r="L384" s="340"/>
      <c r="M384" s="332" t="s">
        <v>2678</v>
      </c>
      <c r="N384" s="306"/>
      <c r="O384" s="306"/>
      <c r="P384" s="22"/>
      <c r="Q384" s="84"/>
      <c r="R384" s="25"/>
      <c r="S384" s="25"/>
      <c r="T384" s="22"/>
      <c r="U384" s="25"/>
      <c r="V384" s="25"/>
      <c r="W384" s="25"/>
      <c r="X384" s="84" t="str">
        <f t="shared" si="2"/>
        <v>grantPlayerItems</v>
      </c>
      <c r="Y384" s="337" t="s">
        <v>3858</v>
      </c>
      <c r="Z384" s="25"/>
      <c r="AA384" s="25"/>
      <c r="AB384" s="25"/>
      <c r="AC384" s="25"/>
      <c r="AD384" s="25"/>
      <c r="AE384" s="25"/>
    </row>
    <row r="385" spans="1:31" ht="340" outlineLevel="1" x14ac:dyDescent="0.15">
      <c r="A385" s="338" t="s">
        <v>3859</v>
      </c>
      <c r="B385" s="306"/>
      <c r="C385" s="338" t="s">
        <v>2715</v>
      </c>
      <c r="D385" s="339"/>
      <c r="E385" s="338" t="s">
        <v>1740</v>
      </c>
      <c r="F385" s="339"/>
      <c r="G385" s="261" t="s">
        <v>3413</v>
      </c>
      <c r="H385" s="339"/>
      <c r="I385" s="338" t="s">
        <v>2946</v>
      </c>
      <c r="J385" s="84"/>
      <c r="K385" s="84" t="s">
        <v>3860</v>
      </c>
      <c r="L385" s="340"/>
      <c r="M385" s="332" t="s">
        <v>2678</v>
      </c>
      <c r="N385" s="306"/>
      <c r="O385" s="306"/>
      <c r="P385" s="22"/>
      <c r="Q385" s="84"/>
      <c r="R385" s="25"/>
      <c r="S385" s="25"/>
      <c r="T385" s="22"/>
      <c r="U385" s="25"/>
      <c r="V385" s="25"/>
      <c r="W385" s="25"/>
      <c r="X385" s="84" t="str">
        <f t="shared" si="2"/>
        <v>grantPlayerItems</v>
      </c>
      <c r="Y385" s="337" t="s">
        <v>3861</v>
      </c>
      <c r="Z385" s="25"/>
      <c r="AA385" s="25"/>
      <c r="AB385" s="25"/>
      <c r="AC385" s="25"/>
      <c r="AD385" s="25"/>
      <c r="AE385" s="25"/>
    </row>
    <row r="386" spans="1:31" ht="340" outlineLevel="1" x14ac:dyDescent="0.15">
      <c r="A386" s="338" t="s">
        <v>3862</v>
      </c>
      <c r="B386" s="306"/>
      <c r="C386" s="338" t="s">
        <v>2715</v>
      </c>
      <c r="D386" s="339"/>
      <c r="E386" s="338" t="s">
        <v>1740</v>
      </c>
      <c r="F386" s="339"/>
      <c r="G386" s="261" t="s">
        <v>3417</v>
      </c>
      <c r="H386" s="339"/>
      <c r="I386" s="338" t="s">
        <v>2946</v>
      </c>
      <c r="J386" s="84"/>
      <c r="K386" s="84" t="s">
        <v>3863</v>
      </c>
      <c r="L386" s="340"/>
      <c r="M386" s="332" t="s">
        <v>2678</v>
      </c>
      <c r="N386" s="306"/>
      <c r="O386" s="306"/>
      <c r="P386" s="22"/>
      <c r="Q386" s="84"/>
      <c r="R386" s="25"/>
      <c r="S386" s="25"/>
      <c r="T386" s="22"/>
      <c r="U386" s="25"/>
      <c r="V386" s="25"/>
      <c r="W386" s="25"/>
      <c r="X386" s="84" t="str">
        <f t="shared" si="2"/>
        <v>grantPlayerItems</v>
      </c>
      <c r="Y386" s="337" t="s">
        <v>3864</v>
      </c>
      <c r="Z386" s="25"/>
      <c r="AA386" s="25"/>
      <c r="AB386" s="25"/>
      <c r="AC386" s="25"/>
      <c r="AD386" s="25"/>
      <c r="AE386" s="25"/>
    </row>
    <row r="387" spans="1:31" ht="340" outlineLevel="1" x14ac:dyDescent="0.15">
      <c r="A387" s="338" t="s">
        <v>3865</v>
      </c>
      <c r="B387" s="306"/>
      <c r="C387" s="338" t="s">
        <v>2715</v>
      </c>
      <c r="D387" s="339"/>
      <c r="E387" s="338" t="s">
        <v>1740</v>
      </c>
      <c r="F387" s="339"/>
      <c r="G387" s="261" t="s">
        <v>3421</v>
      </c>
      <c r="H387" s="339"/>
      <c r="I387" s="338" t="s">
        <v>2946</v>
      </c>
      <c r="J387" s="84"/>
      <c r="K387" s="84" t="s">
        <v>3866</v>
      </c>
      <c r="L387" s="340"/>
      <c r="M387" s="332" t="s">
        <v>2678</v>
      </c>
      <c r="N387" s="306"/>
      <c r="O387" s="306"/>
      <c r="P387" s="22"/>
      <c r="Q387" s="84"/>
      <c r="R387" s="25"/>
      <c r="S387" s="25"/>
      <c r="T387" s="22"/>
      <c r="U387" s="25"/>
      <c r="V387" s="25"/>
      <c r="W387" s="25"/>
      <c r="X387" s="84" t="str">
        <f t="shared" si="2"/>
        <v>grantPlayerItems</v>
      </c>
      <c r="Y387" s="337" t="s">
        <v>3867</v>
      </c>
      <c r="Z387" s="25"/>
      <c r="AA387" s="25"/>
      <c r="AB387" s="25"/>
      <c r="AC387" s="25"/>
      <c r="AD387" s="25"/>
      <c r="AE387" s="25"/>
    </row>
    <row r="388" spans="1:31" ht="340" outlineLevel="1" x14ac:dyDescent="0.15">
      <c r="A388" s="338" t="s">
        <v>3868</v>
      </c>
      <c r="B388" s="306"/>
      <c r="C388" s="338" t="s">
        <v>2715</v>
      </c>
      <c r="D388" s="339"/>
      <c r="E388" s="338" t="s">
        <v>1740</v>
      </c>
      <c r="F388" s="339"/>
      <c r="G388" s="261" t="s">
        <v>3425</v>
      </c>
      <c r="H388" s="339"/>
      <c r="I388" s="338" t="s">
        <v>2946</v>
      </c>
      <c r="J388" s="84"/>
      <c r="K388" s="84" t="s">
        <v>3869</v>
      </c>
      <c r="L388" s="340"/>
      <c r="M388" s="332" t="s">
        <v>2678</v>
      </c>
      <c r="N388" s="306"/>
      <c r="O388" s="306"/>
      <c r="P388" s="22"/>
      <c r="Q388" s="84"/>
      <c r="R388" s="25"/>
      <c r="S388" s="25"/>
      <c r="T388" s="22"/>
      <c r="U388" s="25"/>
      <c r="V388" s="25"/>
      <c r="W388" s="25"/>
      <c r="X388" s="84" t="str">
        <f t="shared" si="2"/>
        <v>grantPlayerItems</v>
      </c>
      <c r="Y388" s="337" t="s">
        <v>3870</v>
      </c>
      <c r="Z388" s="25"/>
      <c r="AA388" s="25"/>
      <c r="AB388" s="25"/>
      <c r="AC388" s="25"/>
      <c r="AD388" s="25"/>
      <c r="AE388" s="25"/>
    </row>
    <row r="389" spans="1:31" ht="340" x14ac:dyDescent="0.15">
      <c r="A389" s="338" t="s">
        <v>3871</v>
      </c>
      <c r="B389" s="306"/>
      <c r="C389" s="338" t="s">
        <v>2715</v>
      </c>
      <c r="D389" s="339"/>
      <c r="E389" s="338" t="s">
        <v>1734</v>
      </c>
      <c r="F389" s="339"/>
      <c r="G389" s="261" t="s">
        <v>3401</v>
      </c>
      <c r="H389" s="339"/>
      <c r="I389" s="338" t="s">
        <v>2946</v>
      </c>
      <c r="J389" s="84"/>
      <c r="K389" s="84" t="s">
        <v>3872</v>
      </c>
      <c r="L389" s="340"/>
      <c r="M389" s="332" t="s">
        <v>2678</v>
      </c>
      <c r="N389" s="306"/>
      <c r="O389" s="306"/>
      <c r="P389" s="22"/>
      <c r="Q389" s="84"/>
      <c r="R389" s="25"/>
      <c r="S389" s="25"/>
      <c r="T389" s="22"/>
      <c r="U389" s="25"/>
      <c r="V389" s="25"/>
      <c r="W389" s="25"/>
      <c r="X389" s="84" t="str">
        <f t="shared" si="2"/>
        <v>grantPlayerItems</v>
      </c>
      <c r="Y389" s="337" t="s">
        <v>3873</v>
      </c>
      <c r="Z389" s="25"/>
      <c r="AA389" s="25"/>
      <c r="AB389" s="25"/>
      <c r="AC389" s="25"/>
      <c r="AD389" s="25"/>
      <c r="AE389" s="25"/>
    </row>
    <row r="390" spans="1:31" ht="340" outlineLevel="1" x14ac:dyDescent="0.15">
      <c r="A390" s="338" t="s">
        <v>3874</v>
      </c>
      <c r="B390" s="306"/>
      <c r="C390" s="338" t="s">
        <v>2715</v>
      </c>
      <c r="D390" s="339"/>
      <c r="E390" s="338" t="s">
        <v>1734</v>
      </c>
      <c r="F390" s="339"/>
      <c r="G390" s="261" t="s">
        <v>3405</v>
      </c>
      <c r="H390" s="339"/>
      <c r="I390" s="338" t="s">
        <v>2946</v>
      </c>
      <c r="J390" s="84"/>
      <c r="K390" s="84" t="s">
        <v>3875</v>
      </c>
      <c r="L390" s="340"/>
      <c r="M390" s="332" t="s">
        <v>2678</v>
      </c>
      <c r="N390" s="306"/>
      <c r="O390" s="306"/>
      <c r="P390" s="22"/>
      <c r="Q390" s="84"/>
      <c r="R390" s="25"/>
      <c r="S390" s="25"/>
      <c r="T390" s="22"/>
      <c r="U390" s="25"/>
      <c r="V390" s="25"/>
      <c r="W390" s="25"/>
      <c r="X390" s="84" t="str">
        <f t="shared" si="2"/>
        <v>grantPlayerItems</v>
      </c>
      <c r="Y390" s="337" t="s">
        <v>3876</v>
      </c>
      <c r="Z390" s="25"/>
      <c r="AA390" s="25"/>
      <c r="AB390" s="25"/>
      <c r="AC390" s="25"/>
      <c r="AD390" s="25"/>
      <c r="AE390" s="25"/>
    </row>
    <row r="391" spans="1:31" ht="340" outlineLevel="1" x14ac:dyDescent="0.15">
      <c r="A391" s="338" t="s">
        <v>3877</v>
      </c>
      <c r="B391" s="306"/>
      <c r="C391" s="338" t="s">
        <v>2715</v>
      </c>
      <c r="D391" s="339"/>
      <c r="E391" s="338" t="s">
        <v>1734</v>
      </c>
      <c r="F391" s="339"/>
      <c r="G391" s="261" t="s">
        <v>3409</v>
      </c>
      <c r="H391" s="339"/>
      <c r="I391" s="338" t="s">
        <v>2946</v>
      </c>
      <c r="J391" s="84"/>
      <c r="K391" s="84" t="s">
        <v>3878</v>
      </c>
      <c r="L391" s="340"/>
      <c r="M391" s="332" t="s">
        <v>2678</v>
      </c>
      <c r="N391" s="306"/>
      <c r="O391" s="306"/>
      <c r="P391" s="22"/>
      <c r="Q391" s="84"/>
      <c r="R391" s="25"/>
      <c r="S391" s="25"/>
      <c r="T391" s="22"/>
      <c r="U391" s="25"/>
      <c r="V391" s="25"/>
      <c r="W391" s="25"/>
      <c r="X391" s="84" t="str">
        <f t="shared" si="2"/>
        <v>grantPlayerItems</v>
      </c>
      <c r="Y391" s="337" t="s">
        <v>3879</v>
      </c>
      <c r="Z391" s="25"/>
      <c r="AA391" s="25"/>
      <c r="AB391" s="25"/>
      <c r="AC391" s="25"/>
      <c r="AD391" s="25"/>
      <c r="AE391" s="25"/>
    </row>
    <row r="392" spans="1:31" ht="340" outlineLevel="1" x14ac:dyDescent="0.15">
      <c r="A392" s="338" t="s">
        <v>3880</v>
      </c>
      <c r="B392" s="306"/>
      <c r="C392" s="338" t="s">
        <v>2715</v>
      </c>
      <c r="D392" s="339"/>
      <c r="E392" s="338" t="s">
        <v>1734</v>
      </c>
      <c r="F392" s="339"/>
      <c r="G392" s="261" t="s">
        <v>3413</v>
      </c>
      <c r="H392" s="339"/>
      <c r="I392" s="338" t="s">
        <v>2946</v>
      </c>
      <c r="J392" s="84"/>
      <c r="K392" s="84" t="s">
        <v>3881</v>
      </c>
      <c r="L392" s="340"/>
      <c r="M392" s="332" t="s">
        <v>2678</v>
      </c>
      <c r="N392" s="306"/>
      <c r="O392" s="306"/>
      <c r="P392" s="22"/>
      <c r="Q392" s="84"/>
      <c r="R392" s="25"/>
      <c r="S392" s="25"/>
      <c r="T392" s="22"/>
      <c r="U392" s="25"/>
      <c r="V392" s="25"/>
      <c r="W392" s="25"/>
      <c r="X392" s="84" t="str">
        <f t="shared" si="2"/>
        <v>grantPlayerItems</v>
      </c>
      <c r="Y392" s="337" t="s">
        <v>3882</v>
      </c>
      <c r="Z392" s="25"/>
      <c r="AA392" s="25"/>
      <c r="AB392" s="25"/>
      <c r="AC392" s="25"/>
      <c r="AD392" s="25"/>
      <c r="AE392" s="25"/>
    </row>
    <row r="393" spans="1:31" ht="340" outlineLevel="1" x14ac:dyDescent="0.15">
      <c r="A393" s="338" t="s">
        <v>3883</v>
      </c>
      <c r="B393" s="306"/>
      <c r="C393" s="338" t="s">
        <v>2715</v>
      </c>
      <c r="D393" s="339"/>
      <c r="E393" s="338" t="s">
        <v>1734</v>
      </c>
      <c r="F393" s="339"/>
      <c r="G393" s="261" t="s">
        <v>3417</v>
      </c>
      <c r="H393" s="339"/>
      <c r="I393" s="338" t="s">
        <v>2946</v>
      </c>
      <c r="J393" s="84"/>
      <c r="K393" s="84" t="s">
        <v>3884</v>
      </c>
      <c r="L393" s="340"/>
      <c r="M393" s="332" t="s">
        <v>2678</v>
      </c>
      <c r="N393" s="306"/>
      <c r="O393" s="306"/>
      <c r="P393" s="22"/>
      <c r="Q393" s="84"/>
      <c r="R393" s="25"/>
      <c r="S393" s="25"/>
      <c r="T393" s="22"/>
      <c r="U393" s="25"/>
      <c r="V393" s="25"/>
      <c r="W393" s="25"/>
      <c r="X393" s="84" t="str">
        <f t="shared" si="2"/>
        <v>grantPlayerItems</v>
      </c>
      <c r="Y393" s="337" t="s">
        <v>3885</v>
      </c>
      <c r="Z393" s="25"/>
      <c r="AA393" s="25"/>
      <c r="AB393" s="25"/>
      <c r="AC393" s="25"/>
      <c r="AD393" s="25"/>
      <c r="AE393" s="25"/>
    </row>
    <row r="394" spans="1:31" ht="340" outlineLevel="1" x14ac:dyDescent="0.15">
      <c r="A394" s="338" t="s">
        <v>3886</v>
      </c>
      <c r="B394" s="306"/>
      <c r="C394" s="338" t="s">
        <v>2715</v>
      </c>
      <c r="D394" s="339"/>
      <c r="E394" s="338" t="s">
        <v>1734</v>
      </c>
      <c r="F394" s="339"/>
      <c r="G394" s="261" t="s">
        <v>3421</v>
      </c>
      <c r="H394" s="339"/>
      <c r="I394" s="338" t="s">
        <v>2946</v>
      </c>
      <c r="J394" s="84"/>
      <c r="K394" s="84" t="s">
        <v>3887</v>
      </c>
      <c r="L394" s="340"/>
      <c r="M394" s="332" t="s">
        <v>2678</v>
      </c>
      <c r="N394" s="306"/>
      <c r="O394" s="306"/>
      <c r="P394" s="22"/>
      <c r="Q394" s="84"/>
      <c r="R394" s="25"/>
      <c r="S394" s="25"/>
      <c r="T394" s="22"/>
      <c r="U394" s="25"/>
      <c r="V394" s="25"/>
      <c r="W394" s="25"/>
      <c r="X394" s="84" t="str">
        <f t="shared" si="2"/>
        <v>grantPlayerItems</v>
      </c>
      <c r="Y394" s="337" t="s">
        <v>3888</v>
      </c>
      <c r="Z394" s="25"/>
      <c r="AA394" s="25"/>
      <c r="AB394" s="25"/>
      <c r="AC394" s="25"/>
      <c r="AD394" s="25"/>
      <c r="AE394" s="25"/>
    </row>
    <row r="395" spans="1:31" ht="340" outlineLevel="1" x14ac:dyDescent="0.15">
      <c r="A395" s="338" t="s">
        <v>3889</v>
      </c>
      <c r="B395" s="306"/>
      <c r="C395" s="338" t="s">
        <v>2715</v>
      </c>
      <c r="D395" s="339"/>
      <c r="E395" s="338" t="s">
        <v>1734</v>
      </c>
      <c r="F395" s="339"/>
      <c r="G395" s="261" t="s">
        <v>3425</v>
      </c>
      <c r="H395" s="339"/>
      <c r="I395" s="338" t="s">
        <v>2946</v>
      </c>
      <c r="J395" s="84"/>
      <c r="K395" s="84" t="s">
        <v>3890</v>
      </c>
      <c r="L395" s="340"/>
      <c r="M395" s="332" t="s">
        <v>2678</v>
      </c>
      <c r="N395" s="306"/>
      <c r="O395" s="306"/>
      <c r="P395" s="22"/>
      <c r="Q395" s="84"/>
      <c r="R395" s="25"/>
      <c r="S395" s="25"/>
      <c r="T395" s="22"/>
      <c r="U395" s="25"/>
      <c r="V395" s="25"/>
      <c r="W395" s="25"/>
      <c r="X395" s="84" t="str">
        <f t="shared" si="2"/>
        <v>grantPlayerItems</v>
      </c>
      <c r="Y395" s="337" t="s">
        <v>3891</v>
      </c>
      <c r="Z395" s="25"/>
      <c r="AA395" s="25"/>
      <c r="AB395" s="25"/>
      <c r="AC395" s="25"/>
      <c r="AD395" s="25"/>
      <c r="AE395" s="25"/>
    </row>
    <row r="396" spans="1:31" ht="340" x14ac:dyDescent="0.15">
      <c r="A396" s="338" t="s">
        <v>3892</v>
      </c>
      <c r="B396" s="306"/>
      <c r="C396" s="338" t="s">
        <v>2715</v>
      </c>
      <c r="D396" s="339"/>
      <c r="E396" s="338" t="s">
        <v>2019</v>
      </c>
      <c r="F396" s="339"/>
      <c r="G396" s="261" t="s">
        <v>3401</v>
      </c>
      <c r="H396" s="339"/>
      <c r="I396" s="338" t="s">
        <v>2946</v>
      </c>
      <c r="J396" s="84"/>
      <c r="K396" s="84" t="s">
        <v>3893</v>
      </c>
      <c r="L396" s="340"/>
      <c r="M396" s="332" t="s">
        <v>2678</v>
      </c>
      <c r="N396" s="306"/>
      <c r="O396" s="306"/>
      <c r="P396" s="22"/>
      <c r="Q396" s="84"/>
      <c r="R396" s="25"/>
      <c r="S396" s="25"/>
      <c r="T396" s="22"/>
      <c r="U396" s="25"/>
      <c r="V396" s="25"/>
      <c r="W396" s="25"/>
      <c r="X396" s="84" t="str">
        <f t="shared" si="2"/>
        <v>grantPlayerItems</v>
      </c>
      <c r="Y396" s="337" t="s">
        <v>3894</v>
      </c>
      <c r="Z396" s="25"/>
      <c r="AA396" s="25"/>
      <c r="AB396" s="25"/>
      <c r="AC396" s="25"/>
      <c r="AD396" s="25"/>
      <c r="AE396" s="25"/>
    </row>
    <row r="397" spans="1:31" ht="340" outlineLevel="1" x14ac:dyDescent="0.15">
      <c r="A397" s="338" t="s">
        <v>3895</v>
      </c>
      <c r="B397" s="306"/>
      <c r="C397" s="338" t="s">
        <v>2715</v>
      </c>
      <c r="D397" s="339"/>
      <c r="E397" s="338" t="s">
        <v>2019</v>
      </c>
      <c r="F397" s="339"/>
      <c r="G397" s="261" t="s">
        <v>3405</v>
      </c>
      <c r="H397" s="339"/>
      <c r="I397" s="338" t="s">
        <v>2946</v>
      </c>
      <c r="J397" s="84"/>
      <c r="K397" s="84" t="s">
        <v>3896</v>
      </c>
      <c r="L397" s="340"/>
      <c r="M397" s="332" t="s">
        <v>2678</v>
      </c>
      <c r="N397" s="306"/>
      <c r="O397" s="306"/>
      <c r="P397" s="22"/>
      <c r="Q397" s="84"/>
      <c r="R397" s="25"/>
      <c r="S397" s="25"/>
      <c r="T397" s="22"/>
      <c r="U397" s="25"/>
      <c r="V397" s="25"/>
      <c r="W397" s="25"/>
      <c r="X397" s="84" t="str">
        <f t="shared" si="2"/>
        <v>grantPlayerItems</v>
      </c>
      <c r="Y397" s="337" t="s">
        <v>3897</v>
      </c>
      <c r="Z397" s="25"/>
      <c r="AA397" s="25"/>
      <c r="AB397" s="25"/>
      <c r="AC397" s="25"/>
      <c r="AD397" s="25"/>
      <c r="AE397" s="25"/>
    </row>
    <row r="398" spans="1:31" ht="340" outlineLevel="1" x14ac:dyDescent="0.15">
      <c r="A398" s="338" t="s">
        <v>3898</v>
      </c>
      <c r="B398" s="306"/>
      <c r="C398" s="338" t="s">
        <v>2715</v>
      </c>
      <c r="D398" s="339"/>
      <c r="E398" s="338" t="s">
        <v>2019</v>
      </c>
      <c r="F398" s="339"/>
      <c r="G398" s="261" t="s">
        <v>3409</v>
      </c>
      <c r="H398" s="339"/>
      <c r="I398" s="338" t="s">
        <v>2946</v>
      </c>
      <c r="J398" s="84"/>
      <c r="K398" s="84" t="s">
        <v>3899</v>
      </c>
      <c r="L398" s="340"/>
      <c r="M398" s="332" t="s">
        <v>2678</v>
      </c>
      <c r="N398" s="306"/>
      <c r="O398" s="306"/>
      <c r="P398" s="22"/>
      <c r="Q398" s="84"/>
      <c r="R398" s="25"/>
      <c r="S398" s="25"/>
      <c r="T398" s="22"/>
      <c r="U398" s="25"/>
      <c r="V398" s="25"/>
      <c r="W398" s="25"/>
      <c r="X398" s="84" t="str">
        <f t="shared" si="2"/>
        <v>grantPlayerItems</v>
      </c>
      <c r="Y398" s="337" t="s">
        <v>3900</v>
      </c>
      <c r="Z398" s="25"/>
      <c r="AA398" s="25"/>
      <c r="AB398" s="25"/>
      <c r="AC398" s="25"/>
      <c r="AD398" s="25"/>
      <c r="AE398" s="25"/>
    </row>
    <row r="399" spans="1:31" ht="340" outlineLevel="1" x14ac:dyDescent="0.15">
      <c r="A399" s="338" t="s">
        <v>3901</v>
      </c>
      <c r="B399" s="306"/>
      <c r="C399" s="338" t="s">
        <v>2715</v>
      </c>
      <c r="D399" s="339"/>
      <c r="E399" s="338" t="s">
        <v>2019</v>
      </c>
      <c r="F399" s="339"/>
      <c r="G399" s="261" t="s">
        <v>3413</v>
      </c>
      <c r="H399" s="339"/>
      <c r="I399" s="338" t="s">
        <v>2946</v>
      </c>
      <c r="J399" s="84"/>
      <c r="K399" s="84" t="s">
        <v>3902</v>
      </c>
      <c r="L399" s="340"/>
      <c r="M399" s="332" t="s">
        <v>2678</v>
      </c>
      <c r="N399" s="306"/>
      <c r="O399" s="306"/>
      <c r="P399" s="22"/>
      <c r="Q399" s="84"/>
      <c r="R399" s="25"/>
      <c r="S399" s="25"/>
      <c r="T399" s="22"/>
      <c r="U399" s="25"/>
      <c r="V399" s="25"/>
      <c r="W399" s="25"/>
      <c r="X399" s="84" t="str">
        <f t="shared" si="2"/>
        <v>grantPlayerItems</v>
      </c>
      <c r="Y399" s="337" t="s">
        <v>3903</v>
      </c>
      <c r="Z399" s="25"/>
      <c r="AA399" s="25"/>
      <c r="AB399" s="25"/>
      <c r="AC399" s="25"/>
      <c r="AD399" s="25"/>
      <c r="AE399" s="25"/>
    </row>
    <row r="400" spans="1:31" ht="340" outlineLevel="1" x14ac:dyDescent="0.15">
      <c r="A400" s="338" t="s">
        <v>3904</v>
      </c>
      <c r="B400" s="306"/>
      <c r="C400" s="338" t="s">
        <v>2715</v>
      </c>
      <c r="D400" s="339"/>
      <c r="E400" s="338" t="s">
        <v>2019</v>
      </c>
      <c r="F400" s="339"/>
      <c r="G400" s="261" t="s">
        <v>3417</v>
      </c>
      <c r="H400" s="339"/>
      <c r="I400" s="338" t="s">
        <v>2946</v>
      </c>
      <c r="J400" s="84"/>
      <c r="K400" s="84" t="s">
        <v>3905</v>
      </c>
      <c r="L400" s="340"/>
      <c r="M400" s="332" t="s">
        <v>2678</v>
      </c>
      <c r="N400" s="306"/>
      <c r="O400" s="306"/>
      <c r="P400" s="22"/>
      <c r="Q400" s="84"/>
      <c r="R400" s="25"/>
      <c r="S400" s="25"/>
      <c r="T400" s="22"/>
      <c r="U400" s="25"/>
      <c r="V400" s="25"/>
      <c r="W400" s="25"/>
      <c r="X400" s="84" t="str">
        <f t="shared" si="2"/>
        <v>grantPlayerItems</v>
      </c>
      <c r="Y400" s="337" t="s">
        <v>3906</v>
      </c>
      <c r="Z400" s="25"/>
      <c r="AA400" s="25"/>
      <c r="AB400" s="25"/>
      <c r="AC400" s="25"/>
      <c r="AD400" s="25"/>
      <c r="AE400" s="25"/>
    </row>
    <row r="401" spans="1:31" ht="340" outlineLevel="1" x14ac:dyDescent="0.15">
      <c r="A401" s="338" t="s">
        <v>3907</v>
      </c>
      <c r="B401" s="306"/>
      <c r="C401" s="338" t="s">
        <v>2715</v>
      </c>
      <c r="D401" s="339"/>
      <c r="E401" s="338" t="s">
        <v>2019</v>
      </c>
      <c r="F401" s="339"/>
      <c r="G401" s="261" t="s">
        <v>3421</v>
      </c>
      <c r="H401" s="339"/>
      <c r="I401" s="338" t="s">
        <v>2946</v>
      </c>
      <c r="J401" s="84"/>
      <c r="K401" s="84" t="s">
        <v>3908</v>
      </c>
      <c r="L401" s="340"/>
      <c r="M401" s="332" t="s">
        <v>2678</v>
      </c>
      <c r="N401" s="306"/>
      <c r="O401" s="306"/>
      <c r="P401" s="22"/>
      <c r="Q401" s="84"/>
      <c r="R401" s="25"/>
      <c r="S401" s="25"/>
      <c r="T401" s="22"/>
      <c r="U401" s="25"/>
      <c r="V401" s="25"/>
      <c r="W401" s="25"/>
      <c r="X401" s="84" t="str">
        <f t="shared" si="2"/>
        <v>grantPlayerItems</v>
      </c>
      <c r="Y401" s="337" t="s">
        <v>3909</v>
      </c>
      <c r="Z401" s="25"/>
      <c r="AA401" s="25"/>
      <c r="AB401" s="25"/>
      <c r="AC401" s="25"/>
      <c r="AD401" s="25"/>
      <c r="AE401" s="25"/>
    </row>
    <row r="402" spans="1:31" ht="340" outlineLevel="1" x14ac:dyDescent="0.15">
      <c r="A402" s="338" t="s">
        <v>3910</v>
      </c>
      <c r="B402" s="306"/>
      <c r="C402" s="338" t="s">
        <v>2715</v>
      </c>
      <c r="D402" s="339"/>
      <c r="E402" s="338" t="s">
        <v>2019</v>
      </c>
      <c r="F402" s="339"/>
      <c r="G402" s="261" t="s">
        <v>3425</v>
      </c>
      <c r="H402" s="339"/>
      <c r="I402" s="338" t="s">
        <v>2946</v>
      </c>
      <c r="J402" s="84"/>
      <c r="K402" s="84" t="s">
        <v>3911</v>
      </c>
      <c r="L402" s="340"/>
      <c r="M402" s="332" t="s">
        <v>2678</v>
      </c>
      <c r="N402" s="306"/>
      <c r="O402" s="306"/>
      <c r="P402" s="22"/>
      <c r="Q402" s="84"/>
      <c r="R402" s="25"/>
      <c r="S402" s="25"/>
      <c r="T402" s="22"/>
      <c r="U402" s="25"/>
      <c r="V402" s="25"/>
      <c r="W402" s="25"/>
      <c r="X402" s="84" t="str">
        <f t="shared" si="2"/>
        <v>grantPlayerItems</v>
      </c>
      <c r="Y402" s="337" t="s">
        <v>3912</v>
      </c>
      <c r="Z402" s="25"/>
      <c r="AA402" s="25"/>
      <c r="AB402" s="25"/>
      <c r="AC402" s="25"/>
      <c r="AD402" s="25"/>
      <c r="AE402" s="25"/>
    </row>
    <row r="403" spans="1:31" ht="340" x14ac:dyDescent="0.15">
      <c r="A403" s="338" t="s">
        <v>3913</v>
      </c>
      <c r="B403" s="306"/>
      <c r="C403" s="338" t="s">
        <v>2715</v>
      </c>
      <c r="D403" s="339"/>
      <c r="E403" s="338" t="s">
        <v>1873</v>
      </c>
      <c r="F403" s="339"/>
      <c r="G403" s="261" t="s">
        <v>3401</v>
      </c>
      <c r="H403" s="339"/>
      <c r="I403" s="338" t="s">
        <v>2946</v>
      </c>
      <c r="J403" s="84"/>
      <c r="K403" s="84" t="s">
        <v>3914</v>
      </c>
      <c r="L403" s="340"/>
      <c r="M403" s="332" t="s">
        <v>2678</v>
      </c>
      <c r="N403" s="306"/>
      <c r="O403" s="306"/>
      <c r="P403" s="22"/>
      <c r="Q403" s="84"/>
      <c r="R403" s="25"/>
      <c r="S403" s="25"/>
      <c r="T403" s="22"/>
      <c r="U403" s="25"/>
      <c r="V403" s="25"/>
      <c r="W403" s="25"/>
      <c r="X403" s="84" t="str">
        <f t="shared" si="2"/>
        <v>grantPlayerItems</v>
      </c>
      <c r="Y403" s="337" t="s">
        <v>3915</v>
      </c>
      <c r="Z403" s="25"/>
      <c r="AA403" s="25"/>
      <c r="AB403" s="25"/>
      <c r="AC403" s="25"/>
      <c r="AD403" s="25"/>
      <c r="AE403" s="25"/>
    </row>
    <row r="404" spans="1:31" ht="340" outlineLevel="1" x14ac:dyDescent="0.15">
      <c r="A404" s="338" t="s">
        <v>3916</v>
      </c>
      <c r="B404" s="306"/>
      <c r="C404" s="338" t="s">
        <v>2715</v>
      </c>
      <c r="D404" s="339"/>
      <c r="E404" s="338" t="s">
        <v>1873</v>
      </c>
      <c r="F404" s="339"/>
      <c r="G404" s="261" t="s">
        <v>3405</v>
      </c>
      <c r="H404" s="339"/>
      <c r="I404" s="338" t="s">
        <v>2946</v>
      </c>
      <c r="J404" s="84"/>
      <c r="K404" s="84" t="s">
        <v>3917</v>
      </c>
      <c r="L404" s="340"/>
      <c r="M404" s="332" t="s">
        <v>2678</v>
      </c>
      <c r="N404" s="306"/>
      <c r="O404" s="306"/>
      <c r="P404" s="22"/>
      <c r="Q404" s="84"/>
      <c r="R404" s="25"/>
      <c r="S404" s="25"/>
      <c r="T404" s="22"/>
      <c r="U404" s="25"/>
      <c r="V404" s="25"/>
      <c r="W404" s="25"/>
      <c r="X404" s="84" t="str">
        <f t="shared" si="2"/>
        <v>grantPlayerItems</v>
      </c>
      <c r="Y404" s="337" t="s">
        <v>3918</v>
      </c>
      <c r="Z404" s="25"/>
      <c r="AA404" s="25"/>
      <c r="AB404" s="25"/>
      <c r="AC404" s="25"/>
      <c r="AD404" s="25"/>
      <c r="AE404" s="25"/>
    </row>
    <row r="405" spans="1:31" ht="340" outlineLevel="1" x14ac:dyDescent="0.15">
      <c r="A405" s="338" t="s">
        <v>3919</v>
      </c>
      <c r="B405" s="306"/>
      <c r="C405" s="338" t="s">
        <v>2715</v>
      </c>
      <c r="D405" s="339"/>
      <c r="E405" s="338" t="s">
        <v>1873</v>
      </c>
      <c r="F405" s="339"/>
      <c r="G405" s="261" t="s">
        <v>3409</v>
      </c>
      <c r="H405" s="339"/>
      <c r="I405" s="338" t="s">
        <v>2946</v>
      </c>
      <c r="J405" s="84"/>
      <c r="K405" s="84" t="s">
        <v>3920</v>
      </c>
      <c r="L405" s="340"/>
      <c r="M405" s="332" t="s">
        <v>2678</v>
      </c>
      <c r="N405" s="306"/>
      <c r="O405" s="306"/>
      <c r="P405" s="22"/>
      <c r="Q405" s="84"/>
      <c r="R405" s="25"/>
      <c r="S405" s="25"/>
      <c r="T405" s="22"/>
      <c r="U405" s="25"/>
      <c r="V405" s="25"/>
      <c r="W405" s="25"/>
      <c r="X405" s="84" t="str">
        <f t="shared" si="2"/>
        <v>grantPlayerItems</v>
      </c>
      <c r="Y405" s="337" t="s">
        <v>3921</v>
      </c>
      <c r="Z405" s="25"/>
      <c r="AA405" s="25"/>
      <c r="AB405" s="25"/>
      <c r="AC405" s="25"/>
      <c r="AD405" s="25"/>
      <c r="AE405" s="25"/>
    </row>
    <row r="406" spans="1:31" ht="340" outlineLevel="1" x14ac:dyDescent="0.15">
      <c r="A406" s="338" t="s">
        <v>3922</v>
      </c>
      <c r="B406" s="306"/>
      <c r="C406" s="338" t="s">
        <v>2715</v>
      </c>
      <c r="D406" s="339"/>
      <c r="E406" s="338" t="s">
        <v>1873</v>
      </c>
      <c r="F406" s="339"/>
      <c r="G406" s="261" t="s">
        <v>3413</v>
      </c>
      <c r="H406" s="339"/>
      <c r="I406" s="338" t="s">
        <v>2946</v>
      </c>
      <c r="J406" s="84"/>
      <c r="K406" s="84" t="s">
        <v>3923</v>
      </c>
      <c r="L406" s="340"/>
      <c r="M406" s="332" t="s">
        <v>2678</v>
      </c>
      <c r="N406" s="306"/>
      <c r="O406" s="306"/>
      <c r="P406" s="22"/>
      <c r="Q406" s="84"/>
      <c r="R406" s="25"/>
      <c r="S406" s="25"/>
      <c r="T406" s="22"/>
      <c r="U406" s="25"/>
      <c r="V406" s="25"/>
      <c r="W406" s="25"/>
      <c r="X406" s="84" t="str">
        <f t="shared" si="2"/>
        <v>grantPlayerItems</v>
      </c>
      <c r="Y406" s="337" t="s">
        <v>3924</v>
      </c>
      <c r="Z406" s="25"/>
      <c r="AA406" s="25"/>
      <c r="AB406" s="25"/>
      <c r="AC406" s="25"/>
      <c r="AD406" s="25"/>
      <c r="AE406" s="25"/>
    </row>
    <row r="407" spans="1:31" ht="340" outlineLevel="1" x14ac:dyDescent="0.15">
      <c r="A407" s="338" t="s">
        <v>3925</v>
      </c>
      <c r="B407" s="306"/>
      <c r="C407" s="338" t="s">
        <v>2715</v>
      </c>
      <c r="D407" s="339"/>
      <c r="E407" s="338" t="s">
        <v>1873</v>
      </c>
      <c r="F407" s="339"/>
      <c r="G407" s="261" t="s">
        <v>3417</v>
      </c>
      <c r="H407" s="339"/>
      <c r="I407" s="338" t="s">
        <v>2946</v>
      </c>
      <c r="J407" s="84"/>
      <c r="K407" s="84" t="s">
        <v>3926</v>
      </c>
      <c r="L407" s="340"/>
      <c r="M407" s="332" t="s">
        <v>2678</v>
      </c>
      <c r="N407" s="306"/>
      <c r="O407" s="306"/>
      <c r="P407" s="22"/>
      <c r="Q407" s="84"/>
      <c r="R407" s="25"/>
      <c r="S407" s="25"/>
      <c r="T407" s="22"/>
      <c r="U407" s="25"/>
      <c r="V407" s="25"/>
      <c r="W407" s="25"/>
      <c r="X407" s="84" t="str">
        <f t="shared" si="2"/>
        <v>grantPlayerItems</v>
      </c>
      <c r="Y407" s="337" t="s">
        <v>3927</v>
      </c>
      <c r="Z407" s="25"/>
      <c r="AA407" s="25"/>
      <c r="AB407" s="25"/>
      <c r="AC407" s="25"/>
      <c r="AD407" s="25"/>
      <c r="AE407" s="25"/>
    </row>
    <row r="408" spans="1:31" ht="340" outlineLevel="1" x14ac:dyDescent="0.15">
      <c r="A408" s="338" t="s">
        <v>3928</v>
      </c>
      <c r="B408" s="306"/>
      <c r="C408" s="338" t="s">
        <v>2715</v>
      </c>
      <c r="D408" s="339"/>
      <c r="E408" s="338" t="s">
        <v>1873</v>
      </c>
      <c r="F408" s="339"/>
      <c r="G408" s="261" t="s">
        <v>3421</v>
      </c>
      <c r="H408" s="339"/>
      <c r="I408" s="338" t="s">
        <v>2946</v>
      </c>
      <c r="J408" s="84"/>
      <c r="K408" s="84" t="s">
        <v>3929</v>
      </c>
      <c r="L408" s="340"/>
      <c r="M408" s="332" t="s">
        <v>2678</v>
      </c>
      <c r="N408" s="306"/>
      <c r="O408" s="306"/>
      <c r="P408" s="22"/>
      <c r="Q408" s="84"/>
      <c r="R408" s="25"/>
      <c r="S408" s="25"/>
      <c r="T408" s="22"/>
      <c r="U408" s="25"/>
      <c r="V408" s="25"/>
      <c r="W408" s="25"/>
      <c r="X408" s="84" t="str">
        <f t="shared" si="2"/>
        <v>grantPlayerItems</v>
      </c>
      <c r="Y408" s="337" t="s">
        <v>3930</v>
      </c>
      <c r="Z408" s="25"/>
      <c r="AA408" s="25"/>
      <c r="AB408" s="25"/>
      <c r="AC408" s="25"/>
      <c r="AD408" s="25"/>
      <c r="AE408" s="25"/>
    </row>
    <row r="409" spans="1:31" ht="340" outlineLevel="1" x14ac:dyDescent="0.15">
      <c r="A409" s="338" t="s">
        <v>3931</v>
      </c>
      <c r="B409" s="306"/>
      <c r="C409" s="338" t="s">
        <v>2715</v>
      </c>
      <c r="D409" s="339"/>
      <c r="E409" s="338" t="s">
        <v>1873</v>
      </c>
      <c r="F409" s="339"/>
      <c r="G409" s="261" t="s">
        <v>3425</v>
      </c>
      <c r="H409" s="339"/>
      <c r="I409" s="338" t="s">
        <v>2946</v>
      </c>
      <c r="J409" s="84"/>
      <c r="K409" s="84" t="s">
        <v>3932</v>
      </c>
      <c r="L409" s="340"/>
      <c r="M409" s="332" t="s">
        <v>2678</v>
      </c>
      <c r="N409" s="306"/>
      <c r="O409" s="306"/>
      <c r="P409" s="22"/>
      <c r="Q409" s="84"/>
      <c r="R409" s="25"/>
      <c r="S409" s="25"/>
      <c r="T409" s="22"/>
      <c r="U409" s="25"/>
      <c r="V409" s="25"/>
      <c r="W409" s="25"/>
      <c r="X409" s="84" t="str">
        <f t="shared" si="2"/>
        <v>grantPlayerItems</v>
      </c>
      <c r="Y409" s="337" t="s">
        <v>3933</v>
      </c>
      <c r="Z409" s="25"/>
      <c r="AA409" s="25"/>
      <c r="AB409" s="25"/>
      <c r="AC409" s="25"/>
      <c r="AD409" s="25"/>
      <c r="AE409" s="25"/>
    </row>
    <row r="410" spans="1:31" ht="340" x14ac:dyDescent="0.15">
      <c r="A410" s="338" t="s">
        <v>3934</v>
      </c>
      <c r="B410" s="306"/>
      <c r="C410" s="338" t="s">
        <v>2715</v>
      </c>
      <c r="D410" s="339"/>
      <c r="E410" s="338" t="s">
        <v>3935</v>
      </c>
      <c r="F410" s="339"/>
      <c r="G410" s="261" t="s">
        <v>3401</v>
      </c>
      <c r="H410" s="339"/>
      <c r="I410" s="338" t="s">
        <v>2946</v>
      </c>
      <c r="J410" s="84"/>
      <c r="K410" s="84" t="s">
        <v>3936</v>
      </c>
      <c r="L410" s="340"/>
      <c r="M410" s="332" t="s">
        <v>2678</v>
      </c>
      <c r="N410" s="306"/>
      <c r="O410" s="306"/>
      <c r="P410" s="22"/>
      <c r="Q410" s="84"/>
      <c r="R410" s="25"/>
      <c r="S410" s="25"/>
      <c r="T410" s="22"/>
      <c r="U410" s="25"/>
      <c r="V410" s="25"/>
      <c r="W410" s="25"/>
      <c r="X410" s="84" t="str">
        <f t="shared" si="2"/>
        <v>grantPlayerItems</v>
      </c>
      <c r="Y410" s="337" t="s">
        <v>3937</v>
      </c>
      <c r="Z410" s="25"/>
      <c r="AA410" s="25"/>
      <c r="AB410" s="25"/>
      <c r="AC410" s="25"/>
      <c r="AD410" s="25"/>
      <c r="AE410" s="25"/>
    </row>
    <row r="411" spans="1:31" ht="340" outlineLevel="1" x14ac:dyDescent="0.15">
      <c r="A411" s="338" t="s">
        <v>3938</v>
      </c>
      <c r="B411" s="306"/>
      <c r="C411" s="338" t="s">
        <v>2715</v>
      </c>
      <c r="D411" s="339"/>
      <c r="E411" s="338" t="s">
        <v>3935</v>
      </c>
      <c r="F411" s="339"/>
      <c r="G411" s="261" t="s">
        <v>3405</v>
      </c>
      <c r="H411" s="339"/>
      <c r="I411" s="338" t="s">
        <v>2946</v>
      </c>
      <c r="J411" s="84"/>
      <c r="K411" s="84" t="s">
        <v>3939</v>
      </c>
      <c r="L411" s="340"/>
      <c r="M411" s="332" t="s">
        <v>2678</v>
      </c>
      <c r="N411" s="306"/>
      <c r="O411" s="306"/>
      <c r="P411" s="22"/>
      <c r="Q411" s="84"/>
      <c r="R411" s="25"/>
      <c r="S411" s="25"/>
      <c r="T411" s="22"/>
      <c r="U411" s="25"/>
      <c r="V411" s="25"/>
      <c r="W411" s="25"/>
      <c r="X411" s="84" t="str">
        <f t="shared" si="2"/>
        <v>grantPlayerItems</v>
      </c>
      <c r="Y411" s="337" t="s">
        <v>3940</v>
      </c>
      <c r="Z411" s="25"/>
      <c r="AA411" s="25"/>
      <c r="AB411" s="25"/>
      <c r="AC411" s="25"/>
      <c r="AD411" s="25"/>
      <c r="AE411" s="25"/>
    </row>
    <row r="412" spans="1:31" ht="340" outlineLevel="1" x14ac:dyDescent="0.15">
      <c r="A412" s="338" t="s">
        <v>3941</v>
      </c>
      <c r="B412" s="306"/>
      <c r="C412" s="338" t="s">
        <v>2715</v>
      </c>
      <c r="D412" s="339"/>
      <c r="E412" s="338" t="s">
        <v>3935</v>
      </c>
      <c r="F412" s="339"/>
      <c r="G412" s="261" t="s">
        <v>3409</v>
      </c>
      <c r="H412" s="339"/>
      <c r="I412" s="338" t="s">
        <v>2946</v>
      </c>
      <c r="J412" s="84"/>
      <c r="K412" s="84" t="s">
        <v>3942</v>
      </c>
      <c r="L412" s="340"/>
      <c r="M412" s="332" t="s">
        <v>2678</v>
      </c>
      <c r="N412" s="306"/>
      <c r="O412" s="306"/>
      <c r="P412" s="22"/>
      <c r="Q412" s="84"/>
      <c r="R412" s="25"/>
      <c r="S412" s="25"/>
      <c r="T412" s="22"/>
      <c r="U412" s="25"/>
      <c r="V412" s="25"/>
      <c r="W412" s="25"/>
      <c r="X412" s="84" t="str">
        <f t="shared" si="2"/>
        <v>grantPlayerItems</v>
      </c>
      <c r="Y412" s="337" t="s">
        <v>3943</v>
      </c>
      <c r="Z412" s="25"/>
      <c r="AA412" s="25"/>
      <c r="AB412" s="25"/>
      <c r="AC412" s="25"/>
      <c r="AD412" s="25"/>
      <c r="AE412" s="25"/>
    </row>
    <row r="413" spans="1:31" ht="340" outlineLevel="1" x14ac:dyDescent="0.15">
      <c r="A413" s="338" t="s">
        <v>3944</v>
      </c>
      <c r="B413" s="306"/>
      <c r="C413" s="338" t="s">
        <v>2715</v>
      </c>
      <c r="D413" s="339"/>
      <c r="E413" s="338" t="s">
        <v>3935</v>
      </c>
      <c r="F413" s="339"/>
      <c r="G413" s="261" t="s">
        <v>3413</v>
      </c>
      <c r="H413" s="339"/>
      <c r="I413" s="338" t="s">
        <v>2946</v>
      </c>
      <c r="J413" s="84"/>
      <c r="K413" s="84" t="s">
        <v>3945</v>
      </c>
      <c r="L413" s="340"/>
      <c r="M413" s="332" t="s">
        <v>2678</v>
      </c>
      <c r="N413" s="306"/>
      <c r="O413" s="306"/>
      <c r="P413" s="22"/>
      <c r="Q413" s="84"/>
      <c r="R413" s="25"/>
      <c r="S413" s="25"/>
      <c r="T413" s="22"/>
      <c r="U413" s="25"/>
      <c r="V413" s="25"/>
      <c r="W413" s="25"/>
      <c r="X413" s="84" t="str">
        <f t="shared" si="2"/>
        <v>grantPlayerItems</v>
      </c>
      <c r="Y413" s="337" t="s">
        <v>3946</v>
      </c>
      <c r="Z413" s="25"/>
      <c r="AA413" s="25"/>
      <c r="AB413" s="25"/>
      <c r="AC413" s="25"/>
      <c r="AD413" s="25"/>
      <c r="AE413" s="25"/>
    </row>
    <row r="414" spans="1:31" ht="340" outlineLevel="1" x14ac:dyDescent="0.15">
      <c r="A414" s="338" t="s">
        <v>3947</v>
      </c>
      <c r="B414" s="306"/>
      <c r="C414" s="338" t="s">
        <v>2715</v>
      </c>
      <c r="D414" s="339"/>
      <c r="E414" s="338" t="s">
        <v>3935</v>
      </c>
      <c r="F414" s="339"/>
      <c r="G414" s="261" t="s">
        <v>3417</v>
      </c>
      <c r="H414" s="339"/>
      <c r="I414" s="338" t="s">
        <v>2946</v>
      </c>
      <c r="J414" s="84"/>
      <c r="K414" s="84" t="s">
        <v>3948</v>
      </c>
      <c r="L414" s="340"/>
      <c r="M414" s="332" t="s">
        <v>2678</v>
      </c>
      <c r="N414" s="306"/>
      <c r="O414" s="306"/>
      <c r="P414" s="22"/>
      <c r="Q414" s="84"/>
      <c r="R414" s="25"/>
      <c r="S414" s="25"/>
      <c r="T414" s="22"/>
      <c r="U414" s="25"/>
      <c r="V414" s="25"/>
      <c r="W414" s="25"/>
      <c r="X414" s="84" t="str">
        <f t="shared" si="2"/>
        <v>grantPlayerItems</v>
      </c>
      <c r="Y414" s="337" t="s">
        <v>3949</v>
      </c>
      <c r="Z414" s="25"/>
      <c r="AA414" s="25"/>
      <c r="AB414" s="25"/>
      <c r="AC414" s="25"/>
      <c r="AD414" s="25"/>
      <c r="AE414" s="25"/>
    </row>
    <row r="415" spans="1:31" ht="340" outlineLevel="1" x14ac:dyDescent="0.15">
      <c r="A415" s="338" t="s">
        <v>3950</v>
      </c>
      <c r="B415" s="306"/>
      <c r="C415" s="338" t="s">
        <v>2715</v>
      </c>
      <c r="D415" s="339"/>
      <c r="E415" s="338" t="s">
        <v>3935</v>
      </c>
      <c r="F415" s="339"/>
      <c r="G415" s="261" t="s">
        <v>3421</v>
      </c>
      <c r="H415" s="339"/>
      <c r="I415" s="338" t="s">
        <v>2946</v>
      </c>
      <c r="J415" s="84"/>
      <c r="K415" s="84" t="s">
        <v>3951</v>
      </c>
      <c r="L415" s="340"/>
      <c r="M415" s="332" t="s">
        <v>2678</v>
      </c>
      <c r="N415" s="306"/>
      <c r="O415" s="306"/>
      <c r="P415" s="22"/>
      <c r="Q415" s="84"/>
      <c r="R415" s="25"/>
      <c r="S415" s="25"/>
      <c r="T415" s="22"/>
      <c r="U415" s="25"/>
      <c r="V415" s="25"/>
      <c r="W415" s="25"/>
      <c r="X415" s="84" t="str">
        <f t="shared" si="2"/>
        <v>grantPlayerItems</v>
      </c>
      <c r="Y415" s="337" t="s">
        <v>3952</v>
      </c>
      <c r="Z415" s="25"/>
      <c r="AA415" s="25"/>
      <c r="AB415" s="25"/>
      <c r="AC415" s="25"/>
      <c r="AD415" s="25"/>
      <c r="AE415" s="25"/>
    </row>
    <row r="416" spans="1:31" ht="340" outlineLevel="1" x14ac:dyDescent="0.15">
      <c r="A416" s="338" t="s">
        <v>3953</v>
      </c>
      <c r="B416" s="306"/>
      <c r="C416" s="338" t="s">
        <v>2715</v>
      </c>
      <c r="D416" s="339"/>
      <c r="E416" s="338" t="s">
        <v>3935</v>
      </c>
      <c r="F416" s="339"/>
      <c r="G416" s="261" t="s">
        <v>3425</v>
      </c>
      <c r="H416" s="339"/>
      <c r="I416" s="338" t="s">
        <v>2946</v>
      </c>
      <c r="J416" s="84"/>
      <c r="K416" s="84" t="s">
        <v>3954</v>
      </c>
      <c r="L416" s="340"/>
      <c r="M416" s="332" t="s">
        <v>2678</v>
      </c>
      <c r="N416" s="306"/>
      <c r="O416" s="306"/>
      <c r="P416" s="22"/>
      <c r="Q416" s="84"/>
      <c r="R416" s="25"/>
      <c r="S416" s="25"/>
      <c r="T416" s="22"/>
      <c r="U416" s="25"/>
      <c r="V416" s="25"/>
      <c r="W416" s="25"/>
      <c r="X416" s="84" t="str">
        <f t="shared" si="2"/>
        <v>grantPlayerItems</v>
      </c>
      <c r="Y416" s="337" t="s">
        <v>3955</v>
      </c>
      <c r="Z416" s="25"/>
      <c r="AA416" s="25"/>
      <c r="AB416" s="25"/>
      <c r="AC416" s="25"/>
      <c r="AD416" s="25"/>
      <c r="AE416" s="25"/>
    </row>
    <row r="417" spans="1:31" ht="340" x14ac:dyDescent="0.15">
      <c r="A417" s="338" t="s">
        <v>3956</v>
      </c>
      <c r="B417" s="306"/>
      <c r="C417" s="338" t="s">
        <v>2715</v>
      </c>
      <c r="D417" s="339"/>
      <c r="E417" s="338" t="s">
        <v>1979</v>
      </c>
      <c r="F417" s="339"/>
      <c r="G417" s="261" t="s">
        <v>3401</v>
      </c>
      <c r="H417" s="339"/>
      <c r="I417" s="338" t="s">
        <v>2946</v>
      </c>
      <c r="J417" s="84"/>
      <c r="K417" s="84" t="s">
        <v>3957</v>
      </c>
      <c r="L417" s="340"/>
      <c r="M417" s="332" t="s">
        <v>2678</v>
      </c>
      <c r="N417" s="306"/>
      <c r="O417" s="306"/>
      <c r="P417" s="22"/>
      <c r="Q417" s="84"/>
      <c r="R417" s="25"/>
      <c r="S417" s="25"/>
      <c r="T417" s="22"/>
      <c r="U417" s="25"/>
      <c r="V417" s="25"/>
      <c r="W417" s="25"/>
      <c r="X417" s="84" t="str">
        <f t="shared" si="2"/>
        <v>grantPlayerItems</v>
      </c>
      <c r="Y417" s="337" t="s">
        <v>3958</v>
      </c>
      <c r="Z417" s="25"/>
      <c r="AA417" s="25"/>
      <c r="AB417" s="25"/>
      <c r="AC417" s="25"/>
      <c r="AD417" s="25"/>
      <c r="AE417" s="25"/>
    </row>
    <row r="418" spans="1:31" ht="340" outlineLevel="1" x14ac:dyDescent="0.15">
      <c r="A418" s="338" t="s">
        <v>3959</v>
      </c>
      <c r="B418" s="306"/>
      <c r="C418" s="338" t="s">
        <v>2715</v>
      </c>
      <c r="D418" s="339"/>
      <c r="E418" s="338" t="s">
        <v>1979</v>
      </c>
      <c r="F418" s="339"/>
      <c r="G418" s="261" t="s">
        <v>3405</v>
      </c>
      <c r="H418" s="339"/>
      <c r="I418" s="338" t="s">
        <v>2946</v>
      </c>
      <c r="J418" s="84"/>
      <c r="K418" s="84" t="s">
        <v>3960</v>
      </c>
      <c r="L418" s="340"/>
      <c r="M418" s="332" t="s">
        <v>2678</v>
      </c>
      <c r="N418" s="306"/>
      <c r="O418" s="306"/>
      <c r="P418" s="22"/>
      <c r="Q418" s="84"/>
      <c r="R418" s="25"/>
      <c r="S418" s="25"/>
      <c r="T418" s="22"/>
      <c r="U418" s="25"/>
      <c r="V418" s="25"/>
      <c r="W418" s="25"/>
      <c r="X418" s="84" t="str">
        <f t="shared" si="2"/>
        <v>grantPlayerItems</v>
      </c>
      <c r="Y418" s="337" t="s">
        <v>3961</v>
      </c>
      <c r="Z418" s="25"/>
      <c r="AA418" s="25"/>
      <c r="AB418" s="25"/>
      <c r="AC418" s="25"/>
      <c r="AD418" s="25"/>
      <c r="AE418" s="25"/>
    </row>
    <row r="419" spans="1:31" ht="340" outlineLevel="1" x14ac:dyDescent="0.15">
      <c r="A419" s="338" t="s">
        <v>3962</v>
      </c>
      <c r="B419" s="306"/>
      <c r="C419" s="338" t="s">
        <v>2715</v>
      </c>
      <c r="D419" s="339"/>
      <c r="E419" s="338" t="s">
        <v>1979</v>
      </c>
      <c r="F419" s="339"/>
      <c r="G419" s="261" t="s">
        <v>3409</v>
      </c>
      <c r="H419" s="339"/>
      <c r="I419" s="338" t="s">
        <v>2946</v>
      </c>
      <c r="J419" s="84"/>
      <c r="K419" s="84" t="s">
        <v>3963</v>
      </c>
      <c r="L419" s="340"/>
      <c r="M419" s="332" t="s">
        <v>2678</v>
      </c>
      <c r="N419" s="306"/>
      <c r="O419" s="306"/>
      <c r="P419" s="22"/>
      <c r="Q419" s="84"/>
      <c r="R419" s="25"/>
      <c r="S419" s="25"/>
      <c r="T419" s="22"/>
      <c r="U419" s="25"/>
      <c r="V419" s="25"/>
      <c r="W419" s="25"/>
      <c r="X419" s="84" t="str">
        <f t="shared" si="2"/>
        <v>grantPlayerItems</v>
      </c>
      <c r="Y419" s="337" t="s">
        <v>3964</v>
      </c>
      <c r="Z419" s="25"/>
      <c r="AA419" s="25"/>
      <c r="AB419" s="25"/>
      <c r="AC419" s="25"/>
      <c r="AD419" s="25"/>
      <c r="AE419" s="25"/>
    </row>
    <row r="420" spans="1:31" ht="340" outlineLevel="1" x14ac:dyDescent="0.15">
      <c r="A420" s="338" t="s">
        <v>3965</v>
      </c>
      <c r="B420" s="306"/>
      <c r="C420" s="338" t="s">
        <v>2715</v>
      </c>
      <c r="D420" s="339"/>
      <c r="E420" s="338" t="s">
        <v>1979</v>
      </c>
      <c r="F420" s="339"/>
      <c r="G420" s="261" t="s">
        <v>3413</v>
      </c>
      <c r="H420" s="339"/>
      <c r="I420" s="338" t="s">
        <v>2946</v>
      </c>
      <c r="J420" s="84"/>
      <c r="K420" s="84" t="s">
        <v>3966</v>
      </c>
      <c r="L420" s="340"/>
      <c r="M420" s="332" t="s">
        <v>2678</v>
      </c>
      <c r="N420" s="306"/>
      <c r="O420" s="306"/>
      <c r="P420" s="22"/>
      <c r="Q420" s="84"/>
      <c r="R420" s="25"/>
      <c r="S420" s="25"/>
      <c r="T420" s="22"/>
      <c r="U420" s="25"/>
      <c r="V420" s="25"/>
      <c r="W420" s="25"/>
      <c r="X420" s="84" t="str">
        <f t="shared" si="2"/>
        <v>grantPlayerItems</v>
      </c>
      <c r="Y420" s="337" t="s">
        <v>3967</v>
      </c>
      <c r="Z420" s="25"/>
      <c r="AA420" s="25"/>
      <c r="AB420" s="25"/>
      <c r="AC420" s="25"/>
      <c r="AD420" s="25"/>
      <c r="AE420" s="25"/>
    </row>
    <row r="421" spans="1:31" ht="340" outlineLevel="1" x14ac:dyDescent="0.15">
      <c r="A421" s="338" t="s">
        <v>3968</v>
      </c>
      <c r="B421" s="306"/>
      <c r="C421" s="338" t="s">
        <v>2715</v>
      </c>
      <c r="D421" s="339"/>
      <c r="E421" s="338" t="s">
        <v>1979</v>
      </c>
      <c r="F421" s="339"/>
      <c r="G421" s="261" t="s">
        <v>3417</v>
      </c>
      <c r="H421" s="339"/>
      <c r="I421" s="338" t="s">
        <v>2946</v>
      </c>
      <c r="J421" s="84"/>
      <c r="K421" s="84" t="s">
        <v>3969</v>
      </c>
      <c r="L421" s="340"/>
      <c r="M421" s="332" t="s">
        <v>2678</v>
      </c>
      <c r="N421" s="306"/>
      <c r="O421" s="306"/>
      <c r="P421" s="22"/>
      <c r="Q421" s="84"/>
      <c r="R421" s="25"/>
      <c r="S421" s="25"/>
      <c r="T421" s="22"/>
      <c r="U421" s="25"/>
      <c r="V421" s="25"/>
      <c r="W421" s="25"/>
      <c r="X421" s="84" t="str">
        <f t="shared" si="2"/>
        <v>grantPlayerItems</v>
      </c>
      <c r="Y421" s="337" t="s">
        <v>3970</v>
      </c>
      <c r="Z421" s="25"/>
      <c r="AA421" s="25"/>
      <c r="AB421" s="25"/>
      <c r="AC421" s="25"/>
      <c r="AD421" s="25"/>
      <c r="AE421" s="25"/>
    </row>
    <row r="422" spans="1:31" ht="340" outlineLevel="1" x14ac:dyDescent="0.15">
      <c r="A422" s="338" t="s">
        <v>3971</v>
      </c>
      <c r="B422" s="306"/>
      <c r="C422" s="338" t="s">
        <v>2715</v>
      </c>
      <c r="D422" s="339"/>
      <c r="E422" s="338" t="s">
        <v>1979</v>
      </c>
      <c r="F422" s="339"/>
      <c r="G422" s="261" t="s">
        <v>3421</v>
      </c>
      <c r="H422" s="339"/>
      <c r="I422" s="338" t="s">
        <v>2946</v>
      </c>
      <c r="J422" s="84"/>
      <c r="K422" s="84" t="s">
        <v>3972</v>
      </c>
      <c r="L422" s="340"/>
      <c r="M422" s="332" t="s">
        <v>2678</v>
      </c>
      <c r="N422" s="306"/>
      <c r="O422" s="306"/>
      <c r="P422" s="22"/>
      <c r="Q422" s="84"/>
      <c r="R422" s="25"/>
      <c r="S422" s="25"/>
      <c r="T422" s="22"/>
      <c r="U422" s="25"/>
      <c r="V422" s="25"/>
      <c r="W422" s="25"/>
      <c r="X422" s="84" t="str">
        <f t="shared" si="2"/>
        <v>grantPlayerItems</v>
      </c>
      <c r="Y422" s="337" t="s">
        <v>3973</v>
      </c>
      <c r="Z422" s="25"/>
      <c r="AA422" s="25"/>
      <c r="AB422" s="25"/>
      <c r="AC422" s="25"/>
      <c r="AD422" s="25"/>
      <c r="AE422" s="25"/>
    </row>
    <row r="423" spans="1:31" ht="340" outlineLevel="1" x14ac:dyDescent="0.15">
      <c r="A423" s="338" t="s">
        <v>3974</v>
      </c>
      <c r="B423" s="306"/>
      <c r="C423" s="338" t="s">
        <v>2715</v>
      </c>
      <c r="D423" s="339"/>
      <c r="E423" s="338" t="s">
        <v>1979</v>
      </c>
      <c r="F423" s="339"/>
      <c r="G423" s="261" t="s">
        <v>3425</v>
      </c>
      <c r="H423" s="339"/>
      <c r="I423" s="338" t="s">
        <v>2946</v>
      </c>
      <c r="J423" s="84"/>
      <c r="K423" s="84" t="s">
        <v>3975</v>
      </c>
      <c r="L423" s="340"/>
      <c r="M423" s="332" t="s">
        <v>2678</v>
      </c>
      <c r="N423" s="306"/>
      <c r="O423" s="306"/>
      <c r="P423" s="22"/>
      <c r="Q423" s="84"/>
      <c r="R423" s="25"/>
      <c r="S423" s="25"/>
      <c r="T423" s="22"/>
      <c r="U423" s="25"/>
      <c r="V423" s="25"/>
      <c r="W423" s="25"/>
      <c r="X423" s="84" t="str">
        <f t="shared" si="2"/>
        <v>grantPlayerItems</v>
      </c>
      <c r="Y423" s="337" t="s">
        <v>3976</v>
      </c>
      <c r="Z423" s="25"/>
      <c r="AA423" s="25"/>
      <c r="AB423" s="25"/>
      <c r="AC423" s="25"/>
      <c r="AD423" s="25"/>
      <c r="AE423" s="25"/>
    </row>
    <row r="424" spans="1:31" ht="340" x14ac:dyDescent="0.15">
      <c r="A424" s="338" t="s">
        <v>3977</v>
      </c>
      <c r="B424" s="306"/>
      <c r="C424" s="338" t="s">
        <v>2715</v>
      </c>
      <c r="D424" s="339"/>
      <c r="E424" s="338" t="s">
        <v>2038</v>
      </c>
      <c r="F424" s="339"/>
      <c r="G424" s="261" t="s">
        <v>3401</v>
      </c>
      <c r="H424" s="339"/>
      <c r="I424" s="338" t="s">
        <v>2946</v>
      </c>
      <c r="J424" s="84"/>
      <c r="K424" s="84" t="s">
        <v>3978</v>
      </c>
      <c r="L424" s="340"/>
      <c r="M424" s="332" t="s">
        <v>2678</v>
      </c>
      <c r="N424" s="306"/>
      <c r="O424" s="306"/>
      <c r="P424" s="22"/>
      <c r="Q424" s="84"/>
      <c r="R424" s="25"/>
      <c r="S424" s="25"/>
      <c r="T424" s="22"/>
      <c r="U424" s="25"/>
      <c r="V424" s="25"/>
      <c r="W424" s="25"/>
      <c r="X424" s="84" t="str">
        <f t="shared" si="2"/>
        <v>grantPlayerItems</v>
      </c>
      <c r="Y424" s="337" t="s">
        <v>3979</v>
      </c>
      <c r="Z424" s="25"/>
      <c r="AA424" s="25"/>
      <c r="AB424" s="25"/>
      <c r="AC424" s="25"/>
      <c r="AD424" s="25"/>
      <c r="AE424" s="25"/>
    </row>
    <row r="425" spans="1:31" ht="340" outlineLevel="1" x14ac:dyDescent="0.15">
      <c r="A425" s="338" t="s">
        <v>3980</v>
      </c>
      <c r="B425" s="306"/>
      <c r="C425" s="338" t="s">
        <v>2715</v>
      </c>
      <c r="D425" s="339"/>
      <c r="E425" s="338" t="s">
        <v>2038</v>
      </c>
      <c r="F425" s="339"/>
      <c r="G425" s="261" t="s">
        <v>3405</v>
      </c>
      <c r="H425" s="339"/>
      <c r="I425" s="338" t="s">
        <v>2946</v>
      </c>
      <c r="J425" s="84"/>
      <c r="K425" s="84" t="s">
        <v>3981</v>
      </c>
      <c r="L425" s="340"/>
      <c r="M425" s="332" t="s">
        <v>2678</v>
      </c>
      <c r="N425" s="306"/>
      <c r="O425" s="306"/>
      <c r="P425" s="22"/>
      <c r="Q425" s="84"/>
      <c r="R425" s="25"/>
      <c r="S425" s="25"/>
      <c r="T425" s="22"/>
      <c r="U425" s="25"/>
      <c r="V425" s="25"/>
      <c r="W425" s="25"/>
      <c r="X425" s="84" t="str">
        <f t="shared" si="2"/>
        <v>grantPlayerItems</v>
      </c>
      <c r="Y425" s="337" t="s">
        <v>3982</v>
      </c>
      <c r="Z425" s="25"/>
      <c r="AA425" s="25"/>
      <c r="AB425" s="25"/>
      <c r="AC425" s="25"/>
      <c r="AD425" s="25"/>
      <c r="AE425" s="25"/>
    </row>
    <row r="426" spans="1:31" ht="340" outlineLevel="1" x14ac:dyDescent="0.15">
      <c r="A426" s="338" t="s">
        <v>3983</v>
      </c>
      <c r="B426" s="306"/>
      <c r="C426" s="338" t="s">
        <v>2715</v>
      </c>
      <c r="D426" s="339"/>
      <c r="E426" s="338" t="s">
        <v>2038</v>
      </c>
      <c r="F426" s="339"/>
      <c r="G426" s="261" t="s">
        <v>3409</v>
      </c>
      <c r="H426" s="339"/>
      <c r="I426" s="338" t="s">
        <v>2946</v>
      </c>
      <c r="J426" s="84"/>
      <c r="K426" s="84" t="s">
        <v>3984</v>
      </c>
      <c r="L426" s="340"/>
      <c r="M426" s="332" t="s">
        <v>2678</v>
      </c>
      <c r="N426" s="306"/>
      <c r="O426" s="306"/>
      <c r="P426" s="22"/>
      <c r="Q426" s="84"/>
      <c r="R426" s="25"/>
      <c r="S426" s="25"/>
      <c r="T426" s="22"/>
      <c r="U426" s="25"/>
      <c r="V426" s="25"/>
      <c r="W426" s="25"/>
      <c r="X426" s="84" t="str">
        <f t="shared" si="2"/>
        <v>grantPlayerItems</v>
      </c>
      <c r="Y426" s="337" t="s">
        <v>3985</v>
      </c>
      <c r="Z426" s="25"/>
      <c r="AA426" s="25"/>
      <c r="AB426" s="25"/>
      <c r="AC426" s="25"/>
      <c r="AD426" s="25"/>
      <c r="AE426" s="25"/>
    </row>
    <row r="427" spans="1:31" ht="340" outlineLevel="1" x14ac:dyDescent="0.15">
      <c r="A427" s="338" t="s">
        <v>3986</v>
      </c>
      <c r="B427" s="306"/>
      <c r="C427" s="338" t="s">
        <v>2715</v>
      </c>
      <c r="D427" s="339"/>
      <c r="E427" s="338" t="s">
        <v>2038</v>
      </c>
      <c r="F427" s="339"/>
      <c r="G427" s="261" t="s">
        <v>3413</v>
      </c>
      <c r="H427" s="339"/>
      <c r="I427" s="338" t="s">
        <v>2946</v>
      </c>
      <c r="J427" s="84"/>
      <c r="K427" s="84" t="s">
        <v>3987</v>
      </c>
      <c r="L427" s="340"/>
      <c r="M427" s="332" t="s">
        <v>2678</v>
      </c>
      <c r="N427" s="306"/>
      <c r="O427" s="306"/>
      <c r="P427" s="22"/>
      <c r="Q427" s="84"/>
      <c r="R427" s="25"/>
      <c r="S427" s="25"/>
      <c r="T427" s="22"/>
      <c r="U427" s="25"/>
      <c r="V427" s="25"/>
      <c r="W427" s="25"/>
      <c r="X427" s="84" t="str">
        <f t="shared" si="2"/>
        <v>grantPlayerItems</v>
      </c>
      <c r="Y427" s="337" t="s">
        <v>3988</v>
      </c>
      <c r="Z427" s="25"/>
      <c r="AA427" s="25"/>
      <c r="AB427" s="25"/>
      <c r="AC427" s="25"/>
      <c r="AD427" s="25"/>
      <c r="AE427" s="25"/>
    </row>
    <row r="428" spans="1:31" ht="340" outlineLevel="1" x14ac:dyDescent="0.15">
      <c r="A428" s="338" t="s">
        <v>3989</v>
      </c>
      <c r="B428" s="306"/>
      <c r="C428" s="338" t="s">
        <v>2715</v>
      </c>
      <c r="D428" s="339"/>
      <c r="E428" s="338" t="s">
        <v>2038</v>
      </c>
      <c r="F428" s="339"/>
      <c r="G428" s="261" t="s">
        <v>3417</v>
      </c>
      <c r="H428" s="339"/>
      <c r="I428" s="338" t="s">
        <v>2946</v>
      </c>
      <c r="J428" s="84"/>
      <c r="K428" s="84" t="s">
        <v>3990</v>
      </c>
      <c r="L428" s="340"/>
      <c r="M428" s="332" t="s">
        <v>2678</v>
      </c>
      <c r="N428" s="306"/>
      <c r="O428" s="306"/>
      <c r="P428" s="22"/>
      <c r="Q428" s="84"/>
      <c r="R428" s="25"/>
      <c r="S428" s="25"/>
      <c r="T428" s="22"/>
      <c r="U428" s="25"/>
      <c r="V428" s="25"/>
      <c r="W428" s="25"/>
      <c r="X428" s="84" t="str">
        <f t="shared" si="2"/>
        <v>grantPlayerItems</v>
      </c>
      <c r="Y428" s="337" t="s">
        <v>3991</v>
      </c>
      <c r="Z428" s="25"/>
      <c r="AA428" s="25"/>
      <c r="AB428" s="25"/>
      <c r="AC428" s="25"/>
      <c r="AD428" s="25"/>
      <c r="AE428" s="25"/>
    </row>
    <row r="429" spans="1:31" ht="340" outlineLevel="1" x14ac:dyDescent="0.15">
      <c r="A429" s="338" t="s">
        <v>3992</v>
      </c>
      <c r="B429" s="306"/>
      <c r="C429" s="338" t="s">
        <v>2715</v>
      </c>
      <c r="D429" s="339"/>
      <c r="E429" s="338" t="s">
        <v>2038</v>
      </c>
      <c r="F429" s="339"/>
      <c r="G429" s="261" t="s">
        <v>3421</v>
      </c>
      <c r="H429" s="339"/>
      <c r="I429" s="338" t="s">
        <v>2946</v>
      </c>
      <c r="J429" s="84"/>
      <c r="K429" s="84" t="s">
        <v>3993</v>
      </c>
      <c r="L429" s="340"/>
      <c r="M429" s="332" t="s">
        <v>2678</v>
      </c>
      <c r="N429" s="306"/>
      <c r="O429" s="306"/>
      <c r="P429" s="22"/>
      <c r="Q429" s="84"/>
      <c r="R429" s="25"/>
      <c r="S429" s="25"/>
      <c r="T429" s="22"/>
      <c r="U429" s="25"/>
      <c r="V429" s="25"/>
      <c r="W429" s="25"/>
      <c r="X429" s="84" t="str">
        <f t="shared" si="2"/>
        <v>grantPlayerItems</v>
      </c>
      <c r="Y429" s="337" t="s">
        <v>3994</v>
      </c>
      <c r="Z429" s="25"/>
      <c r="AA429" s="25"/>
      <c r="AB429" s="25"/>
      <c r="AC429" s="25"/>
      <c r="AD429" s="25"/>
      <c r="AE429" s="25"/>
    </row>
    <row r="430" spans="1:31" ht="340" outlineLevel="1" x14ac:dyDescent="0.15">
      <c r="A430" s="338" t="s">
        <v>3995</v>
      </c>
      <c r="B430" s="306"/>
      <c r="C430" s="338" t="s">
        <v>2715</v>
      </c>
      <c r="D430" s="339"/>
      <c r="E430" s="338" t="s">
        <v>2038</v>
      </c>
      <c r="F430" s="339"/>
      <c r="G430" s="261" t="s">
        <v>3425</v>
      </c>
      <c r="H430" s="339"/>
      <c r="I430" s="338" t="s">
        <v>2946</v>
      </c>
      <c r="J430" s="84"/>
      <c r="K430" s="84" t="s">
        <v>3996</v>
      </c>
      <c r="L430" s="340"/>
      <c r="M430" s="332" t="s">
        <v>2678</v>
      </c>
      <c r="N430" s="306"/>
      <c r="O430" s="306"/>
      <c r="P430" s="22"/>
      <c r="Q430" s="84"/>
      <c r="R430" s="25"/>
      <c r="S430" s="25"/>
      <c r="T430" s="22"/>
      <c r="U430" s="25"/>
      <c r="V430" s="25"/>
      <c r="W430" s="25"/>
      <c r="X430" s="84" t="str">
        <f t="shared" si="2"/>
        <v>grantPlayerItems</v>
      </c>
      <c r="Y430" s="337" t="s">
        <v>3997</v>
      </c>
      <c r="Z430" s="25"/>
      <c r="AA430" s="25"/>
      <c r="AB430" s="25"/>
      <c r="AC430" s="25"/>
      <c r="AD430" s="25"/>
      <c r="AE430" s="25"/>
    </row>
    <row r="431" spans="1:31" ht="340" x14ac:dyDescent="0.15">
      <c r="A431" s="338" t="s">
        <v>3998</v>
      </c>
      <c r="B431" s="306"/>
      <c r="C431" s="338" t="s">
        <v>2715</v>
      </c>
      <c r="D431" s="339"/>
      <c r="E431" s="338" t="s">
        <v>1941</v>
      </c>
      <c r="F431" s="339"/>
      <c r="G431" s="261" t="s">
        <v>3401</v>
      </c>
      <c r="H431" s="339"/>
      <c r="I431" s="338" t="s">
        <v>2946</v>
      </c>
      <c r="J431" s="84"/>
      <c r="K431" s="84" t="s">
        <v>3999</v>
      </c>
      <c r="L431" s="340"/>
      <c r="M431" s="332" t="s">
        <v>2678</v>
      </c>
      <c r="N431" s="306"/>
      <c r="O431" s="306"/>
      <c r="P431" s="22"/>
      <c r="Q431" s="84"/>
      <c r="R431" s="25"/>
      <c r="S431" s="25"/>
      <c r="T431" s="22"/>
      <c r="U431" s="25"/>
      <c r="V431" s="25"/>
      <c r="W431" s="25"/>
      <c r="X431" s="84" t="str">
        <f t="shared" si="2"/>
        <v>grantPlayerItems</v>
      </c>
      <c r="Y431" s="337" t="s">
        <v>4000</v>
      </c>
      <c r="Z431" s="25"/>
      <c r="AA431" s="25"/>
      <c r="AB431" s="25"/>
      <c r="AC431" s="25"/>
      <c r="AD431" s="25"/>
      <c r="AE431" s="25"/>
    </row>
    <row r="432" spans="1:31" ht="340" outlineLevel="1" x14ac:dyDescent="0.15">
      <c r="A432" s="338" t="s">
        <v>4001</v>
      </c>
      <c r="B432" s="306"/>
      <c r="C432" s="338" t="s">
        <v>2715</v>
      </c>
      <c r="D432" s="339"/>
      <c r="E432" s="338" t="s">
        <v>1941</v>
      </c>
      <c r="F432" s="339"/>
      <c r="G432" s="261" t="s">
        <v>3405</v>
      </c>
      <c r="H432" s="339"/>
      <c r="I432" s="338" t="s">
        <v>2946</v>
      </c>
      <c r="J432" s="84"/>
      <c r="K432" s="84" t="s">
        <v>4002</v>
      </c>
      <c r="L432" s="340"/>
      <c r="M432" s="332" t="s">
        <v>2678</v>
      </c>
      <c r="N432" s="306"/>
      <c r="O432" s="306"/>
      <c r="P432" s="22"/>
      <c r="Q432" s="84"/>
      <c r="R432" s="25"/>
      <c r="S432" s="25"/>
      <c r="T432" s="22"/>
      <c r="U432" s="25"/>
      <c r="V432" s="25"/>
      <c r="W432" s="25"/>
      <c r="X432" s="84" t="str">
        <f t="shared" si="2"/>
        <v>grantPlayerItems</v>
      </c>
      <c r="Y432" s="337" t="s">
        <v>4003</v>
      </c>
      <c r="Z432" s="25"/>
      <c r="AA432" s="25"/>
      <c r="AB432" s="25"/>
      <c r="AC432" s="25"/>
      <c r="AD432" s="25"/>
      <c r="AE432" s="25"/>
    </row>
    <row r="433" spans="1:31" ht="340" outlineLevel="1" x14ac:dyDescent="0.15">
      <c r="A433" s="338" t="s">
        <v>4004</v>
      </c>
      <c r="B433" s="306"/>
      <c r="C433" s="338" t="s">
        <v>2715</v>
      </c>
      <c r="D433" s="339"/>
      <c r="E433" s="338" t="s">
        <v>1941</v>
      </c>
      <c r="F433" s="339"/>
      <c r="G433" s="261" t="s">
        <v>3409</v>
      </c>
      <c r="H433" s="339"/>
      <c r="I433" s="338" t="s">
        <v>2946</v>
      </c>
      <c r="J433" s="84"/>
      <c r="K433" s="84" t="s">
        <v>4005</v>
      </c>
      <c r="L433" s="340"/>
      <c r="M433" s="332" t="s">
        <v>2678</v>
      </c>
      <c r="N433" s="306"/>
      <c r="O433" s="306"/>
      <c r="P433" s="22"/>
      <c r="Q433" s="84"/>
      <c r="R433" s="25"/>
      <c r="S433" s="25"/>
      <c r="T433" s="22"/>
      <c r="U433" s="25"/>
      <c r="V433" s="25"/>
      <c r="W433" s="25"/>
      <c r="X433" s="84" t="str">
        <f t="shared" si="2"/>
        <v>grantPlayerItems</v>
      </c>
      <c r="Y433" s="337" t="s">
        <v>4006</v>
      </c>
      <c r="Z433" s="25"/>
      <c r="AA433" s="25"/>
      <c r="AB433" s="25"/>
      <c r="AC433" s="25"/>
      <c r="AD433" s="25"/>
      <c r="AE433" s="25"/>
    </row>
    <row r="434" spans="1:31" ht="340" outlineLevel="1" x14ac:dyDescent="0.15">
      <c r="A434" s="338" t="s">
        <v>4007</v>
      </c>
      <c r="B434" s="306"/>
      <c r="C434" s="338" t="s">
        <v>2715</v>
      </c>
      <c r="D434" s="339"/>
      <c r="E434" s="338" t="s">
        <v>1941</v>
      </c>
      <c r="F434" s="339"/>
      <c r="G434" s="261" t="s">
        <v>3413</v>
      </c>
      <c r="H434" s="339"/>
      <c r="I434" s="338" t="s">
        <v>2946</v>
      </c>
      <c r="J434" s="84"/>
      <c r="K434" s="84" t="s">
        <v>4008</v>
      </c>
      <c r="L434" s="340"/>
      <c r="M434" s="332" t="s">
        <v>2678</v>
      </c>
      <c r="N434" s="306"/>
      <c r="O434" s="306"/>
      <c r="P434" s="22"/>
      <c r="Q434" s="84"/>
      <c r="R434" s="25"/>
      <c r="S434" s="25"/>
      <c r="T434" s="22"/>
      <c r="U434" s="25"/>
      <c r="V434" s="25"/>
      <c r="W434" s="25"/>
      <c r="X434" s="84" t="str">
        <f t="shared" si="2"/>
        <v>grantPlayerItems</v>
      </c>
      <c r="Y434" s="337" t="s">
        <v>4009</v>
      </c>
      <c r="Z434" s="25"/>
      <c r="AA434" s="25"/>
      <c r="AB434" s="25"/>
      <c r="AC434" s="25"/>
      <c r="AD434" s="25"/>
      <c r="AE434" s="25"/>
    </row>
    <row r="435" spans="1:31" ht="340" outlineLevel="1" x14ac:dyDescent="0.15">
      <c r="A435" s="338" t="s">
        <v>4010</v>
      </c>
      <c r="B435" s="306"/>
      <c r="C435" s="338" t="s">
        <v>2715</v>
      </c>
      <c r="D435" s="339"/>
      <c r="E435" s="338" t="s">
        <v>1941</v>
      </c>
      <c r="F435" s="339"/>
      <c r="G435" s="261" t="s">
        <v>3417</v>
      </c>
      <c r="H435" s="339"/>
      <c r="I435" s="338" t="s">
        <v>2946</v>
      </c>
      <c r="J435" s="84"/>
      <c r="K435" s="84" t="s">
        <v>4011</v>
      </c>
      <c r="L435" s="340"/>
      <c r="M435" s="332" t="s">
        <v>2678</v>
      </c>
      <c r="N435" s="306"/>
      <c r="O435" s="306"/>
      <c r="P435" s="22"/>
      <c r="Q435" s="84"/>
      <c r="R435" s="25"/>
      <c r="S435" s="25"/>
      <c r="T435" s="22"/>
      <c r="U435" s="25"/>
      <c r="V435" s="25"/>
      <c r="W435" s="25"/>
      <c r="X435" s="84" t="str">
        <f t="shared" si="2"/>
        <v>grantPlayerItems</v>
      </c>
      <c r="Y435" s="337" t="s">
        <v>4012</v>
      </c>
      <c r="Z435" s="25"/>
      <c r="AA435" s="25"/>
      <c r="AB435" s="25"/>
      <c r="AC435" s="25"/>
      <c r="AD435" s="25"/>
      <c r="AE435" s="25"/>
    </row>
    <row r="436" spans="1:31" ht="340" outlineLevel="1" x14ac:dyDescent="0.15">
      <c r="A436" s="338" t="s">
        <v>4013</v>
      </c>
      <c r="B436" s="306"/>
      <c r="C436" s="338" t="s">
        <v>2715</v>
      </c>
      <c r="D436" s="339"/>
      <c r="E436" s="338" t="s">
        <v>1941</v>
      </c>
      <c r="F436" s="339"/>
      <c r="G436" s="261" t="s">
        <v>3421</v>
      </c>
      <c r="H436" s="339"/>
      <c r="I436" s="338" t="s">
        <v>2946</v>
      </c>
      <c r="J436" s="84"/>
      <c r="K436" s="84" t="s">
        <v>4014</v>
      </c>
      <c r="L436" s="340"/>
      <c r="M436" s="332" t="s">
        <v>2678</v>
      </c>
      <c r="N436" s="306"/>
      <c r="O436" s="306"/>
      <c r="P436" s="22"/>
      <c r="Q436" s="84"/>
      <c r="R436" s="25"/>
      <c r="S436" s="25"/>
      <c r="T436" s="22"/>
      <c r="U436" s="25"/>
      <c r="V436" s="25"/>
      <c r="W436" s="25"/>
      <c r="X436" s="84" t="str">
        <f t="shared" si="2"/>
        <v>grantPlayerItems</v>
      </c>
      <c r="Y436" s="337" t="s">
        <v>4015</v>
      </c>
      <c r="Z436" s="25"/>
      <c r="AA436" s="25"/>
      <c r="AB436" s="25"/>
      <c r="AC436" s="25"/>
      <c r="AD436" s="25"/>
      <c r="AE436" s="25"/>
    </row>
    <row r="437" spans="1:31" ht="340" outlineLevel="1" x14ac:dyDescent="0.15">
      <c r="A437" s="338" t="s">
        <v>4016</v>
      </c>
      <c r="B437" s="306"/>
      <c r="C437" s="338" t="s">
        <v>2715</v>
      </c>
      <c r="D437" s="339"/>
      <c r="E437" s="338" t="s">
        <v>1941</v>
      </c>
      <c r="F437" s="339"/>
      <c r="G437" s="261" t="s">
        <v>3425</v>
      </c>
      <c r="H437" s="339"/>
      <c r="I437" s="338" t="s">
        <v>2946</v>
      </c>
      <c r="J437" s="84"/>
      <c r="K437" s="84" t="s">
        <v>4017</v>
      </c>
      <c r="L437" s="340"/>
      <c r="M437" s="332" t="s">
        <v>2678</v>
      </c>
      <c r="N437" s="306"/>
      <c r="O437" s="306"/>
      <c r="P437" s="22"/>
      <c r="Q437" s="84"/>
      <c r="R437" s="25"/>
      <c r="S437" s="25"/>
      <c r="T437" s="22"/>
      <c r="U437" s="25"/>
      <c r="V437" s="25"/>
      <c r="W437" s="25"/>
      <c r="X437" s="84" t="str">
        <f t="shared" si="2"/>
        <v>grantPlayerItems</v>
      </c>
      <c r="Y437" s="337" t="s">
        <v>4018</v>
      </c>
      <c r="Z437" s="25"/>
      <c r="AA437" s="25"/>
      <c r="AB437" s="25"/>
      <c r="AC437" s="25"/>
      <c r="AD437" s="25"/>
      <c r="AE437" s="25"/>
    </row>
    <row r="438" spans="1:31" ht="340" x14ac:dyDescent="0.15">
      <c r="A438" s="338" t="s">
        <v>4019</v>
      </c>
      <c r="B438" s="306"/>
      <c r="C438" s="338" t="s">
        <v>2715</v>
      </c>
      <c r="D438" s="339"/>
      <c r="E438" s="338" t="s">
        <v>1866</v>
      </c>
      <c r="F438" s="339"/>
      <c r="G438" s="261" t="s">
        <v>3401</v>
      </c>
      <c r="H438" s="339"/>
      <c r="I438" s="338" t="s">
        <v>2946</v>
      </c>
      <c r="J438" s="84"/>
      <c r="K438" s="84" t="s">
        <v>4020</v>
      </c>
      <c r="L438" s="340"/>
      <c r="M438" s="332" t="s">
        <v>2678</v>
      </c>
      <c r="N438" s="306"/>
      <c r="O438" s="306"/>
      <c r="P438" s="22"/>
      <c r="Q438" s="84"/>
      <c r="R438" s="25"/>
      <c r="S438" s="25"/>
      <c r="T438" s="22"/>
      <c r="U438" s="25"/>
      <c r="V438" s="25"/>
      <c r="W438" s="25"/>
      <c r="X438" s="84" t="str">
        <f t="shared" si="2"/>
        <v>grantPlayerItems</v>
      </c>
      <c r="Y438" s="337" t="s">
        <v>4021</v>
      </c>
      <c r="Z438" s="25"/>
      <c r="AA438" s="25"/>
      <c r="AB438" s="25"/>
      <c r="AC438" s="25"/>
      <c r="AD438" s="25"/>
      <c r="AE438" s="25"/>
    </row>
    <row r="439" spans="1:31" ht="340" outlineLevel="1" x14ac:dyDescent="0.15">
      <c r="A439" s="338" t="s">
        <v>4022</v>
      </c>
      <c r="B439" s="306"/>
      <c r="C439" s="338" t="s">
        <v>2715</v>
      </c>
      <c r="D439" s="339"/>
      <c r="E439" s="338" t="s">
        <v>1866</v>
      </c>
      <c r="F439" s="339"/>
      <c r="G439" s="261" t="s">
        <v>3405</v>
      </c>
      <c r="H439" s="339"/>
      <c r="I439" s="338" t="s">
        <v>2946</v>
      </c>
      <c r="J439" s="84"/>
      <c r="K439" s="84" t="s">
        <v>4023</v>
      </c>
      <c r="L439" s="340"/>
      <c r="M439" s="332" t="s">
        <v>2678</v>
      </c>
      <c r="N439" s="306"/>
      <c r="O439" s="306"/>
      <c r="P439" s="22"/>
      <c r="Q439" s="84"/>
      <c r="R439" s="25"/>
      <c r="S439" s="25"/>
      <c r="T439" s="22"/>
      <c r="U439" s="25"/>
      <c r="V439" s="25"/>
      <c r="W439" s="25"/>
      <c r="X439" s="84" t="str">
        <f t="shared" si="2"/>
        <v>grantPlayerItems</v>
      </c>
      <c r="Y439" s="337" t="s">
        <v>4024</v>
      </c>
      <c r="Z439" s="25"/>
      <c r="AA439" s="25"/>
      <c r="AB439" s="25"/>
      <c r="AC439" s="25"/>
      <c r="AD439" s="25"/>
      <c r="AE439" s="25"/>
    </row>
    <row r="440" spans="1:31" ht="340" outlineLevel="1" x14ac:dyDescent="0.15">
      <c r="A440" s="338" t="s">
        <v>4025</v>
      </c>
      <c r="B440" s="306"/>
      <c r="C440" s="338" t="s">
        <v>2715</v>
      </c>
      <c r="D440" s="339"/>
      <c r="E440" s="338" t="s">
        <v>1866</v>
      </c>
      <c r="F440" s="339"/>
      <c r="G440" s="261" t="s">
        <v>3409</v>
      </c>
      <c r="H440" s="339"/>
      <c r="I440" s="338" t="s">
        <v>2946</v>
      </c>
      <c r="J440" s="84"/>
      <c r="K440" s="84" t="s">
        <v>4026</v>
      </c>
      <c r="L440" s="340"/>
      <c r="M440" s="332" t="s">
        <v>2678</v>
      </c>
      <c r="N440" s="306"/>
      <c r="O440" s="306"/>
      <c r="P440" s="22"/>
      <c r="Q440" s="84"/>
      <c r="R440" s="25"/>
      <c r="S440" s="25"/>
      <c r="T440" s="22"/>
      <c r="U440" s="25"/>
      <c r="V440" s="25"/>
      <c r="W440" s="25"/>
      <c r="X440" s="84" t="str">
        <f t="shared" si="2"/>
        <v>grantPlayerItems</v>
      </c>
      <c r="Y440" s="337" t="s">
        <v>4027</v>
      </c>
      <c r="Z440" s="25"/>
      <c r="AA440" s="25"/>
      <c r="AB440" s="25"/>
      <c r="AC440" s="25"/>
      <c r="AD440" s="25"/>
      <c r="AE440" s="25"/>
    </row>
    <row r="441" spans="1:31" ht="340" outlineLevel="1" x14ac:dyDescent="0.15">
      <c r="A441" s="338" t="s">
        <v>4028</v>
      </c>
      <c r="B441" s="306"/>
      <c r="C441" s="338" t="s">
        <v>2715</v>
      </c>
      <c r="D441" s="339"/>
      <c r="E441" s="338" t="s">
        <v>1866</v>
      </c>
      <c r="F441" s="339"/>
      <c r="G441" s="261" t="s">
        <v>3413</v>
      </c>
      <c r="H441" s="339"/>
      <c r="I441" s="338" t="s">
        <v>2946</v>
      </c>
      <c r="J441" s="84"/>
      <c r="K441" s="84" t="s">
        <v>4029</v>
      </c>
      <c r="L441" s="340"/>
      <c r="M441" s="332" t="s">
        <v>2678</v>
      </c>
      <c r="N441" s="306"/>
      <c r="O441" s="306"/>
      <c r="P441" s="22"/>
      <c r="Q441" s="84"/>
      <c r="R441" s="25"/>
      <c r="S441" s="25"/>
      <c r="T441" s="22"/>
      <c r="U441" s="25"/>
      <c r="V441" s="25"/>
      <c r="W441" s="25"/>
      <c r="X441" s="84" t="str">
        <f t="shared" si="2"/>
        <v>grantPlayerItems</v>
      </c>
      <c r="Y441" s="337" t="s">
        <v>4030</v>
      </c>
      <c r="Z441" s="25"/>
      <c r="AA441" s="25"/>
      <c r="AB441" s="25"/>
      <c r="AC441" s="25"/>
      <c r="AD441" s="25"/>
      <c r="AE441" s="25"/>
    </row>
    <row r="442" spans="1:31" ht="340" outlineLevel="1" x14ac:dyDescent="0.15">
      <c r="A442" s="338" t="s">
        <v>4031</v>
      </c>
      <c r="B442" s="306"/>
      <c r="C442" s="338" t="s">
        <v>2715</v>
      </c>
      <c r="D442" s="339"/>
      <c r="E442" s="338" t="s">
        <v>1866</v>
      </c>
      <c r="F442" s="339"/>
      <c r="G442" s="261" t="s">
        <v>3417</v>
      </c>
      <c r="H442" s="339"/>
      <c r="I442" s="338" t="s">
        <v>2946</v>
      </c>
      <c r="J442" s="84"/>
      <c r="K442" s="84" t="s">
        <v>4032</v>
      </c>
      <c r="L442" s="340"/>
      <c r="M442" s="332" t="s">
        <v>2678</v>
      </c>
      <c r="N442" s="306"/>
      <c r="O442" s="306"/>
      <c r="P442" s="22"/>
      <c r="Q442" s="84"/>
      <c r="R442" s="25"/>
      <c r="S442" s="25"/>
      <c r="T442" s="22"/>
      <c r="U442" s="25"/>
      <c r="V442" s="25"/>
      <c r="W442" s="25"/>
      <c r="X442" s="84" t="str">
        <f t="shared" si="2"/>
        <v>grantPlayerItems</v>
      </c>
      <c r="Y442" s="337" t="s">
        <v>4033</v>
      </c>
      <c r="Z442" s="25"/>
      <c r="AA442" s="25"/>
      <c r="AB442" s="25"/>
      <c r="AC442" s="25"/>
      <c r="AD442" s="25"/>
      <c r="AE442" s="25"/>
    </row>
    <row r="443" spans="1:31" ht="340" outlineLevel="1" x14ac:dyDescent="0.15">
      <c r="A443" s="338" t="s">
        <v>4034</v>
      </c>
      <c r="B443" s="306"/>
      <c r="C443" s="338" t="s">
        <v>2715</v>
      </c>
      <c r="D443" s="339"/>
      <c r="E443" s="338" t="s">
        <v>1866</v>
      </c>
      <c r="F443" s="339"/>
      <c r="G443" s="261" t="s">
        <v>3421</v>
      </c>
      <c r="H443" s="339"/>
      <c r="I443" s="338" t="s">
        <v>2946</v>
      </c>
      <c r="J443" s="84"/>
      <c r="K443" s="84" t="s">
        <v>4035</v>
      </c>
      <c r="L443" s="340"/>
      <c r="M443" s="332" t="s">
        <v>2678</v>
      </c>
      <c r="N443" s="306"/>
      <c r="O443" s="306"/>
      <c r="P443" s="22"/>
      <c r="Q443" s="84"/>
      <c r="R443" s="25"/>
      <c r="S443" s="25"/>
      <c r="T443" s="22"/>
      <c r="U443" s="25"/>
      <c r="V443" s="25"/>
      <c r="W443" s="25"/>
      <c r="X443" s="84" t="str">
        <f t="shared" si="2"/>
        <v>grantPlayerItems</v>
      </c>
      <c r="Y443" s="337" t="s">
        <v>4036</v>
      </c>
      <c r="Z443" s="25"/>
      <c r="AA443" s="25"/>
      <c r="AB443" s="25"/>
      <c r="AC443" s="25"/>
      <c r="AD443" s="25"/>
      <c r="AE443" s="25"/>
    </row>
    <row r="444" spans="1:31" ht="340" outlineLevel="1" x14ac:dyDescent="0.15">
      <c r="A444" s="338" t="s">
        <v>4037</v>
      </c>
      <c r="B444" s="306"/>
      <c r="C444" s="338" t="s">
        <v>2715</v>
      </c>
      <c r="D444" s="339"/>
      <c r="E444" s="338" t="s">
        <v>1866</v>
      </c>
      <c r="F444" s="339"/>
      <c r="G444" s="261" t="s">
        <v>3425</v>
      </c>
      <c r="H444" s="339"/>
      <c r="I444" s="338" t="s">
        <v>2946</v>
      </c>
      <c r="J444" s="84"/>
      <c r="K444" s="84" t="s">
        <v>4038</v>
      </c>
      <c r="L444" s="340"/>
      <c r="M444" s="332" t="s">
        <v>2678</v>
      </c>
      <c r="N444" s="306"/>
      <c r="O444" s="306"/>
      <c r="P444" s="22"/>
      <c r="Q444" s="84"/>
      <c r="R444" s="25"/>
      <c r="S444" s="25"/>
      <c r="T444" s="22"/>
      <c r="U444" s="25"/>
      <c r="V444" s="25"/>
      <c r="W444" s="25"/>
      <c r="X444" s="84" t="str">
        <f t="shared" si="2"/>
        <v>grantPlayerItems</v>
      </c>
      <c r="Y444" s="337" t="s">
        <v>4039</v>
      </c>
      <c r="Z444" s="25"/>
      <c r="AA444" s="25"/>
      <c r="AB444" s="25"/>
      <c r="AC444" s="25"/>
      <c r="AD444" s="25"/>
      <c r="AE444" s="25"/>
    </row>
    <row r="445" spans="1:31" ht="340" x14ac:dyDescent="0.15">
      <c r="A445" s="338" t="s">
        <v>4040</v>
      </c>
      <c r="B445" s="306"/>
      <c r="C445" s="338" t="s">
        <v>2715</v>
      </c>
      <c r="D445" s="339"/>
      <c r="E445" s="338" t="s">
        <v>1727</v>
      </c>
      <c r="F445" s="339"/>
      <c r="G445" s="261" t="s">
        <v>3401</v>
      </c>
      <c r="H445" s="339"/>
      <c r="I445" s="338" t="s">
        <v>2946</v>
      </c>
      <c r="J445" s="84"/>
      <c r="K445" s="84" t="s">
        <v>4041</v>
      </c>
      <c r="L445" s="340"/>
      <c r="M445" s="332" t="s">
        <v>2678</v>
      </c>
      <c r="N445" s="306"/>
      <c r="O445" s="306"/>
      <c r="P445" s="22"/>
      <c r="Q445" s="84"/>
      <c r="R445" s="25"/>
      <c r="S445" s="25"/>
      <c r="T445" s="22"/>
      <c r="U445" s="25"/>
      <c r="V445" s="25"/>
      <c r="W445" s="25"/>
      <c r="X445" s="84" t="str">
        <f t="shared" si="2"/>
        <v>grantPlayerItems</v>
      </c>
      <c r="Y445" s="337" t="s">
        <v>4042</v>
      </c>
      <c r="Z445" s="25"/>
      <c r="AA445" s="25"/>
      <c r="AB445" s="25"/>
      <c r="AC445" s="25"/>
      <c r="AD445" s="25"/>
      <c r="AE445" s="25"/>
    </row>
    <row r="446" spans="1:31" ht="340" outlineLevel="1" x14ac:dyDescent="0.15">
      <c r="A446" s="338" t="s">
        <v>4043</v>
      </c>
      <c r="B446" s="306"/>
      <c r="C446" s="338" t="s">
        <v>2715</v>
      </c>
      <c r="D446" s="339"/>
      <c r="E446" s="338" t="s">
        <v>1727</v>
      </c>
      <c r="F446" s="339"/>
      <c r="G446" s="261" t="s">
        <v>3405</v>
      </c>
      <c r="H446" s="339"/>
      <c r="I446" s="338" t="s">
        <v>2946</v>
      </c>
      <c r="J446" s="84"/>
      <c r="K446" s="84" t="s">
        <v>4044</v>
      </c>
      <c r="L446" s="340"/>
      <c r="M446" s="332" t="s">
        <v>2678</v>
      </c>
      <c r="N446" s="306"/>
      <c r="O446" s="306"/>
      <c r="P446" s="22"/>
      <c r="Q446" s="84"/>
      <c r="R446" s="25"/>
      <c r="S446" s="25"/>
      <c r="T446" s="22"/>
      <c r="U446" s="25"/>
      <c r="V446" s="25"/>
      <c r="W446" s="25"/>
      <c r="X446" s="84" t="str">
        <f t="shared" si="2"/>
        <v>grantPlayerItems</v>
      </c>
      <c r="Y446" s="337" t="s">
        <v>4045</v>
      </c>
      <c r="Z446" s="25"/>
      <c r="AA446" s="25"/>
      <c r="AB446" s="25"/>
      <c r="AC446" s="25"/>
      <c r="AD446" s="25"/>
      <c r="AE446" s="25"/>
    </row>
    <row r="447" spans="1:31" ht="340" outlineLevel="1" x14ac:dyDescent="0.15">
      <c r="A447" s="338" t="s">
        <v>4046</v>
      </c>
      <c r="B447" s="306"/>
      <c r="C447" s="338" t="s">
        <v>2715</v>
      </c>
      <c r="D447" s="339"/>
      <c r="E447" s="338" t="s">
        <v>1727</v>
      </c>
      <c r="F447" s="339"/>
      <c r="G447" s="261" t="s">
        <v>3409</v>
      </c>
      <c r="H447" s="339"/>
      <c r="I447" s="338" t="s">
        <v>2946</v>
      </c>
      <c r="J447" s="84"/>
      <c r="K447" s="84" t="s">
        <v>4047</v>
      </c>
      <c r="L447" s="340"/>
      <c r="M447" s="332" t="s">
        <v>2678</v>
      </c>
      <c r="N447" s="306"/>
      <c r="O447" s="306"/>
      <c r="P447" s="22"/>
      <c r="Q447" s="84"/>
      <c r="R447" s="25"/>
      <c r="S447" s="25"/>
      <c r="T447" s="22"/>
      <c r="U447" s="25"/>
      <c r="V447" s="25"/>
      <c r="W447" s="25"/>
      <c r="X447" s="84" t="str">
        <f t="shared" si="2"/>
        <v>grantPlayerItems</v>
      </c>
      <c r="Y447" s="337" t="s">
        <v>4048</v>
      </c>
      <c r="Z447" s="25"/>
      <c r="AA447" s="25"/>
      <c r="AB447" s="25"/>
      <c r="AC447" s="25"/>
      <c r="AD447" s="25"/>
      <c r="AE447" s="25"/>
    </row>
    <row r="448" spans="1:31" ht="340" outlineLevel="1" x14ac:dyDescent="0.15">
      <c r="A448" s="338" t="s">
        <v>4049</v>
      </c>
      <c r="B448" s="306"/>
      <c r="C448" s="338" t="s">
        <v>2715</v>
      </c>
      <c r="D448" s="339"/>
      <c r="E448" s="338" t="s">
        <v>1727</v>
      </c>
      <c r="F448" s="339"/>
      <c r="G448" s="261" t="s">
        <v>3413</v>
      </c>
      <c r="H448" s="339"/>
      <c r="I448" s="338" t="s">
        <v>2946</v>
      </c>
      <c r="J448" s="84"/>
      <c r="K448" s="84" t="s">
        <v>4050</v>
      </c>
      <c r="L448" s="340"/>
      <c r="M448" s="332" t="s">
        <v>2678</v>
      </c>
      <c r="N448" s="306"/>
      <c r="O448" s="306"/>
      <c r="P448" s="22"/>
      <c r="Q448" s="84"/>
      <c r="R448" s="25"/>
      <c r="S448" s="25"/>
      <c r="T448" s="22"/>
      <c r="U448" s="25"/>
      <c r="V448" s="25"/>
      <c r="W448" s="25"/>
      <c r="X448" s="84" t="str">
        <f t="shared" si="2"/>
        <v>grantPlayerItems</v>
      </c>
      <c r="Y448" s="337" t="s">
        <v>4051</v>
      </c>
      <c r="Z448" s="25"/>
      <c r="AA448" s="25"/>
      <c r="AB448" s="25"/>
      <c r="AC448" s="25"/>
      <c r="AD448" s="25"/>
      <c r="AE448" s="25"/>
    </row>
    <row r="449" spans="1:31" ht="340" outlineLevel="1" x14ac:dyDescent="0.15">
      <c r="A449" s="338" t="s">
        <v>4052</v>
      </c>
      <c r="B449" s="306"/>
      <c r="C449" s="338" t="s">
        <v>2715</v>
      </c>
      <c r="D449" s="339"/>
      <c r="E449" s="338" t="s">
        <v>1727</v>
      </c>
      <c r="F449" s="339"/>
      <c r="G449" s="261" t="s">
        <v>3417</v>
      </c>
      <c r="H449" s="339"/>
      <c r="I449" s="338" t="s">
        <v>2946</v>
      </c>
      <c r="J449" s="84"/>
      <c r="K449" s="84" t="s">
        <v>4053</v>
      </c>
      <c r="L449" s="340"/>
      <c r="M449" s="332" t="s">
        <v>2678</v>
      </c>
      <c r="N449" s="306"/>
      <c r="O449" s="306"/>
      <c r="P449" s="22"/>
      <c r="Q449" s="84"/>
      <c r="R449" s="25"/>
      <c r="S449" s="25"/>
      <c r="T449" s="22"/>
      <c r="U449" s="25"/>
      <c r="V449" s="25"/>
      <c r="W449" s="25"/>
      <c r="X449" s="84" t="str">
        <f t="shared" si="2"/>
        <v>grantPlayerItems</v>
      </c>
      <c r="Y449" s="337" t="s">
        <v>4054</v>
      </c>
      <c r="Z449" s="25"/>
      <c r="AA449" s="25"/>
      <c r="AB449" s="25"/>
      <c r="AC449" s="25"/>
      <c r="AD449" s="25"/>
      <c r="AE449" s="25"/>
    </row>
    <row r="450" spans="1:31" ht="340" outlineLevel="1" x14ac:dyDescent="0.15">
      <c r="A450" s="338" t="s">
        <v>4055</v>
      </c>
      <c r="B450" s="306"/>
      <c r="C450" s="338" t="s">
        <v>2715</v>
      </c>
      <c r="D450" s="339"/>
      <c r="E450" s="338" t="s">
        <v>1727</v>
      </c>
      <c r="F450" s="339"/>
      <c r="G450" s="261" t="s">
        <v>3421</v>
      </c>
      <c r="H450" s="339"/>
      <c r="I450" s="338" t="s">
        <v>2946</v>
      </c>
      <c r="J450" s="84"/>
      <c r="K450" s="84" t="s">
        <v>4056</v>
      </c>
      <c r="L450" s="340"/>
      <c r="M450" s="332" t="s">
        <v>2678</v>
      </c>
      <c r="N450" s="306"/>
      <c r="O450" s="306"/>
      <c r="P450" s="22"/>
      <c r="Q450" s="84"/>
      <c r="R450" s="25"/>
      <c r="S450" s="25"/>
      <c r="T450" s="22"/>
      <c r="U450" s="25"/>
      <c r="V450" s="25"/>
      <c r="W450" s="25"/>
      <c r="X450" s="84" t="str">
        <f t="shared" si="2"/>
        <v>grantPlayerItems</v>
      </c>
      <c r="Y450" s="337" t="s">
        <v>4057</v>
      </c>
      <c r="Z450" s="25"/>
      <c r="AA450" s="25"/>
      <c r="AB450" s="25"/>
      <c r="AC450" s="25"/>
      <c r="AD450" s="25"/>
      <c r="AE450" s="25"/>
    </row>
    <row r="451" spans="1:31" ht="340" outlineLevel="1" x14ac:dyDescent="0.15">
      <c r="A451" s="338" t="s">
        <v>4058</v>
      </c>
      <c r="B451" s="306"/>
      <c r="C451" s="338" t="s">
        <v>2715</v>
      </c>
      <c r="D451" s="339"/>
      <c r="E451" s="338" t="s">
        <v>1727</v>
      </c>
      <c r="F451" s="339"/>
      <c r="G451" s="261" t="s">
        <v>3425</v>
      </c>
      <c r="H451" s="339"/>
      <c r="I451" s="338" t="s">
        <v>2946</v>
      </c>
      <c r="J451" s="84"/>
      <c r="K451" s="84" t="s">
        <v>4059</v>
      </c>
      <c r="L451" s="340"/>
      <c r="M451" s="332" t="s">
        <v>2678</v>
      </c>
      <c r="N451" s="306"/>
      <c r="O451" s="306"/>
      <c r="P451" s="22"/>
      <c r="Q451" s="84"/>
      <c r="R451" s="25"/>
      <c r="S451" s="25"/>
      <c r="T451" s="22"/>
      <c r="U451" s="25"/>
      <c r="V451" s="25"/>
      <c r="W451" s="25"/>
      <c r="X451" s="84" t="str">
        <f t="shared" si="2"/>
        <v>grantPlayerItems</v>
      </c>
      <c r="Y451" s="337" t="s">
        <v>4060</v>
      </c>
      <c r="Z451" s="25"/>
      <c r="AA451" s="25"/>
      <c r="AB451" s="25"/>
      <c r="AC451" s="25"/>
      <c r="AD451" s="25"/>
      <c r="AE451" s="25"/>
    </row>
    <row r="452" spans="1:31" ht="340" x14ac:dyDescent="0.15">
      <c r="A452" s="338" t="s">
        <v>4061</v>
      </c>
      <c r="B452" s="306"/>
      <c r="C452" s="338" t="s">
        <v>2715</v>
      </c>
      <c r="D452" s="339"/>
      <c r="E452" s="338" t="s">
        <v>1888</v>
      </c>
      <c r="F452" s="339"/>
      <c r="G452" s="261" t="s">
        <v>3401</v>
      </c>
      <c r="H452" s="339"/>
      <c r="I452" s="338" t="s">
        <v>2946</v>
      </c>
      <c r="J452" s="84"/>
      <c r="K452" s="84" t="s">
        <v>4062</v>
      </c>
      <c r="L452" s="340"/>
      <c r="M452" s="332" t="s">
        <v>2678</v>
      </c>
      <c r="N452" s="306"/>
      <c r="O452" s="306"/>
      <c r="P452" s="22"/>
      <c r="Q452" s="84"/>
      <c r="R452" s="25"/>
      <c r="S452" s="25"/>
      <c r="T452" s="22"/>
      <c r="U452" s="25"/>
      <c r="V452" s="25"/>
      <c r="W452" s="25"/>
      <c r="X452" s="84" t="str">
        <f t="shared" si="2"/>
        <v>grantPlayerItems</v>
      </c>
      <c r="Y452" s="337" t="s">
        <v>4063</v>
      </c>
      <c r="Z452" s="25"/>
      <c r="AA452" s="25"/>
      <c r="AB452" s="25"/>
      <c r="AC452" s="25"/>
      <c r="AD452" s="25"/>
      <c r="AE452" s="25"/>
    </row>
    <row r="453" spans="1:31" ht="340" outlineLevel="1" x14ac:dyDescent="0.15">
      <c r="A453" s="338" t="s">
        <v>4064</v>
      </c>
      <c r="B453" s="306"/>
      <c r="C453" s="338" t="s">
        <v>2715</v>
      </c>
      <c r="D453" s="339"/>
      <c r="E453" s="338" t="s">
        <v>1888</v>
      </c>
      <c r="F453" s="339"/>
      <c r="G453" s="261" t="s">
        <v>3405</v>
      </c>
      <c r="H453" s="339"/>
      <c r="I453" s="338" t="s">
        <v>2946</v>
      </c>
      <c r="J453" s="84"/>
      <c r="K453" s="84" t="s">
        <v>4065</v>
      </c>
      <c r="L453" s="340"/>
      <c r="M453" s="332" t="s">
        <v>2678</v>
      </c>
      <c r="N453" s="306"/>
      <c r="O453" s="306"/>
      <c r="P453" s="22"/>
      <c r="Q453" s="84"/>
      <c r="R453" s="25"/>
      <c r="S453" s="25"/>
      <c r="T453" s="22"/>
      <c r="U453" s="25"/>
      <c r="V453" s="25"/>
      <c r="W453" s="25"/>
      <c r="X453" s="84" t="str">
        <f t="shared" si="2"/>
        <v>grantPlayerItems</v>
      </c>
      <c r="Y453" s="337" t="s">
        <v>4066</v>
      </c>
      <c r="Z453" s="25"/>
      <c r="AA453" s="25"/>
      <c r="AB453" s="25"/>
      <c r="AC453" s="25"/>
      <c r="AD453" s="25"/>
      <c r="AE453" s="25"/>
    </row>
    <row r="454" spans="1:31" ht="340" outlineLevel="1" x14ac:dyDescent="0.15">
      <c r="A454" s="338" t="s">
        <v>4067</v>
      </c>
      <c r="B454" s="306"/>
      <c r="C454" s="338" t="s">
        <v>2715</v>
      </c>
      <c r="D454" s="339"/>
      <c r="E454" s="338" t="s">
        <v>1888</v>
      </c>
      <c r="F454" s="339"/>
      <c r="G454" s="261" t="s">
        <v>3409</v>
      </c>
      <c r="H454" s="339"/>
      <c r="I454" s="338" t="s">
        <v>2946</v>
      </c>
      <c r="J454" s="84"/>
      <c r="K454" s="84" t="s">
        <v>4068</v>
      </c>
      <c r="L454" s="340"/>
      <c r="M454" s="332" t="s">
        <v>2678</v>
      </c>
      <c r="N454" s="306"/>
      <c r="O454" s="306"/>
      <c r="P454" s="22"/>
      <c r="Q454" s="84"/>
      <c r="R454" s="25"/>
      <c r="S454" s="25"/>
      <c r="T454" s="22"/>
      <c r="U454" s="25"/>
      <c r="V454" s="25"/>
      <c r="W454" s="25"/>
      <c r="X454" s="84" t="str">
        <f t="shared" si="2"/>
        <v>grantPlayerItems</v>
      </c>
      <c r="Y454" s="337" t="s">
        <v>4069</v>
      </c>
      <c r="Z454" s="25"/>
      <c r="AA454" s="25"/>
      <c r="AB454" s="25"/>
      <c r="AC454" s="25"/>
      <c r="AD454" s="25"/>
      <c r="AE454" s="25"/>
    </row>
    <row r="455" spans="1:31" ht="340" outlineLevel="1" x14ac:dyDescent="0.15">
      <c r="A455" s="338" t="s">
        <v>4070</v>
      </c>
      <c r="B455" s="306"/>
      <c r="C455" s="338" t="s">
        <v>2715</v>
      </c>
      <c r="D455" s="339"/>
      <c r="E455" s="338" t="s">
        <v>1888</v>
      </c>
      <c r="F455" s="339"/>
      <c r="G455" s="261" t="s">
        <v>3413</v>
      </c>
      <c r="H455" s="339"/>
      <c r="I455" s="338" t="s">
        <v>2946</v>
      </c>
      <c r="J455" s="84"/>
      <c r="K455" s="84" t="s">
        <v>4071</v>
      </c>
      <c r="L455" s="340"/>
      <c r="M455" s="332" t="s">
        <v>2678</v>
      </c>
      <c r="N455" s="306"/>
      <c r="O455" s="306"/>
      <c r="P455" s="22"/>
      <c r="Q455" s="84"/>
      <c r="R455" s="25"/>
      <c r="S455" s="25"/>
      <c r="T455" s="22"/>
      <c r="U455" s="25"/>
      <c r="V455" s="25"/>
      <c r="W455" s="25"/>
      <c r="X455" s="84" t="str">
        <f t="shared" si="2"/>
        <v>grantPlayerItems</v>
      </c>
      <c r="Y455" s="337" t="s">
        <v>4072</v>
      </c>
      <c r="Z455" s="25"/>
      <c r="AA455" s="25"/>
      <c r="AB455" s="25"/>
      <c r="AC455" s="25"/>
      <c r="AD455" s="25"/>
      <c r="AE455" s="25"/>
    </row>
    <row r="456" spans="1:31" ht="340" outlineLevel="1" x14ac:dyDescent="0.15">
      <c r="A456" s="338" t="s">
        <v>4073</v>
      </c>
      <c r="B456" s="306"/>
      <c r="C456" s="338" t="s">
        <v>2715</v>
      </c>
      <c r="D456" s="339"/>
      <c r="E456" s="338" t="s">
        <v>1888</v>
      </c>
      <c r="F456" s="339"/>
      <c r="G456" s="261" t="s">
        <v>3417</v>
      </c>
      <c r="H456" s="339"/>
      <c r="I456" s="338" t="s">
        <v>2946</v>
      </c>
      <c r="J456" s="84"/>
      <c r="K456" s="84" t="s">
        <v>4074</v>
      </c>
      <c r="L456" s="340"/>
      <c r="M456" s="332" t="s">
        <v>2678</v>
      </c>
      <c r="N456" s="306"/>
      <c r="O456" s="306"/>
      <c r="P456" s="22"/>
      <c r="Q456" s="84"/>
      <c r="R456" s="25"/>
      <c r="S456" s="25"/>
      <c r="T456" s="22"/>
      <c r="U456" s="25"/>
      <c r="V456" s="25"/>
      <c r="W456" s="25"/>
      <c r="X456" s="84" t="str">
        <f t="shared" si="2"/>
        <v>grantPlayerItems</v>
      </c>
      <c r="Y456" s="337" t="s">
        <v>4075</v>
      </c>
      <c r="Z456" s="25"/>
      <c r="AA456" s="25"/>
      <c r="AB456" s="25"/>
      <c r="AC456" s="25"/>
      <c r="AD456" s="25"/>
      <c r="AE456" s="25"/>
    </row>
    <row r="457" spans="1:31" ht="340" outlineLevel="1" x14ac:dyDescent="0.15">
      <c r="A457" s="338" t="s">
        <v>4076</v>
      </c>
      <c r="B457" s="306"/>
      <c r="C457" s="338" t="s">
        <v>2715</v>
      </c>
      <c r="D457" s="339"/>
      <c r="E457" s="338" t="s">
        <v>1888</v>
      </c>
      <c r="F457" s="339"/>
      <c r="G457" s="261" t="s">
        <v>3421</v>
      </c>
      <c r="H457" s="339"/>
      <c r="I457" s="338" t="s">
        <v>2946</v>
      </c>
      <c r="J457" s="84"/>
      <c r="K457" s="84" t="s">
        <v>4077</v>
      </c>
      <c r="L457" s="340"/>
      <c r="M457" s="332" t="s">
        <v>2678</v>
      </c>
      <c r="N457" s="306"/>
      <c r="O457" s="306"/>
      <c r="P457" s="22"/>
      <c r="Q457" s="84"/>
      <c r="R457" s="25"/>
      <c r="S457" s="25"/>
      <c r="T457" s="22"/>
      <c r="U457" s="25"/>
      <c r="V457" s="25"/>
      <c r="W457" s="25"/>
      <c r="X457" s="84" t="str">
        <f t="shared" si="2"/>
        <v>grantPlayerItems</v>
      </c>
      <c r="Y457" s="337" t="s">
        <v>4078</v>
      </c>
      <c r="Z457" s="25"/>
      <c r="AA457" s="25"/>
      <c r="AB457" s="25"/>
      <c r="AC457" s="25"/>
      <c r="AD457" s="25"/>
      <c r="AE457" s="25"/>
    </row>
    <row r="458" spans="1:31" ht="340" outlineLevel="1" x14ac:dyDescent="0.15">
      <c r="A458" s="338" t="s">
        <v>4079</v>
      </c>
      <c r="B458" s="306"/>
      <c r="C458" s="338" t="s">
        <v>2715</v>
      </c>
      <c r="D458" s="339"/>
      <c r="E458" s="338" t="s">
        <v>1888</v>
      </c>
      <c r="F458" s="339"/>
      <c r="G458" s="261" t="s">
        <v>3425</v>
      </c>
      <c r="H458" s="339"/>
      <c r="I458" s="338" t="s">
        <v>2946</v>
      </c>
      <c r="J458" s="84"/>
      <c r="K458" s="84" t="s">
        <v>4080</v>
      </c>
      <c r="L458" s="340"/>
      <c r="M458" s="332" t="s">
        <v>2678</v>
      </c>
      <c r="N458" s="306"/>
      <c r="O458" s="306"/>
      <c r="P458" s="22"/>
      <c r="Q458" s="84"/>
      <c r="R458" s="25"/>
      <c r="S458" s="25"/>
      <c r="T458" s="22"/>
      <c r="U458" s="25"/>
      <c r="V458" s="25"/>
      <c r="W458" s="25"/>
      <c r="X458" s="84" t="str">
        <f t="shared" si="2"/>
        <v>grantPlayerItems</v>
      </c>
      <c r="Y458" s="337" t="s">
        <v>4081</v>
      </c>
      <c r="Z458" s="25"/>
      <c r="AA458" s="25"/>
      <c r="AB458" s="25"/>
      <c r="AC458" s="25"/>
      <c r="AD458" s="25"/>
      <c r="AE458" s="25"/>
    </row>
    <row r="459" spans="1:31" ht="340" x14ac:dyDescent="0.15">
      <c r="A459" s="338" t="s">
        <v>4082</v>
      </c>
      <c r="B459" s="306"/>
      <c r="C459" s="338" t="s">
        <v>2715</v>
      </c>
      <c r="D459" s="339"/>
      <c r="E459" s="338" t="s">
        <v>2044</v>
      </c>
      <c r="F459" s="339"/>
      <c r="G459" s="261" t="s">
        <v>3401</v>
      </c>
      <c r="H459" s="339"/>
      <c r="I459" s="338" t="s">
        <v>2946</v>
      </c>
      <c r="J459" s="84"/>
      <c r="K459" s="84" t="s">
        <v>4083</v>
      </c>
      <c r="L459" s="340"/>
      <c r="M459" s="332" t="s">
        <v>2678</v>
      </c>
      <c r="N459" s="306"/>
      <c r="O459" s="306"/>
      <c r="P459" s="22"/>
      <c r="Q459" s="84"/>
      <c r="R459" s="25"/>
      <c r="S459" s="25"/>
      <c r="T459" s="22"/>
      <c r="U459" s="25"/>
      <c r="V459" s="25"/>
      <c r="W459" s="25"/>
      <c r="X459" s="84" t="str">
        <f t="shared" si="2"/>
        <v>grantPlayerItems</v>
      </c>
      <c r="Y459" s="337" t="s">
        <v>4084</v>
      </c>
      <c r="Z459" s="25"/>
      <c r="AA459" s="25"/>
      <c r="AB459" s="25"/>
      <c r="AC459" s="25"/>
      <c r="AD459" s="25"/>
      <c r="AE459" s="25"/>
    </row>
    <row r="460" spans="1:31" ht="340" outlineLevel="1" x14ac:dyDescent="0.15">
      <c r="A460" s="338" t="s">
        <v>4085</v>
      </c>
      <c r="B460" s="306"/>
      <c r="C460" s="338" t="s">
        <v>2715</v>
      </c>
      <c r="D460" s="339"/>
      <c r="E460" s="338" t="s">
        <v>2044</v>
      </c>
      <c r="F460" s="339"/>
      <c r="G460" s="261" t="s">
        <v>3405</v>
      </c>
      <c r="H460" s="339"/>
      <c r="I460" s="338" t="s">
        <v>2946</v>
      </c>
      <c r="J460" s="84"/>
      <c r="K460" s="84" t="s">
        <v>4086</v>
      </c>
      <c r="L460" s="340"/>
      <c r="M460" s="332" t="s">
        <v>2678</v>
      </c>
      <c r="N460" s="306"/>
      <c r="O460" s="306"/>
      <c r="P460" s="22"/>
      <c r="Q460" s="84"/>
      <c r="R460" s="25"/>
      <c r="S460" s="25"/>
      <c r="T460" s="22"/>
      <c r="U460" s="25"/>
      <c r="V460" s="25"/>
      <c r="W460" s="25"/>
      <c r="X460" s="84" t="str">
        <f t="shared" si="2"/>
        <v>grantPlayerItems</v>
      </c>
      <c r="Y460" s="337" t="s">
        <v>4087</v>
      </c>
      <c r="Z460" s="25"/>
      <c r="AA460" s="25"/>
      <c r="AB460" s="25"/>
      <c r="AC460" s="25"/>
      <c r="AD460" s="25"/>
      <c r="AE460" s="25"/>
    </row>
    <row r="461" spans="1:31" ht="340" outlineLevel="1" x14ac:dyDescent="0.15">
      <c r="A461" s="338" t="s">
        <v>4088</v>
      </c>
      <c r="B461" s="306"/>
      <c r="C461" s="338" t="s">
        <v>2715</v>
      </c>
      <c r="D461" s="339"/>
      <c r="E461" s="338" t="s">
        <v>2044</v>
      </c>
      <c r="F461" s="339"/>
      <c r="G461" s="261" t="s">
        <v>3409</v>
      </c>
      <c r="H461" s="339"/>
      <c r="I461" s="338" t="s">
        <v>2946</v>
      </c>
      <c r="J461" s="84"/>
      <c r="K461" s="84" t="s">
        <v>4089</v>
      </c>
      <c r="L461" s="340"/>
      <c r="M461" s="332" t="s">
        <v>2678</v>
      </c>
      <c r="N461" s="306"/>
      <c r="O461" s="306"/>
      <c r="P461" s="22"/>
      <c r="Q461" s="84"/>
      <c r="R461" s="25"/>
      <c r="S461" s="25"/>
      <c r="T461" s="22"/>
      <c r="U461" s="25"/>
      <c r="V461" s="25"/>
      <c r="W461" s="25"/>
      <c r="X461" s="84" t="str">
        <f t="shared" si="2"/>
        <v>grantPlayerItems</v>
      </c>
      <c r="Y461" s="337" t="s">
        <v>4090</v>
      </c>
      <c r="Z461" s="25"/>
      <c r="AA461" s="25"/>
      <c r="AB461" s="25"/>
      <c r="AC461" s="25"/>
      <c r="AD461" s="25"/>
      <c r="AE461" s="25"/>
    </row>
    <row r="462" spans="1:31" ht="340" outlineLevel="1" x14ac:dyDescent="0.15">
      <c r="A462" s="338" t="s">
        <v>4091</v>
      </c>
      <c r="B462" s="306"/>
      <c r="C462" s="338" t="s">
        <v>2715</v>
      </c>
      <c r="D462" s="339"/>
      <c r="E462" s="338" t="s">
        <v>2044</v>
      </c>
      <c r="F462" s="339"/>
      <c r="G462" s="261" t="s">
        <v>3413</v>
      </c>
      <c r="H462" s="339"/>
      <c r="I462" s="338" t="s">
        <v>2946</v>
      </c>
      <c r="J462" s="84"/>
      <c r="K462" s="84" t="s">
        <v>4092</v>
      </c>
      <c r="L462" s="340"/>
      <c r="M462" s="332" t="s">
        <v>2678</v>
      </c>
      <c r="N462" s="306"/>
      <c r="O462" s="306"/>
      <c r="P462" s="22"/>
      <c r="Q462" s="84"/>
      <c r="R462" s="25"/>
      <c r="S462" s="25"/>
      <c r="T462" s="22"/>
      <c r="U462" s="25"/>
      <c r="V462" s="25"/>
      <c r="W462" s="25"/>
      <c r="X462" s="84" t="str">
        <f t="shared" si="2"/>
        <v>grantPlayerItems</v>
      </c>
      <c r="Y462" s="337" t="s">
        <v>4093</v>
      </c>
      <c r="Z462" s="25"/>
      <c r="AA462" s="25"/>
      <c r="AB462" s="25"/>
      <c r="AC462" s="25"/>
      <c r="AD462" s="25"/>
      <c r="AE462" s="25"/>
    </row>
    <row r="463" spans="1:31" ht="340" outlineLevel="1" x14ac:dyDescent="0.15">
      <c r="A463" s="338" t="s">
        <v>4094</v>
      </c>
      <c r="B463" s="306"/>
      <c r="C463" s="338" t="s">
        <v>2715</v>
      </c>
      <c r="D463" s="339"/>
      <c r="E463" s="338" t="s">
        <v>2044</v>
      </c>
      <c r="F463" s="339"/>
      <c r="G463" s="261" t="s">
        <v>3417</v>
      </c>
      <c r="H463" s="339"/>
      <c r="I463" s="338" t="s">
        <v>2946</v>
      </c>
      <c r="J463" s="84"/>
      <c r="K463" s="84" t="s">
        <v>4095</v>
      </c>
      <c r="L463" s="340"/>
      <c r="M463" s="332" t="s">
        <v>2678</v>
      </c>
      <c r="N463" s="306"/>
      <c r="O463" s="306"/>
      <c r="P463" s="22"/>
      <c r="Q463" s="84"/>
      <c r="R463" s="25"/>
      <c r="S463" s="25"/>
      <c r="T463" s="22"/>
      <c r="U463" s="25"/>
      <c r="V463" s="25"/>
      <c r="W463" s="25"/>
      <c r="X463" s="84" t="str">
        <f t="shared" si="2"/>
        <v>grantPlayerItems</v>
      </c>
      <c r="Y463" s="337" t="s">
        <v>4096</v>
      </c>
      <c r="Z463" s="25"/>
      <c r="AA463" s="25"/>
      <c r="AB463" s="25"/>
      <c r="AC463" s="25"/>
      <c r="AD463" s="25"/>
      <c r="AE463" s="25"/>
    </row>
    <row r="464" spans="1:31" ht="340" outlineLevel="1" x14ac:dyDescent="0.15">
      <c r="A464" s="338" t="s">
        <v>4097</v>
      </c>
      <c r="B464" s="306"/>
      <c r="C464" s="338" t="s">
        <v>2715</v>
      </c>
      <c r="D464" s="339"/>
      <c r="E464" s="338" t="s">
        <v>2044</v>
      </c>
      <c r="F464" s="339"/>
      <c r="G464" s="261" t="s">
        <v>3421</v>
      </c>
      <c r="H464" s="339"/>
      <c r="I464" s="338" t="s">
        <v>2946</v>
      </c>
      <c r="J464" s="84"/>
      <c r="K464" s="84" t="s">
        <v>4098</v>
      </c>
      <c r="L464" s="340"/>
      <c r="M464" s="332" t="s">
        <v>2678</v>
      </c>
      <c r="N464" s="306"/>
      <c r="O464" s="306"/>
      <c r="P464" s="22"/>
      <c r="Q464" s="84"/>
      <c r="R464" s="25"/>
      <c r="S464" s="25"/>
      <c r="T464" s="22"/>
      <c r="U464" s="25"/>
      <c r="V464" s="25"/>
      <c r="W464" s="25"/>
      <c r="X464" s="84" t="str">
        <f t="shared" si="2"/>
        <v>grantPlayerItems</v>
      </c>
      <c r="Y464" s="337" t="s">
        <v>4099</v>
      </c>
      <c r="Z464" s="25"/>
      <c r="AA464" s="25"/>
      <c r="AB464" s="25"/>
      <c r="AC464" s="25"/>
      <c r="AD464" s="25"/>
      <c r="AE464" s="25"/>
    </row>
    <row r="465" spans="1:31" ht="340" outlineLevel="1" x14ac:dyDescent="0.15">
      <c r="A465" s="338" t="s">
        <v>4100</v>
      </c>
      <c r="B465" s="306"/>
      <c r="C465" s="338" t="s">
        <v>2715</v>
      </c>
      <c r="D465" s="339"/>
      <c r="E465" s="338" t="s">
        <v>2044</v>
      </c>
      <c r="F465" s="339"/>
      <c r="G465" s="261" t="s">
        <v>3425</v>
      </c>
      <c r="H465" s="339"/>
      <c r="I465" s="338" t="s">
        <v>2946</v>
      </c>
      <c r="J465" s="84"/>
      <c r="K465" s="84" t="s">
        <v>4101</v>
      </c>
      <c r="L465" s="340"/>
      <c r="M465" s="332" t="s">
        <v>2678</v>
      </c>
      <c r="N465" s="306"/>
      <c r="O465" s="306"/>
      <c r="P465" s="22"/>
      <c r="Q465" s="84"/>
      <c r="R465" s="25"/>
      <c r="S465" s="25"/>
      <c r="T465" s="22"/>
      <c r="U465" s="25"/>
      <c r="V465" s="25"/>
      <c r="W465" s="25"/>
      <c r="X465" s="84" t="str">
        <f t="shared" si="2"/>
        <v>grantPlayerItems</v>
      </c>
      <c r="Y465" s="337" t="s">
        <v>4102</v>
      </c>
      <c r="Z465" s="25"/>
      <c r="AA465" s="25"/>
      <c r="AB465" s="25"/>
      <c r="AC465" s="25"/>
      <c r="AD465" s="25"/>
      <c r="AE465" s="25"/>
    </row>
    <row r="466" spans="1:31" ht="340" x14ac:dyDescent="0.15">
      <c r="A466" s="338" t="s">
        <v>4103</v>
      </c>
      <c r="B466" s="306"/>
      <c r="C466" s="338" t="s">
        <v>2715</v>
      </c>
      <c r="D466" s="339"/>
      <c r="E466" s="338" t="s">
        <v>1921</v>
      </c>
      <c r="F466" s="339"/>
      <c r="G466" s="261" t="s">
        <v>3401</v>
      </c>
      <c r="H466" s="339"/>
      <c r="I466" s="338" t="s">
        <v>2946</v>
      </c>
      <c r="J466" s="84"/>
      <c r="K466" s="84" t="s">
        <v>4104</v>
      </c>
      <c r="L466" s="340"/>
      <c r="M466" s="332" t="s">
        <v>2678</v>
      </c>
      <c r="N466" s="306"/>
      <c r="O466" s="306"/>
      <c r="P466" s="22"/>
      <c r="Q466" s="84"/>
      <c r="R466" s="25"/>
      <c r="S466" s="25"/>
      <c r="T466" s="22"/>
      <c r="U466" s="25"/>
      <c r="V466" s="25"/>
      <c r="W466" s="25"/>
      <c r="X466" s="84" t="str">
        <f t="shared" si="2"/>
        <v>grantPlayerItems</v>
      </c>
      <c r="Y466" s="337" t="s">
        <v>4105</v>
      </c>
      <c r="Z466" s="25"/>
      <c r="AA466" s="25"/>
      <c r="AB466" s="25"/>
      <c r="AC466" s="25"/>
      <c r="AD466" s="25"/>
      <c r="AE466" s="25"/>
    </row>
    <row r="467" spans="1:31" ht="340" outlineLevel="1" x14ac:dyDescent="0.15">
      <c r="A467" s="338" t="s">
        <v>4106</v>
      </c>
      <c r="B467" s="306"/>
      <c r="C467" s="338" t="s">
        <v>2715</v>
      </c>
      <c r="D467" s="339"/>
      <c r="E467" s="338" t="s">
        <v>1921</v>
      </c>
      <c r="F467" s="339"/>
      <c r="G467" s="261" t="s">
        <v>3405</v>
      </c>
      <c r="H467" s="339"/>
      <c r="I467" s="338" t="s">
        <v>2946</v>
      </c>
      <c r="J467" s="84"/>
      <c r="K467" s="84" t="s">
        <v>4107</v>
      </c>
      <c r="L467" s="340"/>
      <c r="M467" s="332" t="s">
        <v>2678</v>
      </c>
      <c r="N467" s="306"/>
      <c r="O467" s="306"/>
      <c r="P467" s="22"/>
      <c r="Q467" s="84"/>
      <c r="R467" s="25"/>
      <c r="S467" s="25"/>
      <c r="T467" s="22"/>
      <c r="U467" s="25"/>
      <c r="V467" s="25"/>
      <c r="W467" s="25"/>
      <c r="X467" s="84" t="str">
        <f t="shared" si="2"/>
        <v>grantPlayerItems</v>
      </c>
      <c r="Y467" s="337" t="s">
        <v>4108</v>
      </c>
      <c r="Z467" s="25"/>
      <c r="AA467" s="25"/>
      <c r="AB467" s="25"/>
      <c r="AC467" s="25"/>
      <c r="AD467" s="25"/>
      <c r="AE467" s="25"/>
    </row>
    <row r="468" spans="1:31" ht="340" outlineLevel="1" x14ac:dyDescent="0.15">
      <c r="A468" s="338" t="s">
        <v>4109</v>
      </c>
      <c r="B468" s="306"/>
      <c r="C468" s="338" t="s">
        <v>2715</v>
      </c>
      <c r="D468" s="339"/>
      <c r="E468" s="338" t="s">
        <v>1921</v>
      </c>
      <c r="F468" s="339"/>
      <c r="G468" s="261" t="s">
        <v>3409</v>
      </c>
      <c r="H468" s="339"/>
      <c r="I468" s="338" t="s">
        <v>2946</v>
      </c>
      <c r="J468" s="84"/>
      <c r="K468" s="84" t="s">
        <v>4110</v>
      </c>
      <c r="L468" s="340"/>
      <c r="M468" s="332" t="s">
        <v>2678</v>
      </c>
      <c r="N468" s="306"/>
      <c r="O468" s="306"/>
      <c r="P468" s="22"/>
      <c r="Q468" s="84"/>
      <c r="R468" s="25"/>
      <c r="S468" s="25"/>
      <c r="T468" s="22"/>
      <c r="U468" s="25"/>
      <c r="V468" s="25"/>
      <c r="W468" s="25"/>
      <c r="X468" s="84" t="str">
        <f t="shared" si="2"/>
        <v>grantPlayerItems</v>
      </c>
      <c r="Y468" s="337" t="s">
        <v>4111</v>
      </c>
      <c r="Z468" s="25"/>
      <c r="AA468" s="25"/>
      <c r="AB468" s="25"/>
      <c r="AC468" s="25"/>
      <c r="AD468" s="25"/>
      <c r="AE468" s="25"/>
    </row>
    <row r="469" spans="1:31" ht="340" outlineLevel="1" x14ac:dyDescent="0.15">
      <c r="A469" s="338" t="s">
        <v>4112</v>
      </c>
      <c r="B469" s="306"/>
      <c r="C469" s="338" t="s">
        <v>2715</v>
      </c>
      <c r="D469" s="339"/>
      <c r="E469" s="338" t="s">
        <v>1921</v>
      </c>
      <c r="F469" s="339"/>
      <c r="G469" s="261" t="s">
        <v>3413</v>
      </c>
      <c r="H469" s="339"/>
      <c r="I469" s="338" t="s">
        <v>2946</v>
      </c>
      <c r="J469" s="84"/>
      <c r="K469" s="84" t="s">
        <v>4113</v>
      </c>
      <c r="L469" s="340"/>
      <c r="M469" s="332" t="s">
        <v>2678</v>
      </c>
      <c r="N469" s="306"/>
      <c r="O469" s="306"/>
      <c r="P469" s="22"/>
      <c r="Q469" s="84"/>
      <c r="R469" s="25"/>
      <c r="S469" s="25"/>
      <c r="T469" s="22"/>
      <c r="U469" s="25"/>
      <c r="V469" s="25"/>
      <c r="W469" s="25"/>
      <c r="X469" s="84" t="str">
        <f t="shared" si="2"/>
        <v>grantPlayerItems</v>
      </c>
      <c r="Y469" s="337" t="s">
        <v>4114</v>
      </c>
      <c r="Z469" s="25"/>
      <c r="AA469" s="25"/>
      <c r="AB469" s="25"/>
      <c r="AC469" s="25"/>
      <c r="AD469" s="25"/>
      <c r="AE469" s="25"/>
    </row>
    <row r="470" spans="1:31" ht="340" outlineLevel="1" x14ac:dyDescent="0.15">
      <c r="A470" s="338" t="s">
        <v>4115</v>
      </c>
      <c r="B470" s="306"/>
      <c r="C470" s="338" t="s">
        <v>2715</v>
      </c>
      <c r="D470" s="339"/>
      <c r="E470" s="338" t="s">
        <v>1921</v>
      </c>
      <c r="F470" s="339"/>
      <c r="G470" s="261" t="s">
        <v>3417</v>
      </c>
      <c r="H470" s="339"/>
      <c r="I470" s="338" t="s">
        <v>2946</v>
      </c>
      <c r="J470" s="84"/>
      <c r="K470" s="84" t="s">
        <v>4116</v>
      </c>
      <c r="L470" s="340"/>
      <c r="M470" s="332" t="s">
        <v>2678</v>
      </c>
      <c r="N470" s="306"/>
      <c r="O470" s="306"/>
      <c r="P470" s="22"/>
      <c r="Q470" s="84"/>
      <c r="R470" s="25"/>
      <c r="S470" s="25"/>
      <c r="T470" s="22"/>
      <c r="U470" s="25"/>
      <c r="V470" s="25"/>
      <c r="W470" s="25"/>
      <c r="X470" s="84" t="str">
        <f t="shared" si="2"/>
        <v>grantPlayerItems</v>
      </c>
      <c r="Y470" s="337" t="s">
        <v>4117</v>
      </c>
      <c r="Z470" s="25"/>
      <c r="AA470" s="25"/>
      <c r="AB470" s="25"/>
      <c r="AC470" s="25"/>
      <c r="AD470" s="25"/>
      <c r="AE470" s="25"/>
    </row>
    <row r="471" spans="1:31" ht="340" outlineLevel="1" x14ac:dyDescent="0.15">
      <c r="A471" s="338" t="s">
        <v>4118</v>
      </c>
      <c r="B471" s="306"/>
      <c r="C471" s="338" t="s">
        <v>2715</v>
      </c>
      <c r="D471" s="339"/>
      <c r="E471" s="338" t="s">
        <v>1921</v>
      </c>
      <c r="F471" s="339"/>
      <c r="G471" s="261" t="s">
        <v>3421</v>
      </c>
      <c r="H471" s="339"/>
      <c r="I471" s="338" t="s">
        <v>2946</v>
      </c>
      <c r="J471" s="84"/>
      <c r="K471" s="84" t="s">
        <v>4119</v>
      </c>
      <c r="L471" s="340"/>
      <c r="M471" s="332" t="s">
        <v>2678</v>
      </c>
      <c r="N471" s="306"/>
      <c r="O471" s="306"/>
      <c r="P471" s="22"/>
      <c r="Q471" s="84"/>
      <c r="R471" s="25"/>
      <c r="S471" s="25"/>
      <c r="T471" s="22"/>
      <c r="U471" s="25"/>
      <c r="V471" s="25"/>
      <c r="W471" s="25"/>
      <c r="X471" s="84" t="str">
        <f t="shared" si="2"/>
        <v>grantPlayerItems</v>
      </c>
      <c r="Y471" s="337" t="s">
        <v>4120</v>
      </c>
      <c r="Z471" s="25"/>
      <c r="AA471" s="25"/>
      <c r="AB471" s="25"/>
      <c r="AC471" s="25"/>
      <c r="AD471" s="25"/>
      <c r="AE471" s="25"/>
    </row>
    <row r="472" spans="1:31" ht="340" outlineLevel="1" x14ac:dyDescent="0.15">
      <c r="A472" s="338" t="s">
        <v>4121</v>
      </c>
      <c r="B472" s="306"/>
      <c r="C472" s="338" t="s">
        <v>2715</v>
      </c>
      <c r="D472" s="339"/>
      <c r="E472" s="338" t="s">
        <v>1921</v>
      </c>
      <c r="F472" s="339"/>
      <c r="G472" s="261" t="s">
        <v>3425</v>
      </c>
      <c r="H472" s="339"/>
      <c r="I472" s="338" t="s">
        <v>2946</v>
      </c>
      <c r="J472" s="84"/>
      <c r="K472" s="84" t="s">
        <v>4122</v>
      </c>
      <c r="L472" s="340"/>
      <c r="M472" s="332" t="s">
        <v>2678</v>
      </c>
      <c r="N472" s="306"/>
      <c r="O472" s="306"/>
      <c r="P472" s="22"/>
      <c r="Q472" s="84"/>
      <c r="R472" s="25"/>
      <c r="S472" s="25"/>
      <c r="T472" s="22"/>
      <c r="U472" s="25"/>
      <c r="V472" s="25"/>
      <c r="W472" s="25"/>
      <c r="X472" s="84" t="str">
        <f t="shared" si="2"/>
        <v>grantPlayerItems</v>
      </c>
      <c r="Y472" s="337" t="s">
        <v>4123</v>
      </c>
      <c r="Z472" s="25"/>
      <c r="AA472" s="25"/>
      <c r="AB472" s="25"/>
      <c r="AC472" s="25"/>
      <c r="AD472" s="25"/>
      <c r="AE472" s="25"/>
    </row>
    <row r="473" spans="1:31" ht="340" x14ac:dyDescent="0.15">
      <c r="A473" s="338" t="s">
        <v>4124</v>
      </c>
      <c r="B473" s="306"/>
      <c r="C473" s="338" t="s">
        <v>2715</v>
      </c>
      <c r="D473" s="339"/>
      <c r="E473" s="338" t="s">
        <v>1967</v>
      </c>
      <c r="F473" s="339"/>
      <c r="G473" s="261" t="s">
        <v>3401</v>
      </c>
      <c r="H473" s="339"/>
      <c r="I473" s="338" t="s">
        <v>2946</v>
      </c>
      <c r="J473" s="84"/>
      <c r="K473" s="84" t="s">
        <v>4125</v>
      </c>
      <c r="L473" s="340"/>
      <c r="M473" s="332" t="s">
        <v>2678</v>
      </c>
      <c r="N473" s="306"/>
      <c r="O473" s="306"/>
      <c r="P473" s="22"/>
      <c r="Q473" s="84"/>
      <c r="R473" s="25"/>
      <c r="S473" s="25"/>
      <c r="T473" s="22"/>
      <c r="U473" s="25"/>
      <c r="V473" s="25"/>
      <c r="W473" s="25"/>
      <c r="X473" s="84" t="str">
        <f t="shared" si="2"/>
        <v>grantPlayerItems</v>
      </c>
      <c r="Y473" s="337" t="s">
        <v>4126</v>
      </c>
      <c r="Z473" s="25"/>
      <c r="AA473" s="25"/>
      <c r="AB473" s="25"/>
      <c r="AC473" s="25"/>
      <c r="AD473" s="25"/>
      <c r="AE473" s="25"/>
    </row>
    <row r="474" spans="1:31" ht="340" outlineLevel="1" x14ac:dyDescent="0.15">
      <c r="A474" s="338" t="s">
        <v>4127</v>
      </c>
      <c r="B474" s="306"/>
      <c r="C474" s="338" t="s">
        <v>2715</v>
      </c>
      <c r="D474" s="339"/>
      <c r="E474" s="338" t="s">
        <v>1967</v>
      </c>
      <c r="F474" s="339"/>
      <c r="G474" s="261" t="s">
        <v>3405</v>
      </c>
      <c r="H474" s="339"/>
      <c r="I474" s="338" t="s">
        <v>2946</v>
      </c>
      <c r="J474" s="84"/>
      <c r="K474" s="84" t="s">
        <v>4128</v>
      </c>
      <c r="L474" s="340"/>
      <c r="M474" s="332" t="s">
        <v>2678</v>
      </c>
      <c r="N474" s="306"/>
      <c r="O474" s="306"/>
      <c r="P474" s="22"/>
      <c r="Q474" s="84"/>
      <c r="R474" s="25"/>
      <c r="S474" s="25"/>
      <c r="T474" s="22"/>
      <c r="U474" s="25"/>
      <c r="V474" s="25"/>
      <c r="W474" s="25"/>
      <c r="X474" s="84" t="str">
        <f t="shared" si="2"/>
        <v>grantPlayerItems</v>
      </c>
      <c r="Y474" s="337" t="s">
        <v>4129</v>
      </c>
      <c r="Z474" s="25"/>
      <c r="AA474" s="25"/>
      <c r="AB474" s="25"/>
      <c r="AC474" s="25"/>
      <c r="AD474" s="25"/>
      <c r="AE474" s="25"/>
    </row>
    <row r="475" spans="1:31" ht="340" outlineLevel="1" x14ac:dyDescent="0.15">
      <c r="A475" s="338" t="s">
        <v>4130</v>
      </c>
      <c r="B475" s="306"/>
      <c r="C475" s="338" t="s">
        <v>2715</v>
      </c>
      <c r="D475" s="339"/>
      <c r="E475" s="338" t="s">
        <v>1967</v>
      </c>
      <c r="F475" s="339"/>
      <c r="G475" s="261" t="s">
        <v>3409</v>
      </c>
      <c r="H475" s="339"/>
      <c r="I475" s="338" t="s">
        <v>2946</v>
      </c>
      <c r="J475" s="84"/>
      <c r="K475" s="84" t="s">
        <v>4131</v>
      </c>
      <c r="L475" s="340"/>
      <c r="M475" s="332" t="s">
        <v>2678</v>
      </c>
      <c r="N475" s="306"/>
      <c r="O475" s="306"/>
      <c r="P475" s="22"/>
      <c r="Q475" s="84"/>
      <c r="R475" s="25"/>
      <c r="S475" s="25"/>
      <c r="T475" s="22"/>
      <c r="U475" s="25"/>
      <c r="V475" s="25"/>
      <c r="W475" s="25"/>
      <c r="X475" s="84" t="str">
        <f t="shared" si="2"/>
        <v>grantPlayerItems</v>
      </c>
      <c r="Y475" s="337" t="s">
        <v>4132</v>
      </c>
      <c r="Z475" s="25"/>
      <c r="AA475" s="25"/>
      <c r="AB475" s="25"/>
      <c r="AC475" s="25"/>
      <c r="AD475" s="25"/>
      <c r="AE475" s="25"/>
    </row>
    <row r="476" spans="1:31" ht="340" outlineLevel="1" x14ac:dyDescent="0.15">
      <c r="A476" s="338" t="s">
        <v>4133</v>
      </c>
      <c r="B476" s="306"/>
      <c r="C476" s="338" t="s">
        <v>2715</v>
      </c>
      <c r="D476" s="339"/>
      <c r="E476" s="338" t="s">
        <v>1967</v>
      </c>
      <c r="F476" s="339"/>
      <c r="G476" s="261" t="s">
        <v>3413</v>
      </c>
      <c r="H476" s="339"/>
      <c r="I476" s="338" t="s">
        <v>2946</v>
      </c>
      <c r="J476" s="84"/>
      <c r="K476" s="84" t="s">
        <v>4134</v>
      </c>
      <c r="L476" s="340"/>
      <c r="M476" s="332" t="s">
        <v>2678</v>
      </c>
      <c r="N476" s="306"/>
      <c r="O476" s="306"/>
      <c r="P476" s="22"/>
      <c r="Q476" s="84"/>
      <c r="R476" s="25"/>
      <c r="S476" s="25"/>
      <c r="T476" s="22"/>
      <c r="U476" s="25"/>
      <c r="V476" s="25"/>
      <c r="W476" s="25"/>
      <c r="X476" s="84" t="str">
        <f t="shared" si="2"/>
        <v>grantPlayerItems</v>
      </c>
      <c r="Y476" s="337" t="s">
        <v>4135</v>
      </c>
      <c r="Z476" s="25"/>
      <c r="AA476" s="25"/>
      <c r="AB476" s="25"/>
      <c r="AC476" s="25"/>
      <c r="AD476" s="25"/>
      <c r="AE476" s="25"/>
    </row>
    <row r="477" spans="1:31" ht="340" outlineLevel="1" x14ac:dyDescent="0.15">
      <c r="A477" s="338" t="s">
        <v>4136</v>
      </c>
      <c r="B477" s="306"/>
      <c r="C477" s="338" t="s">
        <v>2715</v>
      </c>
      <c r="D477" s="339"/>
      <c r="E477" s="338" t="s">
        <v>1967</v>
      </c>
      <c r="F477" s="339"/>
      <c r="G477" s="261" t="s">
        <v>3417</v>
      </c>
      <c r="H477" s="339"/>
      <c r="I477" s="338" t="s">
        <v>2946</v>
      </c>
      <c r="J477" s="84"/>
      <c r="K477" s="84" t="s">
        <v>4137</v>
      </c>
      <c r="L477" s="340"/>
      <c r="M477" s="332" t="s">
        <v>2678</v>
      </c>
      <c r="N477" s="306"/>
      <c r="O477" s="306"/>
      <c r="P477" s="22"/>
      <c r="Q477" s="84"/>
      <c r="R477" s="25"/>
      <c r="S477" s="25"/>
      <c r="T477" s="22"/>
      <c r="U477" s="25"/>
      <c r="V477" s="25"/>
      <c r="W477" s="25"/>
      <c r="X477" s="84" t="str">
        <f t="shared" si="2"/>
        <v>grantPlayerItems</v>
      </c>
      <c r="Y477" s="337" t="s">
        <v>4138</v>
      </c>
      <c r="Z477" s="25"/>
      <c r="AA477" s="25"/>
      <c r="AB477" s="25"/>
      <c r="AC477" s="25"/>
      <c r="AD477" s="25"/>
      <c r="AE477" s="25"/>
    </row>
    <row r="478" spans="1:31" ht="340" outlineLevel="1" x14ac:dyDescent="0.15">
      <c r="A478" s="338" t="s">
        <v>4139</v>
      </c>
      <c r="B478" s="306"/>
      <c r="C478" s="338" t="s">
        <v>2715</v>
      </c>
      <c r="D478" s="339"/>
      <c r="E478" s="338" t="s">
        <v>1967</v>
      </c>
      <c r="F478" s="339"/>
      <c r="G478" s="261" t="s">
        <v>3421</v>
      </c>
      <c r="H478" s="339"/>
      <c r="I478" s="338" t="s">
        <v>2946</v>
      </c>
      <c r="J478" s="84"/>
      <c r="K478" s="84" t="s">
        <v>4140</v>
      </c>
      <c r="L478" s="340"/>
      <c r="M478" s="332" t="s">
        <v>2678</v>
      </c>
      <c r="N478" s="306"/>
      <c r="O478" s="306"/>
      <c r="P478" s="22"/>
      <c r="Q478" s="84"/>
      <c r="R478" s="25"/>
      <c r="S478" s="25"/>
      <c r="T478" s="22"/>
      <c r="U478" s="25"/>
      <c r="V478" s="25"/>
      <c r="W478" s="25"/>
      <c r="X478" s="84" t="str">
        <f t="shared" si="2"/>
        <v>grantPlayerItems</v>
      </c>
      <c r="Y478" s="337" t="s">
        <v>4141</v>
      </c>
      <c r="Z478" s="25"/>
      <c r="AA478" s="25"/>
      <c r="AB478" s="25"/>
      <c r="AC478" s="25"/>
      <c r="AD478" s="25"/>
      <c r="AE478" s="25"/>
    </row>
    <row r="479" spans="1:31" ht="340" outlineLevel="1" x14ac:dyDescent="0.15">
      <c r="A479" s="338" t="s">
        <v>4142</v>
      </c>
      <c r="B479" s="306"/>
      <c r="C479" s="338" t="s">
        <v>2715</v>
      </c>
      <c r="D479" s="339"/>
      <c r="E479" s="338" t="s">
        <v>1967</v>
      </c>
      <c r="F479" s="339"/>
      <c r="G479" s="261" t="s">
        <v>3425</v>
      </c>
      <c r="H479" s="339"/>
      <c r="I479" s="338" t="s">
        <v>2946</v>
      </c>
      <c r="J479" s="84"/>
      <c r="K479" s="84" t="s">
        <v>4143</v>
      </c>
      <c r="L479" s="340"/>
      <c r="M479" s="332" t="s">
        <v>2678</v>
      </c>
      <c r="N479" s="306"/>
      <c r="O479" s="306"/>
      <c r="P479" s="22"/>
      <c r="Q479" s="84"/>
      <c r="R479" s="25"/>
      <c r="S479" s="25"/>
      <c r="T479" s="22"/>
      <c r="U479" s="25"/>
      <c r="V479" s="25"/>
      <c r="W479" s="25"/>
      <c r="X479" s="84" t="str">
        <f t="shared" si="2"/>
        <v>grantPlayerItems</v>
      </c>
      <c r="Y479" s="337" t="s">
        <v>4144</v>
      </c>
      <c r="Z479" s="25"/>
      <c r="AA479" s="25"/>
      <c r="AB479" s="25"/>
      <c r="AC479" s="25"/>
      <c r="AD479" s="25"/>
      <c r="AE479" s="25"/>
    </row>
    <row r="480" spans="1:31" ht="340" x14ac:dyDescent="0.15">
      <c r="A480" s="338" t="s">
        <v>4145</v>
      </c>
      <c r="B480" s="306"/>
      <c r="C480" s="338" t="s">
        <v>2715</v>
      </c>
      <c r="D480" s="339"/>
      <c r="E480" s="338" t="s">
        <v>2006</v>
      </c>
      <c r="F480" s="339"/>
      <c r="G480" s="261" t="s">
        <v>3401</v>
      </c>
      <c r="H480" s="339"/>
      <c r="I480" s="338" t="s">
        <v>2946</v>
      </c>
      <c r="J480" s="84"/>
      <c r="K480" s="84" t="s">
        <v>4146</v>
      </c>
      <c r="L480" s="340"/>
      <c r="M480" s="332" t="s">
        <v>2678</v>
      </c>
      <c r="N480" s="306"/>
      <c r="O480" s="306"/>
      <c r="P480" s="22"/>
      <c r="Q480" s="84"/>
      <c r="R480" s="25"/>
      <c r="S480" s="25"/>
      <c r="T480" s="22"/>
      <c r="U480" s="25"/>
      <c r="V480" s="25"/>
      <c r="W480" s="25"/>
      <c r="X480" s="84" t="str">
        <f t="shared" si="2"/>
        <v>grantPlayerItems</v>
      </c>
      <c r="Y480" s="337" t="s">
        <v>4147</v>
      </c>
      <c r="Z480" s="25"/>
      <c r="AA480" s="25"/>
      <c r="AB480" s="25"/>
      <c r="AC480" s="25"/>
      <c r="AD480" s="25"/>
      <c r="AE480" s="25"/>
    </row>
    <row r="481" spans="1:31" ht="340" outlineLevel="1" x14ac:dyDescent="0.15">
      <c r="A481" s="338" t="s">
        <v>4148</v>
      </c>
      <c r="B481" s="306"/>
      <c r="C481" s="338" t="s">
        <v>2715</v>
      </c>
      <c r="D481" s="339"/>
      <c r="E481" s="338" t="s">
        <v>2006</v>
      </c>
      <c r="F481" s="339"/>
      <c r="G481" s="261" t="s">
        <v>3405</v>
      </c>
      <c r="H481" s="339"/>
      <c r="I481" s="338" t="s">
        <v>2946</v>
      </c>
      <c r="J481" s="84"/>
      <c r="K481" s="84" t="s">
        <v>4149</v>
      </c>
      <c r="L481" s="340"/>
      <c r="M481" s="332" t="s">
        <v>2678</v>
      </c>
      <c r="N481" s="306"/>
      <c r="O481" s="306"/>
      <c r="P481" s="22"/>
      <c r="Q481" s="84"/>
      <c r="R481" s="25"/>
      <c r="S481" s="25"/>
      <c r="T481" s="22"/>
      <c r="U481" s="25"/>
      <c r="V481" s="25"/>
      <c r="W481" s="25"/>
      <c r="X481" s="84" t="str">
        <f t="shared" si="2"/>
        <v>grantPlayerItems</v>
      </c>
      <c r="Y481" s="337" t="s">
        <v>4150</v>
      </c>
      <c r="Z481" s="25"/>
      <c r="AA481" s="25"/>
      <c r="AB481" s="25"/>
      <c r="AC481" s="25"/>
      <c r="AD481" s="25"/>
      <c r="AE481" s="25"/>
    </row>
    <row r="482" spans="1:31" ht="340" outlineLevel="1" x14ac:dyDescent="0.15">
      <c r="A482" s="338" t="s">
        <v>4151</v>
      </c>
      <c r="B482" s="306"/>
      <c r="C482" s="338" t="s">
        <v>2715</v>
      </c>
      <c r="D482" s="339"/>
      <c r="E482" s="338" t="s">
        <v>2006</v>
      </c>
      <c r="F482" s="339"/>
      <c r="G482" s="261" t="s">
        <v>3409</v>
      </c>
      <c r="H482" s="339"/>
      <c r="I482" s="338" t="s">
        <v>2946</v>
      </c>
      <c r="J482" s="84"/>
      <c r="K482" s="84" t="s">
        <v>4152</v>
      </c>
      <c r="L482" s="340"/>
      <c r="M482" s="332" t="s">
        <v>2678</v>
      </c>
      <c r="N482" s="306"/>
      <c r="O482" s="306"/>
      <c r="P482" s="22"/>
      <c r="Q482" s="84"/>
      <c r="R482" s="25"/>
      <c r="S482" s="25"/>
      <c r="T482" s="22"/>
      <c r="U482" s="25"/>
      <c r="V482" s="25"/>
      <c r="W482" s="25"/>
      <c r="X482" s="84" t="str">
        <f t="shared" si="2"/>
        <v>grantPlayerItems</v>
      </c>
      <c r="Y482" s="337" t="s">
        <v>4153</v>
      </c>
      <c r="Z482" s="25"/>
      <c r="AA482" s="25"/>
      <c r="AB482" s="25"/>
      <c r="AC482" s="25"/>
      <c r="AD482" s="25"/>
      <c r="AE482" s="25"/>
    </row>
    <row r="483" spans="1:31" ht="340" outlineLevel="1" x14ac:dyDescent="0.15">
      <c r="A483" s="338" t="s">
        <v>4154</v>
      </c>
      <c r="B483" s="306"/>
      <c r="C483" s="338" t="s">
        <v>2715</v>
      </c>
      <c r="D483" s="339"/>
      <c r="E483" s="338" t="s">
        <v>2006</v>
      </c>
      <c r="F483" s="339"/>
      <c r="G483" s="261" t="s">
        <v>3413</v>
      </c>
      <c r="H483" s="339"/>
      <c r="I483" s="338" t="s">
        <v>2946</v>
      </c>
      <c r="J483" s="84"/>
      <c r="K483" s="84" t="s">
        <v>4155</v>
      </c>
      <c r="L483" s="340"/>
      <c r="M483" s="332" t="s">
        <v>2678</v>
      </c>
      <c r="N483" s="306"/>
      <c r="O483" s="306"/>
      <c r="P483" s="22"/>
      <c r="Q483" s="84"/>
      <c r="R483" s="25"/>
      <c r="S483" s="25"/>
      <c r="T483" s="22"/>
      <c r="U483" s="25"/>
      <c r="V483" s="25"/>
      <c r="W483" s="25"/>
      <c r="X483" s="84" t="str">
        <f t="shared" si="2"/>
        <v>grantPlayerItems</v>
      </c>
      <c r="Y483" s="337" t="s">
        <v>4156</v>
      </c>
      <c r="Z483" s="25"/>
      <c r="AA483" s="25"/>
      <c r="AB483" s="25"/>
      <c r="AC483" s="25"/>
      <c r="AD483" s="25"/>
      <c r="AE483" s="25"/>
    </row>
    <row r="484" spans="1:31" ht="340" outlineLevel="1" x14ac:dyDescent="0.15">
      <c r="A484" s="338" t="s">
        <v>4157</v>
      </c>
      <c r="B484" s="306"/>
      <c r="C484" s="338" t="s">
        <v>2715</v>
      </c>
      <c r="D484" s="339"/>
      <c r="E484" s="338" t="s">
        <v>2006</v>
      </c>
      <c r="F484" s="339"/>
      <c r="G484" s="261" t="s">
        <v>3417</v>
      </c>
      <c r="H484" s="339"/>
      <c r="I484" s="338" t="s">
        <v>2946</v>
      </c>
      <c r="J484" s="84"/>
      <c r="K484" s="84" t="s">
        <v>4158</v>
      </c>
      <c r="L484" s="340"/>
      <c r="M484" s="332" t="s">
        <v>2678</v>
      </c>
      <c r="N484" s="306"/>
      <c r="O484" s="306"/>
      <c r="P484" s="22"/>
      <c r="Q484" s="84"/>
      <c r="R484" s="25"/>
      <c r="S484" s="25"/>
      <c r="T484" s="22"/>
      <c r="U484" s="25"/>
      <c r="V484" s="25"/>
      <c r="W484" s="25"/>
      <c r="X484" s="84" t="str">
        <f t="shared" si="2"/>
        <v>grantPlayerItems</v>
      </c>
      <c r="Y484" s="337" t="s">
        <v>4159</v>
      </c>
      <c r="Z484" s="25"/>
      <c r="AA484" s="25"/>
      <c r="AB484" s="25"/>
      <c r="AC484" s="25"/>
      <c r="AD484" s="25"/>
      <c r="AE484" s="25"/>
    </row>
    <row r="485" spans="1:31" ht="340" outlineLevel="1" x14ac:dyDescent="0.15">
      <c r="A485" s="338" t="s">
        <v>4160</v>
      </c>
      <c r="B485" s="306"/>
      <c r="C485" s="338" t="s">
        <v>2715</v>
      </c>
      <c r="D485" s="339"/>
      <c r="E485" s="338" t="s">
        <v>2006</v>
      </c>
      <c r="F485" s="339"/>
      <c r="G485" s="261" t="s">
        <v>3421</v>
      </c>
      <c r="H485" s="339"/>
      <c r="I485" s="338" t="s">
        <v>2946</v>
      </c>
      <c r="J485" s="84"/>
      <c r="K485" s="84" t="s">
        <v>4161</v>
      </c>
      <c r="L485" s="340"/>
      <c r="M485" s="332" t="s">
        <v>2678</v>
      </c>
      <c r="N485" s="306"/>
      <c r="O485" s="306"/>
      <c r="P485" s="22"/>
      <c r="Q485" s="84"/>
      <c r="R485" s="25"/>
      <c r="S485" s="25"/>
      <c r="T485" s="22"/>
      <c r="U485" s="25"/>
      <c r="V485" s="25"/>
      <c r="W485" s="25"/>
      <c r="X485" s="84" t="str">
        <f t="shared" si="2"/>
        <v>grantPlayerItems</v>
      </c>
      <c r="Y485" s="337" t="s">
        <v>4162</v>
      </c>
      <c r="Z485" s="25"/>
      <c r="AA485" s="25"/>
      <c r="AB485" s="25"/>
      <c r="AC485" s="25"/>
      <c r="AD485" s="25"/>
      <c r="AE485" s="25"/>
    </row>
    <row r="486" spans="1:31" ht="340" outlineLevel="1" x14ac:dyDescent="0.15">
      <c r="A486" s="338" t="s">
        <v>4163</v>
      </c>
      <c r="B486" s="306"/>
      <c r="C486" s="338" t="s">
        <v>2715</v>
      </c>
      <c r="D486" s="339"/>
      <c r="E486" s="338" t="s">
        <v>2006</v>
      </c>
      <c r="F486" s="339"/>
      <c r="G486" s="261" t="s">
        <v>3425</v>
      </c>
      <c r="H486" s="339"/>
      <c r="I486" s="338" t="s">
        <v>2946</v>
      </c>
      <c r="J486" s="84"/>
      <c r="K486" s="84" t="s">
        <v>4164</v>
      </c>
      <c r="L486" s="340"/>
      <c r="M486" s="332" t="s">
        <v>2678</v>
      </c>
      <c r="N486" s="306"/>
      <c r="O486" s="306"/>
      <c r="P486" s="22"/>
      <c r="Q486" s="84"/>
      <c r="R486" s="25"/>
      <c r="S486" s="25"/>
      <c r="T486" s="22"/>
      <c r="U486" s="25"/>
      <c r="V486" s="25"/>
      <c r="W486" s="25"/>
      <c r="X486" s="84" t="str">
        <f t="shared" si="2"/>
        <v>grantPlayerItems</v>
      </c>
      <c r="Y486" s="337" t="s">
        <v>4165</v>
      </c>
      <c r="Z486" s="25"/>
      <c r="AA486" s="25"/>
      <c r="AB486" s="25"/>
      <c r="AC486" s="25"/>
      <c r="AD486" s="25"/>
      <c r="AE486" s="25"/>
    </row>
    <row r="487" spans="1:31" ht="340" x14ac:dyDescent="0.15">
      <c r="A487" s="338" t="s">
        <v>4166</v>
      </c>
      <c r="B487" s="306"/>
      <c r="C487" s="338" t="s">
        <v>2715</v>
      </c>
      <c r="D487" s="339"/>
      <c r="E487" s="338" t="s">
        <v>1895</v>
      </c>
      <c r="F487" s="339"/>
      <c r="G487" s="261" t="s">
        <v>3401</v>
      </c>
      <c r="H487" s="339"/>
      <c r="I487" s="338" t="s">
        <v>2946</v>
      </c>
      <c r="J487" s="84"/>
      <c r="K487" s="84" t="s">
        <v>4167</v>
      </c>
      <c r="L487" s="340"/>
      <c r="M487" s="332" t="s">
        <v>2678</v>
      </c>
      <c r="N487" s="306"/>
      <c r="O487" s="306"/>
      <c r="P487" s="22"/>
      <c r="Q487" s="84"/>
      <c r="R487" s="25"/>
      <c r="S487" s="25"/>
      <c r="T487" s="22"/>
      <c r="U487" s="25"/>
      <c r="V487" s="25"/>
      <c r="W487" s="25"/>
      <c r="X487" s="84" t="str">
        <f t="shared" si="2"/>
        <v>grantPlayerItems</v>
      </c>
      <c r="Y487" s="337" t="s">
        <v>4168</v>
      </c>
      <c r="Z487" s="25"/>
      <c r="AA487" s="25"/>
      <c r="AB487" s="25"/>
      <c r="AC487" s="25"/>
      <c r="AD487" s="25"/>
      <c r="AE487" s="25"/>
    </row>
    <row r="488" spans="1:31" ht="340" outlineLevel="1" x14ac:dyDescent="0.15">
      <c r="A488" s="338" t="s">
        <v>4169</v>
      </c>
      <c r="B488" s="306"/>
      <c r="C488" s="338" t="s">
        <v>2715</v>
      </c>
      <c r="D488" s="339"/>
      <c r="E488" s="338" t="s">
        <v>1895</v>
      </c>
      <c r="F488" s="339"/>
      <c r="G488" s="261" t="s">
        <v>3405</v>
      </c>
      <c r="H488" s="339"/>
      <c r="I488" s="338" t="s">
        <v>2946</v>
      </c>
      <c r="J488" s="84"/>
      <c r="K488" s="84" t="s">
        <v>4170</v>
      </c>
      <c r="L488" s="340"/>
      <c r="M488" s="332" t="s">
        <v>2678</v>
      </c>
      <c r="N488" s="306"/>
      <c r="O488" s="306"/>
      <c r="P488" s="22"/>
      <c r="Q488" s="84"/>
      <c r="R488" s="25"/>
      <c r="S488" s="25"/>
      <c r="T488" s="22"/>
      <c r="U488" s="25"/>
      <c r="V488" s="25"/>
      <c r="W488" s="25"/>
      <c r="X488" s="84" t="str">
        <f t="shared" si="2"/>
        <v>grantPlayerItems</v>
      </c>
      <c r="Y488" s="337" t="s">
        <v>4171</v>
      </c>
      <c r="Z488" s="25"/>
      <c r="AA488" s="25"/>
      <c r="AB488" s="25"/>
      <c r="AC488" s="25"/>
      <c r="AD488" s="25"/>
      <c r="AE488" s="25"/>
    </row>
    <row r="489" spans="1:31" ht="340" outlineLevel="1" x14ac:dyDescent="0.15">
      <c r="A489" s="338" t="s">
        <v>4172</v>
      </c>
      <c r="B489" s="306"/>
      <c r="C489" s="338" t="s">
        <v>2715</v>
      </c>
      <c r="D489" s="339"/>
      <c r="E489" s="338" t="s">
        <v>1895</v>
      </c>
      <c r="F489" s="339"/>
      <c r="G489" s="261" t="s">
        <v>3409</v>
      </c>
      <c r="H489" s="339"/>
      <c r="I489" s="338" t="s">
        <v>2946</v>
      </c>
      <c r="J489" s="84"/>
      <c r="K489" s="84" t="s">
        <v>4173</v>
      </c>
      <c r="L489" s="340"/>
      <c r="M489" s="332" t="s">
        <v>2678</v>
      </c>
      <c r="N489" s="306"/>
      <c r="O489" s="306"/>
      <c r="P489" s="22"/>
      <c r="Q489" s="84"/>
      <c r="R489" s="25"/>
      <c r="S489" s="25"/>
      <c r="T489" s="22"/>
      <c r="U489" s="25"/>
      <c r="V489" s="25"/>
      <c r="W489" s="25"/>
      <c r="X489" s="84" t="str">
        <f t="shared" si="2"/>
        <v>grantPlayerItems</v>
      </c>
      <c r="Y489" s="337" t="s">
        <v>4174</v>
      </c>
      <c r="Z489" s="25"/>
      <c r="AA489" s="25"/>
      <c r="AB489" s="25"/>
      <c r="AC489" s="25"/>
      <c r="AD489" s="25"/>
      <c r="AE489" s="25"/>
    </row>
    <row r="490" spans="1:31" ht="340" outlineLevel="1" x14ac:dyDescent="0.15">
      <c r="A490" s="338" t="s">
        <v>4175</v>
      </c>
      <c r="B490" s="306"/>
      <c r="C490" s="338" t="s">
        <v>2715</v>
      </c>
      <c r="D490" s="339"/>
      <c r="E490" s="338" t="s">
        <v>1895</v>
      </c>
      <c r="F490" s="339"/>
      <c r="G490" s="261" t="s">
        <v>3413</v>
      </c>
      <c r="H490" s="339"/>
      <c r="I490" s="338" t="s">
        <v>2946</v>
      </c>
      <c r="J490" s="84"/>
      <c r="K490" s="84" t="s">
        <v>4176</v>
      </c>
      <c r="L490" s="340"/>
      <c r="M490" s="332" t="s">
        <v>2678</v>
      </c>
      <c r="N490" s="306"/>
      <c r="O490" s="306"/>
      <c r="P490" s="22"/>
      <c r="Q490" s="84"/>
      <c r="R490" s="25"/>
      <c r="S490" s="25"/>
      <c r="T490" s="22"/>
      <c r="U490" s="25"/>
      <c r="V490" s="25"/>
      <c r="W490" s="25"/>
      <c r="X490" s="84" t="str">
        <f t="shared" si="2"/>
        <v>grantPlayerItems</v>
      </c>
      <c r="Y490" s="337" t="s">
        <v>4177</v>
      </c>
      <c r="Z490" s="25"/>
      <c r="AA490" s="25"/>
      <c r="AB490" s="25"/>
      <c r="AC490" s="25"/>
      <c r="AD490" s="25"/>
      <c r="AE490" s="25"/>
    </row>
    <row r="491" spans="1:31" ht="340" outlineLevel="1" x14ac:dyDescent="0.15">
      <c r="A491" s="338" t="s">
        <v>4178</v>
      </c>
      <c r="B491" s="306"/>
      <c r="C491" s="338" t="s">
        <v>2715</v>
      </c>
      <c r="D491" s="339"/>
      <c r="E491" s="338" t="s">
        <v>1895</v>
      </c>
      <c r="F491" s="339"/>
      <c r="G491" s="261" t="s">
        <v>3417</v>
      </c>
      <c r="H491" s="339"/>
      <c r="I491" s="338" t="s">
        <v>2946</v>
      </c>
      <c r="J491" s="84"/>
      <c r="K491" s="84" t="s">
        <v>4179</v>
      </c>
      <c r="L491" s="340"/>
      <c r="M491" s="332" t="s">
        <v>2678</v>
      </c>
      <c r="N491" s="306"/>
      <c r="O491" s="306"/>
      <c r="P491" s="22"/>
      <c r="Q491" s="84"/>
      <c r="R491" s="25"/>
      <c r="S491" s="25"/>
      <c r="T491" s="22"/>
      <c r="U491" s="25"/>
      <c r="V491" s="25"/>
      <c r="W491" s="25"/>
      <c r="X491" s="84" t="str">
        <f t="shared" si="2"/>
        <v>grantPlayerItems</v>
      </c>
      <c r="Y491" s="337" t="s">
        <v>4180</v>
      </c>
      <c r="Z491" s="25"/>
      <c r="AA491" s="25"/>
      <c r="AB491" s="25"/>
      <c r="AC491" s="25"/>
      <c r="AD491" s="25"/>
      <c r="AE491" s="25"/>
    </row>
    <row r="492" spans="1:31" ht="340" outlineLevel="1" x14ac:dyDescent="0.15">
      <c r="A492" s="338" t="s">
        <v>4181</v>
      </c>
      <c r="B492" s="306"/>
      <c r="C492" s="338" t="s">
        <v>2715</v>
      </c>
      <c r="D492" s="339"/>
      <c r="E492" s="338" t="s">
        <v>1895</v>
      </c>
      <c r="F492" s="339"/>
      <c r="G492" s="261" t="s">
        <v>3421</v>
      </c>
      <c r="H492" s="339"/>
      <c r="I492" s="338" t="s">
        <v>2946</v>
      </c>
      <c r="J492" s="84"/>
      <c r="K492" s="84" t="s">
        <v>4182</v>
      </c>
      <c r="L492" s="340"/>
      <c r="M492" s="332" t="s">
        <v>2678</v>
      </c>
      <c r="N492" s="306"/>
      <c r="O492" s="306"/>
      <c r="P492" s="22"/>
      <c r="Q492" s="84"/>
      <c r="R492" s="25"/>
      <c r="S492" s="25"/>
      <c r="T492" s="22"/>
      <c r="U492" s="25"/>
      <c r="V492" s="25"/>
      <c r="W492" s="25"/>
      <c r="X492" s="84" t="str">
        <f t="shared" si="2"/>
        <v>grantPlayerItems</v>
      </c>
      <c r="Y492" s="337" t="s">
        <v>4183</v>
      </c>
      <c r="Z492" s="25"/>
      <c r="AA492" s="25"/>
      <c r="AB492" s="25"/>
      <c r="AC492" s="25"/>
      <c r="AD492" s="25"/>
      <c r="AE492" s="25"/>
    </row>
    <row r="493" spans="1:31" ht="340" outlineLevel="1" x14ac:dyDescent="0.15">
      <c r="A493" s="338" t="s">
        <v>4184</v>
      </c>
      <c r="B493" s="306"/>
      <c r="C493" s="338" t="s">
        <v>2715</v>
      </c>
      <c r="D493" s="339"/>
      <c r="E493" s="338" t="s">
        <v>1895</v>
      </c>
      <c r="F493" s="339"/>
      <c r="G493" s="261" t="s">
        <v>3425</v>
      </c>
      <c r="H493" s="339"/>
      <c r="I493" s="338" t="s">
        <v>2946</v>
      </c>
      <c r="J493" s="84"/>
      <c r="K493" s="84" t="s">
        <v>4185</v>
      </c>
      <c r="L493" s="340"/>
      <c r="M493" s="332" t="s">
        <v>2678</v>
      </c>
      <c r="N493" s="306"/>
      <c r="O493" s="306"/>
      <c r="P493" s="22"/>
      <c r="Q493" s="84"/>
      <c r="R493" s="25"/>
      <c r="S493" s="25"/>
      <c r="T493" s="22"/>
      <c r="U493" s="25"/>
      <c r="V493" s="25"/>
      <c r="W493" s="25"/>
      <c r="X493" s="84" t="str">
        <f t="shared" si="2"/>
        <v>grantPlayerItems</v>
      </c>
      <c r="Y493" s="337" t="s">
        <v>4186</v>
      </c>
      <c r="Z493" s="25"/>
      <c r="AA493" s="25"/>
      <c r="AB493" s="25"/>
      <c r="AC493" s="25"/>
      <c r="AD493" s="25"/>
      <c r="AE493" s="25"/>
    </row>
    <row r="494" spans="1:31" ht="340" x14ac:dyDescent="0.15">
      <c r="A494" s="338" t="s">
        <v>4187</v>
      </c>
      <c r="B494" s="306"/>
      <c r="C494" s="338" t="s">
        <v>2715</v>
      </c>
      <c r="D494" s="339"/>
      <c r="E494" s="338" t="s">
        <v>2114</v>
      </c>
      <c r="F494" s="339"/>
      <c r="G494" s="261" t="s">
        <v>3401</v>
      </c>
      <c r="H494" s="339"/>
      <c r="I494" s="338" t="s">
        <v>2946</v>
      </c>
      <c r="J494" s="84"/>
      <c r="K494" s="84" t="s">
        <v>4188</v>
      </c>
      <c r="L494" s="340"/>
      <c r="M494" s="332" t="s">
        <v>2678</v>
      </c>
      <c r="N494" s="306"/>
      <c r="O494" s="306"/>
      <c r="P494" s="22"/>
      <c r="Q494" s="84"/>
      <c r="R494" s="25"/>
      <c r="S494" s="25"/>
      <c r="T494" s="22"/>
      <c r="U494" s="25"/>
      <c r="V494" s="25"/>
      <c r="W494" s="25"/>
      <c r="X494" s="84" t="str">
        <f t="shared" si="2"/>
        <v>grantPlayerItems</v>
      </c>
      <c r="Y494" s="337" t="s">
        <v>4189</v>
      </c>
      <c r="Z494" s="25"/>
      <c r="AA494" s="25"/>
      <c r="AB494" s="25"/>
      <c r="AC494" s="25"/>
      <c r="AD494" s="25"/>
      <c r="AE494" s="25"/>
    </row>
    <row r="495" spans="1:31" ht="340" outlineLevel="1" x14ac:dyDescent="0.15">
      <c r="A495" s="338" t="s">
        <v>4190</v>
      </c>
      <c r="B495" s="306"/>
      <c r="C495" s="338" t="s">
        <v>2715</v>
      </c>
      <c r="D495" s="339"/>
      <c r="E495" s="338" t="s">
        <v>2114</v>
      </c>
      <c r="F495" s="339"/>
      <c r="G495" s="261" t="s">
        <v>3405</v>
      </c>
      <c r="H495" s="339"/>
      <c r="I495" s="338" t="s">
        <v>2946</v>
      </c>
      <c r="J495" s="84"/>
      <c r="K495" s="84" t="s">
        <v>4191</v>
      </c>
      <c r="L495" s="340"/>
      <c r="M495" s="332" t="s">
        <v>2678</v>
      </c>
      <c r="N495" s="306"/>
      <c r="O495" s="306"/>
      <c r="P495" s="22"/>
      <c r="Q495" s="84"/>
      <c r="R495" s="25"/>
      <c r="S495" s="25"/>
      <c r="T495" s="22"/>
      <c r="U495" s="25"/>
      <c r="V495" s="25"/>
      <c r="W495" s="25"/>
      <c r="X495" s="84" t="str">
        <f t="shared" si="2"/>
        <v>grantPlayerItems</v>
      </c>
      <c r="Y495" s="337" t="s">
        <v>4192</v>
      </c>
      <c r="Z495" s="25"/>
      <c r="AA495" s="25"/>
      <c r="AB495" s="25"/>
      <c r="AC495" s="25"/>
      <c r="AD495" s="25"/>
      <c r="AE495" s="25"/>
    </row>
    <row r="496" spans="1:31" ht="340" outlineLevel="1" x14ac:dyDescent="0.15">
      <c r="A496" s="338" t="s">
        <v>4193</v>
      </c>
      <c r="B496" s="306"/>
      <c r="C496" s="338" t="s">
        <v>2715</v>
      </c>
      <c r="D496" s="339"/>
      <c r="E496" s="338" t="s">
        <v>2114</v>
      </c>
      <c r="F496" s="339"/>
      <c r="G496" s="261" t="s">
        <v>3409</v>
      </c>
      <c r="H496" s="339"/>
      <c r="I496" s="338" t="s">
        <v>2946</v>
      </c>
      <c r="J496" s="84"/>
      <c r="K496" s="84" t="s">
        <v>4194</v>
      </c>
      <c r="L496" s="340"/>
      <c r="M496" s="332" t="s">
        <v>2678</v>
      </c>
      <c r="N496" s="306"/>
      <c r="O496" s="306"/>
      <c r="P496" s="22"/>
      <c r="Q496" s="84"/>
      <c r="R496" s="25"/>
      <c r="S496" s="25"/>
      <c r="T496" s="22"/>
      <c r="U496" s="25"/>
      <c r="V496" s="25"/>
      <c r="W496" s="25"/>
      <c r="X496" s="84" t="str">
        <f t="shared" si="2"/>
        <v>grantPlayerItems</v>
      </c>
      <c r="Y496" s="337" t="s">
        <v>4195</v>
      </c>
      <c r="Z496" s="25"/>
      <c r="AA496" s="25"/>
      <c r="AB496" s="25"/>
      <c r="AC496" s="25"/>
      <c r="AD496" s="25"/>
      <c r="AE496" s="25"/>
    </row>
    <row r="497" spans="1:31" ht="340" outlineLevel="1" x14ac:dyDescent="0.15">
      <c r="A497" s="338" t="s">
        <v>4196</v>
      </c>
      <c r="B497" s="306"/>
      <c r="C497" s="338" t="s">
        <v>2715</v>
      </c>
      <c r="D497" s="339"/>
      <c r="E497" s="338" t="s">
        <v>2114</v>
      </c>
      <c r="F497" s="339"/>
      <c r="G497" s="261" t="s">
        <v>3413</v>
      </c>
      <c r="H497" s="339"/>
      <c r="I497" s="338" t="s">
        <v>2946</v>
      </c>
      <c r="J497" s="84"/>
      <c r="K497" s="84" t="s">
        <v>4197</v>
      </c>
      <c r="L497" s="340"/>
      <c r="M497" s="332" t="s">
        <v>2678</v>
      </c>
      <c r="N497" s="306"/>
      <c r="O497" s="306"/>
      <c r="P497" s="22"/>
      <c r="Q497" s="84"/>
      <c r="R497" s="25"/>
      <c r="S497" s="25"/>
      <c r="T497" s="22"/>
      <c r="U497" s="25"/>
      <c r="V497" s="25"/>
      <c r="W497" s="25"/>
      <c r="X497" s="84" t="str">
        <f t="shared" si="2"/>
        <v>grantPlayerItems</v>
      </c>
      <c r="Y497" s="337" t="s">
        <v>4198</v>
      </c>
      <c r="Z497" s="25"/>
      <c r="AA497" s="25"/>
      <c r="AB497" s="25"/>
      <c r="AC497" s="25"/>
      <c r="AD497" s="25"/>
      <c r="AE497" s="25"/>
    </row>
    <row r="498" spans="1:31" ht="340" outlineLevel="1" x14ac:dyDescent="0.15">
      <c r="A498" s="338" t="s">
        <v>4199</v>
      </c>
      <c r="B498" s="306"/>
      <c r="C498" s="338" t="s">
        <v>2715</v>
      </c>
      <c r="D498" s="339"/>
      <c r="E498" s="338" t="s">
        <v>2114</v>
      </c>
      <c r="F498" s="339"/>
      <c r="G498" s="261" t="s">
        <v>3417</v>
      </c>
      <c r="H498" s="339"/>
      <c r="I498" s="338" t="s">
        <v>2946</v>
      </c>
      <c r="J498" s="84"/>
      <c r="K498" s="84" t="s">
        <v>4200</v>
      </c>
      <c r="L498" s="340"/>
      <c r="M498" s="332" t="s">
        <v>2678</v>
      </c>
      <c r="N498" s="306"/>
      <c r="O498" s="306"/>
      <c r="P498" s="22"/>
      <c r="Q498" s="84"/>
      <c r="R498" s="25"/>
      <c r="S498" s="25"/>
      <c r="T498" s="22"/>
      <c r="U498" s="25"/>
      <c r="V498" s="25"/>
      <c r="W498" s="25"/>
      <c r="X498" s="84" t="str">
        <f t="shared" si="2"/>
        <v>grantPlayerItems</v>
      </c>
      <c r="Y498" s="337" t="s">
        <v>4201</v>
      </c>
      <c r="Z498" s="25"/>
      <c r="AA498" s="25"/>
      <c r="AB498" s="25"/>
      <c r="AC498" s="25"/>
      <c r="AD498" s="25"/>
      <c r="AE498" s="25"/>
    </row>
    <row r="499" spans="1:31" ht="340" outlineLevel="1" x14ac:dyDescent="0.15">
      <c r="A499" s="338" t="s">
        <v>4202</v>
      </c>
      <c r="B499" s="306"/>
      <c r="C499" s="338" t="s">
        <v>2715</v>
      </c>
      <c r="D499" s="339"/>
      <c r="E499" s="338" t="s">
        <v>2114</v>
      </c>
      <c r="F499" s="339"/>
      <c r="G499" s="261" t="s">
        <v>3421</v>
      </c>
      <c r="H499" s="339"/>
      <c r="I499" s="338" t="s">
        <v>2946</v>
      </c>
      <c r="J499" s="84"/>
      <c r="K499" s="84" t="s">
        <v>4203</v>
      </c>
      <c r="L499" s="340"/>
      <c r="M499" s="332" t="s">
        <v>2678</v>
      </c>
      <c r="N499" s="306"/>
      <c r="O499" s="306"/>
      <c r="P499" s="22"/>
      <c r="Q499" s="84"/>
      <c r="R499" s="25"/>
      <c r="S499" s="25"/>
      <c r="T499" s="22"/>
      <c r="U499" s="25"/>
      <c r="V499" s="25"/>
      <c r="W499" s="25"/>
      <c r="X499" s="84" t="str">
        <f t="shared" si="2"/>
        <v>grantPlayerItems</v>
      </c>
      <c r="Y499" s="337" t="s">
        <v>4204</v>
      </c>
      <c r="Z499" s="25"/>
      <c r="AA499" s="25"/>
      <c r="AB499" s="25"/>
      <c r="AC499" s="25"/>
      <c r="AD499" s="25"/>
      <c r="AE499" s="25"/>
    </row>
    <row r="500" spans="1:31" ht="340" outlineLevel="1" x14ac:dyDescent="0.15">
      <c r="A500" s="338" t="s">
        <v>4205</v>
      </c>
      <c r="B500" s="306"/>
      <c r="C500" s="338" t="s">
        <v>2715</v>
      </c>
      <c r="D500" s="339"/>
      <c r="E500" s="338" t="s">
        <v>2114</v>
      </c>
      <c r="F500" s="339"/>
      <c r="G500" s="261" t="s">
        <v>3425</v>
      </c>
      <c r="H500" s="339"/>
      <c r="I500" s="338" t="s">
        <v>2946</v>
      </c>
      <c r="J500" s="84"/>
      <c r="K500" s="84" t="s">
        <v>4206</v>
      </c>
      <c r="L500" s="340"/>
      <c r="M500" s="332" t="s">
        <v>2678</v>
      </c>
      <c r="N500" s="306"/>
      <c r="O500" s="306"/>
      <c r="P500" s="22"/>
      <c r="Q500" s="84"/>
      <c r="R500" s="25"/>
      <c r="S500" s="25"/>
      <c r="T500" s="22"/>
      <c r="U500" s="25"/>
      <c r="V500" s="25"/>
      <c r="W500" s="25"/>
      <c r="X500" s="84" t="str">
        <f t="shared" si="2"/>
        <v>grantPlayerItems</v>
      </c>
      <c r="Y500" s="337" t="s">
        <v>4207</v>
      </c>
      <c r="Z500" s="25"/>
      <c r="AA500" s="25"/>
      <c r="AB500" s="25"/>
      <c r="AC500" s="25"/>
      <c r="AD500" s="25"/>
      <c r="AE500" s="25"/>
    </row>
    <row r="501" spans="1:31" ht="340" x14ac:dyDescent="0.15">
      <c r="A501" s="338" t="s">
        <v>4208</v>
      </c>
      <c r="B501" s="306"/>
      <c r="C501" s="338" t="s">
        <v>2715</v>
      </c>
      <c r="D501" s="339"/>
      <c r="E501" s="338" t="s">
        <v>1973</v>
      </c>
      <c r="F501" s="339"/>
      <c r="G501" s="261" t="s">
        <v>3401</v>
      </c>
      <c r="H501" s="339"/>
      <c r="I501" s="338" t="s">
        <v>2946</v>
      </c>
      <c r="J501" s="84"/>
      <c r="K501" s="84" t="s">
        <v>4209</v>
      </c>
      <c r="L501" s="340"/>
      <c r="M501" s="332" t="s">
        <v>2678</v>
      </c>
      <c r="N501" s="306"/>
      <c r="O501" s="306"/>
      <c r="P501" s="22"/>
      <c r="Q501" s="84"/>
      <c r="R501" s="25"/>
      <c r="S501" s="25"/>
      <c r="T501" s="22"/>
      <c r="U501" s="25"/>
      <c r="V501" s="25"/>
      <c r="W501" s="25"/>
      <c r="X501" s="84" t="str">
        <f t="shared" si="2"/>
        <v>grantPlayerItems</v>
      </c>
      <c r="Y501" s="337" t="s">
        <v>4210</v>
      </c>
      <c r="Z501" s="25"/>
      <c r="AA501" s="25"/>
      <c r="AB501" s="25"/>
      <c r="AC501" s="25"/>
      <c r="AD501" s="25"/>
      <c r="AE501" s="25"/>
    </row>
    <row r="502" spans="1:31" ht="340" outlineLevel="1" x14ac:dyDescent="0.15">
      <c r="A502" s="338" t="s">
        <v>4211</v>
      </c>
      <c r="B502" s="306"/>
      <c r="C502" s="338" t="s">
        <v>2715</v>
      </c>
      <c r="D502" s="339"/>
      <c r="E502" s="338" t="s">
        <v>1973</v>
      </c>
      <c r="F502" s="339"/>
      <c r="G502" s="261" t="s">
        <v>3405</v>
      </c>
      <c r="H502" s="339"/>
      <c r="I502" s="338" t="s">
        <v>2946</v>
      </c>
      <c r="J502" s="84"/>
      <c r="K502" s="84" t="s">
        <v>4212</v>
      </c>
      <c r="L502" s="340"/>
      <c r="M502" s="332" t="s">
        <v>2678</v>
      </c>
      <c r="N502" s="306"/>
      <c r="O502" s="306"/>
      <c r="P502" s="22"/>
      <c r="Q502" s="84"/>
      <c r="R502" s="25"/>
      <c r="S502" s="25"/>
      <c r="T502" s="22"/>
      <c r="U502" s="25"/>
      <c r="V502" s="25"/>
      <c r="W502" s="25"/>
      <c r="X502" s="84" t="str">
        <f t="shared" si="2"/>
        <v>grantPlayerItems</v>
      </c>
      <c r="Y502" s="337" t="s">
        <v>4213</v>
      </c>
      <c r="Z502" s="25"/>
      <c r="AA502" s="25"/>
      <c r="AB502" s="25"/>
      <c r="AC502" s="25"/>
      <c r="AD502" s="25"/>
      <c r="AE502" s="25"/>
    </row>
    <row r="503" spans="1:31" ht="340" outlineLevel="1" x14ac:dyDescent="0.15">
      <c r="A503" s="338" t="s">
        <v>4214</v>
      </c>
      <c r="B503" s="306"/>
      <c r="C503" s="338" t="s">
        <v>2715</v>
      </c>
      <c r="D503" s="339"/>
      <c r="E503" s="338" t="s">
        <v>1973</v>
      </c>
      <c r="F503" s="339"/>
      <c r="G503" s="261" t="s">
        <v>3409</v>
      </c>
      <c r="H503" s="339"/>
      <c r="I503" s="338" t="s">
        <v>2946</v>
      </c>
      <c r="J503" s="84"/>
      <c r="K503" s="84" t="s">
        <v>4215</v>
      </c>
      <c r="L503" s="340"/>
      <c r="M503" s="332" t="s">
        <v>2678</v>
      </c>
      <c r="N503" s="306"/>
      <c r="O503" s="306"/>
      <c r="P503" s="22"/>
      <c r="Q503" s="84"/>
      <c r="R503" s="25"/>
      <c r="S503" s="25"/>
      <c r="T503" s="22"/>
      <c r="U503" s="25"/>
      <c r="V503" s="25"/>
      <c r="W503" s="25"/>
      <c r="X503" s="84" t="str">
        <f t="shared" si="2"/>
        <v>grantPlayerItems</v>
      </c>
      <c r="Y503" s="337" t="s">
        <v>4216</v>
      </c>
      <c r="Z503" s="25"/>
      <c r="AA503" s="25"/>
      <c r="AB503" s="25"/>
      <c r="AC503" s="25"/>
      <c r="AD503" s="25"/>
      <c r="AE503" s="25"/>
    </row>
    <row r="504" spans="1:31" ht="340" outlineLevel="1" x14ac:dyDescent="0.15">
      <c r="A504" s="338" t="s">
        <v>4217</v>
      </c>
      <c r="B504" s="306"/>
      <c r="C504" s="338" t="s">
        <v>2715</v>
      </c>
      <c r="D504" s="339"/>
      <c r="E504" s="338" t="s">
        <v>1973</v>
      </c>
      <c r="F504" s="339"/>
      <c r="G504" s="261" t="s">
        <v>3413</v>
      </c>
      <c r="H504" s="339"/>
      <c r="I504" s="338" t="s">
        <v>2946</v>
      </c>
      <c r="J504" s="84"/>
      <c r="K504" s="84" t="s">
        <v>4218</v>
      </c>
      <c r="L504" s="340"/>
      <c r="M504" s="332" t="s">
        <v>2678</v>
      </c>
      <c r="N504" s="306"/>
      <c r="O504" s="306"/>
      <c r="P504" s="22"/>
      <c r="Q504" s="84"/>
      <c r="R504" s="25"/>
      <c r="S504" s="25"/>
      <c r="T504" s="22"/>
      <c r="U504" s="25"/>
      <c r="V504" s="25"/>
      <c r="W504" s="25"/>
      <c r="X504" s="84" t="str">
        <f t="shared" si="2"/>
        <v>grantPlayerItems</v>
      </c>
      <c r="Y504" s="337" t="s">
        <v>4219</v>
      </c>
      <c r="Z504" s="25"/>
      <c r="AA504" s="25"/>
      <c r="AB504" s="25"/>
      <c r="AC504" s="25"/>
      <c r="AD504" s="25"/>
      <c r="AE504" s="25"/>
    </row>
    <row r="505" spans="1:31" ht="340" outlineLevel="1" x14ac:dyDescent="0.15">
      <c r="A505" s="338" t="s">
        <v>4220</v>
      </c>
      <c r="B505" s="306"/>
      <c r="C505" s="338" t="s">
        <v>2715</v>
      </c>
      <c r="D505" s="339"/>
      <c r="E505" s="338" t="s">
        <v>1973</v>
      </c>
      <c r="F505" s="339"/>
      <c r="G505" s="261" t="s">
        <v>3417</v>
      </c>
      <c r="H505" s="339"/>
      <c r="I505" s="338" t="s">
        <v>2946</v>
      </c>
      <c r="J505" s="84"/>
      <c r="K505" s="84" t="s">
        <v>4221</v>
      </c>
      <c r="L505" s="340"/>
      <c r="M505" s="332" t="s">
        <v>2678</v>
      </c>
      <c r="N505" s="306"/>
      <c r="O505" s="306"/>
      <c r="P505" s="22"/>
      <c r="Q505" s="84"/>
      <c r="R505" s="25"/>
      <c r="S505" s="25"/>
      <c r="T505" s="22"/>
      <c r="U505" s="25"/>
      <c r="V505" s="25"/>
      <c r="W505" s="25"/>
      <c r="X505" s="84" t="str">
        <f t="shared" si="2"/>
        <v>grantPlayerItems</v>
      </c>
      <c r="Y505" s="337" t="s">
        <v>4222</v>
      </c>
      <c r="Z505" s="25"/>
      <c r="AA505" s="25"/>
      <c r="AB505" s="25"/>
      <c r="AC505" s="25"/>
      <c r="AD505" s="25"/>
      <c r="AE505" s="25"/>
    </row>
    <row r="506" spans="1:31" ht="340" outlineLevel="1" x14ac:dyDescent="0.15">
      <c r="A506" s="338" t="s">
        <v>4223</v>
      </c>
      <c r="B506" s="306"/>
      <c r="C506" s="338" t="s">
        <v>2715</v>
      </c>
      <c r="D506" s="339"/>
      <c r="E506" s="338" t="s">
        <v>1973</v>
      </c>
      <c r="F506" s="339"/>
      <c r="G506" s="261" t="s">
        <v>3421</v>
      </c>
      <c r="H506" s="339"/>
      <c r="I506" s="338" t="s">
        <v>2946</v>
      </c>
      <c r="J506" s="84"/>
      <c r="K506" s="84" t="s">
        <v>4224</v>
      </c>
      <c r="L506" s="340"/>
      <c r="M506" s="332" t="s">
        <v>2678</v>
      </c>
      <c r="N506" s="306"/>
      <c r="O506" s="306"/>
      <c r="P506" s="22"/>
      <c r="Q506" s="84"/>
      <c r="R506" s="25"/>
      <c r="S506" s="25"/>
      <c r="T506" s="22"/>
      <c r="U506" s="25"/>
      <c r="V506" s="25"/>
      <c r="W506" s="25"/>
      <c r="X506" s="84" t="str">
        <f t="shared" si="2"/>
        <v>grantPlayerItems</v>
      </c>
      <c r="Y506" s="337" t="s">
        <v>4225</v>
      </c>
      <c r="Z506" s="25"/>
      <c r="AA506" s="25"/>
      <c r="AB506" s="25"/>
      <c r="AC506" s="25"/>
      <c r="AD506" s="25"/>
      <c r="AE506" s="25"/>
    </row>
    <row r="507" spans="1:31" ht="340" outlineLevel="1" x14ac:dyDescent="0.15">
      <c r="A507" s="338" t="s">
        <v>4226</v>
      </c>
      <c r="B507" s="306"/>
      <c r="C507" s="338" t="s">
        <v>2715</v>
      </c>
      <c r="D507" s="339"/>
      <c r="E507" s="338" t="s">
        <v>1973</v>
      </c>
      <c r="F507" s="339"/>
      <c r="G507" s="261" t="s">
        <v>3425</v>
      </c>
      <c r="H507" s="339"/>
      <c r="I507" s="338" t="s">
        <v>2946</v>
      </c>
      <c r="J507" s="84"/>
      <c r="K507" s="84" t="s">
        <v>4227</v>
      </c>
      <c r="L507" s="340"/>
      <c r="M507" s="332" t="s">
        <v>2678</v>
      </c>
      <c r="N507" s="306"/>
      <c r="O507" s="306"/>
      <c r="P507" s="22"/>
      <c r="Q507" s="84"/>
      <c r="R507" s="25"/>
      <c r="S507" s="25"/>
      <c r="T507" s="22"/>
      <c r="U507" s="25"/>
      <c r="V507" s="25"/>
      <c r="W507" s="25"/>
      <c r="X507" s="84" t="str">
        <f t="shared" si="2"/>
        <v>grantPlayerItems</v>
      </c>
      <c r="Y507" s="337" t="s">
        <v>4228</v>
      </c>
      <c r="Z507" s="25"/>
      <c r="AA507" s="25"/>
      <c r="AB507" s="25"/>
      <c r="AC507" s="25"/>
      <c r="AD507" s="25"/>
      <c r="AE507" s="25"/>
    </row>
    <row r="508" spans="1:31" ht="340" x14ac:dyDescent="0.15">
      <c r="A508" s="338" t="s">
        <v>4229</v>
      </c>
      <c r="B508" s="306"/>
      <c r="C508" s="338" t="s">
        <v>2715</v>
      </c>
      <c r="D508" s="339"/>
      <c r="E508" s="338" t="s">
        <v>1934</v>
      </c>
      <c r="F508" s="339"/>
      <c r="G508" s="261" t="s">
        <v>3401</v>
      </c>
      <c r="H508" s="339"/>
      <c r="I508" s="338" t="s">
        <v>2946</v>
      </c>
      <c r="J508" s="84"/>
      <c r="K508" s="84" t="s">
        <v>4230</v>
      </c>
      <c r="L508" s="340"/>
      <c r="M508" s="332" t="s">
        <v>2678</v>
      </c>
      <c r="N508" s="306"/>
      <c r="O508" s="306"/>
      <c r="P508" s="22"/>
      <c r="Q508" s="84"/>
      <c r="R508" s="25"/>
      <c r="S508" s="25"/>
      <c r="T508" s="22"/>
      <c r="U508" s="25"/>
      <c r="V508" s="25"/>
      <c r="W508" s="25"/>
      <c r="X508" s="84" t="str">
        <f t="shared" si="2"/>
        <v>grantPlayerItems</v>
      </c>
      <c r="Y508" s="337" t="s">
        <v>4231</v>
      </c>
      <c r="Z508" s="25"/>
      <c r="AA508" s="25"/>
      <c r="AB508" s="25"/>
      <c r="AC508" s="25"/>
      <c r="AD508" s="25"/>
      <c r="AE508" s="25"/>
    </row>
    <row r="509" spans="1:31" ht="340" outlineLevel="1" x14ac:dyDescent="0.15">
      <c r="A509" s="338" t="s">
        <v>4232</v>
      </c>
      <c r="B509" s="306"/>
      <c r="C509" s="338" t="s">
        <v>2715</v>
      </c>
      <c r="D509" s="339"/>
      <c r="E509" s="338" t="s">
        <v>1934</v>
      </c>
      <c r="F509" s="339"/>
      <c r="G509" s="261" t="s">
        <v>3405</v>
      </c>
      <c r="H509" s="339"/>
      <c r="I509" s="338" t="s">
        <v>2946</v>
      </c>
      <c r="J509" s="84"/>
      <c r="K509" s="84" t="s">
        <v>4233</v>
      </c>
      <c r="L509" s="340"/>
      <c r="M509" s="332" t="s">
        <v>2678</v>
      </c>
      <c r="N509" s="306"/>
      <c r="O509" s="306"/>
      <c r="P509" s="22"/>
      <c r="Q509" s="84"/>
      <c r="R509" s="25"/>
      <c r="S509" s="25"/>
      <c r="T509" s="22"/>
      <c r="U509" s="25"/>
      <c r="V509" s="25"/>
      <c r="W509" s="25"/>
      <c r="X509" s="84" t="str">
        <f t="shared" si="2"/>
        <v>grantPlayerItems</v>
      </c>
      <c r="Y509" s="337" t="s">
        <v>4234</v>
      </c>
      <c r="Z509" s="25"/>
      <c r="AA509" s="25"/>
      <c r="AB509" s="25"/>
      <c r="AC509" s="25"/>
      <c r="AD509" s="25"/>
      <c r="AE509" s="25"/>
    </row>
    <row r="510" spans="1:31" ht="340" outlineLevel="1" x14ac:dyDescent="0.15">
      <c r="A510" s="338" t="s">
        <v>4235</v>
      </c>
      <c r="B510" s="306"/>
      <c r="C510" s="338" t="s">
        <v>2715</v>
      </c>
      <c r="D510" s="339"/>
      <c r="E510" s="338" t="s">
        <v>1934</v>
      </c>
      <c r="F510" s="339"/>
      <c r="G510" s="261" t="s">
        <v>3409</v>
      </c>
      <c r="H510" s="339"/>
      <c r="I510" s="338" t="s">
        <v>2946</v>
      </c>
      <c r="J510" s="84"/>
      <c r="K510" s="84" t="s">
        <v>4236</v>
      </c>
      <c r="L510" s="340"/>
      <c r="M510" s="332" t="s">
        <v>2678</v>
      </c>
      <c r="N510" s="306"/>
      <c r="O510" s="306"/>
      <c r="P510" s="22"/>
      <c r="Q510" s="84"/>
      <c r="R510" s="25"/>
      <c r="S510" s="25"/>
      <c r="T510" s="22"/>
      <c r="U510" s="25"/>
      <c r="V510" s="25"/>
      <c r="W510" s="25"/>
      <c r="X510" s="84" t="str">
        <f t="shared" si="2"/>
        <v>grantPlayerItems</v>
      </c>
      <c r="Y510" s="337" t="s">
        <v>4237</v>
      </c>
      <c r="Z510" s="25"/>
      <c r="AA510" s="25"/>
      <c r="AB510" s="25"/>
      <c r="AC510" s="25"/>
      <c r="AD510" s="25"/>
      <c r="AE510" s="25"/>
    </row>
    <row r="511" spans="1:31" ht="340" outlineLevel="1" x14ac:dyDescent="0.15">
      <c r="A511" s="338" t="s">
        <v>4238</v>
      </c>
      <c r="B511" s="306"/>
      <c r="C511" s="338" t="s">
        <v>2715</v>
      </c>
      <c r="D511" s="339"/>
      <c r="E511" s="338" t="s">
        <v>1934</v>
      </c>
      <c r="F511" s="339"/>
      <c r="G511" s="261" t="s">
        <v>3413</v>
      </c>
      <c r="H511" s="339"/>
      <c r="I511" s="338" t="s">
        <v>2946</v>
      </c>
      <c r="J511" s="84"/>
      <c r="K511" s="84" t="s">
        <v>4239</v>
      </c>
      <c r="L511" s="340"/>
      <c r="M511" s="332" t="s">
        <v>2678</v>
      </c>
      <c r="N511" s="306"/>
      <c r="O511" s="306"/>
      <c r="P511" s="22"/>
      <c r="Q511" s="84"/>
      <c r="R511" s="25"/>
      <c r="S511" s="25"/>
      <c r="T511" s="22"/>
      <c r="U511" s="25"/>
      <c r="V511" s="25"/>
      <c r="W511" s="25"/>
      <c r="X511" s="84" t="str">
        <f t="shared" si="2"/>
        <v>grantPlayerItems</v>
      </c>
      <c r="Y511" s="337" t="s">
        <v>4240</v>
      </c>
      <c r="Z511" s="25"/>
      <c r="AA511" s="25"/>
      <c r="AB511" s="25"/>
      <c r="AC511" s="25"/>
      <c r="AD511" s="25"/>
      <c r="AE511" s="25"/>
    </row>
    <row r="512" spans="1:31" ht="340" outlineLevel="1" x14ac:dyDescent="0.15">
      <c r="A512" s="338" t="s">
        <v>4241</v>
      </c>
      <c r="B512" s="306"/>
      <c r="C512" s="338" t="s">
        <v>2715</v>
      </c>
      <c r="D512" s="339"/>
      <c r="E512" s="338" t="s">
        <v>1934</v>
      </c>
      <c r="F512" s="339"/>
      <c r="G512" s="261" t="s">
        <v>3417</v>
      </c>
      <c r="H512" s="339"/>
      <c r="I512" s="338" t="s">
        <v>2946</v>
      </c>
      <c r="J512" s="84"/>
      <c r="K512" s="84" t="s">
        <v>4242</v>
      </c>
      <c r="L512" s="340"/>
      <c r="M512" s="332" t="s">
        <v>2678</v>
      </c>
      <c r="N512" s="306"/>
      <c r="O512" s="306"/>
      <c r="P512" s="22"/>
      <c r="Q512" s="84"/>
      <c r="R512" s="25"/>
      <c r="S512" s="25"/>
      <c r="T512" s="22"/>
      <c r="U512" s="25"/>
      <c r="V512" s="25"/>
      <c r="W512" s="25"/>
      <c r="X512" s="84" t="str">
        <f t="shared" si="2"/>
        <v>grantPlayerItems</v>
      </c>
      <c r="Y512" s="337" t="s">
        <v>4243</v>
      </c>
      <c r="Z512" s="25"/>
      <c r="AA512" s="25"/>
      <c r="AB512" s="25"/>
      <c r="AC512" s="25"/>
      <c r="AD512" s="25"/>
      <c r="AE512" s="25"/>
    </row>
    <row r="513" spans="1:31" ht="340" outlineLevel="1" x14ac:dyDescent="0.15">
      <c r="A513" s="338" t="s">
        <v>4244</v>
      </c>
      <c r="B513" s="306"/>
      <c r="C513" s="338" t="s">
        <v>2715</v>
      </c>
      <c r="D513" s="339"/>
      <c r="E513" s="338" t="s">
        <v>1934</v>
      </c>
      <c r="F513" s="339"/>
      <c r="G513" s="261" t="s">
        <v>3421</v>
      </c>
      <c r="H513" s="339"/>
      <c r="I513" s="338" t="s">
        <v>2946</v>
      </c>
      <c r="J513" s="84"/>
      <c r="K513" s="84" t="s">
        <v>4245</v>
      </c>
      <c r="L513" s="340"/>
      <c r="M513" s="332" t="s">
        <v>2678</v>
      </c>
      <c r="N513" s="306"/>
      <c r="O513" s="306"/>
      <c r="P513" s="22"/>
      <c r="Q513" s="84"/>
      <c r="R513" s="25"/>
      <c r="S513" s="25"/>
      <c r="T513" s="22"/>
      <c r="U513" s="25"/>
      <c r="V513" s="25"/>
      <c r="W513" s="25"/>
      <c r="X513" s="84" t="str">
        <f t="shared" si="2"/>
        <v>grantPlayerItems</v>
      </c>
      <c r="Y513" s="337" t="s">
        <v>4246</v>
      </c>
      <c r="Z513" s="25"/>
      <c r="AA513" s="25"/>
      <c r="AB513" s="25"/>
      <c r="AC513" s="25"/>
      <c r="AD513" s="25"/>
      <c r="AE513" s="25"/>
    </row>
    <row r="514" spans="1:31" ht="340" outlineLevel="1" x14ac:dyDescent="0.15">
      <c r="A514" s="338" t="s">
        <v>4247</v>
      </c>
      <c r="B514" s="306"/>
      <c r="C514" s="338" t="s">
        <v>2715</v>
      </c>
      <c r="D514" s="339"/>
      <c r="E514" s="338" t="s">
        <v>1934</v>
      </c>
      <c r="F514" s="339"/>
      <c r="G514" s="261" t="s">
        <v>3425</v>
      </c>
      <c r="H514" s="339"/>
      <c r="I514" s="338" t="s">
        <v>2946</v>
      </c>
      <c r="J514" s="84"/>
      <c r="K514" s="84" t="s">
        <v>4248</v>
      </c>
      <c r="L514" s="340"/>
      <c r="M514" s="332" t="s">
        <v>2678</v>
      </c>
      <c r="N514" s="306"/>
      <c r="O514" s="306"/>
      <c r="P514" s="22"/>
      <c r="Q514" s="84"/>
      <c r="R514" s="25"/>
      <c r="S514" s="25"/>
      <c r="T514" s="22"/>
      <c r="U514" s="25"/>
      <c r="V514" s="25"/>
      <c r="W514" s="25"/>
      <c r="X514" s="84" t="str">
        <f t="shared" si="2"/>
        <v>grantPlayerItems</v>
      </c>
      <c r="Y514" s="337" t="s">
        <v>4249</v>
      </c>
      <c r="Z514" s="25"/>
      <c r="AA514" s="25"/>
      <c r="AB514" s="25"/>
      <c r="AC514" s="25"/>
      <c r="AD514" s="25"/>
      <c r="AE514" s="25"/>
    </row>
    <row r="515" spans="1:31" ht="340" x14ac:dyDescent="0.15">
      <c r="A515" s="338" t="s">
        <v>4250</v>
      </c>
      <c r="B515" s="306"/>
      <c r="C515" s="338" t="s">
        <v>2715</v>
      </c>
      <c r="D515" s="339"/>
      <c r="E515" s="338" t="s">
        <v>1901</v>
      </c>
      <c r="F515" s="339"/>
      <c r="G515" s="261" t="s">
        <v>3401</v>
      </c>
      <c r="H515" s="339"/>
      <c r="I515" s="338" t="s">
        <v>2946</v>
      </c>
      <c r="J515" s="84"/>
      <c r="K515" s="84" t="s">
        <v>4251</v>
      </c>
      <c r="L515" s="340"/>
      <c r="M515" s="332" t="s">
        <v>2678</v>
      </c>
      <c r="N515" s="306"/>
      <c r="O515" s="306"/>
      <c r="P515" s="22"/>
      <c r="Q515" s="84"/>
      <c r="R515" s="25"/>
      <c r="S515" s="25"/>
      <c r="T515" s="22"/>
      <c r="U515" s="25"/>
      <c r="V515" s="25"/>
      <c r="W515" s="25"/>
      <c r="X515" s="84" t="str">
        <f t="shared" si="2"/>
        <v>grantPlayerItems</v>
      </c>
      <c r="Y515" s="337" t="s">
        <v>4252</v>
      </c>
      <c r="Z515" s="25"/>
      <c r="AA515" s="25"/>
      <c r="AB515" s="25"/>
      <c r="AC515" s="25"/>
      <c r="AD515" s="25"/>
      <c r="AE515" s="25"/>
    </row>
    <row r="516" spans="1:31" ht="340" outlineLevel="1" x14ac:dyDescent="0.15">
      <c r="A516" s="338" t="s">
        <v>4253</v>
      </c>
      <c r="B516" s="306"/>
      <c r="C516" s="338" t="s">
        <v>2715</v>
      </c>
      <c r="D516" s="339"/>
      <c r="E516" s="338" t="s">
        <v>1901</v>
      </c>
      <c r="F516" s="339"/>
      <c r="G516" s="261" t="s">
        <v>3405</v>
      </c>
      <c r="H516" s="339"/>
      <c r="I516" s="338" t="s">
        <v>2946</v>
      </c>
      <c r="J516" s="84"/>
      <c r="K516" s="84" t="s">
        <v>4254</v>
      </c>
      <c r="L516" s="340"/>
      <c r="M516" s="332" t="s">
        <v>2678</v>
      </c>
      <c r="N516" s="306"/>
      <c r="O516" s="306"/>
      <c r="P516" s="22"/>
      <c r="Q516" s="84"/>
      <c r="R516" s="25"/>
      <c r="S516" s="25"/>
      <c r="T516" s="22"/>
      <c r="U516" s="25"/>
      <c r="V516" s="25"/>
      <c r="W516" s="25"/>
      <c r="X516" s="84" t="str">
        <f t="shared" si="2"/>
        <v>grantPlayerItems</v>
      </c>
      <c r="Y516" s="337" t="s">
        <v>4255</v>
      </c>
      <c r="Z516" s="25"/>
      <c r="AA516" s="25"/>
      <c r="AB516" s="25"/>
      <c r="AC516" s="25"/>
      <c r="AD516" s="25"/>
      <c r="AE516" s="25"/>
    </row>
    <row r="517" spans="1:31" ht="340" outlineLevel="1" x14ac:dyDescent="0.15">
      <c r="A517" s="338" t="s">
        <v>4256</v>
      </c>
      <c r="B517" s="306"/>
      <c r="C517" s="338" t="s">
        <v>2715</v>
      </c>
      <c r="D517" s="339"/>
      <c r="E517" s="338" t="s">
        <v>1901</v>
      </c>
      <c r="F517" s="339"/>
      <c r="G517" s="261" t="s">
        <v>3409</v>
      </c>
      <c r="H517" s="339"/>
      <c r="I517" s="338" t="s">
        <v>2946</v>
      </c>
      <c r="J517" s="84"/>
      <c r="K517" s="84" t="s">
        <v>4257</v>
      </c>
      <c r="L517" s="340"/>
      <c r="M517" s="332" t="s">
        <v>2678</v>
      </c>
      <c r="N517" s="306"/>
      <c r="O517" s="306"/>
      <c r="P517" s="22"/>
      <c r="Q517" s="84"/>
      <c r="R517" s="25"/>
      <c r="S517" s="25"/>
      <c r="T517" s="22"/>
      <c r="U517" s="25"/>
      <c r="V517" s="25"/>
      <c r="W517" s="25"/>
      <c r="X517" s="84" t="str">
        <f t="shared" si="2"/>
        <v>grantPlayerItems</v>
      </c>
      <c r="Y517" s="337" t="s">
        <v>4258</v>
      </c>
      <c r="Z517" s="25"/>
      <c r="AA517" s="25"/>
      <c r="AB517" s="25"/>
      <c r="AC517" s="25"/>
      <c r="AD517" s="25"/>
      <c r="AE517" s="25"/>
    </row>
    <row r="518" spans="1:31" ht="340" outlineLevel="1" x14ac:dyDescent="0.15">
      <c r="A518" s="338" t="s">
        <v>4259</v>
      </c>
      <c r="B518" s="306"/>
      <c r="C518" s="338" t="s">
        <v>2715</v>
      </c>
      <c r="D518" s="339"/>
      <c r="E518" s="338" t="s">
        <v>1901</v>
      </c>
      <c r="F518" s="339"/>
      <c r="G518" s="261" t="s">
        <v>3413</v>
      </c>
      <c r="H518" s="339"/>
      <c r="I518" s="338" t="s">
        <v>2946</v>
      </c>
      <c r="J518" s="84"/>
      <c r="K518" s="84" t="s">
        <v>4260</v>
      </c>
      <c r="L518" s="340"/>
      <c r="M518" s="332" t="s">
        <v>2678</v>
      </c>
      <c r="N518" s="306"/>
      <c r="O518" s="306"/>
      <c r="P518" s="22"/>
      <c r="Q518" s="84"/>
      <c r="R518" s="25"/>
      <c r="S518" s="25"/>
      <c r="T518" s="22"/>
      <c r="U518" s="25"/>
      <c r="V518" s="25"/>
      <c r="W518" s="25"/>
      <c r="X518" s="84" t="str">
        <f t="shared" si="2"/>
        <v>grantPlayerItems</v>
      </c>
      <c r="Y518" s="337" t="s">
        <v>4261</v>
      </c>
      <c r="Z518" s="25"/>
      <c r="AA518" s="25"/>
      <c r="AB518" s="25"/>
      <c r="AC518" s="25"/>
      <c r="AD518" s="25"/>
      <c r="AE518" s="25"/>
    </row>
    <row r="519" spans="1:31" ht="340" outlineLevel="1" x14ac:dyDescent="0.15">
      <c r="A519" s="338" t="s">
        <v>4262</v>
      </c>
      <c r="B519" s="306"/>
      <c r="C519" s="338" t="s">
        <v>2715</v>
      </c>
      <c r="D519" s="339"/>
      <c r="E519" s="338" t="s">
        <v>1901</v>
      </c>
      <c r="F519" s="339"/>
      <c r="G519" s="261" t="s">
        <v>3417</v>
      </c>
      <c r="H519" s="339"/>
      <c r="I519" s="338" t="s">
        <v>2946</v>
      </c>
      <c r="J519" s="84"/>
      <c r="K519" s="84" t="s">
        <v>4263</v>
      </c>
      <c r="L519" s="340"/>
      <c r="M519" s="332" t="s">
        <v>2678</v>
      </c>
      <c r="N519" s="306"/>
      <c r="O519" s="306"/>
      <c r="P519" s="22"/>
      <c r="Q519" s="84"/>
      <c r="R519" s="25"/>
      <c r="S519" s="25"/>
      <c r="T519" s="22"/>
      <c r="U519" s="25"/>
      <c r="V519" s="25"/>
      <c r="W519" s="25"/>
      <c r="X519" s="84" t="str">
        <f t="shared" si="2"/>
        <v>grantPlayerItems</v>
      </c>
      <c r="Y519" s="337" t="s">
        <v>4264</v>
      </c>
      <c r="Z519" s="25"/>
      <c r="AA519" s="25"/>
      <c r="AB519" s="25"/>
      <c r="AC519" s="25"/>
      <c r="AD519" s="25"/>
      <c r="AE519" s="25"/>
    </row>
    <row r="520" spans="1:31" ht="340" outlineLevel="1" x14ac:dyDescent="0.15">
      <c r="A520" s="338" t="s">
        <v>4265</v>
      </c>
      <c r="B520" s="306"/>
      <c r="C520" s="338" t="s">
        <v>2715</v>
      </c>
      <c r="D520" s="339"/>
      <c r="E520" s="338" t="s">
        <v>1901</v>
      </c>
      <c r="F520" s="339"/>
      <c r="G520" s="261" t="s">
        <v>3421</v>
      </c>
      <c r="H520" s="339"/>
      <c r="I520" s="338" t="s">
        <v>2946</v>
      </c>
      <c r="J520" s="84"/>
      <c r="K520" s="84" t="s">
        <v>4266</v>
      </c>
      <c r="L520" s="340"/>
      <c r="M520" s="332" t="s">
        <v>2678</v>
      </c>
      <c r="N520" s="306"/>
      <c r="O520" s="306"/>
      <c r="P520" s="22"/>
      <c r="Q520" s="84"/>
      <c r="R520" s="25"/>
      <c r="S520" s="25"/>
      <c r="T520" s="22"/>
      <c r="U520" s="25"/>
      <c r="V520" s="25"/>
      <c r="W520" s="25"/>
      <c r="X520" s="84" t="str">
        <f t="shared" si="2"/>
        <v>grantPlayerItems</v>
      </c>
      <c r="Y520" s="337" t="s">
        <v>4267</v>
      </c>
      <c r="Z520" s="25"/>
      <c r="AA520" s="25"/>
      <c r="AB520" s="25"/>
      <c r="AC520" s="25"/>
      <c r="AD520" s="25"/>
      <c r="AE520" s="25"/>
    </row>
    <row r="521" spans="1:31" ht="340" outlineLevel="1" x14ac:dyDescent="0.15">
      <c r="A521" s="338" t="s">
        <v>4268</v>
      </c>
      <c r="B521" s="306"/>
      <c r="C521" s="338" t="s">
        <v>2715</v>
      </c>
      <c r="D521" s="339"/>
      <c r="E521" s="338" t="s">
        <v>1901</v>
      </c>
      <c r="F521" s="339"/>
      <c r="G521" s="261" t="s">
        <v>3425</v>
      </c>
      <c r="H521" s="339"/>
      <c r="I521" s="338" t="s">
        <v>2946</v>
      </c>
      <c r="J521" s="84"/>
      <c r="K521" s="84" t="s">
        <v>4269</v>
      </c>
      <c r="L521" s="340"/>
      <c r="M521" s="332" t="s">
        <v>2678</v>
      </c>
      <c r="N521" s="306"/>
      <c r="O521" s="306"/>
      <c r="P521" s="22"/>
      <c r="Q521" s="84"/>
      <c r="R521" s="25"/>
      <c r="S521" s="25"/>
      <c r="T521" s="22"/>
      <c r="U521" s="25"/>
      <c r="V521" s="25"/>
      <c r="W521" s="25"/>
      <c r="X521" s="84" t="str">
        <f t="shared" si="2"/>
        <v>grantPlayerItems</v>
      </c>
      <c r="Y521" s="337" t="s">
        <v>4270</v>
      </c>
      <c r="Z521" s="25"/>
      <c r="AA521" s="25"/>
      <c r="AB521" s="25"/>
      <c r="AC521" s="25"/>
      <c r="AD521" s="25"/>
      <c r="AE521" s="25"/>
    </row>
    <row r="522" spans="1:31" ht="340" x14ac:dyDescent="0.15">
      <c r="A522" s="338" t="s">
        <v>4271</v>
      </c>
      <c r="B522" s="306"/>
      <c r="C522" s="338" t="s">
        <v>2715</v>
      </c>
      <c r="D522" s="339"/>
      <c r="E522" s="338" t="s">
        <v>1908</v>
      </c>
      <c r="F522" s="339"/>
      <c r="G522" s="261" t="s">
        <v>3401</v>
      </c>
      <c r="H522" s="339"/>
      <c r="I522" s="338" t="s">
        <v>2946</v>
      </c>
      <c r="J522" s="84"/>
      <c r="K522" s="84" t="s">
        <v>4272</v>
      </c>
      <c r="L522" s="340"/>
      <c r="M522" s="332" t="s">
        <v>2678</v>
      </c>
      <c r="N522" s="306"/>
      <c r="O522" s="306"/>
      <c r="P522" s="22"/>
      <c r="Q522" s="84"/>
      <c r="R522" s="25"/>
      <c r="S522" s="25"/>
      <c r="T522" s="22"/>
      <c r="U522" s="25"/>
      <c r="V522" s="25"/>
      <c r="W522" s="25"/>
      <c r="X522" s="84" t="str">
        <f t="shared" si="2"/>
        <v>grantPlayerItems</v>
      </c>
      <c r="Y522" s="337" t="s">
        <v>4273</v>
      </c>
      <c r="Z522" s="25"/>
      <c r="AA522" s="25"/>
      <c r="AB522" s="25"/>
      <c r="AC522" s="25"/>
      <c r="AD522" s="25"/>
      <c r="AE522" s="25"/>
    </row>
    <row r="523" spans="1:31" ht="340" outlineLevel="1" x14ac:dyDescent="0.15">
      <c r="A523" s="338" t="s">
        <v>4274</v>
      </c>
      <c r="B523" s="306"/>
      <c r="C523" s="338" t="s">
        <v>2715</v>
      </c>
      <c r="D523" s="339"/>
      <c r="E523" s="338" t="s">
        <v>1908</v>
      </c>
      <c r="F523" s="339"/>
      <c r="G523" s="261" t="s">
        <v>3405</v>
      </c>
      <c r="H523" s="339"/>
      <c r="I523" s="338" t="s">
        <v>2946</v>
      </c>
      <c r="J523" s="84"/>
      <c r="K523" s="84" t="s">
        <v>4275</v>
      </c>
      <c r="L523" s="340"/>
      <c r="M523" s="332" t="s">
        <v>2678</v>
      </c>
      <c r="N523" s="306"/>
      <c r="O523" s="306"/>
      <c r="P523" s="22"/>
      <c r="Q523" s="84"/>
      <c r="R523" s="25"/>
      <c r="S523" s="25"/>
      <c r="T523" s="22"/>
      <c r="U523" s="25"/>
      <c r="V523" s="25"/>
      <c r="W523" s="25"/>
      <c r="X523" s="84" t="str">
        <f t="shared" si="2"/>
        <v>grantPlayerItems</v>
      </c>
      <c r="Y523" s="337" t="s">
        <v>4276</v>
      </c>
      <c r="Z523" s="25"/>
      <c r="AA523" s="25"/>
      <c r="AB523" s="25"/>
      <c r="AC523" s="25"/>
      <c r="AD523" s="25"/>
      <c r="AE523" s="25"/>
    </row>
    <row r="524" spans="1:31" ht="340" outlineLevel="1" x14ac:dyDescent="0.15">
      <c r="A524" s="338" t="s">
        <v>4277</v>
      </c>
      <c r="B524" s="306"/>
      <c r="C524" s="338" t="s">
        <v>2715</v>
      </c>
      <c r="D524" s="339"/>
      <c r="E524" s="338" t="s">
        <v>1908</v>
      </c>
      <c r="F524" s="339"/>
      <c r="G524" s="261" t="s">
        <v>3409</v>
      </c>
      <c r="H524" s="339"/>
      <c r="I524" s="338" t="s">
        <v>2946</v>
      </c>
      <c r="J524" s="84"/>
      <c r="K524" s="84" t="s">
        <v>4278</v>
      </c>
      <c r="L524" s="340"/>
      <c r="M524" s="332" t="s">
        <v>2678</v>
      </c>
      <c r="N524" s="306"/>
      <c r="O524" s="306"/>
      <c r="P524" s="22"/>
      <c r="Q524" s="84"/>
      <c r="R524" s="25"/>
      <c r="S524" s="25"/>
      <c r="T524" s="22"/>
      <c r="U524" s="25"/>
      <c r="V524" s="25"/>
      <c r="W524" s="25"/>
      <c r="X524" s="84" t="str">
        <f t="shared" si="2"/>
        <v>grantPlayerItems</v>
      </c>
      <c r="Y524" s="337" t="s">
        <v>4279</v>
      </c>
      <c r="Z524" s="25"/>
      <c r="AA524" s="25"/>
      <c r="AB524" s="25"/>
      <c r="AC524" s="25"/>
      <c r="AD524" s="25"/>
      <c r="AE524" s="25"/>
    </row>
    <row r="525" spans="1:31" ht="340" outlineLevel="1" x14ac:dyDescent="0.15">
      <c r="A525" s="338" t="s">
        <v>4280</v>
      </c>
      <c r="B525" s="306"/>
      <c r="C525" s="338" t="s">
        <v>2715</v>
      </c>
      <c r="D525" s="339"/>
      <c r="E525" s="338" t="s">
        <v>1908</v>
      </c>
      <c r="F525" s="339"/>
      <c r="G525" s="261" t="s">
        <v>3413</v>
      </c>
      <c r="H525" s="339"/>
      <c r="I525" s="338" t="s">
        <v>2946</v>
      </c>
      <c r="J525" s="84"/>
      <c r="K525" s="84" t="s">
        <v>4281</v>
      </c>
      <c r="L525" s="340"/>
      <c r="M525" s="332" t="s">
        <v>2678</v>
      </c>
      <c r="N525" s="306"/>
      <c r="O525" s="306"/>
      <c r="P525" s="22"/>
      <c r="Q525" s="84"/>
      <c r="R525" s="25"/>
      <c r="S525" s="25"/>
      <c r="T525" s="22"/>
      <c r="U525" s="25"/>
      <c r="V525" s="25"/>
      <c r="W525" s="25"/>
      <c r="X525" s="84" t="str">
        <f t="shared" si="2"/>
        <v>grantPlayerItems</v>
      </c>
      <c r="Y525" s="337" t="s">
        <v>4282</v>
      </c>
      <c r="Z525" s="25"/>
      <c r="AA525" s="25"/>
      <c r="AB525" s="25"/>
      <c r="AC525" s="25"/>
      <c r="AD525" s="25"/>
      <c r="AE525" s="25"/>
    </row>
    <row r="526" spans="1:31" ht="340" outlineLevel="1" x14ac:dyDescent="0.15">
      <c r="A526" s="338" t="s">
        <v>4283</v>
      </c>
      <c r="B526" s="306"/>
      <c r="C526" s="338" t="s">
        <v>2715</v>
      </c>
      <c r="D526" s="339"/>
      <c r="E526" s="338" t="s">
        <v>1908</v>
      </c>
      <c r="F526" s="339"/>
      <c r="G526" s="261" t="s">
        <v>3417</v>
      </c>
      <c r="H526" s="339"/>
      <c r="I526" s="338" t="s">
        <v>2946</v>
      </c>
      <c r="J526" s="84"/>
      <c r="K526" s="84" t="s">
        <v>4284</v>
      </c>
      <c r="L526" s="340"/>
      <c r="M526" s="332" t="s">
        <v>2678</v>
      </c>
      <c r="N526" s="306"/>
      <c r="O526" s="306"/>
      <c r="P526" s="22"/>
      <c r="Q526" s="84"/>
      <c r="R526" s="25"/>
      <c r="S526" s="25"/>
      <c r="T526" s="22"/>
      <c r="U526" s="25"/>
      <c r="V526" s="25"/>
      <c r="W526" s="25"/>
      <c r="X526" s="84" t="str">
        <f t="shared" si="2"/>
        <v>grantPlayerItems</v>
      </c>
      <c r="Y526" s="337" t="s">
        <v>4285</v>
      </c>
      <c r="Z526" s="25"/>
      <c r="AA526" s="25"/>
      <c r="AB526" s="25"/>
      <c r="AC526" s="25"/>
      <c r="AD526" s="25"/>
      <c r="AE526" s="25"/>
    </row>
    <row r="527" spans="1:31" ht="340" outlineLevel="1" x14ac:dyDescent="0.15">
      <c r="A527" s="338" t="s">
        <v>4286</v>
      </c>
      <c r="B527" s="306"/>
      <c r="C527" s="338" t="s">
        <v>2715</v>
      </c>
      <c r="D527" s="339"/>
      <c r="E527" s="338" t="s">
        <v>1908</v>
      </c>
      <c r="F527" s="339"/>
      <c r="G527" s="261" t="s">
        <v>3421</v>
      </c>
      <c r="H527" s="339"/>
      <c r="I527" s="338" t="s">
        <v>2946</v>
      </c>
      <c r="J527" s="84"/>
      <c r="K527" s="84" t="s">
        <v>4287</v>
      </c>
      <c r="L527" s="340"/>
      <c r="M527" s="332" t="s">
        <v>2678</v>
      </c>
      <c r="N527" s="306"/>
      <c r="O527" s="306"/>
      <c r="P527" s="22"/>
      <c r="Q527" s="84"/>
      <c r="R527" s="25"/>
      <c r="S527" s="25"/>
      <c r="T527" s="22"/>
      <c r="U527" s="25"/>
      <c r="V527" s="25"/>
      <c r="W527" s="25"/>
      <c r="X527" s="84" t="str">
        <f t="shared" si="2"/>
        <v>grantPlayerItems</v>
      </c>
      <c r="Y527" s="337" t="s">
        <v>4288</v>
      </c>
      <c r="Z527" s="25"/>
      <c r="AA527" s="25"/>
      <c r="AB527" s="25"/>
      <c r="AC527" s="25"/>
      <c r="AD527" s="25"/>
      <c r="AE527" s="25"/>
    </row>
    <row r="528" spans="1:31" ht="340" outlineLevel="1" x14ac:dyDescent="0.15">
      <c r="A528" s="338" t="s">
        <v>4289</v>
      </c>
      <c r="B528" s="306"/>
      <c r="C528" s="338" t="s">
        <v>2715</v>
      </c>
      <c r="D528" s="339"/>
      <c r="E528" s="338" t="s">
        <v>1908</v>
      </c>
      <c r="F528" s="339"/>
      <c r="G528" s="261" t="s">
        <v>3425</v>
      </c>
      <c r="H528" s="339"/>
      <c r="I528" s="338" t="s">
        <v>2946</v>
      </c>
      <c r="J528" s="84"/>
      <c r="K528" s="84" t="s">
        <v>4290</v>
      </c>
      <c r="L528" s="340"/>
      <c r="M528" s="332" t="s">
        <v>2678</v>
      </c>
      <c r="N528" s="306"/>
      <c r="O528" s="306"/>
      <c r="P528" s="22"/>
      <c r="Q528" s="84"/>
      <c r="R528" s="25"/>
      <c r="S528" s="25"/>
      <c r="T528" s="22"/>
      <c r="U528" s="25"/>
      <c r="V528" s="25"/>
      <c r="W528" s="25"/>
      <c r="X528" s="84" t="str">
        <f t="shared" si="2"/>
        <v>grantPlayerItems</v>
      </c>
      <c r="Y528" s="337" t="s">
        <v>4291</v>
      </c>
      <c r="Z528" s="25"/>
      <c r="AA528" s="25"/>
      <c r="AB528" s="25"/>
      <c r="AC528" s="25"/>
      <c r="AD528" s="25"/>
      <c r="AE528" s="25"/>
    </row>
    <row r="529" spans="1:31" ht="340" x14ac:dyDescent="0.15">
      <c r="A529" s="338" t="s">
        <v>4292</v>
      </c>
      <c r="B529" s="306"/>
      <c r="C529" s="338" t="s">
        <v>2715</v>
      </c>
      <c r="D529" s="339"/>
      <c r="E529" s="338" t="s">
        <v>2025</v>
      </c>
      <c r="F529" s="339"/>
      <c r="G529" s="261" t="s">
        <v>3401</v>
      </c>
      <c r="H529" s="339"/>
      <c r="I529" s="338" t="s">
        <v>2946</v>
      </c>
      <c r="J529" s="84"/>
      <c r="K529" s="84" t="s">
        <v>4293</v>
      </c>
      <c r="L529" s="340"/>
      <c r="M529" s="332" t="s">
        <v>2678</v>
      </c>
      <c r="N529" s="306"/>
      <c r="O529" s="306"/>
      <c r="P529" s="22"/>
      <c r="Q529" s="84"/>
      <c r="R529" s="25"/>
      <c r="S529" s="25"/>
      <c r="T529" s="22"/>
      <c r="U529" s="25"/>
      <c r="V529" s="25"/>
      <c r="W529" s="25"/>
      <c r="X529" s="84" t="str">
        <f t="shared" si="2"/>
        <v>grantPlayerItems</v>
      </c>
      <c r="Y529" s="337" t="s">
        <v>4294</v>
      </c>
      <c r="Z529" s="25"/>
      <c r="AA529" s="25"/>
      <c r="AB529" s="25"/>
      <c r="AC529" s="25"/>
      <c r="AD529" s="25"/>
      <c r="AE529" s="25"/>
    </row>
    <row r="530" spans="1:31" ht="340" outlineLevel="1" x14ac:dyDescent="0.15">
      <c r="A530" s="338" t="s">
        <v>4295</v>
      </c>
      <c r="B530" s="306"/>
      <c r="C530" s="338" t="s">
        <v>2715</v>
      </c>
      <c r="D530" s="339"/>
      <c r="E530" s="338" t="s">
        <v>2025</v>
      </c>
      <c r="F530" s="339"/>
      <c r="G530" s="261" t="s">
        <v>3405</v>
      </c>
      <c r="H530" s="339"/>
      <c r="I530" s="338" t="s">
        <v>2946</v>
      </c>
      <c r="J530" s="84"/>
      <c r="K530" s="84" t="s">
        <v>4296</v>
      </c>
      <c r="L530" s="340"/>
      <c r="M530" s="332" t="s">
        <v>2678</v>
      </c>
      <c r="N530" s="306"/>
      <c r="O530" s="306"/>
      <c r="P530" s="22"/>
      <c r="Q530" s="84"/>
      <c r="R530" s="25"/>
      <c r="S530" s="25"/>
      <c r="T530" s="22"/>
      <c r="U530" s="25"/>
      <c r="V530" s="25"/>
      <c r="W530" s="25"/>
      <c r="X530" s="84" t="str">
        <f t="shared" si="2"/>
        <v>grantPlayerItems</v>
      </c>
      <c r="Y530" s="337" t="s">
        <v>4297</v>
      </c>
      <c r="Z530" s="25"/>
      <c r="AA530" s="25"/>
      <c r="AB530" s="25"/>
      <c r="AC530" s="25"/>
      <c r="AD530" s="25"/>
      <c r="AE530" s="25"/>
    </row>
    <row r="531" spans="1:31" ht="340" outlineLevel="1" x14ac:dyDescent="0.15">
      <c r="A531" s="338" t="s">
        <v>4298</v>
      </c>
      <c r="B531" s="306"/>
      <c r="C531" s="338" t="s">
        <v>2715</v>
      </c>
      <c r="D531" s="339"/>
      <c r="E531" s="338" t="s">
        <v>2025</v>
      </c>
      <c r="F531" s="339"/>
      <c r="G531" s="261" t="s">
        <v>3409</v>
      </c>
      <c r="H531" s="339"/>
      <c r="I531" s="338" t="s">
        <v>2946</v>
      </c>
      <c r="J531" s="84"/>
      <c r="K531" s="84" t="s">
        <v>4299</v>
      </c>
      <c r="L531" s="340"/>
      <c r="M531" s="332" t="s">
        <v>2678</v>
      </c>
      <c r="N531" s="306"/>
      <c r="O531" s="306"/>
      <c r="P531" s="22"/>
      <c r="Q531" s="84"/>
      <c r="R531" s="25"/>
      <c r="S531" s="25"/>
      <c r="T531" s="22"/>
      <c r="U531" s="25"/>
      <c r="V531" s="25"/>
      <c r="W531" s="25"/>
      <c r="X531" s="84" t="str">
        <f t="shared" si="2"/>
        <v>grantPlayerItems</v>
      </c>
      <c r="Y531" s="337" t="s">
        <v>4300</v>
      </c>
      <c r="Z531" s="25"/>
      <c r="AA531" s="25"/>
      <c r="AB531" s="25"/>
      <c r="AC531" s="25"/>
      <c r="AD531" s="25"/>
      <c r="AE531" s="25"/>
    </row>
    <row r="532" spans="1:31" ht="340" outlineLevel="1" x14ac:dyDescent="0.15">
      <c r="A532" s="338" t="s">
        <v>4301</v>
      </c>
      <c r="B532" s="306"/>
      <c r="C532" s="338" t="s">
        <v>2715</v>
      </c>
      <c r="D532" s="339"/>
      <c r="E532" s="338" t="s">
        <v>2025</v>
      </c>
      <c r="F532" s="339"/>
      <c r="G532" s="261" t="s">
        <v>3413</v>
      </c>
      <c r="H532" s="339"/>
      <c r="I532" s="338" t="s">
        <v>2946</v>
      </c>
      <c r="J532" s="84"/>
      <c r="K532" s="84" t="s">
        <v>4302</v>
      </c>
      <c r="L532" s="340"/>
      <c r="M532" s="332" t="s">
        <v>2678</v>
      </c>
      <c r="N532" s="306"/>
      <c r="O532" s="306"/>
      <c r="P532" s="22"/>
      <c r="Q532" s="84"/>
      <c r="R532" s="25"/>
      <c r="S532" s="25"/>
      <c r="T532" s="22"/>
      <c r="U532" s="25"/>
      <c r="V532" s="25"/>
      <c r="W532" s="25"/>
      <c r="X532" s="84" t="str">
        <f t="shared" si="2"/>
        <v>grantPlayerItems</v>
      </c>
      <c r="Y532" s="337" t="s">
        <v>4303</v>
      </c>
      <c r="Z532" s="25"/>
      <c r="AA532" s="25"/>
      <c r="AB532" s="25"/>
      <c r="AC532" s="25"/>
      <c r="AD532" s="25"/>
      <c r="AE532" s="25"/>
    </row>
    <row r="533" spans="1:31" ht="340" outlineLevel="1" x14ac:dyDescent="0.15">
      <c r="A533" s="338" t="s">
        <v>4304</v>
      </c>
      <c r="B533" s="306"/>
      <c r="C533" s="338" t="s">
        <v>2715</v>
      </c>
      <c r="D533" s="339"/>
      <c r="E533" s="338" t="s">
        <v>2025</v>
      </c>
      <c r="F533" s="339"/>
      <c r="G533" s="261" t="s">
        <v>3417</v>
      </c>
      <c r="H533" s="339"/>
      <c r="I533" s="338" t="s">
        <v>2946</v>
      </c>
      <c r="J533" s="84"/>
      <c r="K533" s="84" t="s">
        <v>4305</v>
      </c>
      <c r="L533" s="340"/>
      <c r="M533" s="332" t="s">
        <v>2678</v>
      </c>
      <c r="N533" s="306"/>
      <c r="O533" s="306"/>
      <c r="P533" s="22"/>
      <c r="Q533" s="84"/>
      <c r="R533" s="25"/>
      <c r="S533" s="25"/>
      <c r="T533" s="22"/>
      <c r="U533" s="25"/>
      <c r="V533" s="25"/>
      <c r="W533" s="25"/>
      <c r="X533" s="84" t="str">
        <f t="shared" si="2"/>
        <v>grantPlayerItems</v>
      </c>
      <c r="Y533" s="337" t="s">
        <v>4306</v>
      </c>
      <c r="Z533" s="25"/>
      <c r="AA533" s="25"/>
      <c r="AB533" s="25"/>
      <c r="AC533" s="25"/>
      <c r="AD533" s="25"/>
      <c r="AE533" s="25"/>
    </row>
    <row r="534" spans="1:31" ht="340" outlineLevel="1" x14ac:dyDescent="0.15">
      <c r="A534" s="338" t="s">
        <v>4307</v>
      </c>
      <c r="B534" s="306"/>
      <c r="C534" s="338" t="s">
        <v>2715</v>
      </c>
      <c r="D534" s="339"/>
      <c r="E534" s="338" t="s">
        <v>2025</v>
      </c>
      <c r="F534" s="339"/>
      <c r="G534" s="261" t="s">
        <v>3421</v>
      </c>
      <c r="H534" s="339"/>
      <c r="I534" s="338" t="s">
        <v>2946</v>
      </c>
      <c r="J534" s="84"/>
      <c r="K534" s="84" t="s">
        <v>4308</v>
      </c>
      <c r="L534" s="340"/>
      <c r="M534" s="332" t="s">
        <v>2678</v>
      </c>
      <c r="N534" s="306"/>
      <c r="O534" s="306"/>
      <c r="P534" s="22"/>
      <c r="Q534" s="84"/>
      <c r="R534" s="25"/>
      <c r="S534" s="25"/>
      <c r="T534" s="22"/>
      <c r="U534" s="25"/>
      <c r="V534" s="25"/>
      <c r="W534" s="25"/>
      <c r="X534" s="84" t="str">
        <f t="shared" si="2"/>
        <v>grantPlayerItems</v>
      </c>
      <c r="Y534" s="337" t="s">
        <v>4309</v>
      </c>
      <c r="Z534" s="25"/>
      <c r="AA534" s="25"/>
      <c r="AB534" s="25"/>
      <c r="AC534" s="25"/>
      <c r="AD534" s="25"/>
      <c r="AE534" s="25"/>
    </row>
    <row r="535" spans="1:31" ht="340" outlineLevel="1" x14ac:dyDescent="0.15">
      <c r="A535" s="338" t="s">
        <v>4310</v>
      </c>
      <c r="B535" s="306"/>
      <c r="C535" s="338" t="s">
        <v>2715</v>
      </c>
      <c r="D535" s="339"/>
      <c r="E535" s="338" t="s">
        <v>2025</v>
      </c>
      <c r="F535" s="339"/>
      <c r="G535" s="261" t="s">
        <v>3425</v>
      </c>
      <c r="H535" s="339"/>
      <c r="I535" s="338" t="s">
        <v>2946</v>
      </c>
      <c r="J535" s="84"/>
      <c r="K535" s="84" t="s">
        <v>4311</v>
      </c>
      <c r="L535" s="340"/>
      <c r="M535" s="332" t="s">
        <v>2678</v>
      </c>
      <c r="N535" s="306"/>
      <c r="O535" s="306"/>
      <c r="P535" s="22"/>
      <c r="Q535" s="84"/>
      <c r="R535" s="25"/>
      <c r="S535" s="25"/>
      <c r="T535" s="22"/>
      <c r="U535" s="25"/>
      <c r="V535" s="25"/>
      <c r="W535" s="25"/>
      <c r="X535" s="84" t="str">
        <f t="shared" si="2"/>
        <v>grantPlayerItems</v>
      </c>
      <c r="Y535" s="337" t="s">
        <v>4312</v>
      </c>
      <c r="Z535" s="25"/>
      <c r="AA535" s="25"/>
      <c r="AB535" s="25"/>
      <c r="AC535" s="25"/>
      <c r="AD535" s="25"/>
      <c r="AE535" s="25"/>
    </row>
    <row r="536" spans="1:31" ht="14" x14ac:dyDescent="0.15">
      <c r="A536" s="338"/>
      <c r="B536" s="306"/>
      <c r="C536" s="339"/>
      <c r="D536" s="339"/>
      <c r="E536" s="338"/>
      <c r="F536" s="339"/>
      <c r="G536" s="261"/>
      <c r="H536" s="339"/>
      <c r="I536" s="338"/>
      <c r="J536" s="84"/>
      <c r="K536" s="84"/>
      <c r="L536" s="340"/>
      <c r="M536" s="332"/>
      <c r="N536" s="306"/>
      <c r="O536" s="306"/>
      <c r="P536" s="22"/>
      <c r="Q536" s="84"/>
      <c r="R536" s="25"/>
      <c r="S536" s="25"/>
      <c r="T536" s="22"/>
      <c r="U536" s="25"/>
      <c r="V536" s="25"/>
      <c r="W536" s="25"/>
      <c r="X536" s="84"/>
      <c r="Y536" s="341"/>
      <c r="Z536" s="25"/>
      <c r="AA536" s="25"/>
      <c r="AB536" s="25"/>
      <c r="AC536" s="25"/>
      <c r="AD536" s="25"/>
      <c r="AE536" s="25"/>
    </row>
  </sheetData>
  <conditionalFormatting sqref="A5:Y536">
    <cfRule type="expression" dxfId="71" priority="1">
      <formula>$B5</formula>
    </cfRule>
  </conditionalFormatting>
  <conditionalFormatting sqref="A5:AE536">
    <cfRule type="expression" dxfId="70" priority="2">
      <formula>_xludf.ISFORMULA(A5)</formula>
    </cfRule>
  </conditionalFormatting>
  <dataValidations count="2">
    <dataValidation type="list" allowBlank="1" sqref="J5:J536 Q5:Q536" xr:uid="{00000000-0002-0000-0A00-000000000000}">
      <formula1>DataValidation_ConditionType</formula1>
    </dataValidation>
    <dataValidation type="list" allowBlank="1" sqref="M5:M536 P5:P536 T5:T536" xr:uid="{00000000-0002-0000-0A00-000001000000}">
      <formula1>DataValidation_Operator</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900FF"/>
    <outlinePr summaryBelow="0" summaryRight="0"/>
  </sheetPr>
  <dimension ref="A1:P7"/>
  <sheetViews>
    <sheetView workbookViewId="0">
      <pane ySplit="6" topLeftCell="A7" activePane="bottomLeft" state="frozen"/>
      <selection activeCell="B10" sqref="B10"/>
      <selection pane="bottomLeft" activeCell="B10" sqref="B10"/>
    </sheetView>
  </sheetViews>
  <sheetFormatPr baseColWidth="10" defaultColWidth="12.6640625" defaultRowHeight="15.75" customHeight="1" x14ac:dyDescent="0.15"/>
  <sheetData>
    <row r="1" spans="1:16" ht="15.75" customHeight="1" x14ac:dyDescent="0.15">
      <c r="A1" s="263" t="s">
        <v>4313</v>
      </c>
      <c r="C1" s="263"/>
      <c r="D1" s="263"/>
      <c r="E1" s="263"/>
      <c r="F1" s="263"/>
      <c r="G1" s="263"/>
      <c r="H1" s="263"/>
      <c r="I1" s="263"/>
      <c r="J1" s="263"/>
      <c r="K1" s="263"/>
      <c r="L1" s="263"/>
      <c r="M1" s="342"/>
      <c r="N1" s="342"/>
      <c r="O1" s="342"/>
      <c r="P1" s="342"/>
    </row>
    <row r="2" spans="1:16" ht="15.75" customHeight="1" x14ac:dyDescent="0.15">
      <c r="A2" s="264" t="s">
        <v>2465</v>
      </c>
      <c r="C2" s="264"/>
      <c r="D2" s="264"/>
      <c r="E2" s="264"/>
      <c r="F2" s="264"/>
      <c r="G2" s="264"/>
      <c r="H2" s="264"/>
      <c r="I2" s="264"/>
      <c r="J2" s="264"/>
      <c r="K2" s="264"/>
      <c r="L2" s="264"/>
      <c r="M2" s="342"/>
      <c r="N2" s="342"/>
      <c r="O2" s="342"/>
      <c r="P2" s="342"/>
    </row>
    <row r="3" spans="1:16" ht="15.75" customHeight="1" x14ac:dyDescent="0.15">
      <c r="A3" s="289"/>
      <c r="B3" s="289"/>
      <c r="C3" s="289"/>
      <c r="D3" s="289"/>
      <c r="E3" s="289"/>
      <c r="F3" s="289"/>
      <c r="G3" s="289"/>
      <c r="H3" s="289"/>
      <c r="I3" s="289"/>
      <c r="J3" s="289"/>
      <c r="K3" s="289"/>
      <c r="L3" s="289"/>
      <c r="M3" s="342"/>
      <c r="N3" s="342"/>
      <c r="O3" s="342"/>
      <c r="P3" s="342"/>
    </row>
    <row r="4" spans="1:16" ht="15.75" customHeight="1" x14ac:dyDescent="0.15">
      <c r="A4" s="342"/>
      <c r="B4" s="342" t="s">
        <v>2515</v>
      </c>
      <c r="C4" s="342"/>
      <c r="D4" s="342"/>
      <c r="E4" s="343" t="s">
        <v>4314</v>
      </c>
      <c r="F4" s="342"/>
      <c r="G4" s="342"/>
      <c r="H4" s="342"/>
      <c r="I4" s="342"/>
      <c r="J4" s="342"/>
      <c r="K4" s="342"/>
      <c r="L4" s="342"/>
      <c r="M4" s="342"/>
      <c r="N4" s="342"/>
      <c r="O4" s="342"/>
      <c r="P4" s="342"/>
    </row>
    <row r="5" spans="1:16" ht="15.75" customHeight="1" x14ac:dyDescent="0.15">
      <c r="A5" s="344" t="s">
        <v>7</v>
      </c>
      <c r="B5" s="344" t="s">
        <v>104</v>
      </c>
      <c r="C5" s="345" t="s">
        <v>2468</v>
      </c>
      <c r="D5" s="345" t="s">
        <v>4315</v>
      </c>
      <c r="E5" s="344" t="s">
        <v>4316</v>
      </c>
      <c r="F5" s="345" t="s">
        <v>4317</v>
      </c>
      <c r="G5" s="345" t="s">
        <v>4318</v>
      </c>
      <c r="H5" s="345" t="s">
        <v>4319</v>
      </c>
      <c r="I5" s="345" t="s">
        <v>4320</v>
      </c>
      <c r="J5" s="345" t="s">
        <v>4321</v>
      </c>
      <c r="K5" s="345" t="s">
        <v>4322</v>
      </c>
      <c r="L5" s="346"/>
      <c r="M5" s="345"/>
      <c r="N5" s="345"/>
      <c r="O5" s="345"/>
      <c r="P5" s="345"/>
    </row>
    <row r="6" spans="1:16" ht="15.75" customHeight="1" x14ac:dyDescent="0.15">
      <c r="A6" s="347"/>
      <c r="B6" s="347" t="s">
        <v>206</v>
      </c>
      <c r="C6" s="348" t="s">
        <v>2474</v>
      </c>
      <c r="D6" s="348" t="s">
        <v>4323</v>
      </c>
      <c r="E6" s="349"/>
      <c r="F6" s="348" t="s">
        <v>2477</v>
      </c>
      <c r="G6" s="348" t="s">
        <v>2478</v>
      </c>
      <c r="H6" s="348" t="s">
        <v>2479</v>
      </c>
      <c r="I6" s="348" t="s">
        <v>2480</v>
      </c>
      <c r="J6" s="348" t="s">
        <v>2479</v>
      </c>
      <c r="K6" s="348" t="s">
        <v>2480</v>
      </c>
      <c r="L6" s="347"/>
      <c r="M6" s="348"/>
      <c r="N6" s="348"/>
      <c r="O6" s="348"/>
      <c r="P6" s="348"/>
    </row>
    <row r="7" spans="1:16" ht="15.75" customHeight="1" x14ac:dyDescent="0.15">
      <c r="A7" s="306"/>
      <c r="B7" s="306"/>
      <c r="C7" s="332" t="s">
        <v>4324</v>
      </c>
      <c r="D7" s="332"/>
      <c r="E7" s="338" t="s">
        <v>2314</v>
      </c>
      <c r="F7" s="306" t="s">
        <v>283</v>
      </c>
      <c r="G7" s="332" t="s">
        <v>4325</v>
      </c>
      <c r="H7" s="332" t="s">
        <v>2510</v>
      </c>
      <c r="I7" s="306"/>
      <c r="J7" s="332" t="s">
        <v>4326</v>
      </c>
      <c r="K7" s="306"/>
      <c r="L7" s="306"/>
      <c r="M7" s="306"/>
      <c r="N7" s="306"/>
      <c r="O7" s="306"/>
      <c r="P7" s="30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900FF"/>
    <outlinePr summaryBelow="0" summaryRight="0"/>
  </sheetPr>
  <dimension ref="A1:Q42"/>
  <sheetViews>
    <sheetView workbookViewId="0">
      <pane ySplit="6" topLeftCell="A7" activePane="bottomLeft" state="frozen"/>
      <selection activeCell="B10" sqref="B10"/>
      <selection pane="bottomLeft" activeCell="B10" sqref="B10"/>
    </sheetView>
  </sheetViews>
  <sheetFormatPr baseColWidth="10" defaultColWidth="12.6640625" defaultRowHeight="15.75" customHeight="1" x14ac:dyDescent="0.15"/>
  <cols>
    <col min="3" max="3" width="29.33203125" customWidth="1"/>
    <col min="10" max="12" width="31.83203125" customWidth="1"/>
  </cols>
  <sheetData>
    <row r="1" spans="1:17" ht="15.75" customHeight="1" x14ac:dyDescent="0.15">
      <c r="A1" s="350" t="s">
        <v>4327</v>
      </c>
      <c r="B1" s="350"/>
      <c r="C1" s="350"/>
      <c r="D1" s="350"/>
      <c r="E1" s="350"/>
      <c r="F1" s="350"/>
      <c r="G1" s="350"/>
      <c r="H1" s="350"/>
      <c r="I1" s="350"/>
      <c r="J1" s="350"/>
      <c r="K1" s="350"/>
      <c r="L1" s="350"/>
      <c r="M1" s="350"/>
      <c r="N1" s="350"/>
      <c r="O1" s="350"/>
      <c r="P1" s="350"/>
      <c r="Q1" s="350"/>
    </row>
    <row r="2" spans="1:17" ht="15.75" customHeight="1" x14ac:dyDescent="0.15">
      <c r="A2" s="351" t="s">
        <v>4328</v>
      </c>
      <c r="B2" s="351"/>
      <c r="C2" s="351"/>
      <c r="D2" s="351"/>
      <c r="E2" s="351"/>
      <c r="F2" s="351"/>
      <c r="G2" s="351"/>
      <c r="H2" s="351"/>
      <c r="I2" s="351"/>
      <c r="J2" s="351"/>
      <c r="K2" s="351"/>
      <c r="L2" s="351"/>
      <c r="M2" s="351"/>
      <c r="N2" s="351"/>
      <c r="O2" s="351"/>
      <c r="P2" s="351"/>
      <c r="Q2" s="351"/>
    </row>
    <row r="3" spans="1:17" ht="15.75" customHeight="1" x14ac:dyDescent="0.15">
      <c r="A3" s="352"/>
      <c r="B3" s="352"/>
      <c r="C3" s="338" t="s">
        <v>4329</v>
      </c>
      <c r="D3" s="338" t="s">
        <v>4329</v>
      </c>
      <c r="E3" s="338" t="s">
        <v>4329</v>
      </c>
      <c r="F3" s="338" t="s">
        <v>4329</v>
      </c>
      <c r="G3" s="338" t="s">
        <v>4329</v>
      </c>
      <c r="H3" s="338" t="s">
        <v>4329</v>
      </c>
      <c r="I3" s="352"/>
      <c r="J3" s="352"/>
      <c r="K3" s="352"/>
      <c r="L3" s="352"/>
      <c r="M3" s="352"/>
      <c r="N3" s="352"/>
      <c r="O3" s="352"/>
      <c r="P3" s="352"/>
      <c r="Q3" s="352"/>
    </row>
    <row r="4" spans="1:17" ht="15.75" customHeight="1" x14ac:dyDescent="0.15">
      <c r="A4" s="242" t="s">
        <v>7</v>
      </c>
      <c r="B4" s="242" t="s">
        <v>104</v>
      </c>
      <c r="C4" s="243" t="s">
        <v>4330</v>
      </c>
      <c r="D4" s="353" t="s">
        <v>2339</v>
      </c>
      <c r="E4" s="243" t="s">
        <v>4331</v>
      </c>
      <c r="F4" s="243" t="s">
        <v>4332</v>
      </c>
      <c r="G4" s="353" t="s">
        <v>2342</v>
      </c>
      <c r="H4" s="353" t="s">
        <v>2344</v>
      </c>
      <c r="I4" s="243" t="s">
        <v>4317</v>
      </c>
      <c r="J4" s="243" t="s">
        <v>4318</v>
      </c>
      <c r="K4" s="243" t="s">
        <v>4333</v>
      </c>
      <c r="L4" s="243" t="s">
        <v>4334</v>
      </c>
      <c r="M4" s="243" t="s">
        <v>4335</v>
      </c>
      <c r="N4" s="353"/>
      <c r="O4" s="353"/>
      <c r="P4" s="353"/>
      <c r="Q4" s="353"/>
    </row>
    <row r="5" spans="1:17" ht="15.75" customHeight="1" x14ac:dyDescent="0.15">
      <c r="A5" s="245"/>
      <c r="B5" s="245" t="s">
        <v>2347</v>
      </c>
      <c r="C5" s="246" t="s">
        <v>2350</v>
      </c>
      <c r="D5" s="245"/>
      <c r="E5" s="245" t="s">
        <v>2348</v>
      </c>
      <c r="F5" s="245"/>
      <c r="G5" s="245"/>
      <c r="H5" s="245"/>
      <c r="I5" s="245"/>
      <c r="J5" s="245"/>
      <c r="K5" s="245"/>
      <c r="L5" s="245"/>
      <c r="M5" s="245"/>
      <c r="N5" s="245"/>
      <c r="O5" s="245"/>
      <c r="P5" s="245"/>
      <c r="Q5" s="245"/>
    </row>
    <row r="6" spans="1:17" ht="15.75" customHeight="1" x14ac:dyDescent="0.15">
      <c r="A6" s="245"/>
      <c r="B6" s="245" t="s">
        <v>206</v>
      </c>
      <c r="C6" s="246" t="s">
        <v>2474</v>
      </c>
      <c r="D6" s="354" t="s">
        <v>4336</v>
      </c>
      <c r="E6" s="354" t="s">
        <v>4337</v>
      </c>
      <c r="F6" s="354" t="s">
        <v>4338</v>
      </c>
      <c r="G6" s="354" t="s">
        <v>4339</v>
      </c>
      <c r="H6" s="354" t="s">
        <v>4340</v>
      </c>
      <c r="I6" s="354" t="s">
        <v>2477</v>
      </c>
      <c r="J6" s="354" t="s">
        <v>2478</v>
      </c>
      <c r="K6" s="354" t="s">
        <v>4341</v>
      </c>
      <c r="L6" s="354" t="s">
        <v>4342</v>
      </c>
      <c r="M6" s="354" t="s">
        <v>4343</v>
      </c>
      <c r="N6" s="354"/>
      <c r="O6" s="354"/>
      <c r="P6" s="354"/>
      <c r="Q6" s="354"/>
    </row>
    <row r="7" spans="1:17" ht="15.75" customHeight="1" x14ac:dyDescent="0.15">
      <c r="A7" s="240"/>
      <c r="B7" s="240"/>
      <c r="C7" s="25" t="str">
        <f ca="1">IFERROR(__xludf.DUMMYFUNCTION(" FILTER(StatisticsLeaderboards!$G8:$G42, StatisticsLeaderboards!$B8:$B42 &lt;&gt; TRUE)"),"total_points")</f>
        <v>total_points</v>
      </c>
      <c r="D7" s="355" t="s">
        <v>857</v>
      </c>
      <c r="E7" s="356" t="b">
        <v>1</v>
      </c>
      <c r="F7" s="356" t="s">
        <v>7277</v>
      </c>
      <c r="G7" s="356" t="s">
        <v>2358</v>
      </c>
      <c r="H7" s="356" t="str">
        <f ca="1">LOWER(VLOOKUP($C7, StatisticsLeaderboards!$G8:$H42, COLUMNS(StatisticsLeaderboards!$G8:$H42), FALSE))</f>
        <v>sum</v>
      </c>
      <c r="I7" s="356" t="s">
        <v>283</v>
      </c>
      <c r="J7" s="356" t="str">
        <f t="shared" ref="J7:J42" ca="1" si="0">$K7&amp;" "&amp;$L7&amp;" "&amp;$M7</f>
        <v>Total Points All-Time</v>
      </c>
      <c r="K7" s="356" t="str">
        <f ca="1">IFERROR(__xludf.DUMMYFUNCTION("PROPER(SPLIT($C7, ""_""))"),"Total")</f>
        <v>Total</v>
      </c>
      <c r="L7" s="357" t="str">
        <f t="shared" ref="L7:L42" si="1">PROPER($D7)</f>
        <v>Points</v>
      </c>
      <c r="M7" s="356" t="str">
        <f>VLOOKUP($G7, '_REF Leaderboard Time Ranges'!$C$6:$E42, COLUMNS('_REF Leaderboard Time Ranges'!$C$6:$E42), FALSE)</f>
        <v>All-Time</v>
      </c>
      <c r="N7" s="356"/>
      <c r="O7" s="356"/>
      <c r="P7" s="356"/>
      <c r="Q7" s="356"/>
    </row>
    <row r="8" spans="1:17" ht="15.75" customHeight="1" x14ac:dyDescent="0.15">
      <c r="A8" s="358"/>
      <c r="B8" s="358"/>
      <c r="C8" s="358" t="str">
        <f ca="1">IFERROR(__xludf.DUMMYFUNCTION("""COMPUTED_VALUE"""),"total_points_day")</f>
        <v>total_points_day</v>
      </c>
      <c r="D8" s="355" t="s">
        <v>857</v>
      </c>
      <c r="E8" s="356" t="b">
        <v>0</v>
      </c>
      <c r="F8" s="356" t="s">
        <v>7277</v>
      </c>
      <c r="G8" s="356" t="s">
        <v>2362</v>
      </c>
      <c r="H8" s="356" t="str">
        <f ca="1">LOWER(VLOOKUP($C8, StatisticsLeaderboards!$G9:$H42, COLUMNS(StatisticsLeaderboards!$G9:$H42), FALSE))</f>
        <v>sum</v>
      </c>
      <c r="I8" s="356" t="s">
        <v>283</v>
      </c>
      <c r="J8" s="356" t="str">
        <f t="shared" ca="1" si="0"/>
        <v>Total Points Daily</v>
      </c>
      <c r="K8" s="356" t="str">
        <f ca="1">IFERROR(__xludf.DUMMYFUNCTION("PROPER(SPLIT($C8, ""_""))"),"Total")</f>
        <v>Total</v>
      </c>
      <c r="L8" s="357" t="str">
        <f t="shared" si="1"/>
        <v>Points</v>
      </c>
      <c r="M8" s="356" t="str">
        <f>VLOOKUP($G8, '_REF Leaderboard Time Ranges'!$C$6:$E42, COLUMNS('_REF Leaderboard Time Ranges'!$C$6:$E42), FALSE)</f>
        <v>Daily</v>
      </c>
      <c r="N8" s="356"/>
      <c r="O8" s="356"/>
      <c r="P8" s="356"/>
      <c r="Q8" s="356"/>
    </row>
    <row r="9" spans="1:17" ht="15.75" customHeight="1" x14ac:dyDescent="0.15">
      <c r="A9" s="358"/>
      <c r="B9" s="358"/>
      <c r="C9" s="358" t="str">
        <f ca="1">IFERROR(__xludf.DUMMYFUNCTION("""COMPUTED_VALUE"""),"total_points_month")</f>
        <v>total_points_month</v>
      </c>
      <c r="D9" s="355" t="s">
        <v>857</v>
      </c>
      <c r="E9" s="356" t="b">
        <v>0</v>
      </c>
      <c r="F9" s="356" t="s">
        <v>7277</v>
      </c>
      <c r="G9" s="356" t="s">
        <v>2367</v>
      </c>
      <c r="H9" s="356" t="str">
        <f ca="1">LOWER(VLOOKUP($C9, StatisticsLeaderboards!$G10:$H42, COLUMNS(StatisticsLeaderboards!$G10:$H42), FALSE))</f>
        <v>sum</v>
      </c>
      <c r="I9" s="356" t="s">
        <v>283</v>
      </c>
      <c r="J9" s="356" t="str">
        <f t="shared" ca="1" si="0"/>
        <v>Total Points Monthly</v>
      </c>
      <c r="K9" s="356" t="str">
        <f ca="1">IFERROR(__xludf.DUMMYFUNCTION("PROPER(SPLIT($C9, ""_""))"),"Total")</f>
        <v>Total</v>
      </c>
      <c r="L9" s="357" t="str">
        <f t="shared" si="1"/>
        <v>Points</v>
      </c>
      <c r="M9" s="356" t="str">
        <f>VLOOKUP($G9, '_REF Leaderboard Time Ranges'!$C$6:$E42, COLUMNS('_REF Leaderboard Time Ranges'!$C$6:$E42), FALSE)</f>
        <v>Monthly</v>
      </c>
      <c r="N9" s="356"/>
      <c r="O9" s="356"/>
      <c r="P9" s="356"/>
      <c r="Q9" s="356"/>
    </row>
    <row r="10" spans="1:17" ht="15.75" customHeight="1" x14ac:dyDescent="0.15">
      <c r="A10" s="358"/>
      <c r="B10" s="358"/>
      <c r="C10" s="358" t="str">
        <f ca="1">IFERROR(__xludf.DUMMYFUNCTION("""COMPUTED_VALUE"""),"total_points_season")</f>
        <v>total_points_season</v>
      </c>
      <c r="D10" s="355" t="s">
        <v>857</v>
      </c>
      <c r="E10" s="356" t="b">
        <v>0</v>
      </c>
      <c r="F10" s="356" t="s">
        <v>7277</v>
      </c>
      <c r="G10" s="356" t="s">
        <v>2369</v>
      </c>
      <c r="H10" s="356" t="str">
        <f ca="1">LOWER(VLOOKUP($C10, StatisticsLeaderboards!$G11:$H42, COLUMNS(StatisticsLeaderboards!$G11:$H42), FALSE))</f>
        <v>sum</v>
      </c>
      <c r="I10" s="356" t="s">
        <v>283</v>
      </c>
      <c r="J10" s="356" t="str">
        <f t="shared" ca="1" si="0"/>
        <v>Total Points Seasonal</v>
      </c>
      <c r="K10" s="356" t="str">
        <f ca="1">IFERROR(__xludf.DUMMYFUNCTION("PROPER(SPLIT($C10, ""_""))"),"Total")</f>
        <v>Total</v>
      </c>
      <c r="L10" s="357" t="str">
        <f t="shared" si="1"/>
        <v>Points</v>
      </c>
      <c r="M10" s="356" t="str">
        <f>VLOOKUP($G10, '_REF Leaderboard Time Ranges'!$C$6:$E42, COLUMNS('_REF Leaderboard Time Ranges'!$C$6:$E42), FALSE)</f>
        <v>Seasonal</v>
      </c>
      <c r="N10" s="356"/>
      <c r="O10" s="356"/>
      <c r="P10" s="356"/>
      <c r="Q10" s="356"/>
    </row>
    <row r="11" spans="1:17" ht="15.75" customHeight="1" x14ac:dyDescent="0.15">
      <c r="A11" s="358"/>
      <c r="B11" s="358"/>
      <c r="C11" s="358" t="str">
        <f ca="1">IFERROR(__xludf.DUMMYFUNCTION("""COMPUTED_VALUE"""),"best_points")</f>
        <v>best_points</v>
      </c>
      <c r="D11" s="355" t="s">
        <v>857</v>
      </c>
      <c r="E11" s="356" t="b">
        <v>0</v>
      </c>
      <c r="F11" s="356" t="b">
        <v>1</v>
      </c>
      <c r="G11" s="356" t="s">
        <v>2358</v>
      </c>
      <c r="H11" s="356" t="str">
        <f ca="1">LOWER(VLOOKUP($C11, StatisticsLeaderboards!$G12:$H42, COLUMNS(StatisticsLeaderboards!$G12:$H42), FALSE))</f>
        <v>max</v>
      </c>
      <c r="I11" s="356" t="s">
        <v>283</v>
      </c>
      <c r="J11" s="356" t="str">
        <f t="shared" ca="1" si="0"/>
        <v>Best Points All-Time</v>
      </c>
      <c r="K11" s="356" t="str">
        <f ca="1">IFERROR(__xludf.DUMMYFUNCTION("PROPER(SPLIT($C11, ""_""))"),"Best")</f>
        <v>Best</v>
      </c>
      <c r="L11" s="357" t="str">
        <f t="shared" si="1"/>
        <v>Points</v>
      </c>
      <c r="M11" s="356" t="str">
        <f>VLOOKUP($G11, '_REF Leaderboard Time Ranges'!$C$6:$E42, COLUMNS('_REF Leaderboard Time Ranges'!$C$6:$E42), FALSE)</f>
        <v>All-Time</v>
      </c>
      <c r="N11" s="356"/>
      <c r="O11" s="356"/>
      <c r="P11" s="356"/>
      <c r="Q11" s="356"/>
    </row>
    <row r="12" spans="1:17" ht="15.75" customHeight="1" x14ac:dyDescent="0.15">
      <c r="A12" s="358"/>
      <c r="B12" s="358"/>
      <c r="C12" s="358" t="str">
        <f ca="1">IFERROR(__xludf.DUMMYFUNCTION("""COMPUTED_VALUE"""),"best_points_day")</f>
        <v>best_points_day</v>
      </c>
      <c r="D12" s="355" t="s">
        <v>857</v>
      </c>
      <c r="E12" s="356" t="b">
        <v>0</v>
      </c>
      <c r="F12" s="356" t="b">
        <v>1</v>
      </c>
      <c r="G12" s="356" t="s">
        <v>2362</v>
      </c>
      <c r="H12" s="356" t="str">
        <f ca="1">LOWER(VLOOKUP($C12, StatisticsLeaderboards!$G13:$H42, COLUMNS(StatisticsLeaderboards!$G13:$H42), FALSE))</f>
        <v>max</v>
      </c>
      <c r="I12" s="356" t="s">
        <v>283</v>
      </c>
      <c r="J12" s="356" t="str">
        <f t="shared" ca="1" si="0"/>
        <v>Best Points Daily</v>
      </c>
      <c r="K12" s="356" t="str">
        <f ca="1">IFERROR(__xludf.DUMMYFUNCTION("PROPER(SPLIT($C12, ""_""))"),"Best")</f>
        <v>Best</v>
      </c>
      <c r="L12" s="357" t="str">
        <f t="shared" si="1"/>
        <v>Points</v>
      </c>
      <c r="M12" s="356" t="str">
        <f>VLOOKUP($G12, '_REF Leaderboard Time Ranges'!$C$6:$E42, COLUMNS('_REF Leaderboard Time Ranges'!$C$6:$E42), FALSE)</f>
        <v>Daily</v>
      </c>
      <c r="N12" s="356"/>
      <c r="O12" s="356"/>
      <c r="P12" s="356"/>
      <c r="Q12" s="356"/>
    </row>
    <row r="13" spans="1:17" ht="15.75" customHeight="1" x14ac:dyDescent="0.15">
      <c r="A13" s="358"/>
      <c r="B13" s="358"/>
      <c r="C13" s="358" t="str">
        <f ca="1">IFERROR(__xludf.DUMMYFUNCTION("""COMPUTED_VALUE"""),"best_points_month")</f>
        <v>best_points_month</v>
      </c>
      <c r="D13" s="355" t="s">
        <v>857</v>
      </c>
      <c r="E13" s="356" t="b">
        <v>0</v>
      </c>
      <c r="F13" s="356" t="s">
        <v>7277</v>
      </c>
      <c r="G13" s="356" t="s">
        <v>2367</v>
      </c>
      <c r="H13" s="356" t="str">
        <f ca="1">LOWER(VLOOKUP($C13, StatisticsLeaderboards!$G14:$H42, COLUMNS(StatisticsLeaderboards!$G14:$H42), FALSE))</f>
        <v>max</v>
      </c>
      <c r="I13" s="356" t="s">
        <v>283</v>
      </c>
      <c r="J13" s="356" t="str">
        <f t="shared" ca="1" si="0"/>
        <v>Best Points Monthly</v>
      </c>
      <c r="K13" s="356" t="str">
        <f ca="1">IFERROR(__xludf.DUMMYFUNCTION("PROPER(SPLIT($C13, ""_""))"),"Best")</f>
        <v>Best</v>
      </c>
      <c r="L13" s="357" t="str">
        <f t="shared" si="1"/>
        <v>Points</v>
      </c>
      <c r="M13" s="356" t="str">
        <f>VLOOKUP($G13, '_REF Leaderboard Time Ranges'!$C$6:$E42, COLUMNS('_REF Leaderboard Time Ranges'!$C$6:$E42), FALSE)</f>
        <v>Monthly</v>
      </c>
      <c r="N13" s="356"/>
      <c r="O13" s="356"/>
      <c r="P13" s="356"/>
      <c r="Q13" s="356"/>
    </row>
    <row r="14" spans="1:17" ht="15.75" customHeight="1" x14ac:dyDescent="0.15">
      <c r="A14" s="358"/>
      <c r="B14" s="358"/>
      <c r="C14" s="358" t="str">
        <f ca="1">IFERROR(__xludf.DUMMYFUNCTION("""COMPUTED_VALUE"""),"best_points_season")</f>
        <v>best_points_season</v>
      </c>
      <c r="D14" s="355" t="s">
        <v>857</v>
      </c>
      <c r="E14" s="356" t="b">
        <v>0</v>
      </c>
      <c r="F14" s="356" t="b">
        <v>1</v>
      </c>
      <c r="G14" s="356" t="s">
        <v>2369</v>
      </c>
      <c r="H14" s="356" t="str">
        <f ca="1">LOWER(VLOOKUP($C14, StatisticsLeaderboards!$G15:$H42, COLUMNS(StatisticsLeaderboards!$G15:$H42), FALSE))</f>
        <v>max</v>
      </c>
      <c r="I14" s="356" t="s">
        <v>283</v>
      </c>
      <c r="J14" s="356" t="str">
        <f t="shared" ca="1" si="0"/>
        <v>Best Points Seasonal</v>
      </c>
      <c r="K14" s="356" t="str">
        <f ca="1">IFERROR(__xludf.DUMMYFUNCTION("PROPER(SPLIT($C14, ""_""))"),"Best")</f>
        <v>Best</v>
      </c>
      <c r="L14" s="357" t="str">
        <f t="shared" si="1"/>
        <v>Points</v>
      </c>
      <c r="M14" s="356" t="str">
        <f>VLOOKUP($G14, '_REF Leaderboard Time Ranges'!$C$6:$E42, COLUMNS('_REF Leaderboard Time Ranges'!$C$6:$E42), FALSE)</f>
        <v>Seasonal</v>
      </c>
      <c r="N14" s="356"/>
      <c r="O14" s="356"/>
      <c r="P14" s="356"/>
      <c r="Q14" s="356"/>
    </row>
    <row r="15" spans="1:17" ht="15.75" customHeight="1" x14ac:dyDescent="0.15">
      <c r="A15" s="358"/>
      <c r="B15" s="358"/>
      <c r="C15" s="358" t="str">
        <f ca="1">IFERROR(__xludf.DUMMYFUNCTION("""COMPUTED_VALUE"""),"last_points")</f>
        <v>last_points</v>
      </c>
      <c r="D15" s="355" t="s">
        <v>857</v>
      </c>
      <c r="E15" s="356" t="b">
        <v>0</v>
      </c>
      <c r="F15" s="356" t="s">
        <v>7277</v>
      </c>
      <c r="G15" s="356" t="s">
        <v>2358</v>
      </c>
      <c r="H15" s="356" t="str">
        <f ca="1">LOWER(VLOOKUP($C15, StatisticsLeaderboards!$G16:$H42, COLUMNS(StatisticsLeaderboards!$G16:$H42), FALSE))</f>
        <v>last</v>
      </c>
      <c r="I15" s="356" t="s">
        <v>283</v>
      </c>
      <c r="J15" s="356" t="str">
        <f t="shared" ca="1" si="0"/>
        <v>Last Points All-Time</v>
      </c>
      <c r="K15" s="356" t="str">
        <f ca="1">IFERROR(__xludf.DUMMYFUNCTION("PROPER(SPLIT($C15, ""_""))"),"Last")</f>
        <v>Last</v>
      </c>
      <c r="L15" s="357" t="str">
        <f t="shared" si="1"/>
        <v>Points</v>
      </c>
      <c r="M15" s="356" t="str">
        <f>VLOOKUP($G15, '_REF Leaderboard Time Ranges'!$C$6:$E42, COLUMNS('_REF Leaderboard Time Ranges'!$C$6:$E42), FALSE)</f>
        <v>All-Time</v>
      </c>
      <c r="N15" s="356"/>
      <c r="O15" s="356"/>
      <c r="P15" s="356"/>
      <c r="Q15" s="356"/>
    </row>
    <row r="16" spans="1:17" ht="15.75" customHeight="1" x14ac:dyDescent="0.15">
      <c r="A16" s="358"/>
      <c r="B16" s="358"/>
      <c r="C16" s="358" t="str">
        <f ca="1">IFERROR(__xludf.DUMMYFUNCTION("""COMPUTED_VALUE"""),"last_points_day")</f>
        <v>last_points_day</v>
      </c>
      <c r="D16" s="355" t="s">
        <v>857</v>
      </c>
      <c r="E16" s="356" t="b">
        <v>0</v>
      </c>
      <c r="F16" s="356" t="s">
        <v>7277</v>
      </c>
      <c r="G16" s="356" t="s">
        <v>2362</v>
      </c>
      <c r="H16" s="356" t="str">
        <f ca="1">LOWER(VLOOKUP($C16, StatisticsLeaderboards!$G17:$H42, COLUMNS(StatisticsLeaderboards!$G17:$H42), FALSE))</f>
        <v>last</v>
      </c>
      <c r="I16" s="356" t="s">
        <v>283</v>
      </c>
      <c r="J16" s="356" t="str">
        <f t="shared" ca="1" si="0"/>
        <v>Last Points Daily</v>
      </c>
      <c r="K16" s="356" t="str">
        <f ca="1">IFERROR(__xludf.DUMMYFUNCTION("PROPER(SPLIT($C16, ""_""))"),"Last")</f>
        <v>Last</v>
      </c>
      <c r="L16" s="357" t="str">
        <f t="shared" si="1"/>
        <v>Points</v>
      </c>
      <c r="M16" s="356" t="str">
        <f>VLOOKUP($G16, '_REF Leaderboard Time Ranges'!$C$6:$E42, COLUMNS('_REF Leaderboard Time Ranges'!$C$6:$E42), FALSE)</f>
        <v>Daily</v>
      </c>
      <c r="N16" s="356"/>
      <c r="O16" s="356"/>
      <c r="P16" s="356"/>
      <c r="Q16" s="356"/>
    </row>
    <row r="17" spans="1:17" ht="15.75" customHeight="1" x14ac:dyDescent="0.15">
      <c r="A17" s="358"/>
      <c r="B17" s="358"/>
      <c r="C17" s="358" t="str">
        <f ca="1">IFERROR(__xludf.DUMMYFUNCTION("""COMPUTED_VALUE"""),"last_points_month")</f>
        <v>last_points_month</v>
      </c>
      <c r="D17" s="355" t="s">
        <v>857</v>
      </c>
      <c r="E17" s="356" t="b">
        <v>0</v>
      </c>
      <c r="F17" s="356" t="s">
        <v>7277</v>
      </c>
      <c r="G17" s="356" t="s">
        <v>2367</v>
      </c>
      <c r="H17" s="356" t="str">
        <f ca="1">LOWER(VLOOKUP($C17, StatisticsLeaderboards!$G18:$H42, COLUMNS(StatisticsLeaderboards!$G18:$H42), FALSE))</f>
        <v>last</v>
      </c>
      <c r="I17" s="356" t="s">
        <v>283</v>
      </c>
      <c r="J17" s="356" t="str">
        <f t="shared" ca="1" si="0"/>
        <v>Last Points Monthly</v>
      </c>
      <c r="K17" s="356" t="str">
        <f ca="1">IFERROR(__xludf.DUMMYFUNCTION("PROPER(SPLIT($C17, ""_""))"),"Last")</f>
        <v>Last</v>
      </c>
      <c r="L17" s="357" t="str">
        <f t="shared" si="1"/>
        <v>Points</v>
      </c>
      <c r="M17" s="356" t="str">
        <f>VLOOKUP($G17, '_REF Leaderboard Time Ranges'!$C$6:$E42, COLUMNS('_REF Leaderboard Time Ranges'!$C$6:$E42), FALSE)</f>
        <v>Monthly</v>
      </c>
      <c r="N17" s="356"/>
      <c r="O17" s="356"/>
      <c r="P17" s="356"/>
      <c r="Q17" s="356"/>
    </row>
    <row r="18" spans="1:17" ht="15.75" customHeight="1" x14ac:dyDescent="0.15">
      <c r="A18" s="358"/>
      <c r="B18" s="358"/>
      <c r="C18" s="358" t="str">
        <f ca="1">IFERROR(__xludf.DUMMYFUNCTION("""COMPUTED_VALUE"""),"last_points_season")</f>
        <v>last_points_season</v>
      </c>
      <c r="D18" s="355" t="s">
        <v>857</v>
      </c>
      <c r="E18" s="356" t="b">
        <v>0</v>
      </c>
      <c r="F18" s="356" t="s">
        <v>7277</v>
      </c>
      <c r="G18" s="356" t="s">
        <v>2369</v>
      </c>
      <c r="H18" s="356" t="str">
        <f ca="1">LOWER(VLOOKUP($C18, StatisticsLeaderboards!$G19:$H42, COLUMNS(StatisticsLeaderboards!$G19:$H42), FALSE))</f>
        <v>last</v>
      </c>
      <c r="I18" s="356" t="s">
        <v>283</v>
      </c>
      <c r="J18" s="356" t="str">
        <f t="shared" ca="1" si="0"/>
        <v>Last Points Seasonal</v>
      </c>
      <c r="K18" s="356" t="str">
        <f ca="1">IFERROR(__xludf.DUMMYFUNCTION("PROPER(SPLIT($C18, ""_""))"),"Last")</f>
        <v>Last</v>
      </c>
      <c r="L18" s="357" t="str">
        <f t="shared" si="1"/>
        <v>Points</v>
      </c>
      <c r="M18" s="356" t="str">
        <f>VLOOKUP($G18, '_REF Leaderboard Time Ranges'!$C$6:$E42, COLUMNS('_REF Leaderboard Time Ranges'!$C$6:$E42), FALSE)</f>
        <v>Seasonal</v>
      </c>
      <c r="N18" s="356"/>
      <c r="O18" s="356"/>
      <c r="P18" s="356"/>
      <c r="Q18" s="356"/>
    </row>
    <row r="19" spans="1:17" ht="15.75" customHeight="1" x14ac:dyDescent="0.15">
      <c r="A19" s="358"/>
      <c r="B19" s="358"/>
      <c r="C19" s="358" t="str">
        <f ca="1">IFERROR(__xludf.DUMMYFUNCTION("""COMPUTED_VALUE"""),"total_blocksPerm")</f>
        <v>total_blocksPerm</v>
      </c>
      <c r="D19" s="355" t="s">
        <v>2391</v>
      </c>
      <c r="E19" s="356" t="b">
        <v>1</v>
      </c>
      <c r="F19" s="356" t="s">
        <v>7277</v>
      </c>
      <c r="G19" s="356" t="s">
        <v>2358</v>
      </c>
      <c r="H19" s="356" t="str">
        <f ca="1">LOWER(VLOOKUP($C19, StatisticsLeaderboards!$G20:$H42, COLUMNS(StatisticsLeaderboards!$G20:$H42), FALSE))</f>
        <v>sum</v>
      </c>
      <c r="I19" s="356" t="s">
        <v>283</v>
      </c>
      <c r="J19" s="356" t="str">
        <f t="shared" ca="1" si="0"/>
        <v>Total Blocks All-Time</v>
      </c>
      <c r="K19" s="356" t="str">
        <f ca="1">IFERROR(__xludf.DUMMYFUNCTION("PROPER(SPLIT($C19, ""_""))"),"Total")</f>
        <v>Total</v>
      </c>
      <c r="L19" s="357" t="str">
        <f t="shared" si="1"/>
        <v>Blocks</v>
      </c>
      <c r="M19" s="356" t="str">
        <f>VLOOKUP($G19, '_REF Leaderboard Time Ranges'!$C$6:$E42, COLUMNS('_REF Leaderboard Time Ranges'!$C$6:$E42), FALSE)</f>
        <v>All-Time</v>
      </c>
      <c r="N19" s="356"/>
      <c r="O19" s="356"/>
      <c r="P19" s="356"/>
      <c r="Q19" s="356"/>
    </row>
    <row r="20" spans="1:17" ht="15.75" customHeight="1" x14ac:dyDescent="0.15">
      <c r="A20" s="358"/>
      <c r="B20" s="358"/>
      <c r="C20" s="358" t="str">
        <f ca="1">IFERROR(__xludf.DUMMYFUNCTION("""COMPUTED_VALUE"""),"total_blocksPerm_day")</f>
        <v>total_blocksPerm_day</v>
      </c>
      <c r="D20" s="355" t="s">
        <v>2391</v>
      </c>
      <c r="E20" s="356" t="b">
        <v>0</v>
      </c>
      <c r="F20" s="356" t="s">
        <v>7277</v>
      </c>
      <c r="G20" s="356" t="s">
        <v>2362</v>
      </c>
      <c r="H20" s="356" t="str">
        <f ca="1">LOWER(VLOOKUP($C20, StatisticsLeaderboards!$G21:$H42, COLUMNS(StatisticsLeaderboards!$G21:$H42), FALSE))</f>
        <v>sum</v>
      </c>
      <c r="I20" s="356" t="s">
        <v>283</v>
      </c>
      <c r="J20" s="356" t="str">
        <f t="shared" ca="1" si="0"/>
        <v>Total Blocks Daily</v>
      </c>
      <c r="K20" s="356" t="str">
        <f ca="1">IFERROR(__xludf.DUMMYFUNCTION("PROPER(SPLIT($C20, ""_""))"),"Total")</f>
        <v>Total</v>
      </c>
      <c r="L20" s="357" t="str">
        <f t="shared" si="1"/>
        <v>Blocks</v>
      </c>
      <c r="M20" s="356" t="str">
        <f>VLOOKUP($G20, '_REF Leaderboard Time Ranges'!$C$6:$E42, COLUMNS('_REF Leaderboard Time Ranges'!$C$6:$E42), FALSE)</f>
        <v>Daily</v>
      </c>
      <c r="N20" s="356"/>
      <c r="O20" s="356"/>
      <c r="P20" s="356"/>
      <c r="Q20" s="356"/>
    </row>
    <row r="21" spans="1:17" ht="15.75" customHeight="1" x14ac:dyDescent="0.15">
      <c r="A21" s="358"/>
      <c r="B21" s="358"/>
      <c r="C21" s="358" t="str">
        <f ca="1">IFERROR(__xludf.DUMMYFUNCTION("""COMPUTED_VALUE"""),"total_blocksPerm_month")</f>
        <v>total_blocksPerm_month</v>
      </c>
      <c r="D21" s="355" t="s">
        <v>2391</v>
      </c>
      <c r="E21" s="356" t="b">
        <v>0</v>
      </c>
      <c r="F21" s="356" t="s">
        <v>7277</v>
      </c>
      <c r="G21" s="356" t="s">
        <v>2367</v>
      </c>
      <c r="H21" s="356" t="str">
        <f ca="1">LOWER(VLOOKUP($C21, StatisticsLeaderboards!$G22:$H42, COLUMNS(StatisticsLeaderboards!$G22:$H42), FALSE))</f>
        <v>sum</v>
      </c>
      <c r="I21" s="356" t="s">
        <v>283</v>
      </c>
      <c r="J21" s="356" t="str">
        <f t="shared" ca="1" si="0"/>
        <v>Total Blocks Monthly</v>
      </c>
      <c r="K21" s="356" t="str">
        <f ca="1">IFERROR(__xludf.DUMMYFUNCTION("PROPER(SPLIT($C21, ""_""))"),"Total")</f>
        <v>Total</v>
      </c>
      <c r="L21" s="357" t="str">
        <f t="shared" si="1"/>
        <v>Blocks</v>
      </c>
      <c r="M21" s="356" t="str">
        <f>VLOOKUP($G21, '_REF Leaderboard Time Ranges'!$C$6:$E42, COLUMNS('_REF Leaderboard Time Ranges'!$C$6:$E42), FALSE)</f>
        <v>Monthly</v>
      </c>
      <c r="N21" s="356"/>
      <c r="O21" s="356"/>
      <c r="P21" s="356"/>
      <c r="Q21" s="356"/>
    </row>
    <row r="22" spans="1:17" ht="15.75" customHeight="1" x14ac:dyDescent="0.15">
      <c r="A22" s="358"/>
      <c r="B22" s="358"/>
      <c r="C22" s="358" t="str">
        <f ca="1">IFERROR(__xludf.DUMMYFUNCTION("""COMPUTED_VALUE"""),"total_blocksPerm_season")</f>
        <v>total_blocksPerm_season</v>
      </c>
      <c r="D22" s="355" t="s">
        <v>2391</v>
      </c>
      <c r="E22" s="356" t="b">
        <v>0</v>
      </c>
      <c r="F22" s="356" t="s">
        <v>7277</v>
      </c>
      <c r="G22" s="356" t="s">
        <v>2369</v>
      </c>
      <c r="H22" s="356" t="str">
        <f ca="1">LOWER(VLOOKUP($C22, StatisticsLeaderboards!$G23:$H42, COLUMNS(StatisticsLeaderboards!$G23:$H42), FALSE))</f>
        <v>sum</v>
      </c>
      <c r="I22" s="356" t="s">
        <v>283</v>
      </c>
      <c r="J22" s="356" t="str">
        <f t="shared" ca="1" si="0"/>
        <v>Total Blocks Seasonal</v>
      </c>
      <c r="K22" s="356" t="str">
        <f ca="1">IFERROR(__xludf.DUMMYFUNCTION("PROPER(SPLIT($C22, ""_""))"),"Total")</f>
        <v>Total</v>
      </c>
      <c r="L22" s="357" t="str">
        <f t="shared" si="1"/>
        <v>Blocks</v>
      </c>
      <c r="M22" s="356" t="str">
        <f>VLOOKUP($G22, '_REF Leaderboard Time Ranges'!$C$6:$E42, COLUMNS('_REF Leaderboard Time Ranges'!$C$6:$E42), FALSE)</f>
        <v>Seasonal</v>
      </c>
      <c r="N22" s="356"/>
      <c r="O22" s="356"/>
      <c r="P22" s="356"/>
      <c r="Q22" s="356"/>
    </row>
    <row r="23" spans="1:17" ht="15.75" customHeight="1" x14ac:dyDescent="0.15">
      <c r="A23" s="358"/>
      <c r="B23" s="358"/>
      <c r="C23" s="358" t="str">
        <f ca="1">IFERROR(__xludf.DUMMYFUNCTION("""COMPUTED_VALUE"""),"total_blocksTemp")</f>
        <v>total_blocksTemp</v>
      </c>
      <c r="D23" s="355" t="s">
        <v>2391</v>
      </c>
      <c r="E23" s="356" t="b">
        <v>1</v>
      </c>
      <c r="F23" s="356" t="s">
        <v>7277</v>
      </c>
      <c r="G23" s="356" t="s">
        <v>2358</v>
      </c>
      <c r="H23" s="356" t="str">
        <f ca="1">LOWER(VLOOKUP($C23, StatisticsLeaderboards!$G24:$H42, COLUMNS(StatisticsLeaderboards!$G24:$H42), FALSE))</f>
        <v>sum</v>
      </c>
      <c r="I23" s="356" t="s">
        <v>283</v>
      </c>
      <c r="J23" s="356" t="str">
        <f t="shared" ca="1" si="0"/>
        <v>Total Blocks All-Time</v>
      </c>
      <c r="K23" s="356" t="str">
        <f ca="1">IFERROR(__xludf.DUMMYFUNCTION("PROPER(SPLIT($C23, ""_""))"),"Total")</f>
        <v>Total</v>
      </c>
      <c r="L23" s="357" t="str">
        <f t="shared" si="1"/>
        <v>Blocks</v>
      </c>
      <c r="M23" s="356" t="str">
        <f>VLOOKUP($G23, '_REF Leaderboard Time Ranges'!$C$6:$E42, COLUMNS('_REF Leaderboard Time Ranges'!$C$6:$E42), FALSE)</f>
        <v>All-Time</v>
      </c>
      <c r="N23" s="356"/>
      <c r="O23" s="356"/>
      <c r="P23" s="356"/>
      <c r="Q23" s="356"/>
    </row>
    <row r="24" spans="1:17" ht="15.75" customHeight="1" x14ac:dyDescent="0.15">
      <c r="A24" s="358"/>
      <c r="B24" s="358"/>
      <c r="C24" s="358" t="str">
        <f ca="1">IFERROR(__xludf.DUMMYFUNCTION("""COMPUTED_VALUE"""),"total_blocksTemp_day")</f>
        <v>total_blocksTemp_day</v>
      </c>
      <c r="D24" s="355" t="s">
        <v>2391</v>
      </c>
      <c r="E24" s="356" t="b">
        <v>0</v>
      </c>
      <c r="F24" s="356" t="s">
        <v>7277</v>
      </c>
      <c r="G24" s="356" t="s">
        <v>2362</v>
      </c>
      <c r="H24" s="356" t="str">
        <f ca="1">LOWER(VLOOKUP($C24, StatisticsLeaderboards!$G25:$H42, COLUMNS(StatisticsLeaderboards!$G25:$H42), FALSE))</f>
        <v>sum</v>
      </c>
      <c r="I24" s="356" t="s">
        <v>283</v>
      </c>
      <c r="J24" s="356" t="str">
        <f t="shared" ca="1" si="0"/>
        <v>Total Blocks Daily</v>
      </c>
      <c r="K24" s="356" t="str">
        <f ca="1">IFERROR(__xludf.DUMMYFUNCTION("PROPER(SPLIT($C24, ""_""))"),"Total")</f>
        <v>Total</v>
      </c>
      <c r="L24" s="357" t="str">
        <f t="shared" si="1"/>
        <v>Blocks</v>
      </c>
      <c r="M24" s="356" t="str">
        <f>VLOOKUP($G24, '_REF Leaderboard Time Ranges'!$C$6:$E42, COLUMNS('_REF Leaderboard Time Ranges'!$C$6:$E42), FALSE)</f>
        <v>Daily</v>
      </c>
      <c r="N24" s="356"/>
      <c r="O24" s="356"/>
      <c r="P24" s="356"/>
      <c r="Q24" s="356"/>
    </row>
    <row r="25" spans="1:17" ht="15.75" customHeight="1" x14ac:dyDescent="0.15">
      <c r="A25" s="358"/>
      <c r="B25" s="358"/>
      <c r="C25" s="358" t="str">
        <f ca="1">IFERROR(__xludf.DUMMYFUNCTION("""COMPUTED_VALUE"""),"total_blocksTemp_month")</f>
        <v>total_blocksTemp_month</v>
      </c>
      <c r="D25" s="355" t="s">
        <v>2391</v>
      </c>
      <c r="E25" s="356" t="b">
        <v>0</v>
      </c>
      <c r="F25" s="356" t="s">
        <v>7277</v>
      </c>
      <c r="G25" s="356" t="s">
        <v>2367</v>
      </c>
      <c r="H25" s="356" t="str">
        <f ca="1">LOWER(VLOOKUP($C25, StatisticsLeaderboards!$G26:$H42, COLUMNS(StatisticsLeaderboards!$G26:$H42), FALSE))</f>
        <v>sum</v>
      </c>
      <c r="I25" s="356" t="s">
        <v>283</v>
      </c>
      <c r="J25" s="356" t="str">
        <f t="shared" ca="1" si="0"/>
        <v>Total Blocks Monthly</v>
      </c>
      <c r="K25" s="356" t="str">
        <f ca="1">IFERROR(__xludf.DUMMYFUNCTION("PROPER(SPLIT($C25, ""_""))"),"Total")</f>
        <v>Total</v>
      </c>
      <c r="L25" s="357" t="str">
        <f t="shared" si="1"/>
        <v>Blocks</v>
      </c>
      <c r="M25" s="356" t="str">
        <f>VLOOKUP($G25, '_REF Leaderboard Time Ranges'!$C$6:$E42, COLUMNS('_REF Leaderboard Time Ranges'!$C$6:$E42), FALSE)</f>
        <v>Monthly</v>
      </c>
      <c r="N25" s="356"/>
      <c r="O25" s="356"/>
      <c r="P25" s="356"/>
      <c r="Q25" s="356"/>
    </row>
    <row r="26" spans="1:17" ht="15.75" customHeight="1" x14ac:dyDescent="0.15">
      <c r="A26" s="358"/>
      <c r="B26" s="358"/>
      <c r="C26" s="358" t="str">
        <f ca="1">IFERROR(__xludf.DUMMYFUNCTION("""COMPUTED_VALUE"""),"total_blocksTemp_season")</f>
        <v>total_blocksTemp_season</v>
      </c>
      <c r="D26" s="355" t="s">
        <v>2391</v>
      </c>
      <c r="E26" s="356" t="b">
        <v>0</v>
      </c>
      <c r="F26" s="356" t="s">
        <v>7277</v>
      </c>
      <c r="G26" s="356" t="s">
        <v>2369</v>
      </c>
      <c r="H26" s="356" t="str">
        <f ca="1">LOWER(VLOOKUP($C26, StatisticsLeaderboards!$G27:$H42, COLUMNS(StatisticsLeaderboards!$G27:$H42), FALSE))</f>
        <v>sum</v>
      </c>
      <c r="I26" s="356" t="s">
        <v>283</v>
      </c>
      <c r="J26" s="356" t="str">
        <f t="shared" ca="1" si="0"/>
        <v>Total Blocks Seasonal</v>
      </c>
      <c r="K26" s="356" t="str">
        <f ca="1">IFERROR(__xludf.DUMMYFUNCTION("PROPER(SPLIT($C26, ""_""))"),"Total")</f>
        <v>Total</v>
      </c>
      <c r="L26" s="357" t="str">
        <f t="shared" si="1"/>
        <v>Blocks</v>
      </c>
      <c r="M26" s="356" t="str">
        <f>VLOOKUP($G26, '_REF Leaderboard Time Ranges'!$C$6:$E42, COLUMNS('_REF Leaderboard Time Ranges'!$C$6:$E42), FALSE)</f>
        <v>Seasonal</v>
      </c>
      <c r="N26" s="356"/>
      <c r="O26" s="356"/>
      <c r="P26" s="356"/>
      <c r="Q26" s="356"/>
    </row>
    <row r="27" spans="1:17" ht="15.75" customHeight="1" x14ac:dyDescent="0.15">
      <c r="A27" s="358"/>
      <c r="B27" s="358"/>
      <c r="C27" s="358" t="str">
        <f ca="1">IFERROR(__xludf.DUMMYFUNCTION("""COMPUTED_VALUE"""),"total_elementalFire")</f>
        <v>total_elementalFire</v>
      </c>
      <c r="D27" s="355" t="s">
        <v>2435</v>
      </c>
      <c r="E27" s="356" t="b">
        <v>1</v>
      </c>
      <c r="F27" s="356" t="s">
        <v>7277</v>
      </c>
      <c r="G27" s="356" t="s">
        <v>2358</v>
      </c>
      <c r="H27" s="356" t="e">
        <f ca="1">LOWER(VLOOKUP($C27, StatisticsLeaderboards!$G28:$H42, COLUMNS(StatisticsLeaderboards!$G28:$H42), FALSE))</f>
        <v>#N/A</v>
      </c>
      <c r="I27" s="356" t="s">
        <v>283</v>
      </c>
      <c r="J27" s="356" t="str">
        <f t="shared" ca="1" si="0"/>
        <v>Total Skills All-Time</v>
      </c>
      <c r="K27" s="356" t="str">
        <f ca="1">IFERROR(__xludf.DUMMYFUNCTION("PROPER(SPLIT($C27, ""_""))"),"Total")</f>
        <v>Total</v>
      </c>
      <c r="L27" s="357" t="str">
        <f t="shared" si="1"/>
        <v>Skills</v>
      </c>
      <c r="M27" s="356" t="str">
        <f>VLOOKUP($G27, '_REF Leaderboard Time Ranges'!$C$6:$E42, COLUMNS('_REF Leaderboard Time Ranges'!$C$6:$E42), FALSE)</f>
        <v>All-Time</v>
      </c>
      <c r="N27" s="356"/>
      <c r="O27" s="356"/>
      <c r="P27" s="356"/>
      <c r="Q27" s="356"/>
    </row>
    <row r="28" spans="1:17" ht="15.75" customHeight="1" x14ac:dyDescent="0.15">
      <c r="A28" s="358"/>
      <c r="B28" s="358"/>
      <c r="C28" s="358" t="str">
        <f ca="1">IFERROR(__xludf.DUMMYFUNCTION("""COMPUTED_VALUE"""),"total_elementalFire_day")</f>
        <v>total_elementalFire_day</v>
      </c>
      <c r="D28" s="355" t="s">
        <v>2435</v>
      </c>
      <c r="E28" s="356" t="b">
        <v>0</v>
      </c>
      <c r="F28" s="356" t="s">
        <v>7277</v>
      </c>
      <c r="G28" s="356" t="s">
        <v>2362</v>
      </c>
      <c r="H28" s="356" t="e">
        <f ca="1">LOWER(VLOOKUP($C28, StatisticsLeaderboards!$G29:$H42, COLUMNS(StatisticsLeaderboards!$G29:$H42), FALSE))</f>
        <v>#N/A</v>
      </c>
      <c r="I28" s="356" t="s">
        <v>283</v>
      </c>
      <c r="J28" s="356" t="str">
        <f t="shared" ca="1" si="0"/>
        <v>Total Skills Daily</v>
      </c>
      <c r="K28" s="356" t="str">
        <f ca="1">IFERROR(__xludf.DUMMYFUNCTION("PROPER(SPLIT($C28, ""_""))"),"Total")</f>
        <v>Total</v>
      </c>
      <c r="L28" s="357" t="str">
        <f t="shared" si="1"/>
        <v>Skills</v>
      </c>
      <c r="M28" s="356" t="str">
        <f>VLOOKUP($G28, '_REF Leaderboard Time Ranges'!$C$6:$E42, COLUMNS('_REF Leaderboard Time Ranges'!$C$6:$E42), FALSE)</f>
        <v>Daily</v>
      </c>
      <c r="N28" s="356"/>
      <c r="O28" s="356"/>
      <c r="P28" s="356"/>
      <c r="Q28" s="356"/>
    </row>
    <row r="29" spans="1:17" ht="15.75" customHeight="1" x14ac:dyDescent="0.15">
      <c r="A29" s="358"/>
      <c r="B29" s="358"/>
      <c r="C29" s="358" t="str">
        <f ca="1">IFERROR(__xludf.DUMMYFUNCTION("""COMPUTED_VALUE"""),"total_elementalFire_month")</f>
        <v>total_elementalFire_month</v>
      </c>
      <c r="D29" s="355" t="s">
        <v>2435</v>
      </c>
      <c r="E29" s="356" t="b">
        <v>0</v>
      </c>
      <c r="F29" s="356" t="s">
        <v>7277</v>
      </c>
      <c r="G29" s="356" t="s">
        <v>2367</v>
      </c>
      <c r="H29" s="356" t="e">
        <f ca="1">LOWER(VLOOKUP($C29, StatisticsLeaderboards!$G30:$H42, COLUMNS(StatisticsLeaderboards!$G30:$H42), FALSE))</f>
        <v>#N/A</v>
      </c>
      <c r="I29" s="356" t="s">
        <v>283</v>
      </c>
      <c r="J29" s="356" t="str">
        <f t="shared" ca="1" si="0"/>
        <v>Total Skills Monthly</v>
      </c>
      <c r="K29" s="356" t="str">
        <f ca="1">IFERROR(__xludf.DUMMYFUNCTION("PROPER(SPLIT($C29, ""_""))"),"Total")</f>
        <v>Total</v>
      </c>
      <c r="L29" s="357" t="str">
        <f t="shared" si="1"/>
        <v>Skills</v>
      </c>
      <c r="M29" s="356" t="str">
        <f>VLOOKUP($G29, '_REF Leaderboard Time Ranges'!$C$6:$E42, COLUMNS('_REF Leaderboard Time Ranges'!$C$6:$E42), FALSE)</f>
        <v>Monthly</v>
      </c>
      <c r="N29" s="356"/>
      <c r="O29" s="356"/>
      <c r="P29" s="356"/>
      <c r="Q29" s="356"/>
    </row>
    <row r="30" spans="1:17" ht="15.75" customHeight="1" x14ac:dyDescent="0.15">
      <c r="A30" s="358"/>
      <c r="B30" s="358"/>
      <c r="C30" s="358" t="str">
        <f ca="1">IFERROR(__xludf.DUMMYFUNCTION("""COMPUTED_VALUE"""),"total_elementalFire_season")</f>
        <v>total_elementalFire_season</v>
      </c>
      <c r="D30" s="355" t="s">
        <v>2435</v>
      </c>
      <c r="E30" s="356" t="b">
        <v>0</v>
      </c>
      <c r="F30" s="356" t="s">
        <v>7277</v>
      </c>
      <c r="G30" s="356" t="s">
        <v>2369</v>
      </c>
      <c r="H30" s="356" t="e">
        <f ca="1">LOWER(VLOOKUP($C30, StatisticsLeaderboards!$G31:$H42, COLUMNS(StatisticsLeaderboards!$G31:$H42), FALSE))</f>
        <v>#N/A</v>
      </c>
      <c r="I30" s="356" t="s">
        <v>283</v>
      </c>
      <c r="J30" s="356" t="str">
        <f t="shared" ca="1" si="0"/>
        <v>Total Skills Seasonal</v>
      </c>
      <c r="K30" s="356" t="str">
        <f ca="1">IFERROR(__xludf.DUMMYFUNCTION("PROPER(SPLIT($C30, ""_""))"),"Total")</f>
        <v>Total</v>
      </c>
      <c r="L30" s="357" t="str">
        <f t="shared" si="1"/>
        <v>Skills</v>
      </c>
      <c r="M30" s="356" t="str">
        <f>VLOOKUP($G30, '_REF Leaderboard Time Ranges'!$C$6:$E42, COLUMNS('_REF Leaderboard Time Ranges'!$C$6:$E42), FALSE)</f>
        <v>Seasonal</v>
      </c>
      <c r="N30" s="356"/>
      <c r="O30" s="356"/>
      <c r="P30" s="356"/>
      <c r="Q30" s="356"/>
    </row>
    <row r="31" spans="1:17" ht="15.75" customHeight="1" x14ac:dyDescent="0.15">
      <c r="A31" s="358"/>
      <c r="B31" s="358"/>
      <c r="C31" s="358" t="str">
        <f ca="1">IFERROR(__xludf.DUMMYFUNCTION("""COMPUTED_VALUE"""),"total_elementalForce")</f>
        <v>total_elementalForce</v>
      </c>
      <c r="D31" s="355" t="s">
        <v>2435</v>
      </c>
      <c r="E31" s="356" t="b">
        <v>1</v>
      </c>
      <c r="F31" s="356" t="s">
        <v>7277</v>
      </c>
      <c r="G31" s="356" t="s">
        <v>2358</v>
      </c>
      <c r="H31" s="356" t="e">
        <f ca="1">LOWER(VLOOKUP($C31, StatisticsLeaderboards!$G32:$H42, COLUMNS(StatisticsLeaderboards!$G32:$H42), FALSE))</f>
        <v>#N/A</v>
      </c>
      <c r="I31" s="356" t="s">
        <v>283</v>
      </c>
      <c r="J31" s="356" t="str">
        <f t="shared" ca="1" si="0"/>
        <v>Total Skills All-Time</v>
      </c>
      <c r="K31" s="356" t="str">
        <f ca="1">IFERROR(__xludf.DUMMYFUNCTION("PROPER(SPLIT($C31, ""_""))"),"Total")</f>
        <v>Total</v>
      </c>
      <c r="L31" s="357" t="str">
        <f t="shared" si="1"/>
        <v>Skills</v>
      </c>
      <c r="M31" s="356" t="str">
        <f>VLOOKUP($G31, '_REF Leaderboard Time Ranges'!$C$6:$E42, COLUMNS('_REF Leaderboard Time Ranges'!$C$6:$E42), FALSE)</f>
        <v>All-Time</v>
      </c>
      <c r="N31" s="356"/>
      <c r="O31" s="356"/>
      <c r="P31" s="356"/>
      <c r="Q31" s="356"/>
    </row>
    <row r="32" spans="1:17" ht="15.75" customHeight="1" x14ac:dyDescent="0.15">
      <c r="A32" s="358"/>
      <c r="B32" s="358"/>
      <c r="C32" s="358" t="str">
        <f ca="1">IFERROR(__xludf.DUMMYFUNCTION("""COMPUTED_VALUE"""),"total_elementalForce_day")</f>
        <v>total_elementalForce_day</v>
      </c>
      <c r="D32" s="355" t="s">
        <v>2435</v>
      </c>
      <c r="E32" s="356" t="b">
        <v>0</v>
      </c>
      <c r="F32" s="356" t="s">
        <v>7277</v>
      </c>
      <c r="G32" s="356" t="s">
        <v>2362</v>
      </c>
      <c r="H32" s="356" t="e">
        <f ca="1">LOWER(VLOOKUP($C32, StatisticsLeaderboards!$G33:$H42, COLUMNS(StatisticsLeaderboards!$G33:$H42), FALSE))</f>
        <v>#N/A</v>
      </c>
      <c r="I32" s="356" t="s">
        <v>283</v>
      </c>
      <c r="J32" s="356" t="str">
        <f t="shared" ca="1" si="0"/>
        <v>Total Skills Daily</v>
      </c>
      <c r="K32" s="356" t="str">
        <f ca="1">IFERROR(__xludf.DUMMYFUNCTION("PROPER(SPLIT($C32, ""_""))"),"Total")</f>
        <v>Total</v>
      </c>
      <c r="L32" s="357" t="str">
        <f t="shared" si="1"/>
        <v>Skills</v>
      </c>
      <c r="M32" s="356" t="str">
        <f>VLOOKUP($G32, '_REF Leaderboard Time Ranges'!$C$6:$E42, COLUMNS('_REF Leaderboard Time Ranges'!$C$6:$E42), FALSE)</f>
        <v>Daily</v>
      </c>
      <c r="N32" s="356"/>
      <c r="O32" s="356"/>
      <c r="P32" s="356"/>
      <c r="Q32" s="356"/>
    </row>
    <row r="33" spans="1:17" ht="15.75" customHeight="1" x14ac:dyDescent="0.15">
      <c r="A33" s="358"/>
      <c r="B33" s="358"/>
      <c r="C33" s="358" t="str">
        <f ca="1">IFERROR(__xludf.DUMMYFUNCTION("""COMPUTED_VALUE"""),"total_elementalForce_month")</f>
        <v>total_elementalForce_month</v>
      </c>
      <c r="D33" s="355" t="s">
        <v>2435</v>
      </c>
      <c r="E33" s="356" t="b">
        <v>0</v>
      </c>
      <c r="F33" s="356" t="s">
        <v>7277</v>
      </c>
      <c r="G33" s="356" t="s">
        <v>2367</v>
      </c>
      <c r="H33" s="356" t="e">
        <f ca="1">LOWER(VLOOKUP($C33, StatisticsLeaderboards!$G34:$H42, COLUMNS(StatisticsLeaderboards!$G34:$H42), FALSE))</f>
        <v>#N/A</v>
      </c>
      <c r="I33" s="356" t="s">
        <v>283</v>
      </c>
      <c r="J33" s="356" t="str">
        <f t="shared" ca="1" si="0"/>
        <v>Total Skills Monthly</v>
      </c>
      <c r="K33" s="356" t="str">
        <f ca="1">IFERROR(__xludf.DUMMYFUNCTION("PROPER(SPLIT($C33, ""_""))"),"Total")</f>
        <v>Total</v>
      </c>
      <c r="L33" s="357" t="str">
        <f t="shared" si="1"/>
        <v>Skills</v>
      </c>
      <c r="M33" s="356" t="str">
        <f>VLOOKUP($G33, '_REF Leaderboard Time Ranges'!$C$6:$E42, COLUMNS('_REF Leaderboard Time Ranges'!$C$6:$E42), FALSE)</f>
        <v>Monthly</v>
      </c>
      <c r="N33" s="356"/>
      <c r="O33" s="356"/>
      <c r="P33" s="356"/>
      <c r="Q33" s="356"/>
    </row>
    <row r="34" spans="1:17" ht="15.75" customHeight="1" x14ac:dyDescent="0.15">
      <c r="A34" s="358"/>
      <c r="B34" s="358"/>
      <c r="C34" s="358" t="str">
        <f ca="1">IFERROR(__xludf.DUMMYFUNCTION("""COMPUTED_VALUE"""),"total_elementalForce_season")</f>
        <v>total_elementalForce_season</v>
      </c>
      <c r="D34" s="355" t="s">
        <v>2435</v>
      </c>
      <c r="E34" s="356" t="b">
        <v>0</v>
      </c>
      <c r="F34" s="356" t="s">
        <v>7277</v>
      </c>
      <c r="G34" s="356" t="s">
        <v>2369</v>
      </c>
      <c r="H34" s="356" t="e">
        <f ca="1">LOWER(VLOOKUP($C34, StatisticsLeaderboards!$G35:$H42, COLUMNS(StatisticsLeaderboards!$G35:$H42), FALSE))</f>
        <v>#N/A</v>
      </c>
      <c r="I34" s="356" t="s">
        <v>283</v>
      </c>
      <c r="J34" s="356" t="str">
        <f t="shared" ca="1" si="0"/>
        <v>Total Skills Seasonal</v>
      </c>
      <c r="K34" s="356" t="str">
        <f ca="1">IFERROR(__xludf.DUMMYFUNCTION("PROPER(SPLIT($C34, ""_""))"),"Total")</f>
        <v>Total</v>
      </c>
      <c r="L34" s="357" t="str">
        <f t="shared" si="1"/>
        <v>Skills</v>
      </c>
      <c r="M34" s="356" t="str">
        <f>VLOOKUP($G34, '_REF Leaderboard Time Ranges'!$C$6:$E42, COLUMNS('_REF Leaderboard Time Ranges'!$C$6:$E42), FALSE)</f>
        <v>Seasonal</v>
      </c>
      <c r="N34" s="356"/>
      <c r="O34" s="356"/>
      <c r="P34" s="356"/>
      <c r="Q34" s="356"/>
    </row>
    <row r="35" spans="1:17" ht="15.75" customHeight="1" x14ac:dyDescent="0.15">
      <c r="A35" s="358"/>
      <c r="B35" s="358"/>
      <c r="C35" s="358" t="str">
        <f ca="1">IFERROR(__xludf.DUMMYFUNCTION("""COMPUTED_VALUE"""),"total_elementalFreeze")</f>
        <v>total_elementalFreeze</v>
      </c>
      <c r="D35" s="355" t="s">
        <v>2435</v>
      </c>
      <c r="E35" s="356" t="b">
        <v>1</v>
      </c>
      <c r="F35" s="356" t="s">
        <v>7277</v>
      </c>
      <c r="G35" s="356" t="s">
        <v>2358</v>
      </c>
      <c r="H35" s="356" t="e">
        <f ca="1">LOWER(VLOOKUP($C35, StatisticsLeaderboards!$G36:$H42, COLUMNS(StatisticsLeaderboards!$G36:$H42), FALSE))</f>
        <v>#N/A</v>
      </c>
      <c r="I35" s="356" t="s">
        <v>283</v>
      </c>
      <c r="J35" s="356" t="str">
        <f t="shared" ca="1" si="0"/>
        <v>Total Skills All-Time</v>
      </c>
      <c r="K35" s="356" t="str">
        <f ca="1">IFERROR(__xludf.DUMMYFUNCTION("PROPER(SPLIT($C35, ""_""))"),"Total")</f>
        <v>Total</v>
      </c>
      <c r="L35" s="357" t="str">
        <f t="shared" si="1"/>
        <v>Skills</v>
      </c>
      <c r="M35" s="356" t="str">
        <f>VLOOKUP($G35, '_REF Leaderboard Time Ranges'!$C$6:$E42, COLUMNS('_REF Leaderboard Time Ranges'!$C$6:$E42), FALSE)</f>
        <v>All-Time</v>
      </c>
      <c r="N35" s="356"/>
      <c r="O35" s="356"/>
      <c r="P35" s="356"/>
      <c r="Q35" s="356"/>
    </row>
    <row r="36" spans="1:17" ht="15.75" customHeight="1" x14ac:dyDescent="0.15">
      <c r="A36" s="358"/>
      <c r="B36" s="358"/>
      <c r="C36" s="358" t="str">
        <f ca="1">IFERROR(__xludf.DUMMYFUNCTION("""COMPUTED_VALUE"""),"total_elementalFreeze_day")</f>
        <v>total_elementalFreeze_day</v>
      </c>
      <c r="D36" s="355" t="s">
        <v>2435</v>
      </c>
      <c r="E36" s="356" t="b">
        <v>0</v>
      </c>
      <c r="F36" s="356" t="s">
        <v>7277</v>
      </c>
      <c r="G36" s="356" t="s">
        <v>2362</v>
      </c>
      <c r="H36" s="356" t="e">
        <f ca="1">LOWER(VLOOKUP($C36, StatisticsLeaderboards!$G37:$H42, COLUMNS(StatisticsLeaderboards!$G37:$H42), FALSE))</f>
        <v>#N/A</v>
      </c>
      <c r="I36" s="356" t="s">
        <v>283</v>
      </c>
      <c r="J36" s="356" t="str">
        <f t="shared" ca="1" si="0"/>
        <v>Total Skills Daily</v>
      </c>
      <c r="K36" s="356" t="str">
        <f ca="1">IFERROR(__xludf.DUMMYFUNCTION("PROPER(SPLIT($C36, ""_""))"),"Total")</f>
        <v>Total</v>
      </c>
      <c r="L36" s="357" t="str">
        <f t="shared" si="1"/>
        <v>Skills</v>
      </c>
      <c r="M36" s="356" t="str">
        <f>VLOOKUP($G36, '_REF Leaderboard Time Ranges'!$C$6:$E42, COLUMNS('_REF Leaderboard Time Ranges'!$C$6:$E42), FALSE)</f>
        <v>Daily</v>
      </c>
      <c r="N36" s="356"/>
      <c r="O36" s="356"/>
      <c r="P36" s="356"/>
      <c r="Q36" s="356"/>
    </row>
    <row r="37" spans="1:17" ht="15.75" customHeight="1" x14ac:dyDescent="0.15">
      <c r="A37" s="358"/>
      <c r="B37" s="358"/>
      <c r="C37" s="358" t="str">
        <f ca="1">IFERROR(__xludf.DUMMYFUNCTION("""COMPUTED_VALUE"""),"total_elementalFreeze_month")</f>
        <v>total_elementalFreeze_month</v>
      </c>
      <c r="D37" s="355" t="s">
        <v>2435</v>
      </c>
      <c r="E37" s="356" t="b">
        <v>0</v>
      </c>
      <c r="F37" s="356" t="s">
        <v>7277</v>
      </c>
      <c r="G37" s="356" t="s">
        <v>2367</v>
      </c>
      <c r="H37" s="356" t="e">
        <f ca="1">LOWER(VLOOKUP($C37, StatisticsLeaderboards!$G38:$H42, COLUMNS(StatisticsLeaderboards!$G38:$H42), FALSE))</f>
        <v>#N/A</v>
      </c>
      <c r="I37" s="356" t="s">
        <v>283</v>
      </c>
      <c r="J37" s="356" t="str">
        <f t="shared" ca="1" si="0"/>
        <v>Total Skills Monthly</v>
      </c>
      <c r="K37" s="356" t="str">
        <f ca="1">IFERROR(__xludf.DUMMYFUNCTION("PROPER(SPLIT($C37, ""_""))"),"Total")</f>
        <v>Total</v>
      </c>
      <c r="L37" s="357" t="str">
        <f t="shared" si="1"/>
        <v>Skills</v>
      </c>
      <c r="M37" s="356" t="str">
        <f>VLOOKUP($G37, '_REF Leaderboard Time Ranges'!$C$6:$E42, COLUMNS('_REF Leaderboard Time Ranges'!$C$6:$E42), FALSE)</f>
        <v>Monthly</v>
      </c>
      <c r="N37" s="356"/>
      <c r="O37" s="356"/>
      <c r="P37" s="356"/>
      <c r="Q37" s="356"/>
    </row>
    <row r="38" spans="1:17" ht="15.75" customHeight="1" x14ac:dyDescent="0.15">
      <c r="A38" s="358"/>
      <c r="B38" s="358"/>
      <c r="C38" s="358" t="str">
        <f ca="1">IFERROR(__xludf.DUMMYFUNCTION("""COMPUTED_VALUE"""),"total_elementalFreeze_season")</f>
        <v>total_elementalFreeze_season</v>
      </c>
      <c r="D38" s="355" t="s">
        <v>2435</v>
      </c>
      <c r="E38" s="356" t="b">
        <v>0</v>
      </c>
      <c r="F38" s="356" t="s">
        <v>7277</v>
      </c>
      <c r="G38" s="356" t="s">
        <v>2369</v>
      </c>
      <c r="H38" s="356" t="e">
        <f ca="1">LOWER(VLOOKUP($C38, StatisticsLeaderboards!$G39:$H42, COLUMNS(StatisticsLeaderboards!$G39:$H42), FALSE))</f>
        <v>#N/A</v>
      </c>
      <c r="I38" s="356" t="s">
        <v>283</v>
      </c>
      <c r="J38" s="356" t="str">
        <f t="shared" ca="1" si="0"/>
        <v>Total Skills Seasonal</v>
      </c>
      <c r="K38" s="356" t="str">
        <f ca="1">IFERROR(__xludf.DUMMYFUNCTION("PROPER(SPLIT($C38, ""_""))"),"Total")</f>
        <v>Total</v>
      </c>
      <c r="L38" s="357" t="str">
        <f t="shared" si="1"/>
        <v>Skills</v>
      </c>
      <c r="M38" s="356" t="str">
        <f>VLOOKUP($G38, '_REF Leaderboard Time Ranges'!$C$6:$E42, COLUMNS('_REF Leaderboard Time Ranges'!$C$6:$E42), FALSE)</f>
        <v>Seasonal</v>
      </c>
      <c r="N38" s="356"/>
      <c r="O38" s="356"/>
      <c r="P38" s="356"/>
      <c r="Q38" s="356"/>
    </row>
    <row r="39" spans="1:17" ht="15.75" customHeight="1" x14ac:dyDescent="0.15">
      <c r="A39" s="358"/>
      <c r="B39" s="358"/>
      <c r="C39" s="358" t="str">
        <f ca="1">IFERROR(__xludf.DUMMYFUNCTION("""COMPUTED_VALUE"""),"total_elementalLightning")</f>
        <v>total_elementalLightning</v>
      </c>
      <c r="D39" s="355" t="s">
        <v>2435</v>
      </c>
      <c r="E39" s="356" t="b">
        <v>1</v>
      </c>
      <c r="F39" s="356" t="s">
        <v>7277</v>
      </c>
      <c r="G39" s="356" t="s">
        <v>2358</v>
      </c>
      <c r="H39" s="356" t="e">
        <f ca="1">LOWER(VLOOKUP($C39, StatisticsLeaderboards!$G40:$H42, COLUMNS(StatisticsLeaderboards!$G40:$H42), FALSE))</f>
        <v>#N/A</v>
      </c>
      <c r="I39" s="356" t="s">
        <v>283</v>
      </c>
      <c r="J39" s="356" t="str">
        <f t="shared" ca="1" si="0"/>
        <v>Total Skills All-Time</v>
      </c>
      <c r="K39" s="356" t="str">
        <f ca="1">IFERROR(__xludf.DUMMYFUNCTION("PROPER(SPLIT($C39, ""_""))"),"Total")</f>
        <v>Total</v>
      </c>
      <c r="L39" s="357" t="str">
        <f t="shared" si="1"/>
        <v>Skills</v>
      </c>
      <c r="M39" s="356" t="str">
        <f>VLOOKUP($G39, '_REF Leaderboard Time Ranges'!$C$6:$E42, COLUMNS('_REF Leaderboard Time Ranges'!$C$6:$E42), FALSE)</f>
        <v>All-Time</v>
      </c>
      <c r="N39" s="356"/>
      <c r="O39" s="356"/>
      <c r="P39" s="356"/>
      <c r="Q39" s="356"/>
    </row>
    <row r="40" spans="1:17" ht="15.75" customHeight="1" x14ac:dyDescent="0.15">
      <c r="A40" s="358"/>
      <c r="B40" s="358"/>
      <c r="C40" s="358" t="str">
        <f ca="1">IFERROR(__xludf.DUMMYFUNCTION("""COMPUTED_VALUE"""),"total_elementalLightning_day")</f>
        <v>total_elementalLightning_day</v>
      </c>
      <c r="D40" s="355" t="s">
        <v>2435</v>
      </c>
      <c r="E40" s="356" t="b">
        <v>0</v>
      </c>
      <c r="F40" s="356" t="s">
        <v>7277</v>
      </c>
      <c r="G40" s="356" t="s">
        <v>2362</v>
      </c>
      <c r="H40" s="356" t="e">
        <f ca="1">LOWER(VLOOKUP($C40, StatisticsLeaderboards!$G41:$H42, COLUMNS(StatisticsLeaderboards!$G41:$H42), FALSE))</f>
        <v>#N/A</v>
      </c>
      <c r="I40" s="356" t="s">
        <v>283</v>
      </c>
      <c r="J40" s="356" t="str">
        <f t="shared" ca="1" si="0"/>
        <v>Total Skills Daily</v>
      </c>
      <c r="K40" s="356" t="str">
        <f ca="1">IFERROR(__xludf.DUMMYFUNCTION("PROPER(SPLIT($C40, ""_""))"),"Total")</f>
        <v>Total</v>
      </c>
      <c r="L40" s="357" t="str">
        <f t="shared" si="1"/>
        <v>Skills</v>
      </c>
      <c r="M40" s="356" t="str">
        <f>VLOOKUP($G40, '_REF Leaderboard Time Ranges'!$C$6:$E42, COLUMNS('_REF Leaderboard Time Ranges'!$C$6:$E42), FALSE)</f>
        <v>Daily</v>
      </c>
      <c r="N40" s="356"/>
      <c r="O40" s="356"/>
      <c r="P40" s="356"/>
      <c r="Q40" s="356"/>
    </row>
    <row r="41" spans="1:17" ht="15.75" customHeight="1" x14ac:dyDescent="0.15">
      <c r="A41" s="358"/>
      <c r="B41" s="358"/>
      <c r="C41" s="358" t="str">
        <f ca="1">IFERROR(__xludf.DUMMYFUNCTION("""COMPUTED_VALUE"""),"total_elementalLightning_month")</f>
        <v>total_elementalLightning_month</v>
      </c>
      <c r="D41" s="355" t="s">
        <v>2435</v>
      </c>
      <c r="E41" s="356" t="b">
        <v>0</v>
      </c>
      <c r="F41" s="356" t="s">
        <v>7277</v>
      </c>
      <c r="G41" s="356" t="s">
        <v>2367</v>
      </c>
      <c r="H41" s="356" t="e">
        <f ca="1">LOWER(VLOOKUP($C41, StatisticsLeaderboards!$G42:$H42, COLUMNS(StatisticsLeaderboards!$G42:$H42), FALSE))</f>
        <v>#N/A</v>
      </c>
      <c r="I41" s="356" t="s">
        <v>283</v>
      </c>
      <c r="J41" s="356" t="str">
        <f t="shared" ca="1" si="0"/>
        <v>Total Skills Monthly</v>
      </c>
      <c r="K41" s="356" t="str">
        <f ca="1">IFERROR(__xludf.DUMMYFUNCTION("PROPER(SPLIT($C41, ""_""))"),"Total")</f>
        <v>Total</v>
      </c>
      <c r="L41" s="357" t="str">
        <f t="shared" si="1"/>
        <v>Skills</v>
      </c>
      <c r="M41" s="356" t="str">
        <f>VLOOKUP($G41, '_REF Leaderboard Time Ranges'!$C$6:$E42, COLUMNS('_REF Leaderboard Time Ranges'!$C$6:$E42), FALSE)</f>
        <v>Monthly</v>
      </c>
      <c r="N41" s="356"/>
      <c r="O41" s="356"/>
      <c r="P41" s="356"/>
      <c r="Q41" s="356"/>
    </row>
    <row r="42" spans="1:17" ht="15.75" customHeight="1" x14ac:dyDescent="0.15">
      <c r="A42" s="358"/>
      <c r="B42" s="358"/>
      <c r="C42" s="358" t="str">
        <f ca="1">IFERROR(__xludf.DUMMYFUNCTION("""COMPUTED_VALUE"""),"total_elementalLightning_season")</f>
        <v>total_elementalLightning_season</v>
      </c>
      <c r="D42" s="355" t="e">
        <f t="array" aca="1" ref="D42" ca="1">VLOOKUP($C42, {#REF!,#REF!}, 2, FALSE)</f>
        <v>#N/A</v>
      </c>
      <c r="E42" s="356" t="b">
        <v>0</v>
      </c>
      <c r="F42" s="356" t="s">
        <v>7277</v>
      </c>
      <c r="G42" s="356" t="e">
        <f t="array" aca="1" ref="G42" ca="1">VLOOKUP($C42, {#REF!,#REF!}, 2, FALSE)</f>
        <v>#N/A</v>
      </c>
      <c r="H42" s="356" t="e">
        <f ca="1">LOWER(VLOOKUP($C42,#REF!, COLUMNS(#REF!), FALSE))</f>
        <v>#REF!</v>
      </c>
      <c r="I42" s="356" t="s">
        <v>283</v>
      </c>
      <c r="J42" s="356" t="e">
        <f t="shared" ca="1" si="0"/>
        <v>#N/A</v>
      </c>
      <c r="K42" s="356" t="str">
        <f ca="1">IFERROR(__xludf.DUMMYFUNCTION("PROPER(SPLIT($C42, ""_""))"),"Total")</f>
        <v>Total</v>
      </c>
      <c r="L42" s="357" t="e">
        <f t="shared" ca="1" si="1"/>
        <v>#N/A</v>
      </c>
      <c r="M42" s="356" t="e">
        <f ca="1">VLOOKUP($G42, '_REF Leaderboard Time Ranges'!$C$6:$E42, COLUMNS('_REF Leaderboard Time Ranges'!$C$6:$E42), FALSE)</f>
        <v>#N/A</v>
      </c>
      <c r="N42" s="356"/>
      <c r="O42" s="356"/>
      <c r="P42" s="356"/>
      <c r="Q42" s="356"/>
    </row>
  </sheetData>
  <conditionalFormatting sqref="A7:C7 D7:Q42">
    <cfRule type="expression" dxfId="69" priority="1">
      <formula>$B7</formula>
    </cfRule>
  </conditionalFormatting>
  <conditionalFormatting sqref="A7:C7 D7:Q42">
    <cfRule type="expression" dxfId="68" priority="2">
      <formula>AND($D7="points")</formula>
    </cfRule>
  </conditionalFormatting>
  <conditionalFormatting sqref="A7:C7 D7:Q42">
    <cfRule type="expression" dxfId="67" priority="3">
      <formula>AND($D7="blocks")</formula>
    </cfRule>
  </conditionalFormatting>
  <conditionalFormatting sqref="A7:C7 D7:Q42">
    <cfRule type="expression" dxfId="66" priority="4">
      <formula>AND($D7="teams")</formula>
    </cfRule>
  </conditionalFormatting>
  <conditionalFormatting sqref="A7:C7 D7:Q42">
    <cfRule type="expression" dxfId="65" priority="5">
      <formula>AND($D7="skills")</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900FF"/>
    <outlinePr summaryBelow="0" summaryRight="0"/>
  </sheetPr>
  <dimension ref="A1:EO61"/>
  <sheetViews>
    <sheetView workbookViewId="0">
      <pane xSplit="8" ySplit="7" topLeftCell="I8" activePane="bottomRight" state="frozen"/>
      <selection activeCell="B10" sqref="B10"/>
      <selection pane="topRight" activeCell="B10" sqref="B10"/>
      <selection pane="bottomLeft" activeCell="B10" sqref="B10"/>
      <selection pane="bottomRight" activeCell="B10" sqref="B10"/>
    </sheetView>
  </sheetViews>
  <sheetFormatPr baseColWidth="10" defaultColWidth="12.6640625" defaultRowHeight="15.75" customHeight="1" outlineLevelCol="2" x14ac:dyDescent="0.15"/>
  <cols>
    <col min="1" max="1" width="23.83203125" customWidth="1"/>
    <col min="2" max="2" width="14.33203125" customWidth="1"/>
    <col min="3" max="3" width="9.6640625" customWidth="1"/>
    <col min="4" max="4" width="9.6640625" customWidth="1" outlineLevel="1"/>
    <col min="5" max="5" width="9.6640625" customWidth="1" outlineLevel="2"/>
    <col min="6" max="6" width="9.6640625" customWidth="1" outlineLevel="1"/>
    <col min="7" max="7" width="9.6640625" customWidth="1" outlineLevel="2"/>
    <col min="8" max="9" width="9.6640625" customWidth="1"/>
    <col min="14" max="14" width="22.83203125" customWidth="1"/>
  </cols>
  <sheetData>
    <row r="1" spans="1:145" ht="15.75" customHeight="1" x14ac:dyDescent="0.15">
      <c r="A1" s="359" t="s">
        <v>4344</v>
      </c>
      <c r="B1" s="360"/>
      <c r="C1" s="360"/>
      <c r="D1" s="360"/>
      <c r="E1" s="360"/>
      <c r="F1" s="360"/>
      <c r="G1" s="360"/>
      <c r="H1" s="361"/>
      <c r="I1" s="360"/>
      <c r="J1" s="360"/>
      <c r="K1" s="360"/>
      <c r="L1" s="362"/>
      <c r="M1" s="363"/>
      <c r="N1" s="360"/>
      <c r="O1" s="360"/>
      <c r="P1" s="364"/>
      <c r="Q1" s="360"/>
      <c r="R1" s="360"/>
      <c r="S1" s="365"/>
      <c r="T1" s="363"/>
      <c r="U1" s="360"/>
      <c r="V1" s="360"/>
      <c r="W1" s="360"/>
      <c r="X1" s="360"/>
      <c r="Y1" s="360"/>
      <c r="Z1" s="360"/>
      <c r="AA1" s="360"/>
      <c r="AB1" s="360"/>
      <c r="AC1" s="360"/>
      <c r="AD1" s="360"/>
      <c r="AE1" s="360"/>
      <c r="AF1" s="360"/>
      <c r="AG1" s="360"/>
      <c r="AH1" s="360"/>
      <c r="AI1" s="360"/>
      <c r="AJ1" s="360"/>
      <c r="AK1" s="360"/>
      <c r="AL1" s="360"/>
      <c r="AM1" s="360"/>
      <c r="AN1" s="360"/>
      <c r="AO1" s="360"/>
      <c r="AP1" s="360"/>
      <c r="AQ1" s="360"/>
      <c r="AR1" s="360"/>
      <c r="AS1" s="360"/>
      <c r="AT1" s="360"/>
      <c r="AU1" s="360"/>
      <c r="AV1" s="360"/>
      <c r="AW1" s="360"/>
      <c r="AX1" s="360"/>
      <c r="AY1" s="360"/>
      <c r="AZ1" s="360"/>
      <c r="BA1" s="360"/>
      <c r="BB1" s="360"/>
      <c r="BC1" s="360"/>
      <c r="BD1" s="360"/>
      <c r="BE1" s="360"/>
      <c r="BF1" s="360"/>
      <c r="BG1" s="360"/>
      <c r="BH1" s="360"/>
      <c r="BI1" s="360"/>
      <c r="BJ1" s="360"/>
      <c r="BK1" s="360"/>
      <c r="BL1" s="360"/>
      <c r="BM1" s="360"/>
      <c r="BN1" s="360"/>
      <c r="BO1" s="360"/>
      <c r="BP1" s="360"/>
      <c r="BQ1" s="360"/>
      <c r="BR1" s="360"/>
      <c r="BS1" s="360"/>
      <c r="BT1" s="360"/>
      <c r="BU1" s="360"/>
      <c r="BV1" s="360"/>
      <c r="BW1" s="360"/>
      <c r="BX1" s="360"/>
      <c r="BY1" s="360"/>
      <c r="BZ1" s="360"/>
      <c r="CA1" s="360"/>
      <c r="CB1" s="360"/>
      <c r="CC1" s="360"/>
      <c r="CD1" s="360"/>
      <c r="CE1" s="360"/>
      <c r="CF1" s="360"/>
      <c r="CG1" s="360"/>
      <c r="CH1" s="360"/>
      <c r="CI1" s="360"/>
      <c r="CJ1" s="360"/>
      <c r="CK1" s="360"/>
      <c r="CL1" s="360"/>
      <c r="CM1" s="360"/>
      <c r="CN1" s="360"/>
      <c r="CO1" s="360"/>
      <c r="CP1" s="360"/>
      <c r="CQ1" s="360"/>
      <c r="CR1" s="360"/>
      <c r="CS1" s="360"/>
      <c r="CT1" s="360"/>
      <c r="CU1" s="360"/>
      <c r="CV1" s="360"/>
      <c r="CW1" s="360"/>
      <c r="CX1" s="360"/>
      <c r="CY1" s="360"/>
      <c r="CZ1" s="360"/>
      <c r="DA1" s="360"/>
      <c r="DB1" s="360"/>
      <c r="DC1" s="360"/>
      <c r="DD1" s="360"/>
      <c r="DE1" s="360"/>
      <c r="DF1" s="360"/>
      <c r="DG1" s="360"/>
      <c r="DH1" s="360"/>
      <c r="DI1" s="360"/>
      <c r="DJ1" s="360"/>
      <c r="DK1" s="360"/>
      <c r="DL1" s="360"/>
      <c r="DM1" s="360"/>
      <c r="DN1" s="360"/>
      <c r="DO1" s="360"/>
      <c r="DP1" s="360"/>
      <c r="DQ1" s="360"/>
      <c r="DR1" s="360"/>
      <c r="DS1" s="360"/>
      <c r="DT1" s="360"/>
      <c r="DU1" s="360"/>
      <c r="DV1" s="360"/>
      <c r="DW1" s="360"/>
      <c r="DX1" s="360"/>
      <c r="DY1" s="360"/>
      <c r="DZ1" s="360"/>
      <c r="EA1" s="360"/>
      <c r="EB1" s="360"/>
      <c r="EC1" s="360"/>
      <c r="ED1" s="360"/>
      <c r="EE1" s="360"/>
      <c r="EF1" s="360"/>
      <c r="EG1" s="360"/>
      <c r="EH1" s="360"/>
      <c r="EI1" s="360"/>
      <c r="EJ1" s="360"/>
      <c r="EK1" s="360"/>
      <c r="EL1" s="360"/>
      <c r="EM1" s="360"/>
      <c r="EN1" s="360"/>
      <c r="EO1" s="360"/>
    </row>
    <row r="2" spans="1:145" ht="15.75" customHeight="1" x14ac:dyDescent="0.15">
      <c r="A2" s="366" t="s">
        <v>4345</v>
      </c>
      <c r="B2" s="366"/>
      <c r="C2" s="366"/>
      <c r="D2" s="366"/>
      <c r="E2" s="366"/>
      <c r="F2" s="366"/>
      <c r="G2" s="366"/>
      <c r="H2" s="367"/>
      <c r="I2" s="366"/>
      <c r="J2" s="366"/>
      <c r="K2" s="366"/>
      <c r="L2" s="368"/>
      <c r="M2" s="369"/>
      <c r="N2" s="366"/>
      <c r="O2" s="366"/>
      <c r="P2" s="370"/>
      <c r="Q2" s="366"/>
      <c r="R2" s="366"/>
      <c r="S2" s="371"/>
      <c r="T2" s="369"/>
      <c r="U2" s="366"/>
      <c r="V2" s="366"/>
      <c r="W2" s="366"/>
      <c r="X2" s="366"/>
      <c r="Y2" s="366"/>
      <c r="Z2" s="366"/>
      <c r="AA2" s="366"/>
      <c r="AB2" s="366"/>
      <c r="AC2" s="366"/>
      <c r="AD2" s="366"/>
      <c r="AE2" s="366"/>
      <c r="AF2" s="366"/>
      <c r="AG2" s="366"/>
      <c r="AH2" s="366"/>
      <c r="AI2" s="366"/>
      <c r="AJ2" s="366"/>
      <c r="AK2" s="366"/>
      <c r="AL2" s="366"/>
      <c r="AM2" s="366"/>
      <c r="AN2" s="366"/>
      <c r="AO2" s="366"/>
      <c r="AP2" s="366"/>
      <c r="AQ2" s="366"/>
      <c r="AR2" s="366"/>
      <c r="AS2" s="366"/>
      <c r="AT2" s="366"/>
      <c r="AU2" s="366"/>
      <c r="AV2" s="366"/>
      <c r="AW2" s="366"/>
      <c r="AX2" s="366"/>
      <c r="AY2" s="366"/>
      <c r="AZ2" s="366"/>
      <c r="BA2" s="366"/>
      <c r="BB2" s="366"/>
      <c r="BC2" s="366"/>
      <c r="BD2" s="366"/>
      <c r="BE2" s="366"/>
      <c r="BF2" s="366"/>
      <c r="BG2" s="366"/>
      <c r="BH2" s="366"/>
      <c r="BI2" s="366"/>
      <c r="BJ2" s="366"/>
      <c r="BK2" s="366"/>
      <c r="BL2" s="366"/>
      <c r="BM2" s="366"/>
      <c r="BN2" s="366"/>
      <c r="BO2" s="366"/>
      <c r="BP2" s="366"/>
      <c r="BQ2" s="366"/>
      <c r="BR2" s="366"/>
      <c r="BS2" s="366"/>
      <c r="BT2" s="366"/>
      <c r="BU2" s="366"/>
      <c r="BV2" s="366"/>
      <c r="BW2" s="366"/>
      <c r="BX2" s="366"/>
      <c r="BY2" s="366"/>
      <c r="BZ2" s="366"/>
      <c r="CA2" s="366"/>
      <c r="CB2" s="366"/>
      <c r="CC2" s="366"/>
      <c r="CD2" s="366"/>
      <c r="CE2" s="366"/>
      <c r="CF2" s="366"/>
      <c r="CG2" s="366"/>
      <c r="CH2" s="366"/>
      <c r="CI2" s="366"/>
      <c r="CJ2" s="366"/>
      <c r="CK2" s="366"/>
      <c r="CL2" s="366"/>
      <c r="CM2" s="366"/>
      <c r="CN2" s="366"/>
      <c r="CO2" s="366"/>
      <c r="CP2" s="366"/>
      <c r="CQ2" s="366"/>
      <c r="CR2" s="366"/>
      <c r="CS2" s="366"/>
      <c r="CT2" s="366"/>
      <c r="CU2" s="366"/>
      <c r="CV2" s="366"/>
      <c r="CW2" s="366"/>
      <c r="CX2" s="366"/>
      <c r="CY2" s="366"/>
      <c r="CZ2" s="366"/>
      <c r="DA2" s="366"/>
      <c r="DB2" s="366"/>
      <c r="DC2" s="366"/>
      <c r="DD2" s="366"/>
      <c r="DE2" s="366"/>
      <c r="DF2" s="366"/>
      <c r="DG2" s="366"/>
      <c r="DH2" s="366"/>
      <c r="DI2" s="366"/>
      <c r="DJ2" s="366"/>
      <c r="DK2" s="366"/>
      <c r="DL2" s="366"/>
      <c r="DM2" s="366"/>
      <c r="DN2" s="366"/>
      <c r="DO2" s="366"/>
      <c r="DP2" s="366"/>
      <c r="DQ2" s="366"/>
      <c r="DR2" s="366"/>
      <c r="DS2" s="366"/>
      <c r="DT2" s="366"/>
      <c r="DU2" s="366"/>
      <c r="DV2" s="366"/>
      <c r="DW2" s="366"/>
      <c r="DX2" s="366"/>
      <c r="DY2" s="366"/>
      <c r="DZ2" s="366"/>
      <c r="EA2" s="366"/>
      <c r="EB2" s="366"/>
      <c r="EC2" s="366"/>
      <c r="ED2" s="366"/>
      <c r="EE2" s="366"/>
      <c r="EF2" s="366"/>
      <c r="EG2" s="366"/>
      <c r="EH2" s="366"/>
      <c r="EI2" s="366"/>
      <c r="EJ2" s="366"/>
      <c r="EK2" s="366"/>
      <c r="EL2" s="366"/>
      <c r="EM2" s="366"/>
      <c r="EN2" s="366"/>
      <c r="EO2" s="366"/>
    </row>
    <row r="3" spans="1:145" ht="15.75" customHeight="1" x14ac:dyDescent="0.15">
      <c r="A3" s="372"/>
      <c r="B3" s="372"/>
      <c r="C3" s="373"/>
      <c r="D3" s="372"/>
      <c r="E3" s="372"/>
      <c r="F3" s="372"/>
      <c r="G3" s="372"/>
      <c r="H3" s="374"/>
      <c r="I3" s="372"/>
      <c r="J3" s="372"/>
      <c r="K3" s="372"/>
      <c r="L3" s="375"/>
      <c r="M3" s="376"/>
      <c r="N3" s="372"/>
      <c r="O3" s="372"/>
      <c r="P3" s="377"/>
      <c r="Q3" s="372"/>
      <c r="R3" s="372"/>
      <c r="S3" s="378"/>
      <c r="T3" s="376"/>
      <c r="U3" s="372"/>
      <c r="V3" s="372"/>
      <c r="W3" s="372"/>
      <c r="X3" s="372"/>
      <c r="Y3" s="372"/>
      <c r="Z3" s="372"/>
      <c r="AA3" s="372"/>
      <c r="AB3" s="372"/>
      <c r="AC3" s="372"/>
      <c r="AD3" s="372"/>
      <c r="AE3" s="372"/>
      <c r="AF3" s="372"/>
      <c r="AG3" s="372"/>
      <c r="AH3" s="372"/>
      <c r="AI3" s="372"/>
      <c r="AJ3" s="372"/>
      <c r="AK3" s="372"/>
      <c r="AL3" s="372"/>
      <c r="AM3" s="372"/>
      <c r="AN3" s="372"/>
      <c r="AO3" s="372"/>
      <c r="AP3" s="372"/>
      <c r="AQ3" s="372"/>
      <c r="AR3" s="372"/>
      <c r="AS3" s="372"/>
      <c r="AT3" s="372"/>
      <c r="AU3" s="372"/>
      <c r="AV3" s="372"/>
      <c r="AW3" s="372"/>
      <c r="AX3" s="372"/>
      <c r="AY3" s="372"/>
      <c r="AZ3" s="372"/>
      <c r="BA3" s="372"/>
      <c r="BB3" s="372"/>
      <c r="BC3" s="372"/>
      <c r="BD3" s="372"/>
      <c r="BE3" s="372"/>
      <c r="BF3" s="372"/>
      <c r="BG3" s="372"/>
      <c r="BH3" s="372"/>
      <c r="BI3" s="372"/>
      <c r="BJ3" s="372"/>
      <c r="BK3" s="372"/>
      <c r="BL3" s="372"/>
      <c r="BM3" s="372"/>
      <c r="BN3" s="372"/>
      <c r="BO3" s="372"/>
      <c r="BP3" s="372"/>
      <c r="BQ3" s="372"/>
      <c r="BR3" s="372"/>
      <c r="BS3" s="372"/>
      <c r="BT3" s="372"/>
      <c r="BU3" s="372"/>
      <c r="BV3" s="372"/>
      <c r="BW3" s="372"/>
      <c r="BX3" s="372"/>
      <c r="BY3" s="372"/>
      <c r="BZ3" s="372"/>
      <c r="CA3" s="372"/>
      <c r="CB3" s="372"/>
      <c r="CC3" s="372"/>
      <c r="CD3" s="372"/>
      <c r="CE3" s="372"/>
      <c r="CF3" s="372"/>
      <c r="CG3" s="372"/>
      <c r="CH3" s="372"/>
      <c r="CI3" s="372"/>
      <c r="CJ3" s="372"/>
      <c r="CK3" s="372"/>
      <c r="CL3" s="372"/>
      <c r="CM3" s="372"/>
      <c r="CN3" s="372"/>
      <c r="CO3" s="372"/>
      <c r="CP3" s="372"/>
      <c r="CQ3" s="372"/>
      <c r="CR3" s="372"/>
      <c r="CS3" s="372"/>
      <c r="CT3" s="372"/>
      <c r="CU3" s="372"/>
      <c r="CV3" s="372"/>
      <c r="CW3" s="372"/>
      <c r="CX3" s="372"/>
      <c r="CY3" s="372"/>
      <c r="CZ3" s="372"/>
      <c r="DA3" s="372"/>
      <c r="DB3" s="372"/>
      <c r="DC3" s="372"/>
      <c r="DD3" s="372"/>
      <c r="DE3" s="372"/>
      <c r="DF3" s="372"/>
      <c r="DG3" s="372"/>
      <c r="DH3" s="372"/>
      <c r="DI3" s="372"/>
      <c r="DJ3" s="372"/>
      <c r="DK3" s="372"/>
      <c r="DL3" s="372"/>
      <c r="DM3" s="372"/>
      <c r="DN3" s="372"/>
      <c r="DO3" s="372"/>
      <c r="DP3" s="372"/>
      <c r="DQ3" s="372"/>
      <c r="DR3" s="372"/>
      <c r="DS3" s="372"/>
      <c r="DT3" s="372"/>
      <c r="DU3" s="372"/>
      <c r="DV3" s="372"/>
      <c r="DW3" s="372"/>
      <c r="DX3" s="372"/>
      <c r="DY3" s="372"/>
      <c r="DZ3" s="372"/>
      <c r="EA3" s="372"/>
      <c r="EB3" s="372"/>
      <c r="EC3" s="372"/>
      <c r="ED3" s="372"/>
      <c r="EE3" s="372"/>
      <c r="EF3" s="372"/>
      <c r="EG3" s="372"/>
      <c r="EH3" s="372"/>
      <c r="EI3" s="372"/>
      <c r="EJ3" s="372"/>
      <c r="EK3" s="372"/>
      <c r="EL3" s="372"/>
      <c r="EM3" s="372"/>
      <c r="EN3" s="372"/>
      <c r="EO3" s="372"/>
    </row>
    <row r="4" spans="1:145" ht="15.75" customHeight="1" x14ac:dyDescent="0.15">
      <c r="A4" s="372"/>
      <c r="B4" s="372"/>
      <c r="C4" s="373"/>
      <c r="D4" s="373"/>
      <c r="E4" s="373"/>
      <c r="F4" s="373"/>
      <c r="G4" s="373"/>
      <c r="H4" s="373"/>
      <c r="I4" s="373"/>
      <c r="J4" s="379"/>
      <c r="K4" s="379"/>
      <c r="L4" s="380" t="s">
        <v>4346</v>
      </c>
      <c r="M4" s="381" t="s">
        <v>4346</v>
      </c>
      <c r="N4" s="379" t="s">
        <v>4346</v>
      </c>
      <c r="O4" s="379" t="s">
        <v>4346</v>
      </c>
      <c r="P4" s="382" t="s">
        <v>4346</v>
      </c>
      <c r="Q4" s="379" t="s">
        <v>4346</v>
      </c>
      <c r="R4" s="379" t="s">
        <v>4346</v>
      </c>
      <c r="S4" s="383"/>
      <c r="T4" s="381" t="s">
        <v>4346</v>
      </c>
      <c r="U4" s="379" t="s">
        <v>4346</v>
      </c>
      <c r="V4" s="379"/>
      <c r="W4" s="379"/>
      <c r="X4" s="379"/>
      <c r="Y4" s="379"/>
      <c r="Z4" s="379"/>
      <c r="AA4" s="379"/>
      <c r="AB4" s="379"/>
      <c r="AC4" s="379"/>
      <c r="AD4" s="379"/>
      <c r="AE4" s="379"/>
      <c r="AF4" s="379"/>
      <c r="AG4" s="379"/>
      <c r="AH4" s="379"/>
      <c r="AI4" s="379"/>
      <c r="AJ4" s="379"/>
      <c r="AK4" s="379"/>
      <c r="AL4" s="379"/>
      <c r="AM4" s="379"/>
      <c r="AN4" s="379"/>
      <c r="AO4" s="379"/>
      <c r="AP4" s="379"/>
      <c r="AQ4" s="379"/>
      <c r="AR4" s="379"/>
      <c r="AS4" s="379"/>
      <c r="AT4" s="379"/>
      <c r="AU4" s="379"/>
      <c r="AV4" s="379"/>
      <c r="AW4" s="379"/>
      <c r="AX4" s="379"/>
      <c r="AY4" s="379"/>
      <c r="AZ4" s="379"/>
      <c r="BA4" s="379"/>
      <c r="BB4" s="379"/>
      <c r="BC4" s="379"/>
      <c r="BD4" s="379"/>
      <c r="BE4" s="379"/>
      <c r="BF4" s="379"/>
      <c r="BG4" s="379"/>
      <c r="BH4" s="379"/>
      <c r="BI4" s="379"/>
      <c r="BJ4" s="379"/>
      <c r="BK4" s="379"/>
      <c r="BL4" s="379"/>
      <c r="BM4" s="379"/>
      <c r="BN4" s="379"/>
      <c r="BO4" s="379"/>
      <c r="BP4" s="379"/>
      <c r="BQ4" s="379"/>
      <c r="BR4" s="379"/>
      <c r="BS4" s="379"/>
      <c r="BT4" s="379"/>
      <c r="BU4" s="379"/>
      <c r="BV4" s="379"/>
      <c r="BW4" s="379"/>
      <c r="BX4" s="379"/>
      <c r="BY4" s="379"/>
      <c r="BZ4" s="379"/>
      <c r="CA4" s="379"/>
      <c r="CB4" s="379"/>
      <c r="CC4" s="379"/>
      <c r="CD4" s="379"/>
      <c r="CE4" s="379"/>
      <c r="CF4" s="379"/>
      <c r="CG4" s="379"/>
      <c r="CH4" s="379"/>
      <c r="CI4" s="379"/>
      <c r="CJ4" s="379"/>
      <c r="CK4" s="379"/>
      <c r="CL4" s="379"/>
      <c r="CM4" s="379"/>
      <c r="CN4" s="379"/>
      <c r="CO4" s="379"/>
      <c r="CP4" s="379"/>
      <c r="CQ4" s="379"/>
      <c r="CR4" s="379"/>
      <c r="CS4" s="379"/>
      <c r="CT4" s="379"/>
      <c r="CU4" s="379"/>
      <c r="CV4" s="379"/>
      <c r="CW4" s="379"/>
      <c r="CX4" s="379"/>
      <c r="CY4" s="379"/>
      <c r="CZ4" s="379"/>
      <c r="DA4" s="379"/>
      <c r="DB4" s="379"/>
      <c r="DC4" s="379"/>
      <c r="DD4" s="379"/>
      <c r="DE4" s="379"/>
      <c r="DF4" s="379"/>
      <c r="DG4" s="379"/>
      <c r="DH4" s="379"/>
      <c r="DI4" s="379"/>
      <c r="DJ4" s="379"/>
      <c r="DK4" s="379"/>
      <c r="DL4" s="379"/>
      <c r="DM4" s="379"/>
      <c r="DN4" s="379"/>
      <c r="DO4" s="379"/>
      <c r="DP4" s="379"/>
      <c r="DQ4" s="379"/>
      <c r="DR4" s="379"/>
      <c r="DS4" s="379"/>
      <c r="DT4" s="379"/>
      <c r="DU4" s="379"/>
      <c r="DV4" s="379"/>
      <c r="DW4" s="379"/>
      <c r="DX4" s="379"/>
      <c r="DY4" s="379"/>
      <c r="DZ4" s="379"/>
      <c r="EA4" s="379"/>
      <c r="EB4" s="379"/>
      <c r="EC4" s="379"/>
      <c r="ED4" s="379"/>
      <c r="EE4" s="379"/>
      <c r="EF4" s="379"/>
      <c r="EG4" s="379"/>
      <c r="EH4" s="379"/>
      <c r="EI4" s="379"/>
      <c r="EJ4" s="379"/>
      <c r="EK4" s="379"/>
      <c r="EL4" s="379"/>
      <c r="EM4" s="379"/>
      <c r="EN4" s="379"/>
      <c r="EO4" s="379"/>
    </row>
    <row r="5" spans="1:145" ht="15.75" customHeight="1" x14ac:dyDescent="0.15">
      <c r="A5" s="384" t="s">
        <v>7</v>
      </c>
      <c r="B5" s="385" t="s">
        <v>4347</v>
      </c>
      <c r="C5" s="386" t="s">
        <v>2468</v>
      </c>
      <c r="D5" s="386" t="s">
        <v>4348</v>
      </c>
      <c r="E5" s="386" t="s">
        <v>4349</v>
      </c>
      <c r="F5" s="386" t="s">
        <v>4350</v>
      </c>
      <c r="G5" s="386" t="s">
        <v>4351</v>
      </c>
      <c r="H5" s="387" t="s">
        <v>4352</v>
      </c>
      <c r="I5" s="388" t="s">
        <v>4353</v>
      </c>
      <c r="J5" s="388" t="s">
        <v>4354</v>
      </c>
      <c r="K5" s="388" t="s">
        <v>4355</v>
      </c>
      <c r="L5" s="389" t="s">
        <v>4356</v>
      </c>
      <c r="M5" s="390" t="s">
        <v>4357</v>
      </c>
      <c r="N5" s="391" t="s">
        <v>4358</v>
      </c>
      <c r="O5" s="391" t="s">
        <v>4359</v>
      </c>
      <c r="P5" s="392" t="s">
        <v>4360</v>
      </c>
      <c r="Q5" s="386" t="s">
        <v>4361</v>
      </c>
      <c r="R5" s="386" t="s">
        <v>4362</v>
      </c>
      <c r="S5" s="393" t="s">
        <v>4363</v>
      </c>
      <c r="T5" s="394" t="s">
        <v>4364</v>
      </c>
      <c r="U5" s="395" t="s">
        <v>4365</v>
      </c>
      <c r="V5" s="391"/>
      <c r="W5" s="391"/>
      <c r="X5" s="391"/>
      <c r="Y5" s="391"/>
      <c r="Z5" s="391"/>
      <c r="AA5" s="391"/>
      <c r="AB5" s="391"/>
      <c r="AC5" s="391"/>
      <c r="AD5" s="391"/>
      <c r="AE5" s="391"/>
      <c r="AF5" s="391"/>
      <c r="AG5" s="391"/>
      <c r="AH5" s="391"/>
      <c r="AI5" s="391"/>
      <c r="AJ5" s="391"/>
      <c r="AK5" s="391"/>
      <c r="AL5" s="391"/>
      <c r="AM5" s="391"/>
      <c r="AN5" s="391"/>
      <c r="AO5" s="391"/>
      <c r="AP5" s="391"/>
      <c r="AQ5" s="391"/>
      <c r="AR5" s="391"/>
      <c r="AS5" s="391"/>
      <c r="AT5" s="391"/>
      <c r="AU5" s="391"/>
      <c r="AV5" s="391"/>
      <c r="AW5" s="391"/>
      <c r="AX5" s="391"/>
      <c r="AY5" s="391"/>
      <c r="AZ5" s="391"/>
      <c r="BA5" s="391"/>
      <c r="BB5" s="391"/>
      <c r="BC5" s="391"/>
      <c r="BD5" s="391"/>
      <c r="BE5" s="391"/>
      <c r="BF5" s="391"/>
      <c r="BG5" s="391"/>
      <c r="BH5" s="391"/>
      <c r="BI5" s="391"/>
      <c r="BJ5" s="391"/>
      <c r="BK5" s="391"/>
      <c r="BL5" s="391"/>
      <c r="BM5" s="391"/>
      <c r="BN5" s="391"/>
      <c r="BO5" s="391"/>
      <c r="BP5" s="391"/>
      <c r="BQ5" s="391"/>
      <c r="BR5" s="391"/>
      <c r="BS5" s="391"/>
      <c r="BT5" s="391"/>
      <c r="BU5" s="391"/>
      <c r="BV5" s="391"/>
      <c r="BW5" s="391"/>
      <c r="BX5" s="391"/>
      <c r="BY5" s="391"/>
      <c r="BZ5" s="391"/>
      <c r="CA5" s="391"/>
      <c r="CB5" s="391"/>
      <c r="CC5" s="391"/>
      <c r="CD5" s="391"/>
      <c r="CE5" s="391"/>
      <c r="CF5" s="391"/>
      <c r="CG5" s="391"/>
      <c r="CH5" s="391"/>
      <c r="CI5" s="391"/>
      <c r="CJ5" s="391"/>
      <c r="CK5" s="391"/>
      <c r="CL5" s="391"/>
      <c r="CM5" s="391"/>
      <c r="CN5" s="391"/>
      <c r="CO5" s="391"/>
      <c r="CP5" s="391"/>
      <c r="CQ5" s="391"/>
      <c r="CR5" s="391"/>
      <c r="CS5" s="391"/>
      <c r="CT5" s="391"/>
      <c r="CU5" s="391"/>
      <c r="CV5" s="391"/>
      <c r="CW5" s="391"/>
      <c r="CX5" s="391"/>
      <c r="CY5" s="391"/>
      <c r="CZ5" s="391"/>
      <c r="DA5" s="391"/>
      <c r="DB5" s="391"/>
      <c r="DC5" s="391"/>
      <c r="DD5" s="391"/>
      <c r="DE5" s="391"/>
      <c r="DF5" s="391"/>
      <c r="DG5" s="391"/>
      <c r="DH5" s="391"/>
      <c r="DI5" s="391"/>
      <c r="DJ5" s="391"/>
      <c r="DK5" s="391"/>
      <c r="DL5" s="391"/>
      <c r="DM5" s="391"/>
      <c r="DN5" s="391"/>
      <c r="DO5" s="391"/>
      <c r="DP5" s="391"/>
      <c r="DQ5" s="391"/>
      <c r="DR5" s="391"/>
      <c r="DS5" s="391"/>
      <c r="DT5" s="391"/>
      <c r="DU5" s="391"/>
      <c r="DV5" s="391"/>
      <c r="DW5" s="391"/>
      <c r="DX5" s="391"/>
      <c r="DY5" s="391"/>
      <c r="DZ5" s="391"/>
      <c r="EA5" s="391"/>
      <c r="EB5" s="391"/>
      <c r="EC5" s="391"/>
      <c r="ED5" s="391"/>
      <c r="EE5" s="391"/>
      <c r="EF5" s="391"/>
      <c r="EG5" s="391"/>
      <c r="EH5" s="391"/>
      <c r="EI5" s="391"/>
      <c r="EJ5" s="391"/>
      <c r="EK5" s="391"/>
      <c r="EL5" s="391"/>
      <c r="EM5" s="391"/>
      <c r="EN5" s="391"/>
      <c r="EO5" s="391"/>
    </row>
    <row r="6" spans="1:145" ht="15.75" customHeight="1" x14ac:dyDescent="0.15">
      <c r="A6" s="396"/>
      <c r="B6" s="397"/>
      <c r="C6" s="398"/>
      <c r="D6" s="398"/>
      <c r="E6" s="398"/>
      <c r="F6" s="398"/>
      <c r="G6" s="398"/>
      <c r="H6" s="399" t="s">
        <v>4366</v>
      </c>
      <c r="I6" s="398"/>
      <c r="J6" s="301"/>
      <c r="K6" s="301"/>
      <c r="L6" s="400"/>
      <c r="M6" s="401"/>
      <c r="N6" s="301"/>
      <c r="O6" s="302" t="s">
        <v>4367</v>
      </c>
      <c r="P6" s="402"/>
      <c r="Q6" s="67"/>
      <c r="R6" s="77" t="s">
        <v>4367</v>
      </c>
      <c r="S6" s="403"/>
      <c r="T6" s="404"/>
      <c r="U6" s="405"/>
      <c r="V6" s="302"/>
      <c r="W6" s="302"/>
      <c r="X6" s="302"/>
      <c r="Y6" s="302"/>
      <c r="Z6" s="302"/>
      <c r="AA6" s="302"/>
      <c r="AB6" s="302"/>
      <c r="AC6" s="302"/>
      <c r="AD6" s="302"/>
      <c r="AE6" s="302"/>
      <c r="AF6" s="302"/>
      <c r="AG6" s="302"/>
      <c r="AH6" s="302"/>
      <c r="AI6" s="302"/>
      <c r="AJ6" s="302"/>
      <c r="AK6" s="302"/>
      <c r="AL6" s="302"/>
      <c r="AM6" s="302"/>
      <c r="AN6" s="302"/>
      <c r="AO6" s="302"/>
      <c r="AP6" s="302"/>
      <c r="AQ6" s="302"/>
      <c r="AR6" s="302"/>
      <c r="AS6" s="302"/>
      <c r="AT6" s="302"/>
      <c r="AU6" s="302"/>
      <c r="AV6" s="302"/>
      <c r="AW6" s="302"/>
      <c r="AX6" s="302"/>
      <c r="AY6" s="302"/>
      <c r="AZ6" s="302"/>
      <c r="BA6" s="302"/>
      <c r="BB6" s="302"/>
      <c r="BC6" s="302"/>
      <c r="BD6" s="302"/>
      <c r="BE6" s="302"/>
      <c r="BF6" s="302"/>
      <c r="BG6" s="302"/>
      <c r="BH6" s="302"/>
      <c r="BI6" s="302"/>
      <c r="BJ6" s="302"/>
      <c r="BK6" s="302"/>
      <c r="BL6" s="302"/>
      <c r="BM6" s="302"/>
      <c r="BN6" s="302"/>
      <c r="BO6" s="302"/>
      <c r="BP6" s="302"/>
      <c r="BQ6" s="302"/>
      <c r="BR6" s="302"/>
      <c r="BS6" s="302"/>
      <c r="BT6" s="302"/>
      <c r="BU6" s="302"/>
      <c r="BV6" s="302"/>
      <c r="BW6" s="302"/>
      <c r="BX6" s="302"/>
      <c r="BY6" s="302"/>
      <c r="BZ6" s="302"/>
      <c r="CA6" s="302"/>
      <c r="CB6" s="302"/>
      <c r="CC6" s="302"/>
      <c r="CD6" s="302"/>
      <c r="CE6" s="302"/>
      <c r="CF6" s="302"/>
      <c r="CG6" s="302"/>
      <c r="CH6" s="302"/>
      <c r="CI6" s="302"/>
      <c r="CJ6" s="302"/>
      <c r="CK6" s="302"/>
      <c r="CL6" s="302"/>
      <c r="CM6" s="302"/>
      <c r="CN6" s="302"/>
      <c r="CO6" s="302"/>
      <c r="CP6" s="302"/>
      <c r="CQ6" s="302"/>
      <c r="CR6" s="302"/>
      <c r="CS6" s="302"/>
      <c r="CT6" s="302"/>
      <c r="CU6" s="302"/>
      <c r="CV6" s="302"/>
      <c r="CW6" s="302"/>
      <c r="CX6" s="302"/>
      <c r="CY6" s="302"/>
      <c r="CZ6" s="302"/>
      <c r="DA6" s="302"/>
      <c r="DB6" s="302"/>
      <c r="DC6" s="302"/>
      <c r="DD6" s="302"/>
      <c r="DE6" s="302"/>
      <c r="DF6" s="302"/>
      <c r="DG6" s="302"/>
      <c r="DH6" s="302"/>
      <c r="DI6" s="302"/>
      <c r="DJ6" s="302"/>
      <c r="DK6" s="302"/>
      <c r="DL6" s="302"/>
      <c r="DM6" s="302"/>
      <c r="DN6" s="302"/>
      <c r="DO6" s="302"/>
      <c r="DP6" s="302"/>
      <c r="DQ6" s="302"/>
      <c r="DR6" s="302"/>
      <c r="DS6" s="302"/>
      <c r="DT6" s="302"/>
      <c r="DU6" s="302"/>
      <c r="DV6" s="302"/>
      <c r="DW6" s="302"/>
      <c r="DX6" s="302"/>
      <c r="DY6" s="302"/>
      <c r="DZ6" s="302"/>
      <c r="EA6" s="302"/>
      <c r="EB6" s="302"/>
      <c r="EC6" s="302"/>
      <c r="ED6" s="302"/>
      <c r="EE6" s="302"/>
      <c r="EF6" s="302"/>
      <c r="EG6" s="302"/>
      <c r="EH6" s="302"/>
      <c r="EI6" s="302"/>
      <c r="EJ6" s="302"/>
      <c r="EK6" s="302"/>
      <c r="EL6" s="302"/>
      <c r="EM6" s="302"/>
      <c r="EN6" s="302"/>
      <c r="EO6" s="302"/>
    </row>
    <row r="7" spans="1:145" ht="15.75" customHeight="1" x14ac:dyDescent="0.15">
      <c r="A7" s="396"/>
      <c r="B7" s="397" t="s">
        <v>206</v>
      </c>
      <c r="C7" s="398" t="s">
        <v>2474</v>
      </c>
      <c r="D7" s="398" t="s">
        <v>2477</v>
      </c>
      <c r="E7" s="398" t="s">
        <v>2478</v>
      </c>
      <c r="F7" s="398" t="s">
        <v>2479</v>
      </c>
      <c r="G7" s="398" t="s">
        <v>2480</v>
      </c>
      <c r="H7" s="399" t="s">
        <v>4368</v>
      </c>
      <c r="I7" s="398" t="s">
        <v>4369</v>
      </c>
      <c r="J7" s="398" t="s">
        <v>4370</v>
      </c>
      <c r="K7" s="398" t="s">
        <v>4371</v>
      </c>
      <c r="L7" s="406"/>
      <c r="M7" s="407"/>
      <c r="N7" s="408"/>
      <c r="O7" s="408"/>
      <c r="P7" s="409"/>
      <c r="Q7" s="77"/>
      <c r="R7" s="77"/>
      <c r="S7" s="410"/>
      <c r="T7" s="407"/>
      <c r="U7" s="411"/>
      <c r="V7" s="408"/>
      <c r="W7" s="408"/>
      <c r="X7" s="408"/>
      <c r="Y7" s="408"/>
      <c r="Z7" s="408"/>
      <c r="AA7" s="408"/>
      <c r="AB7" s="408"/>
      <c r="AC7" s="408"/>
      <c r="AD7" s="408"/>
      <c r="AE7" s="408"/>
      <c r="AF7" s="408"/>
      <c r="AG7" s="408"/>
      <c r="AH7" s="408"/>
      <c r="AI7" s="408"/>
      <c r="AJ7" s="408"/>
      <c r="AK7" s="408"/>
      <c r="AL7" s="408"/>
      <c r="AM7" s="408"/>
      <c r="AN7" s="408"/>
      <c r="AO7" s="408"/>
      <c r="AP7" s="408"/>
      <c r="AQ7" s="408"/>
      <c r="AR7" s="408"/>
      <c r="AS7" s="408"/>
      <c r="AT7" s="408"/>
      <c r="AU7" s="408"/>
      <c r="AV7" s="408"/>
      <c r="AW7" s="408"/>
      <c r="AX7" s="408"/>
      <c r="AY7" s="408"/>
      <c r="AZ7" s="408"/>
      <c r="BA7" s="408"/>
      <c r="BB7" s="408"/>
      <c r="BC7" s="408"/>
      <c r="BD7" s="408"/>
      <c r="BE7" s="408"/>
      <c r="BF7" s="408"/>
      <c r="BG7" s="408"/>
      <c r="BH7" s="408"/>
      <c r="BI7" s="408"/>
      <c r="BJ7" s="408"/>
      <c r="BK7" s="408"/>
      <c r="BL7" s="408"/>
      <c r="BM7" s="408"/>
      <c r="BN7" s="408"/>
      <c r="BO7" s="408"/>
      <c r="BP7" s="408"/>
      <c r="BQ7" s="408"/>
      <c r="BR7" s="408"/>
      <c r="BS7" s="408"/>
      <c r="BT7" s="408"/>
      <c r="BU7" s="408"/>
      <c r="BV7" s="408"/>
      <c r="BW7" s="408"/>
      <c r="BX7" s="408"/>
      <c r="BY7" s="408"/>
      <c r="BZ7" s="408"/>
      <c r="CA7" s="408"/>
      <c r="CB7" s="408"/>
      <c r="CC7" s="408"/>
      <c r="CD7" s="408"/>
      <c r="CE7" s="408"/>
      <c r="CF7" s="408"/>
      <c r="CG7" s="408"/>
      <c r="CH7" s="408"/>
      <c r="CI7" s="408"/>
      <c r="CJ7" s="408"/>
      <c r="CK7" s="408"/>
      <c r="CL7" s="408"/>
      <c r="CM7" s="408"/>
      <c r="CN7" s="408"/>
      <c r="CO7" s="408"/>
      <c r="CP7" s="408"/>
      <c r="CQ7" s="408"/>
      <c r="CR7" s="408"/>
      <c r="CS7" s="408"/>
      <c r="CT7" s="408"/>
      <c r="CU7" s="408"/>
      <c r="CV7" s="408"/>
      <c r="CW7" s="408"/>
      <c r="CX7" s="408"/>
      <c r="CY7" s="408"/>
      <c r="CZ7" s="408"/>
      <c r="DA7" s="408"/>
      <c r="DB7" s="408"/>
      <c r="DC7" s="408"/>
      <c r="DD7" s="408"/>
      <c r="DE7" s="408"/>
      <c r="DF7" s="408"/>
      <c r="DG7" s="408"/>
      <c r="DH7" s="408"/>
      <c r="DI7" s="408"/>
      <c r="DJ7" s="408"/>
      <c r="DK7" s="408"/>
      <c r="DL7" s="408"/>
      <c r="DM7" s="408"/>
      <c r="DN7" s="408"/>
      <c r="DO7" s="408"/>
      <c r="DP7" s="408"/>
      <c r="DQ7" s="408"/>
      <c r="DR7" s="408"/>
      <c r="DS7" s="408"/>
      <c r="DT7" s="408"/>
      <c r="DU7" s="408"/>
      <c r="DV7" s="408"/>
      <c r="DW7" s="408"/>
      <c r="DX7" s="408"/>
      <c r="DY7" s="408"/>
      <c r="DZ7" s="408"/>
      <c r="EA7" s="408"/>
      <c r="EB7" s="408"/>
      <c r="EC7" s="408"/>
      <c r="ED7" s="408"/>
      <c r="EE7" s="408"/>
      <c r="EF7" s="408"/>
      <c r="EG7" s="408"/>
      <c r="EH7" s="408"/>
      <c r="EI7" s="408"/>
      <c r="EJ7" s="408"/>
      <c r="EK7" s="408"/>
      <c r="EL7" s="408"/>
      <c r="EM7" s="408"/>
      <c r="EN7" s="408"/>
      <c r="EO7" s="408"/>
    </row>
    <row r="8" spans="1:145" ht="15.75" customHeight="1" x14ac:dyDescent="0.15">
      <c r="A8" s="412" t="s">
        <v>4372</v>
      </c>
      <c r="B8" s="413" t="b">
        <v>1</v>
      </c>
      <c r="C8" s="413">
        <v>0</v>
      </c>
      <c r="D8" s="413"/>
      <c r="E8" s="413"/>
      <c r="F8" s="413"/>
      <c r="G8" s="413"/>
      <c r="H8" s="414">
        <v>0</v>
      </c>
      <c r="I8" s="413" t="str">
        <f ca="1">IFERROR(__xludf.DUMMYFUNCTION("TRANSPOSE( FILTER( 'TitleData rewards.items'!$J$8:$J61 , 'TitleData rewards.items'!$GM$8:$GM61 = $M8&amp;"":""&amp;$N8 ) ) "),"#N/A")</f>
        <v>#N/A</v>
      </c>
      <c r="J8" s="305"/>
      <c r="K8" s="305"/>
      <c r="L8" s="415" t="s">
        <v>4373</v>
      </c>
      <c r="M8" s="416" t="s">
        <v>4374</v>
      </c>
      <c r="N8" s="305" t="str">
        <f t="shared" ref="N8:N10" si="0">CONCATENATE("{", CHAR(34), "id", CHAR(34),":",CHAR(34),"player",CHAR(34),",",CHAR(34),"type",CHAR(34),":",CHAR(34),"player",CHAR(34),",",CHAR(34),"statistic",CHAR(34),":",CHAR(34),$T8,CHAR(34),",",CHAR(34),"level",CHAR(34),":",CHAR(34),$C8,CHAR(34),",",CHAR(34),"valueNeededForNextLevel",CHAR(34),":",$H11,"}")</f>
        <v>{"id":"player","type":"player","statistic":"total_points","level":"0","valueNeededForNextLevel":0}</v>
      </c>
      <c r="O8" s="305" t="s">
        <v>4375</v>
      </c>
      <c r="P8" s="417"/>
      <c r="Q8" s="305"/>
      <c r="R8" s="418"/>
      <c r="S8" s="419" t="s">
        <v>4376</v>
      </c>
      <c r="T8" s="416" t="s">
        <v>2359</v>
      </c>
      <c r="U8" s="305">
        <f t="shared" ref="U8:U10" si="1">$H8</f>
        <v>0</v>
      </c>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row>
    <row r="9" spans="1:145" ht="15.75" customHeight="1" x14ac:dyDescent="0.15">
      <c r="A9" s="412" t="s">
        <v>4372</v>
      </c>
      <c r="B9" s="413" t="b">
        <v>1</v>
      </c>
      <c r="C9" s="413">
        <v>1</v>
      </c>
      <c r="D9" s="413"/>
      <c r="E9" s="413"/>
      <c r="F9" s="413"/>
      <c r="G9" s="413"/>
      <c r="H9" s="414">
        <v>40000</v>
      </c>
      <c r="I9" s="413" t="str">
        <f ca="1">IFERROR(__xludf.DUMMYFUNCTION("TRANSPOSE( FILTER( 'TitleData rewards.items'!$J$8:$J61 , 'TitleData rewards.items'!$GM$8:$GM61 = $M9&amp;"":""&amp;$N9 ) ) "),"#N/A")</f>
        <v>#N/A</v>
      </c>
      <c r="J9" s="305"/>
      <c r="K9" s="305"/>
      <c r="L9" s="415" t="s">
        <v>322</v>
      </c>
      <c r="M9" s="416" t="s">
        <v>4374</v>
      </c>
      <c r="N9" s="305" t="str">
        <f t="shared" si="0"/>
        <v>{"id":"player","type":"player","statistic":"total_points","level":"1","valueNeededForNextLevel":40000}</v>
      </c>
      <c r="O9" s="305" t="s">
        <v>4375</v>
      </c>
      <c r="P9" s="417"/>
      <c r="Q9" s="305"/>
      <c r="R9" s="418"/>
      <c r="S9" s="419" t="s">
        <v>4376</v>
      </c>
      <c r="T9" s="416" t="s">
        <v>2359</v>
      </c>
      <c r="U9" s="305">
        <f t="shared" si="1"/>
        <v>40000</v>
      </c>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T9" s="305"/>
      <c r="DU9" s="305"/>
      <c r="DV9" s="305"/>
      <c r="DW9" s="305"/>
      <c r="DX9" s="305"/>
      <c r="DY9" s="305"/>
      <c r="DZ9" s="305"/>
      <c r="EA9" s="305"/>
      <c r="EB9" s="305"/>
      <c r="EC9" s="305"/>
      <c r="ED9" s="305"/>
      <c r="EE9" s="305"/>
      <c r="EF9" s="305"/>
      <c r="EG9" s="305"/>
      <c r="EH9" s="305"/>
      <c r="EI9" s="305"/>
      <c r="EJ9" s="305"/>
      <c r="EK9" s="305"/>
      <c r="EL9" s="305"/>
      <c r="EM9" s="305"/>
      <c r="EN9" s="305"/>
      <c r="EO9" s="305"/>
    </row>
    <row r="10" spans="1:145" ht="15.75" customHeight="1" x14ac:dyDescent="0.15">
      <c r="A10" s="412" t="s">
        <v>4372</v>
      </c>
      <c r="B10" s="413" t="b">
        <v>1</v>
      </c>
      <c r="C10" s="413">
        <v>2</v>
      </c>
      <c r="D10" s="413"/>
      <c r="E10" s="413"/>
      <c r="F10" s="413"/>
      <c r="G10" s="413"/>
      <c r="H10" s="414">
        <v>100000</v>
      </c>
      <c r="I10" s="413" t="str">
        <f ca="1">IFERROR(__xludf.DUMMYFUNCTION("TRANSPOSE( FILTER( 'TitleData rewards.items'!$J$8:$J61 , 'TitleData rewards.items'!$GM$8:$GM61 = $M10&amp;"":""&amp;$N10 ) ) "),"#N/A")</f>
        <v>#N/A</v>
      </c>
      <c r="J10" s="305"/>
      <c r="K10" s="305"/>
      <c r="L10" s="415" t="s">
        <v>322</v>
      </c>
      <c r="M10" s="416" t="s">
        <v>4374</v>
      </c>
      <c r="N10" s="305" t="str">
        <f t="shared" si="0"/>
        <v>{"id":"player","type":"player","statistic":"total_points","level":"2","valueNeededForNextLevel":100000}</v>
      </c>
      <c r="O10" s="305" t="s">
        <v>4375</v>
      </c>
      <c r="P10" s="417"/>
      <c r="Q10" s="305"/>
      <c r="R10" s="418"/>
      <c r="S10" s="419" t="s">
        <v>4376</v>
      </c>
      <c r="T10" s="416" t="s">
        <v>2359</v>
      </c>
      <c r="U10" s="305">
        <f t="shared" si="1"/>
        <v>100000</v>
      </c>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T10" s="305"/>
      <c r="DU10" s="305"/>
      <c r="DV10" s="305"/>
      <c r="DW10" s="305"/>
      <c r="DX10" s="305"/>
      <c r="DY10" s="305"/>
      <c r="DZ10" s="305"/>
      <c r="EA10" s="305"/>
      <c r="EB10" s="305"/>
      <c r="EC10" s="305"/>
      <c r="ED10" s="305"/>
      <c r="EE10" s="305"/>
      <c r="EF10" s="305"/>
      <c r="EG10" s="305"/>
      <c r="EH10" s="305"/>
      <c r="EI10" s="305"/>
      <c r="EJ10" s="305"/>
      <c r="EK10" s="305"/>
      <c r="EL10" s="305"/>
      <c r="EM10" s="305"/>
      <c r="EN10" s="305"/>
      <c r="EO10" s="305"/>
    </row>
    <row r="11" spans="1:145" ht="15.75" customHeight="1" x14ac:dyDescent="0.15">
      <c r="A11" s="413" t="str">
        <f t="shared" ref="A11:A61" si="2">CONCATENATE($T11, " level ", $C11)</f>
        <v>total_points level 1</v>
      </c>
      <c r="B11" s="413"/>
      <c r="C11" s="413">
        <v>1</v>
      </c>
      <c r="D11" s="413" t="s">
        <v>283</v>
      </c>
      <c r="E11" s="413" t="s">
        <v>4377</v>
      </c>
      <c r="F11" s="413" t="s">
        <v>2510</v>
      </c>
      <c r="G11" s="413" t="s">
        <v>4378</v>
      </c>
      <c r="H11" s="414">
        <v>0</v>
      </c>
      <c r="I11" s="413" t="str">
        <f ca="1">IFERROR(__xludf.DUMMYFUNCTION("TRANSPOSE( FILTER( 'TitleData rewards.items'!$J$8:$J61 , 'TitleData rewards.items'!$GM$8:$GM61 = $M11&amp;"":""&amp;$N11 ) ) "),"perkMultiForce")</f>
        <v>perkMultiForce</v>
      </c>
      <c r="J11" s="305"/>
      <c r="K11" s="305"/>
      <c r="L11" s="415" t="s">
        <v>322</v>
      </c>
      <c r="M11" s="416" t="s">
        <v>4379</v>
      </c>
      <c r="N11" s="305">
        <f t="shared" ref="N11:N61" si="3">$C11</f>
        <v>1</v>
      </c>
      <c r="O11" s="305" t="s">
        <v>280</v>
      </c>
      <c r="P11" s="420" t="s">
        <v>4380</v>
      </c>
      <c r="Q11" s="305">
        <f t="shared" ref="Q11:Q61" si="4">IFERROR(VLOOKUP($C12, $C11:$H61, COLUMNS($C11:$H61), FALSE),0)</f>
        <v>40000</v>
      </c>
      <c r="R11" s="305" t="s">
        <v>280</v>
      </c>
      <c r="S11" s="419" t="s">
        <v>4376</v>
      </c>
      <c r="T11" s="416" t="s">
        <v>2359</v>
      </c>
      <c r="U11" s="305">
        <f t="shared" ref="U11:U61" si="5">H11</f>
        <v>0</v>
      </c>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T11" s="305"/>
      <c r="DU11" s="305"/>
      <c r="DV11" s="305"/>
      <c r="DW11" s="305"/>
      <c r="DX11" s="305"/>
      <c r="DY11" s="305"/>
      <c r="DZ11" s="305"/>
      <c r="EA11" s="305"/>
      <c r="EB11" s="305"/>
      <c r="EC11" s="305"/>
      <c r="ED11" s="305"/>
      <c r="EE11" s="305"/>
      <c r="EF11" s="305"/>
      <c r="EG11" s="305"/>
      <c r="EH11" s="305"/>
      <c r="EI11" s="305"/>
      <c r="EJ11" s="305"/>
      <c r="EK11" s="305"/>
      <c r="EL11" s="305"/>
      <c r="EM11" s="305"/>
      <c r="EN11" s="305"/>
      <c r="EO11" s="305"/>
    </row>
    <row r="12" spans="1:145" ht="15.75" customHeight="1" x14ac:dyDescent="0.15">
      <c r="A12" s="413" t="str">
        <f t="shared" si="2"/>
        <v>total_points level 2</v>
      </c>
      <c r="B12" s="413"/>
      <c r="C12" s="413">
        <v>2</v>
      </c>
      <c r="D12" s="413" t="s">
        <v>283</v>
      </c>
      <c r="E12" s="413" t="s">
        <v>4381</v>
      </c>
      <c r="F12" s="413"/>
      <c r="G12" s="413"/>
      <c r="H12" s="414">
        <v>40000</v>
      </c>
      <c r="I12" s="413" t="str">
        <f ca="1">IFERROR(__xludf.DUMMYFUNCTION("TRANSPOSE( FILTER( 'TitleData rewards.items'!$J$8:$J61 , 'TitleData rewards.items'!$GM$8:$GM61 = $M12&amp;"":""&amp;$N12 ) ) "),"perkMultiFire")</f>
        <v>perkMultiFire</v>
      </c>
      <c r="J12" s="305"/>
      <c r="K12" s="305"/>
      <c r="L12" s="415" t="s">
        <v>322</v>
      </c>
      <c r="M12" s="416" t="s">
        <v>4379</v>
      </c>
      <c r="N12" s="305">
        <f t="shared" si="3"/>
        <v>2</v>
      </c>
      <c r="O12" s="305" t="s">
        <v>280</v>
      </c>
      <c r="P12" s="420" t="s">
        <v>4380</v>
      </c>
      <c r="Q12" s="305">
        <f t="shared" si="4"/>
        <v>100000</v>
      </c>
      <c r="R12" s="305" t="s">
        <v>280</v>
      </c>
      <c r="S12" s="419" t="s">
        <v>4376</v>
      </c>
      <c r="T12" s="416" t="s">
        <v>2359</v>
      </c>
      <c r="U12" s="305">
        <f t="shared" si="5"/>
        <v>40000</v>
      </c>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row>
    <row r="13" spans="1:145" ht="15.75" customHeight="1" x14ac:dyDescent="0.15">
      <c r="A13" s="413" t="str">
        <f t="shared" si="2"/>
        <v>total_points level 3</v>
      </c>
      <c r="B13" s="413"/>
      <c r="C13" s="413">
        <v>3</v>
      </c>
      <c r="D13" s="413" t="s">
        <v>283</v>
      </c>
      <c r="E13" s="413" t="s">
        <v>4382</v>
      </c>
      <c r="F13" s="413"/>
      <c r="G13" s="413"/>
      <c r="H13" s="414">
        <v>100000</v>
      </c>
      <c r="I13" s="413" t="str">
        <f ca="1">IFERROR(__xludf.DUMMYFUNCTION("TRANSPOSE( FILTER( 'TitleData rewards.items'!$J$8:$J61 , 'TitleData rewards.items'!$GM$8:$GM61 = $M13&amp;"":""&amp;$N13 ) ) "),"perkMultiFreeze")</f>
        <v>perkMultiFreeze</v>
      </c>
      <c r="J13" s="305"/>
      <c r="K13" s="305"/>
      <c r="L13" s="415" t="s">
        <v>322</v>
      </c>
      <c r="M13" s="416" t="s">
        <v>4379</v>
      </c>
      <c r="N13" s="305">
        <f t="shared" si="3"/>
        <v>3</v>
      </c>
      <c r="O13" s="305" t="s">
        <v>280</v>
      </c>
      <c r="P13" s="420" t="s">
        <v>4380</v>
      </c>
      <c r="Q13" s="305">
        <f t="shared" si="4"/>
        <v>200000</v>
      </c>
      <c r="R13" s="305" t="s">
        <v>280</v>
      </c>
      <c r="S13" s="419" t="s">
        <v>4376</v>
      </c>
      <c r="T13" s="416" t="s">
        <v>2359</v>
      </c>
      <c r="U13" s="305">
        <f t="shared" si="5"/>
        <v>100000</v>
      </c>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T13" s="305"/>
      <c r="DU13" s="305"/>
      <c r="DV13" s="305"/>
      <c r="DW13" s="305"/>
      <c r="DX13" s="305"/>
      <c r="DY13" s="305"/>
      <c r="DZ13" s="305"/>
      <c r="EA13" s="305"/>
      <c r="EB13" s="305"/>
      <c r="EC13" s="305"/>
      <c r="ED13" s="305"/>
      <c r="EE13" s="305"/>
      <c r="EF13" s="305"/>
      <c r="EG13" s="305"/>
      <c r="EH13" s="305"/>
      <c r="EI13" s="305"/>
      <c r="EJ13" s="305"/>
      <c r="EK13" s="305"/>
      <c r="EL13" s="305"/>
      <c r="EM13" s="305"/>
      <c r="EN13" s="305"/>
      <c r="EO13" s="305"/>
    </row>
    <row r="14" spans="1:145" ht="15.75" customHeight="1" x14ac:dyDescent="0.15">
      <c r="A14" s="413" t="str">
        <f t="shared" si="2"/>
        <v>total_points level 4</v>
      </c>
      <c r="B14" s="413"/>
      <c r="C14" s="413">
        <v>4</v>
      </c>
      <c r="D14" s="413" t="s">
        <v>283</v>
      </c>
      <c r="E14" s="413" t="s">
        <v>4382</v>
      </c>
      <c r="F14" s="413"/>
      <c r="G14" s="413"/>
      <c r="H14" s="414">
        <v>200000</v>
      </c>
      <c r="I14" s="413" t="str">
        <f ca="1">IFERROR(__xludf.DUMMYFUNCTION("TRANSPOSE( FILTER( 'TitleData rewards.items'!$J$8:$J61 , 'TitleData rewards.items'!$GM$8:$GM61 = $M14&amp;"":""&amp;$N14 ) ) "),"perkMultiLightning")</f>
        <v>perkMultiLightning</v>
      </c>
      <c r="J14" s="305" t="str">
        <f ca="1">IFERROR(__xludf.DUMMYFUNCTION("""COMPUTED_VALUE"""),"actionMissionScarletUnlock")</f>
        <v>actionMissionScarletUnlock</v>
      </c>
      <c r="K14" s="305"/>
      <c r="L14" s="415" t="s">
        <v>322</v>
      </c>
      <c r="M14" s="416" t="s">
        <v>4379</v>
      </c>
      <c r="N14" s="305">
        <f t="shared" si="3"/>
        <v>4</v>
      </c>
      <c r="O14" s="305" t="s">
        <v>280</v>
      </c>
      <c r="P14" s="420" t="s">
        <v>4380</v>
      </c>
      <c r="Q14" s="305">
        <f t="shared" si="4"/>
        <v>300000</v>
      </c>
      <c r="R14" s="305" t="s">
        <v>280</v>
      </c>
      <c r="S14" s="419" t="s">
        <v>4376</v>
      </c>
      <c r="T14" s="416" t="s">
        <v>2359</v>
      </c>
      <c r="U14" s="305">
        <f t="shared" si="5"/>
        <v>200000</v>
      </c>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row>
    <row r="15" spans="1:145" ht="15.75" customHeight="1" x14ac:dyDescent="0.15">
      <c r="A15" s="413" t="str">
        <f t="shared" si="2"/>
        <v>total_points level 5</v>
      </c>
      <c r="B15" s="413"/>
      <c r="C15" s="413">
        <v>5</v>
      </c>
      <c r="D15" s="413" t="s">
        <v>283</v>
      </c>
      <c r="E15" s="413" t="s">
        <v>4382</v>
      </c>
      <c r="F15" s="413"/>
      <c r="G15" s="413"/>
      <c r="H15" s="414">
        <v>300000</v>
      </c>
      <c r="I15" s="413" t="str">
        <f ca="1">IFERROR(__xludf.DUMMYFUNCTION("TRANSPOSE( FILTER( 'TitleData rewards.items'!$J$8:$J61 , 'TitleData rewards.items'!$GM$8:$GM61 = $M15&amp;"":""&amp;$N15 ) ) "),"#N/A")</f>
        <v>#N/A</v>
      </c>
      <c r="J15" s="305"/>
      <c r="K15" s="305"/>
      <c r="L15" s="415" t="s">
        <v>322</v>
      </c>
      <c r="M15" s="416" t="s">
        <v>4379</v>
      </c>
      <c r="N15" s="305">
        <f t="shared" si="3"/>
        <v>5</v>
      </c>
      <c r="O15" s="305" t="s">
        <v>280</v>
      </c>
      <c r="P15" s="420" t="s">
        <v>4380</v>
      </c>
      <c r="Q15" s="305">
        <f t="shared" si="4"/>
        <v>400000</v>
      </c>
      <c r="R15" s="305" t="s">
        <v>280</v>
      </c>
      <c r="S15" s="419" t="s">
        <v>4376</v>
      </c>
      <c r="T15" s="416" t="s">
        <v>2359</v>
      </c>
      <c r="U15" s="305">
        <f t="shared" si="5"/>
        <v>300000</v>
      </c>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T15" s="305"/>
      <c r="DU15" s="305"/>
      <c r="DV15" s="305"/>
      <c r="DW15" s="305"/>
      <c r="DX15" s="305"/>
      <c r="DY15" s="305"/>
      <c r="DZ15" s="305"/>
      <c r="EA15" s="305"/>
      <c r="EB15" s="305"/>
      <c r="EC15" s="305"/>
      <c r="ED15" s="305"/>
      <c r="EE15" s="305"/>
      <c r="EF15" s="305"/>
      <c r="EG15" s="305"/>
      <c r="EH15" s="305"/>
      <c r="EI15" s="305"/>
      <c r="EJ15" s="305"/>
      <c r="EK15" s="305"/>
      <c r="EL15" s="305"/>
      <c r="EM15" s="305"/>
      <c r="EN15" s="305"/>
      <c r="EO15" s="305"/>
    </row>
    <row r="16" spans="1:145" ht="15.75" customHeight="1" x14ac:dyDescent="0.15">
      <c r="A16" s="413" t="str">
        <f t="shared" si="2"/>
        <v>total_points level 6</v>
      </c>
      <c r="B16" s="413"/>
      <c r="C16" s="413">
        <v>6</v>
      </c>
      <c r="D16" s="413" t="s">
        <v>283</v>
      </c>
      <c r="E16" s="413" t="s">
        <v>4382</v>
      </c>
      <c r="F16" s="413"/>
      <c r="G16" s="413"/>
      <c r="H16" s="414">
        <v>400000</v>
      </c>
      <c r="I16" s="413" t="str">
        <f ca="1">IFERROR(__xludf.DUMMYFUNCTION("TRANSPOSE( FILTER( 'TitleData rewards.items'!$J$8:$J61 , 'TitleData rewards.items'!$GM$8:$GM61 = $M16&amp;"":""&amp;$N16 ) ) "),"perkDamageForce")</f>
        <v>perkDamageForce</v>
      </c>
      <c r="J16" s="305"/>
      <c r="K16" s="305"/>
      <c r="L16" s="415" t="s">
        <v>322</v>
      </c>
      <c r="M16" s="416" t="s">
        <v>4379</v>
      </c>
      <c r="N16" s="305">
        <f t="shared" si="3"/>
        <v>6</v>
      </c>
      <c r="O16" s="305" t="s">
        <v>280</v>
      </c>
      <c r="P16" s="420" t="s">
        <v>4380</v>
      </c>
      <c r="Q16" s="305">
        <f t="shared" si="4"/>
        <v>500000</v>
      </c>
      <c r="R16" s="305" t="s">
        <v>280</v>
      </c>
      <c r="S16" s="419" t="s">
        <v>4376</v>
      </c>
      <c r="T16" s="416" t="s">
        <v>2359</v>
      </c>
      <c r="U16" s="305">
        <f t="shared" si="5"/>
        <v>400000</v>
      </c>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row>
    <row r="17" spans="1:145" ht="15.75" customHeight="1" x14ac:dyDescent="0.15">
      <c r="A17" s="413" t="str">
        <f t="shared" si="2"/>
        <v>total_points level 7</v>
      </c>
      <c r="B17" s="413"/>
      <c r="C17" s="413">
        <v>7</v>
      </c>
      <c r="D17" s="413" t="s">
        <v>283</v>
      </c>
      <c r="E17" s="413" t="s">
        <v>4382</v>
      </c>
      <c r="F17" s="413"/>
      <c r="G17" s="413"/>
      <c r="H17" s="414">
        <v>500000</v>
      </c>
      <c r="I17" s="413" t="str">
        <f ca="1">IFERROR(__xludf.DUMMYFUNCTION("TRANSPOSE( FILTER( 'TitleData rewards.items'!$J$8:$J61 , 'TitleData rewards.items'!$GM$8:$GM61 = $M17&amp;"":""&amp;$N17 ) ) "),"perkDamageFire")</f>
        <v>perkDamageFire</v>
      </c>
      <c r="J17" s="305" t="str">
        <f ca="1">IFERROR(__xludf.DUMMYFUNCTION("""COMPUTED_VALUE"""),"actionMissionElMachoUnlock")</f>
        <v>actionMissionElMachoUnlock</v>
      </c>
      <c r="K17" s="305"/>
      <c r="L17" s="415" t="s">
        <v>322</v>
      </c>
      <c r="M17" s="416" t="s">
        <v>4379</v>
      </c>
      <c r="N17" s="305">
        <f t="shared" si="3"/>
        <v>7</v>
      </c>
      <c r="O17" s="305" t="s">
        <v>280</v>
      </c>
      <c r="P17" s="420" t="s">
        <v>4380</v>
      </c>
      <c r="Q17" s="305">
        <f t="shared" si="4"/>
        <v>625000</v>
      </c>
      <c r="R17" s="305" t="s">
        <v>280</v>
      </c>
      <c r="S17" s="419" t="s">
        <v>4376</v>
      </c>
      <c r="T17" s="416" t="s">
        <v>2359</v>
      </c>
      <c r="U17" s="305">
        <f t="shared" si="5"/>
        <v>500000</v>
      </c>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row>
    <row r="18" spans="1:145" ht="15.75" customHeight="1" x14ac:dyDescent="0.15">
      <c r="A18" s="413" t="str">
        <f t="shared" si="2"/>
        <v>total_points level 8</v>
      </c>
      <c r="B18" s="413"/>
      <c r="C18" s="413">
        <v>8</v>
      </c>
      <c r="D18" s="413" t="s">
        <v>283</v>
      </c>
      <c r="E18" s="413" t="s">
        <v>4382</v>
      </c>
      <c r="F18" s="413"/>
      <c r="G18" s="413"/>
      <c r="H18" s="414">
        <v>625000</v>
      </c>
      <c r="I18" s="413" t="str">
        <f ca="1">IFERROR(__xludf.DUMMYFUNCTION("TRANSPOSE( FILTER( 'TitleData rewards.items'!$J$8:$J61 , 'TitleData rewards.items'!$GM$8:$GM61 = $M18&amp;"":""&amp;$N18 ) ) "),"perkDamageFreeze")</f>
        <v>perkDamageFreeze</v>
      </c>
      <c r="J18" s="305"/>
      <c r="K18" s="305"/>
      <c r="L18" s="415" t="s">
        <v>322</v>
      </c>
      <c r="M18" s="416" t="s">
        <v>4379</v>
      </c>
      <c r="N18" s="305">
        <f t="shared" si="3"/>
        <v>8</v>
      </c>
      <c r="O18" s="305" t="s">
        <v>280</v>
      </c>
      <c r="P18" s="420" t="s">
        <v>4380</v>
      </c>
      <c r="Q18" s="305">
        <f t="shared" si="4"/>
        <v>750000</v>
      </c>
      <c r="R18" s="305" t="s">
        <v>280</v>
      </c>
      <c r="S18" s="419" t="s">
        <v>4376</v>
      </c>
      <c r="T18" s="416" t="s">
        <v>2359</v>
      </c>
      <c r="U18" s="305">
        <f t="shared" si="5"/>
        <v>625000</v>
      </c>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row>
    <row r="19" spans="1:145" ht="15.75" customHeight="1" x14ac:dyDescent="0.15">
      <c r="A19" s="413" t="str">
        <f t="shared" si="2"/>
        <v>total_points level 9</v>
      </c>
      <c r="B19" s="413"/>
      <c r="C19" s="413">
        <v>9</v>
      </c>
      <c r="D19" s="413" t="s">
        <v>283</v>
      </c>
      <c r="E19" s="413" t="s">
        <v>4382</v>
      </c>
      <c r="F19" s="413"/>
      <c r="G19" s="413"/>
      <c r="H19" s="414">
        <v>750000</v>
      </c>
      <c r="I19" s="413" t="str">
        <f ca="1">IFERROR(__xludf.DUMMYFUNCTION("TRANSPOSE( FILTER( 'TitleData rewards.items'!$J$8:$J61 , 'TitleData rewards.items'!$GM$8:$GM61 = $M19&amp;"":""&amp;$N19 ) ) "),"perkDamageLightning")</f>
        <v>perkDamageLightning</v>
      </c>
      <c r="J19" s="305"/>
      <c r="K19" s="305"/>
      <c r="L19" s="415" t="s">
        <v>322</v>
      </c>
      <c r="M19" s="416" t="s">
        <v>4379</v>
      </c>
      <c r="N19" s="305">
        <f t="shared" si="3"/>
        <v>9</v>
      </c>
      <c r="O19" s="305" t="s">
        <v>280</v>
      </c>
      <c r="P19" s="420" t="s">
        <v>4380</v>
      </c>
      <c r="Q19" s="305">
        <f t="shared" si="4"/>
        <v>875000</v>
      </c>
      <c r="R19" s="305" t="s">
        <v>280</v>
      </c>
      <c r="S19" s="419" t="s">
        <v>4376</v>
      </c>
      <c r="T19" s="416" t="s">
        <v>2359</v>
      </c>
      <c r="U19" s="305">
        <f t="shared" si="5"/>
        <v>750000</v>
      </c>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row>
    <row r="20" spans="1:145" ht="15.75" customHeight="1" x14ac:dyDescent="0.15">
      <c r="A20" s="413" t="str">
        <f t="shared" si="2"/>
        <v>total_points level 10</v>
      </c>
      <c r="B20" s="413"/>
      <c r="C20" s="413">
        <v>10</v>
      </c>
      <c r="D20" s="413" t="s">
        <v>283</v>
      </c>
      <c r="E20" s="413" t="s">
        <v>4382</v>
      </c>
      <c r="F20" s="413"/>
      <c r="G20" s="413"/>
      <c r="H20" s="414">
        <v>875000</v>
      </c>
      <c r="I20" s="413" t="str">
        <f ca="1">IFERROR(__xludf.DUMMYFUNCTION("TRANSPOSE( FILTER( 'TitleData rewards.items'!$J$8:$J61 , 'TitleData rewards.items'!$GM$8:$GM61 = $M20&amp;"":""&amp;$N20 ) ) "),"actionMissionBrattUnlock")</f>
        <v>actionMissionBrattUnlock</v>
      </c>
      <c r="J20" s="305"/>
      <c r="K20" s="305"/>
      <c r="L20" s="415" t="s">
        <v>322</v>
      </c>
      <c r="M20" s="416" t="s">
        <v>4379</v>
      </c>
      <c r="N20" s="305">
        <f t="shared" si="3"/>
        <v>10</v>
      </c>
      <c r="O20" s="305" t="s">
        <v>280</v>
      </c>
      <c r="P20" s="420" t="s">
        <v>4380</v>
      </c>
      <c r="Q20" s="305">
        <f t="shared" si="4"/>
        <v>1000000</v>
      </c>
      <c r="R20" s="305" t="s">
        <v>280</v>
      </c>
      <c r="S20" s="419" t="s">
        <v>4376</v>
      </c>
      <c r="T20" s="416" t="s">
        <v>2359</v>
      </c>
      <c r="U20" s="305">
        <f t="shared" si="5"/>
        <v>875000</v>
      </c>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row>
    <row r="21" spans="1:145" ht="15.75" customHeight="1" x14ac:dyDescent="0.15">
      <c r="A21" s="413" t="str">
        <f t="shared" si="2"/>
        <v>total_points level 11</v>
      </c>
      <c r="B21" s="413"/>
      <c r="C21" s="413">
        <v>11</v>
      </c>
      <c r="D21" s="413" t="s">
        <v>283</v>
      </c>
      <c r="E21" s="413" t="s">
        <v>4382</v>
      </c>
      <c r="F21" s="413"/>
      <c r="G21" s="413"/>
      <c r="H21" s="414">
        <v>1000000</v>
      </c>
      <c r="I21" s="413" t="str">
        <f ca="1">IFERROR(__xludf.DUMMYFUNCTION("TRANSPOSE( FILTER( 'TitleData rewards.items'!$J$8:$J61 , 'TitleData rewards.items'!$GM$8:$GM61 = $M21&amp;"":""&amp;$N21 ) ) "),"perkSpreadForce")</f>
        <v>perkSpreadForce</v>
      </c>
      <c r="J21" s="305"/>
      <c r="K21" s="305"/>
      <c r="L21" s="415" t="s">
        <v>322</v>
      </c>
      <c r="M21" s="416" t="s">
        <v>4379</v>
      </c>
      <c r="N21" s="305">
        <f t="shared" si="3"/>
        <v>11</v>
      </c>
      <c r="O21" s="305" t="s">
        <v>280</v>
      </c>
      <c r="P21" s="420" t="s">
        <v>4380</v>
      </c>
      <c r="Q21" s="305">
        <f t="shared" si="4"/>
        <v>1100000</v>
      </c>
      <c r="R21" s="305" t="s">
        <v>280</v>
      </c>
      <c r="S21" s="419" t="s">
        <v>4376</v>
      </c>
      <c r="T21" s="416" t="s">
        <v>2359</v>
      </c>
      <c r="U21" s="305">
        <f t="shared" si="5"/>
        <v>1000000</v>
      </c>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row>
    <row r="22" spans="1:145" ht="15.75" customHeight="1" x14ac:dyDescent="0.15">
      <c r="A22" s="413" t="str">
        <f t="shared" si="2"/>
        <v>total_points level 12</v>
      </c>
      <c r="B22" s="413"/>
      <c r="C22" s="413">
        <v>12</v>
      </c>
      <c r="D22" s="413"/>
      <c r="E22" s="413"/>
      <c r="F22" s="413"/>
      <c r="G22" s="413"/>
      <c r="H22" s="414">
        <v>1100000</v>
      </c>
      <c r="I22" s="413" t="str">
        <f ca="1">IFERROR(__xludf.DUMMYFUNCTION("TRANSPOSE( FILTER( 'TitleData rewards.items'!$J$8:$J61 , 'TitleData rewards.items'!$GM$8:$GM61 = $M22&amp;"":""&amp;$N22 ) ) "),"perkSpreadFire")</f>
        <v>perkSpreadFire</v>
      </c>
      <c r="J22" s="305" t="str">
        <f ca="1">IFERROR(__xludf.DUMMYFUNCTION("""COMPUTED_VALUE"""),"actionMissionStrongholdUnlock")</f>
        <v>actionMissionStrongholdUnlock</v>
      </c>
      <c r="K22" s="305"/>
      <c r="L22" s="415" t="s">
        <v>322</v>
      </c>
      <c r="M22" s="416" t="s">
        <v>4379</v>
      </c>
      <c r="N22" s="305">
        <f t="shared" si="3"/>
        <v>12</v>
      </c>
      <c r="O22" s="305" t="s">
        <v>280</v>
      </c>
      <c r="P22" s="420" t="s">
        <v>4380</v>
      </c>
      <c r="Q22" s="305">
        <f t="shared" si="4"/>
        <v>1200000</v>
      </c>
      <c r="R22" s="305" t="s">
        <v>280</v>
      </c>
      <c r="S22" s="419" t="s">
        <v>4376</v>
      </c>
      <c r="T22" s="416" t="s">
        <v>2359</v>
      </c>
      <c r="U22" s="305">
        <f t="shared" si="5"/>
        <v>1100000</v>
      </c>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row>
    <row r="23" spans="1:145" ht="15.75" customHeight="1" x14ac:dyDescent="0.15">
      <c r="A23" s="413" t="str">
        <f t="shared" si="2"/>
        <v>total_points level 13</v>
      </c>
      <c r="B23" s="413"/>
      <c r="C23" s="413">
        <v>13</v>
      </c>
      <c r="D23" s="413"/>
      <c r="E23" s="413"/>
      <c r="F23" s="413"/>
      <c r="G23" s="413"/>
      <c r="H23" s="414">
        <v>1200000</v>
      </c>
      <c r="I23" s="413" t="str">
        <f ca="1">IFERROR(__xludf.DUMMYFUNCTION("TRANSPOSE( FILTER( 'TitleData rewards.items'!$J$8:$J61 , 'TitleData rewards.items'!$GM$8:$GM61 = $M23&amp;"":""&amp;$N23 ) ) "),"perkSpreadFreeze")</f>
        <v>perkSpreadFreeze</v>
      </c>
      <c r="J23" s="305"/>
      <c r="K23" s="305"/>
      <c r="L23" s="415" t="s">
        <v>322</v>
      </c>
      <c r="M23" s="416" t="s">
        <v>4379</v>
      </c>
      <c r="N23" s="305">
        <f t="shared" si="3"/>
        <v>13</v>
      </c>
      <c r="O23" s="305" t="s">
        <v>280</v>
      </c>
      <c r="P23" s="420" t="s">
        <v>4380</v>
      </c>
      <c r="Q23" s="305">
        <f t="shared" si="4"/>
        <v>1300000</v>
      </c>
      <c r="R23" s="305" t="s">
        <v>280</v>
      </c>
      <c r="S23" s="419" t="s">
        <v>4376</v>
      </c>
      <c r="T23" s="416" t="s">
        <v>2359</v>
      </c>
      <c r="U23" s="305">
        <f t="shared" si="5"/>
        <v>1200000</v>
      </c>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row>
    <row r="24" spans="1:145" ht="15.75" customHeight="1" x14ac:dyDescent="0.15">
      <c r="A24" s="413" t="str">
        <f t="shared" si="2"/>
        <v>total_points level 14</v>
      </c>
      <c r="B24" s="413"/>
      <c r="C24" s="413">
        <v>14</v>
      </c>
      <c r="D24" s="413"/>
      <c r="E24" s="413"/>
      <c r="F24" s="413"/>
      <c r="G24" s="413"/>
      <c r="H24" s="414">
        <v>1300000</v>
      </c>
      <c r="I24" s="413" t="str">
        <f ca="1">IFERROR(__xludf.DUMMYFUNCTION("TRANSPOSE( FILTER( 'TitleData rewards.items'!$J$8:$J61 , 'TitleData rewards.items'!$GM$8:$GM61 = $M24&amp;"":""&amp;$N24 ) ) "),"perkSpreadLightning")</f>
        <v>perkSpreadLightning</v>
      </c>
      <c r="J24" s="305" t="str">
        <f ca="1">IFERROR(__xludf.DUMMYFUNCTION("""COMPUTED_VALUE"""),"actionMissionNunchuckUnlock")</f>
        <v>actionMissionNunchuckUnlock</v>
      </c>
      <c r="K24" s="305"/>
      <c r="L24" s="415" t="s">
        <v>322</v>
      </c>
      <c r="M24" s="416" t="s">
        <v>4379</v>
      </c>
      <c r="N24" s="305">
        <f t="shared" si="3"/>
        <v>14</v>
      </c>
      <c r="O24" s="305" t="s">
        <v>280</v>
      </c>
      <c r="P24" s="420" t="s">
        <v>4380</v>
      </c>
      <c r="Q24" s="305">
        <f t="shared" si="4"/>
        <v>1400000</v>
      </c>
      <c r="R24" s="305" t="s">
        <v>280</v>
      </c>
      <c r="S24" s="419" t="s">
        <v>4376</v>
      </c>
      <c r="T24" s="416" t="s">
        <v>2359</v>
      </c>
      <c r="U24" s="305">
        <f t="shared" si="5"/>
        <v>1300000</v>
      </c>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row>
    <row r="25" spans="1:145" ht="15.75" customHeight="1" x14ac:dyDescent="0.15">
      <c r="A25" s="413" t="str">
        <f t="shared" si="2"/>
        <v>total_points level 15</v>
      </c>
      <c r="B25" s="413"/>
      <c r="C25" s="413">
        <v>15</v>
      </c>
      <c r="D25" s="413"/>
      <c r="E25" s="413"/>
      <c r="F25" s="413"/>
      <c r="G25" s="413"/>
      <c r="H25" s="414">
        <v>1400000</v>
      </c>
      <c r="I25" s="413" t="str">
        <f ca="1">IFERROR(__xludf.DUMMYFUNCTION("TRANSPOSE( FILTER( 'TitleData rewards.items'!$J$8:$J61 , 'TitleData rewards.items'!$GM$8:$GM61 = $M25&amp;"":""&amp;$N25 ) ) "),"#N/A")</f>
        <v>#N/A</v>
      </c>
      <c r="J25" s="305"/>
      <c r="K25" s="305"/>
      <c r="L25" s="415" t="s">
        <v>322</v>
      </c>
      <c r="M25" s="416" t="s">
        <v>4379</v>
      </c>
      <c r="N25" s="305">
        <f t="shared" si="3"/>
        <v>15</v>
      </c>
      <c r="O25" s="305" t="s">
        <v>280</v>
      </c>
      <c r="P25" s="420" t="s">
        <v>4380</v>
      </c>
      <c r="Q25" s="305">
        <f t="shared" si="4"/>
        <v>1500000</v>
      </c>
      <c r="R25" s="305" t="s">
        <v>280</v>
      </c>
      <c r="S25" s="419" t="s">
        <v>4376</v>
      </c>
      <c r="T25" s="416" t="s">
        <v>2359</v>
      </c>
      <c r="U25" s="305">
        <f t="shared" si="5"/>
        <v>1400000</v>
      </c>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row>
    <row r="26" spans="1:145" ht="15.75" customHeight="1" x14ac:dyDescent="0.15">
      <c r="A26" s="413" t="str">
        <f t="shared" si="2"/>
        <v>total_points level 16</v>
      </c>
      <c r="B26" s="413"/>
      <c r="C26" s="413">
        <v>16</v>
      </c>
      <c r="D26" s="413"/>
      <c r="E26" s="413"/>
      <c r="F26" s="413"/>
      <c r="G26" s="413"/>
      <c r="H26" s="414">
        <v>1500000</v>
      </c>
      <c r="I26" s="413" t="str">
        <f ca="1">IFERROR(__xludf.DUMMYFUNCTION("TRANSPOSE( FILTER( 'TitleData rewards.items'!$J$8:$J61 , 'TitleData rewards.items'!$GM$8:$GM61 = $M26&amp;"":""&amp;$N26 ) ) "),"perkLauncherDamage")</f>
        <v>perkLauncherDamage</v>
      </c>
      <c r="J26" s="305" t="str">
        <f ca="1">IFERROR(__xludf.DUMMYFUNCTION("""COMPUTED_VALUE"""),"actionMissionJeanClawedUnlock")</f>
        <v>actionMissionJeanClawedUnlock</v>
      </c>
      <c r="K26" s="305"/>
      <c r="L26" s="415" t="s">
        <v>322</v>
      </c>
      <c r="M26" s="416" t="s">
        <v>4379</v>
      </c>
      <c r="N26" s="305">
        <f t="shared" si="3"/>
        <v>16</v>
      </c>
      <c r="O26" s="305" t="s">
        <v>280</v>
      </c>
      <c r="P26" s="420" t="s">
        <v>4380</v>
      </c>
      <c r="Q26" s="305">
        <f t="shared" si="4"/>
        <v>1600000</v>
      </c>
      <c r="R26" s="305" t="s">
        <v>280</v>
      </c>
      <c r="S26" s="419" t="s">
        <v>4376</v>
      </c>
      <c r="T26" s="416" t="s">
        <v>2359</v>
      </c>
      <c r="U26" s="305">
        <f t="shared" si="5"/>
        <v>1500000</v>
      </c>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row>
    <row r="27" spans="1:145" ht="15.75" customHeight="1" x14ac:dyDescent="0.15">
      <c r="A27" s="413" t="str">
        <f t="shared" si="2"/>
        <v>total_points level 17</v>
      </c>
      <c r="B27" s="413"/>
      <c r="C27" s="413">
        <v>17</v>
      </c>
      <c r="D27" s="413"/>
      <c r="E27" s="413"/>
      <c r="F27" s="413"/>
      <c r="G27" s="413"/>
      <c r="H27" s="414">
        <v>1600000</v>
      </c>
      <c r="I27" s="413" t="str">
        <f ca="1">IFERROR(__xludf.DUMMYFUNCTION("TRANSPOSE( FILTER( 'TitleData rewards.items'!$J$8:$J61 , 'TitleData rewards.items'!$GM$8:$GM61 = $M27&amp;"":""&amp;$N27 ) ) "),"perkLauncherAmmo")</f>
        <v>perkLauncherAmmo</v>
      </c>
      <c r="J27" s="305"/>
      <c r="K27" s="305"/>
      <c r="L27" s="415" t="s">
        <v>322</v>
      </c>
      <c r="M27" s="416" t="s">
        <v>4379</v>
      </c>
      <c r="N27" s="305">
        <f t="shared" si="3"/>
        <v>17</v>
      </c>
      <c r="O27" s="305" t="s">
        <v>280</v>
      </c>
      <c r="P27" s="420" t="s">
        <v>4380</v>
      </c>
      <c r="Q27" s="305">
        <f t="shared" si="4"/>
        <v>1700000</v>
      </c>
      <c r="R27" s="305" t="s">
        <v>280</v>
      </c>
      <c r="S27" s="419" t="s">
        <v>4376</v>
      </c>
      <c r="T27" s="416" t="s">
        <v>2359</v>
      </c>
      <c r="U27" s="305">
        <f t="shared" si="5"/>
        <v>1600000</v>
      </c>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row>
    <row r="28" spans="1:145" ht="15.75" customHeight="1" x14ac:dyDescent="0.15">
      <c r="A28" s="413" t="str">
        <f t="shared" si="2"/>
        <v>total_points level 18</v>
      </c>
      <c r="B28" s="413"/>
      <c r="C28" s="413">
        <v>18</v>
      </c>
      <c r="D28" s="413"/>
      <c r="E28" s="413"/>
      <c r="F28" s="413"/>
      <c r="G28" s="413"/>
      <c r="H28" s="414">
        <v>1700000</v>
      </c>
      <c r="I28" s="413" t="str">
        <f ca="1">IFERROR(__xludf.DUMMYFUNCTION("TRANSPOSE( FILTER( 'TitleData rewards.items'!$J$8:$J61 , 'TitleData rewards.items'!$GM$8:$GM61 = $M28&amp;"":""&amp;$N28 ) ) "),"perkUltimateAmmo")</f>
        <v>perkUltimateAmmo</v>
      </c>
      <c r="J28" s="305" t="str">
        <f ca="1">IFERROR(__xludf.DUMMYFUNCTION("""COMPUTED_VALUE"""),"actionMissionSvengeanceUnlock")</f>
        <v>actionMissionSvengeanceUnlock</v>
      </c>
      <c r="K28" s="305"/>
      <c r="L28" s="415" t="s">
        <v>322</v>
      </c>
      <c r="M28" s="416" t="s">
        <v>4379</v>
      </c>
      <c r="N28" s="305">
        <f t="shared" si="3"/>
        <v>18</v>
      </c>
      <c r="O28" s="305" t="s">
        <v>280</v>
      </c>
      <c r="P28" s="420" t="s">
        <v>4380</v>
      </c>
      <c r="Q28" s="305">
        <f t="shared" si="4"/>
        <v>1800000</v>
      </c>
      <c r="R28" s="305" t="s">
        <v>280</v>
      </c>
      <c r="S28" s="419" t="s">
        <v>4376</v>
      </c>
      <c r="T28" s="416" t="s">
        <v>2359</v>
      </c>
      <c r="U28" s="305">
        <f t="shared" si="5"/>
        <v>1700000</v>
      </c>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row>
    <row r="29" spans="1:145" ht="15.75" customHeight="1" x14ac:dyDescent="0.15">
      <c r="A29" s="413" t="str">
        <f t="shared" si="2"/>
        <v>total_points level 19</v>
      </c>
      <c r="B29" s="413"/>
      <c r="C29" s="413">
        <v>19</v>
      </c>
      <c r="D29" s="413"/>
      <c r="E29" s="413"/>
      <c r="F29" s="413"/>
      <c r="G29" s="413"/>
      <c r="H29" s="414">
        <v>1800000</v>
      </c>
      <c r="I29" s="413" t="str">
        <f ca="1">IFERROR(__xludf.DUMMYFUNCTION("TRANSPOSE( FILTER( 'TitleData rewards.items'!$J$8:$J61 , 'TitleData rewards.items'!$GM$8:$GM61 = $M29&amp;"":""&amp;$N29 ) ) "),"perkUltimateCharger")</f>
        <v>perkUltimateCharger</v>
      </c>
      <c r="J29" s="305"/>
      <c r="K29" s="305"/>
      <c r="L29" s="415" t="s">
        <v>322</v>
      </c>
      <c r="M29" s="416" t="s">
        <v>4379</v>
      </c>
      <c r="N29" s="305">
        <f t="shared" si="3"/>
        <v>19</v>
      </c>
      <c r="O29" s="305" t="s">
        <v>280</v>
      </c>
      <c r="P29" s="420" t="s">
        <v>4380</v>
      </c>
      <c r="Q29" s="305">
        <f t="shared" si="4"/>
        <v>1900000</v>
      </c>
      <c r="R29" s="305" t="s">
        <v>280</v>
      </c>
      <c r="S29" s="419" t="s">
        <v>4376</v>
      </c>
      <c r="T29" s="416" t="s">
        <v>2359</v>
      </c>
      <c r="U29" s="305">
        <f t="shared" si="5"/>
        <v>1800000</v>
      </c>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row>
    <row r="30" spans="1:145" ht="15.75" customHeight="1" x14ac:dyDescent="0.15">
      <c r="A30" s="413" t="str">
        <f t="shared" si="2"/>
        <v>total_points level 20</v>
      </c>
      <c r="B30" s="413"/>
      <c r="C30" s="413">
        <v>20</v>
      </c>
      <c r="D30" s="413"/>
      <c r="E30" s="413"/>
      <c r="F30" s="413"/>
      <c r="G30" s="413"/>
      <c r="H30" s="414">
        <v>1900000</v>
      </c>
      <c r="I30" s="413" t="str">
        <f ca="1">IFERROR(__xludf.DUMMYFUNCTION("TRANSPOSE( FILTER( 'TitleData rewards.items'!$J$8:$J61 , 'TitleData rewards.items'!$GM$8:$GM61 = $M30&amp;"":""&amp;$N30 ) ) "),"actionMissionBelleUnlock")</f>
        <v>actionMissionBelleUnlock</v>
      </c>
      <c r="J30" s="305"/>
      <c r="K30" s="305"/>
      <c r="L30" s="415" t="s">
        <v>322</v>
      </c>
      <c r="M30" s="416" t="s">
        <v>4379</v>
      </c>
      <c r="N30" s="305">
        <f t="shared" si="3"/>
        <v>20</v>
      </c>
      <c r="O30" s="305" t="s">
        <v>280</v>
      </c>
      <c r="P30" s="420" t="s">
        <v>4380</v>
      </c>
      <c r="Q30" s="305">
        <f t="shared" si="4"/>
        <v>2000000</v>
      </c>
      <c r="R30" s="305" t="s">
        <v>280</v>
      </c>
      <c r="S30" s="419" t="s">
        <v>4376</v>
      </c>
      <c r="T30" s="416" t="s">
        <v>2359</v>
      </c>
      <c r="U30" s="305">
        <f t="shared" si="5"/>
        <v>1900000</v>
      </c>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T30" s="305"/>
      <c r="DU30" s="305"/>
      <c r="DV30" s="305"/>
      <c r="DW30" s="305"/>
      <c r="DX30" s="305"/>
      <c r="DY30" s="305"/>
      <c r="DZ30" s="305"/>
      <c r="EA30" s="305"/>
      <c r="EB30" s="305"/>
      <c r="EC30" s="305"/>
      <c r="ED30" s="305"/>
      <c r="EE30" s="305"/>
      <c r="EF30" s="305"/>
      <c r="EG30" s="305"/>
      <c r="EH30" s="305"/>
      <c r="EI30" s="305"/>
      <c r="EJ30" s="305"/>
      <c r="EK30" s="305"/>
      <c r="EL30" s="305"/>
      <c r="EM30" s="305"/>
      <c r="EN30" s="305"/>
      <c r="EO30" s="305"/>
    </row>
    <row r="31" spans="1:145" ht="15.75" customHeight="1" x14ac:dyDescent="0.15">
      <c r="A31" s="413" t="str">
        <f t="shared" si="2"/>
        <v>total_points level 21</v>
      </c>
      <c r="B31" s="413"/>
      <c r="C31" s="413">
        <v>21</v>
      </c>
      <c r="D31" s="413"/>
      <c r="E31" s="413"/>
      <c r="F31" s="413"/>
      <c r="G31" s="413"/>
      <c r="H31" s="414">
        <v>2000000</v>
      </c>
      <c r="I31" s="413" t="str">
        <f ca="1">IFERROR(__xludf.DUMMYFUNCTION("TRANSPOSE( FILTER( 'TitleData rewards.items'!$J$8:$J61 , 'TitleData rewards.items'!$GM$8:$GM61 = $M31&amp;"":""&amp;$N31 ) ) "),"#N/A")</f>
        <v>#N/A</v>
      </c>
      <c r="J31" s="305"/>
      <c r="K31" s="305"/>
      <c r="L31" s="415" t="s">
        <v>322</v>
      </c>
      <c r="M31" s="416" t="s">
        <v>4379</v>
      </c>
      <c r="N31" s="305">
        <f t="shared" si="3"/>
        <v>21</v>
      </c>
      <c r="O31" s="305" t="s">
        <v>280</v>
      </c>
      <c r="P31" s="420" t="s">
        <v>4380</v>
      </c>
      <c r="Q31" s="305">
        <f t="shared" si="4"/>
        <v>2100000</v>
      </c>
      <c r="R31" s="305" t="s">
        <v>280</v>
      </c>
      <c r="S31" s="419" t="s">
        <v>4376</v>
      </c>
      <c r="T31" s="416" t="s">
        <v>2359</v>
      </c>
      <c r="U31" s="305">
        <f t="shared" si="5"/>
        <v>2000000</v>
      </c>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row>
    <row r="32" spans="1:145" ht="15.75" customHeight="1" x14ac:dyDescent="0.15">
      <c r="A32" s="413" t="str">
        <f t="shared" si="2"/>
        <v>total_points level 22</v>
      </c>
      <c r="B32" s="413"/>
      <c r="C32" s="413">
        <v>22</v>
      </c>
      <c r="D32" s="413"/>
      <c r="E32" s="413"/>
      <c r="F32" s="413"/>
      <c r="G32" s="413"/>
      <c r="H32" s="414">
        <v>2100000</v>
      </c>
      <c r="I32" s="413" t="str">
        <f ca="1">IFERROR(__xludf.DUMMYFUNCTION("TRANSPOSE( FILTER( 'TitleData rewards.items'!$J$8:$J61 , 'TitleData rewards.items'!$GM$8:$GM61 = $M32&amp;"":""&amp;$N32 ) ) "),"#N/A")</f>
        <v>#N/A</v>
      </c>
      <c r="J32" s="305"/>
      <c r="K32" s="305"/>
      <c r="L32" s="415" t="s">
        <v>322</v>
      </c>
      <c r="M32" s="416" t="s">
        <v>4379</v>
      </c>
      <c r="N32" s="305">
        <f t="shared" si="3"/>
        <v>22</v>
      </c>
      <c r="O32" s="305" t="s">
        <v>280</v>
      </c>
      <c r="P32" s="420" t="s">
        <v>4380</v>
      </c>
      <c r="Q32" s="305">
        <f t="shared" si="4"/>
        <v>2200000</v>
      </c>
      <c r="R32" s="305" t="s">
        <v>280</v>
      </c>
      <c r="S32" s="419" t="s">
        <v>4376</v>
      </c>
      <c r="T32" s="416" t="s">
        <v>2359</v>
      </c>
      <c r="U32" s="305">
        <f t="shared" si="5"/>
        <v>2100000</v>
      </c>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row>
    <row r="33" spans="1:145" ht="15.75" customHeight="1" x14ac:dyDescent="0.15">
      <c r="A33" s="413" t="str">
        <f t="shared" si="2"/>
        <v>total_points level 23</v>
      </c>
      <c r="B33" s="413"/>
      <c r="C33" s="413">
        <v>23</v>
      </c>
      <c r="D33" s="413"/>
      <c r="E33" s="413"/>
      <c r="F33" s="413"/>
      <c r="G33" s="413"/>
      <c r="H33" s="414">
        <v>2200000</v>
      </c>
      <c r="I33" s="413" t="str">
        <f ca="1">IFERROR(__xludf.DUMMYFUNCTION("TRANSPOSE( FILTER( 'TitleData rewards.items'!$J$8:$J61 , 'TitleData rewards.items'!$GM$8:$GM61 = $M33&amp;"":""&amp;$N33 ) ) "),"#N/A")</f>
        <v>#N/A</v>
      </c>
      <c r="J33" s="305"/>
      <c r="K33" s="305"/>
      <c r="L33" s="415" t="s">
        <v>322</v>
      </c>
      <c r="M33" s="416" t="s">
        <v>4379</v>
      </c>
      <c r="N33" s="305">
        <f t="shared" si="3"/>
        <v>23</v>
      </c>
      <c r="O33" s="305" t="s">
        <v>280</v>
      </c>
      <c r="P33" s="420" t="s">
        <v>4380</v>
      </c>
      <c r="Q33" s="305">
        <f t="shared" si="4"/>
        <v>2300000</v>
      </c>
      <c r="R33" s="305" t="s">
        <v>280</v>
      </c>
      <c r="S33" s="419" t="s">
        <v>4376</v>
      </c>
      <c r="T33" s="416" t="s">
        <v>2359</v>
      </c>
      <c r="U33" s="305">
        <f t="shared" si="5"/>
        <v>2200000</v>
      </c>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row>
    <row r="34" spans="1:145" ht="15.75" customHeight="1" x14ac:dyDescent="0.15">
      <c r="A34" s="413" t="str">
        <f t="shared" si="2"/>
        <v>total_points level 24</v>
      </c>
      <c r="B34" s="413"/>
      <c r="C34" s="413">
        <v>24</v>
      </c>
      <c r="D34" s="413"/>
      <c r="E34" s="413"/>
      <c r="F34" s="413"/>
      <c r="G34" s="413"/>
      <c r="H34" s="414">
        <v>2300000</v>
      </c>
      <c r="I34" s="413" t="str">
        <f ca="1">IFERROR(__xludf.DUMMYFUNCTION("TRANSPOSE( FILTER( 'TitleData rewards.items'!$J$8:$J61 , 'TitleData rewards.items'!$GM$8:$GM61 = $M34&amp;"":""&amp;$N34 ) ) "),"#N/A")</f>
        <v>#N/A</v>
      </c>
      <c r="J34" s="305"/>
      <c r="K34" s="305"/>
      <c r="L34" s="415" t="s">
        <v>322</v>
      </c>
      <c r="M34" s="416" t="s">
        <v>4379</v>
      </c>
      <c r="N34" s="305">
        <f t="shared" si="3"/>
        <v>24</v>
      </c>
      <c r="O34" s="305" t="s">
        <v>280</v>
      </c>
      <c r="P34" s="420" t="s">
        <v>4380</v>
      </c>
      <c r="Q34" s="305">
        <f t="shared" si="4"/>
        <v>2400000</v>
      </c>
      <c r="R34" s="305" t="s">
        <v>280</v>
      </c>
      <c r="S34" s="419" t="s">
        <v>4376</v>
      </c>
      <c r="T34" s="416" t="s">
        <v>2359</v>
      </c>
      <c r="U34" s="305">
        <f t="shared" si="5"/>
        <v>2300000</v>
      </c>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row>
    <row r="35" spans="1:145" ht="15.75" customHeight="1" x14ac:dyDescent="0.15">
      <c r="A35" s="413" t="str">
        <f t="shared" si="2"/>
        <v>total_points level 25</v>
      </c>
      <c r="B35" s="413"/>
      <c r="C35" s="413">
        <v>25</v>
      </c>
      <c r="D35" s="413"/>
      <c r="E35" s="413"/>
      <c r="F35" s="413"/>
      <c r="G35" s="413"/>
      <c r="H35" s="414">
        <v>2400000</v>
      </c>
      <c r="I35" s="413" t="str">
        <f ca="1">IFERROR(__xludf.DUMMYFUNCTION("TRANSPOSE( FILTER( 'TitleData rewards.items'!$J$8:$J61 , 'TitleData rewards.items'!$GM$8:$GM61 = $M35&amp;"":""&amp;$N35 ) ) "),"#N/A")</f>
        <v>#N/A</v>
      </c>
      <c r="J35" s="305"/>
      <c r="K35" s="305"/>
      <c r="L35" s="415" t="s">
        <v>322</v>
      </c>
      <c r="M35" s="416" t="s">
        <v>4379</v>
      </c>
      <c r="N35" s="305">
        <f t="shared" si="3"/>
        <v>25</v>
      </c>
      <c r="O35" s="305" t="s">
        <v>280</v>
      </c>
      <c r="P35" s="420" t="s">
        <v>4380</v>
      </c>
      <c r="Q35" s="305">
        <f t="shared" si="4"/>
        <v>2500000</v>
      </c>
      <c r="R35" s="305" t="s">
        <v>280</v>
      </c>
      <c r="S35" s="419" t="s">
        <v>4376</v>
      </c>
      <c r="T35" s="416" t="s">
        <v>2359</v>
      </c>
      <c r="U35" s="305">
        <f t="shared" si="5"/>
        <v>2400000</v>
      </c>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T35" s="305"/>
      <c r="DU35" s="305"/>
      <c r="DV35" s="305"/>
      <c r="DW35" s="305"/>
      <c r="DX35" s="305"/>
      <c r="DY35" s="305"/>
      <c r="DZ35" s="305"/>
      <c r="EA35" s="305"/>
      <c r="EB35" s="305"/>
      <c r="EC35" s="305"/>
      <c r="ED35" s="305"/>
      <c r="EE35" s="305"/>
      <c r="EF35" s="305"/>
      <c r="EG35" s="305"/>
      <c r="EH35" s="305"/>
      <c r="EI35" s="305"/>
      <c r="EJ35" s="305"/>
      <c r="EK35" s="305"/>
      <c r="EL35" s="305"/>
      <c r="EM35" s="305"/>
      <c r="EN35" s="305"/>
      <c r="EO35" s="305"/>
    </row>
    <row r="36" spans="1:145" ht="15.75" customHeight="1" x14ac:dyDescent="0.15">
      <c r="A36" s="413" t="str">
        <f t="shared" si="2"/>
        <v>total_points level 26</v>
      </c>
      <c r="B36" s="413"/>
      <c r="C36" s="413">
        <v>26</v>
      </c>
      <c r="D36" s="413"/>
      <c r="E36" s="413"/>
      <c r="F36" s="413"/>
      <c r="G36" s="413"/>
      <c r="H36" s="414">
        <v>2500000</v>
      </c>
      <c r="I36" s="413" t="str">
        <f ca="1">IFERROR(__xludf.DUMMYFUNCTION("TRANSPOSE( FILTER( 'TitleData rewards.items'!$J$8:$J61 , 'TitleData rewards.items'!$GM$8:$GM61 = $M36&amp;"":""&amp;$N36 ) ) "),"#N/A")</f>
        <v>#N/A</v>
      </c>
      <c r="J36" s="305"/>
      <c r="K36" s="305"/>
      <c r="L36" s="415" t="s">
        <v>322</v>
      </c>
      <c r="M36" s="416" t="s">
        <v>4379</v>
      </c>
      <c r="N36" s="305">
        <f t="shared" si="3"/>
        <v>26</v>
      </c>
      <c r="O36" s="305" t="s">
        <v>280</v>
      </c>
      <c r="P36" s="420" t="s">
        <v>4380</v>
      </c>
      <c r="Q36" s="305">
        <f t="shared" si="4"/>
        <v>2600000</v>
      </c>
      <c r="R36" s="305" t="s">
        <v>280</v>
      </c>
      <c r="S36" s="419" t="s">
        <v>4376</v>
      </c>
      <c r="T36" s="416" t="s">
        <v>2359</v>
      </c>
      <c r="U36" s="305">
        <f t="shared" si="5"/>
        <v>2500000</v>
      </c>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T36" s="305"/>
      <c r="DU36" s="305"/>
      <c r="DV36" s="305"/>
      <c r="DW36" s="305"/>
      <c r="DX36" s="305"/>
      <c r="DY36" s="305"/>
      <c r="DZ36" s="305"/>
      <c r="EA36" s="305"/>
      <c r="EB36" s="305"/>
      <c r="EC36" s="305"/>
      <c r="ED36" s="305"/>
      <c r="EE36" s="305"/>
      <c r="EF36" s="305"/>
      <c r="EG36" s="305"/>
      <c r="EH36" s="305"/>
      <c r="EI36" s="305"/>
      <c r="EJ36" s="305"/>
      <c r="EK36" s="305"/>
      <c r="EL36" s="305"/>
      <c r="EM36" s="305"/>
      <c r="EN36" s="305"/>
      <c r="EO36" s="305"/>
    </row>
    <row r="37" spans="1:145" ht="15.75" customHeight="1" x14ac:dyDescent="0.15">
      <c r="A37" s="413" t="str">
        <f t="shared" si="2"/>
        <v>total_points level 27</v>
      </c>
      <c r="B37" s="413"/>
      <c r="C37" s="413">
        <v>27</v>
      </c>
      <c r="D37" s="413"/>
      <c r="E37" s="413"/>
      <c r="F37" s="413"/>
      <c r="G37" s="413"/>
      <c r="H37" s="414">
        <v>2600000</v>
      </c>
      <c r="I37" s="413" t="str">
        <f ca="1">IFERROR(__xludf.DUMMYFUNCTION("TRANSPOSE( FILTER( 'TitleData rewards.items'!$J$8:$J61 , 'TitleData rewards.items'!$GM$8:$GM61 = $M37&amp;"":""&amp;$N37 ) ) "),"#N/A")</f>
        <v>#N/A</v>
      </c>
      <c r="J37" s="305"/>
      <c r="K37" s="305"/>
      <c r="L37" s="415" t="s">
        <v>322</v>
      </c>
      <c r="M37" s="416" t="s">
        <v>4379</v>
      </c>
      <c r="N37" s="305">
        <f t="shared" si="3"/>
        <v>27</v>
      </c>
      <c r="O37" s="305" t="s">
        <v>280</v>
      </c>
      <c r="P37" s="420" t="s">
        <v>4380</v>
      </c>
      <c r="Q37" s="305">
        <f t="shared" si="4"/>
        <v>2700000</v>
      </c>
      <c r="R37" s="305" t="s">
        <v>280</v>
      </c>
      <c r="S37" s="419" t="s">
        <v>4376</v>
      </c>
      <c r="T37" s="416" t="s">
        <v>2359</v>
      </c>
      <c r="U37" s="305">
        <f t="shared" si="5"/>
        <v>2600000</v>
      </c>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row>
    <row r="38" spans="1:145" ht="15.75" customHeight="1" x14ac:dyDescent="0.15">
      <c r="A38" s="413" t="str">
        <f t="shared" si="2"/>
        <v>total_points level 28</v>
      </c>
      <c r="B38" s="413"/>
      <c r="C38" s="413">
        <v>28</v>
      </c>
      <c r="D38" s="413"/>
      <c r="E38" s="413"/>
      <c r="F38" s="413"/>
      <c r="G38" s="413"/>
      <c r="H38" s="414">
        <v>2700000</v>
      </c>
      <c r="I38" s="413" t="str">
        <f ca="1">IFERROR(__xludf.DUMMYFUNCTION("TRANSPOSE( FILTER( 'TitleData rewards.items'!$J$8:$J61 , 'TitleData rewards.items'!$GM$8:$GM61 = $M38&amp;"":""&amp;$N38 ) ) "),"#N/A")</f>
        <v>#N/A</v>
      </c>
      <c r="J38" s="305"/>
      <c r="K38" s="305"/>
      <c r="L38" s="415" t="s">
        <v>322</v>
      </c>
      <c r="M38" s="416" t="s">
        <v>4379</v>
      </c>
      <c r="N38" s="305">
        <f t="shared" si="3"/>
        <v>28</v>
      </c>
      <c r="O38" s="305" t="s">
        <v>280</v>
      </c>
      <c r="P38" s="420" t="s">
        <v>4380</v>
      </c>
      <c r="Q38" s="305">
        <f t="shared" si="4"/>
        <v>2800000</v>
      </c>
      <c r="R38" s="305" t="s">
        <v>280</v>
      </c>
      <c r="S38" s="419" t="s">
        <v>4376</v>
      </c>
      <c r="T38" s="416" t="s">
        <v>2359</v>
      </c>
      <c r="U38" s="305">
        <f t="shared" si="5"/>
        <v>2700000</v>
      </c>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row>
    <row r="39" spans="1:145" ht="15.75" customHeight="1" x14ac:dyDescent="0.15">
      <c r="A39" s="413" t="str">
        <f t="shared" si="2"/>
        <v>total_points level 29</v>
      </c>
      <c r="B39" s="413"/>
      <c r="C39" s="413">
        <v>29</v>
      </c>
      <c r="D39" s="413"/>
      <c r="E39" s="413"/>
      <c r="F39" s="413"/>
      <c r="G39" s="413"/>
      <c r="H39" s="414">
        <v>2800000</v>
      </c>
      <c r="I39" s="413" t="str">
        <f ca="1">IFERROR(__xludf.DUMMYFUNCTION("TRANSPOSE( FILTER( 'TitleData rewards.items'!$J$8:$J61 , 'TitleData rewards.items'!$GM$8:$GM61 = $M39&amp;"":""&amp;$N39 ) ) "),"#N/A")</f>
        <v>#N/A</v>
      </c>
      <c r="J39" s="305"/>
      <c r="K39" s="305"/>
      <c r="L39" s="415" t="s">
        <v>322</v>
      </c>
      <c r="M39" s="416" t="s">
        <v>4379</v>
      </c>
      <c r="N39" s="305">
        <f t="shared" si="3"/>
        <v>29</v>
      </c>
      <c r="O39" s="305" t="s">
        <v>280</v>
      </c>
      <c r="P39" s="420" t="s">
        <v>4380</v>
      </c>
      <c r="Q39" s="305">
        <f t="shared" si="4"/>
        <v>2900000</v>
      </c>
      <c r="R39" s="305" t="s">
        <v>280</v>
      </c>
      <c r="S39" s="419" t="s">
        <v>4376</v>
      </c>
      <c r="T39" s="416" t="s">
        <v>2359</v>
      </c>
      <c r="U39" s="305">
        <f t="shared" si="5"/>
        <v>2800000</v>
      </c>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row>
    <row r="40" spans="1:145" ht="15.75" customHeight="1" x14ac:dyDescent="0.15">
      <c r="A40" s="413" t="str">
        <f t="shared" si="2"/>
        <v>total_points level 30</v>
      </c>
      <c r="B40" s="413"/>
      <c r="C40" s="413">
        <v>30</v>
      </c>
      <c r="D40" s="413"/>
      <c r="E40" s="413"/>
      <c r="F40" s="413"/>
      <c r="G40" s="413"/>
      <c r="H40" s="414">
        <v>2900000</v>
      </c>
      <c r="I40" s="413" t="str">
        <f ca="1">IFERROR(__xludf.DUMMYFUNCTION("TRANSPOSE( FILTER( 'TitleData rewards.items'!$J$8:$J61 , 'TitleData rewards.items'!$GM$8:$GM61 = $M40&amp;"":""&amp;$N40 ) ) "),"#N/A")</f>
        <v>#N/A</v>
      </c>
      <c r="J40" s="305"/>
      <c r="K40" s="305"/>
      <c r="L40" s="415" t="s">
        <v>322</v>
      </c>
      <c r="M40" s="416" t="s">
        <v>4379</v>
      </c>
      <c r="N40" s="305">
        <f t="shared" si="3"/>
        <v>30</v>
      </c>
      <c r="O40" s="305" t="s">
        <v>280</v>
      </c>
      <c r="P40" s="420" t="s">
        <v>4380</v>
      </c>
      <c r="Q40" s="305">
        <f t="shared" si="4"/>
        <v>3000000</v>
      </c>
      <c r="R40" s="305" t="s">
        <v>280</v>
      </c>
      <c r="S40" s="419" t="s">
        <v>4376</v>
      </c>
      <c r="T40" s="416" t="s">
        <v>2359</v>
      </c>
      <c r="U40" s="305">
        <f t="shared" si="5"/>
        <v>2900000</v>
      </c>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row>
    <row r="41" spans="1:145" ht="15.75" customHeight="1" x14ac:dyDescent="0.15">
      <c r="A41" s="413" t="str">
        <f t="shared" si="2"/>
        <v>total_points level 31</v>
      </c>
      <c r="B41" s="413"/>
      <c r="C41" s="413">
        <v>31</v>
      </c>
      <c r="D41" s="413"/>
      <c r="E41" s="413"/>
      <c r="F41" s="413"/>
      <c r="G41" s="413"/>
      <c r="H41" s="414">
        <v>3000000</v>
      </c>
      <c r="I41" s="413" t="str">
        <f ca="1">IFERROR(__xludf.DUMMYFUNCTION("TRANSPOSE( FILTER( 'TitleData rewards.items'!$J$8:$J61 , 'TitleData rewards.items'!$GM$8:$GM61 = $M41&amp;"":""&amp;$N41 ) ) "),"#N/A")</f>
        <v>#N/A</v>
      </c>
      <c r="J41" s="305"/>
      <c r="K41" s="305"/>
      <c r="L41" s="415" t="s">
        <v>322</v>
      </c>
      <c r="M41" s="416" t="s">
        <v>4379</v>
      </c>
      <c r="N41" s="305">
        <f t="shared" si="3"/>
        <v>31</v>
      </c>
      <c r="O41" s="305" t="s">
        <v>280</v>
      </c>
      <c r="P41" s="420" t="s">
        <v>4380</v>
      </c>
      <c r="Q41" s="305">
        <f t="shared" si="4"/>
        <v>3100000</v>
      </c>
      <c r="R41" s="305" t="s">
        <v>280</v>
      </c>
      <c r="S41" s="419" t="s">
        <v>4376</v>
      </c>
      <c r="T41" s="416" t="s">
        <v>2359</v>
      </c>
      <c r="U41" s="305">
        <f t="shared" si="5"/>
        <v>3000000</v>
      </c>
      <c r="V41" s="305"/>
      <c r="W41" s="305"/>
      <c r="X41" s="305"/>
      <c r="Y41" s="305"/>
      <c r="Z41" s="305"/>
      <c r="AA41" s="305"/>
      <c r="AB41" s="305"/>
      <c r="AC41" s="305"/>
      <c r="AD41" s="305"/>
      <c r="AE41" s="305"/>
      <c r="AF41" s="305"/>
      <c r="AG41" s="305"/>
      <c r="AH41" s="305"/>
      <c r="AI41" s="305"/>
      <c r="AJ41" s="305"/>
      <c r="AK41" s="305"/>
      <c r="AL41" s="305"/>
      <c r="AM41" s="305"/>
      <c r="AN41" s="305"/>
      <c r="AO41" s="305"/>
      <c r="AP41" s="305"/>
      <c r="AQ41" s="305"/>
      <c r="AR41" s="305"/>
      <c r="AS41" s="305"/>
      <c r="AT41" s="305"/>
      <c r="AU41" s="305"/>
      <c r="AV41" s="305"/>
      <c r="AW41" s="305"/>
      <c r="AX41" s="305"/>
      <c r="AY41" s="305"/>
      <c r="AZ41" s="305"/>
      <c r="BA41" s="305"/>
      <c r="BB41" s="305"/>
      <c r="BC41" s="305"/>
      <c r="BD41" s="305"/>
      <c r="BE41" s="305"/>
      <c r="BF41" s="305"/>
      <c r="BG41" s="305"/>
      <c r="BH41" s="305"/>
      <c r="BI41" s="305"/>
      <c r="BJ41" s="305"/>
      <c r="BK41" s="305"/>
      <c r="BL41" s="305"/>
      <c r="BM41" s="305"/>
      <c r="BN41" s="305"/>
      <c r="BO41" s="305"/>
      <c r="BP41" s="305"/>
      <c r="BQ41" s="305"/>
      <c r="BR41" s="305"/>
      <c r="BS41" s="305"/>
      <c r="BT41" s="305"/>
      <c r="BU41" s="305"/>
      <c r="BV41" s="305"/>
      <c r="BW41" s="305"/>
      <c r="BX41" s="305"/>
      <c r="BY41" s="305"/>
      <c r="BZ41" s="305"/>
      <c r="CA41" s="305"/>
      <c r="CB41" s="305"/>
      <c r="CC41" s="305"/>
      <c r="CD41" s="305"/>
      <c r="CE41" s="305"/>
      <c r="CF41" s="305"/>
      <c r="CG41" s="305"/>
      <c r="CH41" s="305"/>
      <c r="CI41" s="305"/>
      <c r="CJ41" s="305"/>
      <c r="CK41" s="305"/>
      <c r="CL41" s="305"/>
      <c r="CM41" s="305"/>
      <c r="CN41" s="305"/>
      <c r="CO41" s="305"/>
      <c r="CP41" s="305"/>
      <c r="CQ41" s="305"/>
      <c r="CR41" s="305"/>
      <c r="CS41" s="305"/>
      <c r="CT41" s="305"/>
      <c r="CU41" s="305"/>
      <c r="CV41" s="305"/>
      <c r="CW41" s="305"/>
      <c r="CX41" s="305"/>
      <c r="CY41" s="305"/>
      <c r="CZ41" s="305"/>
      <c r="DA41" s="305"/>
      <c r="DB41" s="305"/>
      <c r="DC41" s="305"/>
      <c r="DD41" s="305"/>
      <c r="DE41" s="305"/>
      <c r="DF41" s="305"/>
      <c r="DG41" s="305"/>
      <c r="DH41" s="305"/>
      <c r="DI41" s="305"/>
      <c r="DJ41" s="305"/>
      <c r="DK41" s="305"/>
      <c r="DL41" s="305"/>
      <c r="DM41" s="305"/>
      <c r="DN41" s="305"/>
      <c r="DO41" s="305"/>
      <c r="DP41" s="305"/>
      <c r="DQ41" s="305"/>
      <c r="DR41" s="305"/>
      <c r="DS41" s="305"/>
      <c r="DT41" s="305"/>
      <c r="DU41" s="305"/>
      <c r="DV41" s="305"/>
      <c r="DW41" s="305"/>
      <c r="DX41" s="305"/>
      <c r="DY41" s="305"/>
      <c r="DZ41" s="305"/>
      <c r="EA41" s="305"/>
      <c r="EB41" s="305"/>
      <c r="EC41" s="305"/>
      <c r="ED41" s="305"/>
      <c r="EE41" s="305"/>
      <c r="EF41" s="305"/>
      <c r="EG41" s="305"/>
      <c r="EH41" s="305"/>
      <c r="EI41" s="305"/>
      <c r="EJ41" s="305"/>
      <c r="EK41" s="305"/>
      <c r="EL41" s="305"/>
      <c r="EM41" s="305"/>
      <c r="EN41" s="305"/>
      <c r="EO41" s="305"/>
    </row>
    <row r="42" spans="1:145" ht="15.75" customHeight="1" x14ac:dyDescent="0.15">
      <c r="A42" s="413" t="str">
        <f t="shared" si="2"/>
        <v>total_points level 32</v>
      </c>
      <c r="B42" s="413"/>
      <c r="C42" s="413">
        <v>32</v>
      </c>
      <c r="D42" s="413"/>
      <c r="E42" s="413"/>
      <c r="F42" s="413"/>
      <c r="G42" s="413"/>
      <c r="H42" s="414">
        <v>3100000</v>
      </c>
      <c r="I42" s="413" t="str">
        <f ca="1">IFERROR(__xludf.DUMMYFUNCTION("TRANSPOSE( FILTER( 'TitleData rewards.items'!$J$8:$J61 , 'TitleData rewards.items'!$GM$8:$GM61 = $M42&amp;"":""&amp;$N42 ) ) "),"#N/A")</f>
        <v>#N/A</v>
      </c>
      <c r="J42" s="305"/>
      <c r="K42" s="305"/>
      <c r="L42" s="415" t="s">
        <v>322</v>
      </c>
      <c r="M42" s="416" t="s">
        <v>4379</v>
      </c>
      <c r="N42" s="305">
        <f t="shared" si="3"/>
        <v>32</v>
      </c>
      <c r="O42" s="305" t="s">
        <v>280</v>
      </c>
      <c r="P42" s="420" t="s">
        <v>4380</v>
      </c>
      <c r="Q42" s="305">
        <f t="shared" si="4"/>
        <v>3200000</v>
      </c>
      <c r="R42" s="305" t="s">
        <v>280</v>
      </c>
      <c r="S42" s="419" t="s">
        <v>4376</v>
      </c>
      <c r="T42" s="416" t="s">
        <v>2359</v>
      </c>
      <c r="U42" s="305">
        <f t="shared" si="5"/>
        <v>3100000</v>
      </c>
      <c r="V42" s="305"/>
      <c r="W42" s="305"/>
      <c r="X42" s="305"/>
      <c r="Y42" s="305"/>
      <c r="Z42" s="305"/>
      <c r="AA42" s="305"/>
      <c r="AB42" s="305"/>
      <c r="AC42" s="305"/>
      <c r="AD42" s="305"/>
      <c r="AE42" s="305"/>
      <c r="AF42" s="305"/>
      <c r="AG42" s="305"/>
      <c r="AH42" s="305"/>
      <c r="AI42" s="305"/>
      <c r="AJ42" s="305"/>
      <c r="AK42" s="305"/>
      <c r="AL42" s="305"/>
      <c r="AM42" s="305"/>
      <c r="AN42" s="305"/>
      <c r="AO42" s="305"/>
      <c r="AP42" s="305"/>
      <c r="AQ42" s="305"/>
      <c r="AR42" s="305"/>
      <c r="AS42" s="305"/>
      <c r="AT42" s="305"/>
      <c r="AU42" s="305"/>
      <c r="AV42" s="305"/>
      <c r="AW42" s="305"/>
      <c r="AX42" s="305"/>
      <c r="AY42" s="305"/>
      <c r="AZ42" s="305"/>
      <c r="BA42" s="305"/>
      <c r="BB42" s="305"/>
      <c r="BC42" s="305"/>
      <c r="BD42" s="305"/>
      <c r="BE42" s="305"/>
      <c r="BF42" s="305"/>
      <c r="BG42" s="305"/>
      <c r="BH42" s="305"/>
      <c r="BI42" s="305"/>
      <c r="BJ42" s="305"/>
      <c r="BK42" s="305"/>
      <c r="BL42" s="305"/>
      <c r="BM42" s="305"/>
      <c r="BN42" s="305"/>
      <c r="BO42" s="305"/>
      <c r="BP42" s="305"/>
      <c r="BQ42" s="305"/>
      <c r="BR42" s="305"/>
      <c r="BS42" s="305"/>
      <c r="BT42" s="305"/>
      <c r="BU42" s="305"/>
      <c r="BV42" s="305"/>
      <c r="BW42" s="305"/>
      <c r="BX42" s="305"/>
      <c r="BY42" s="305"/>
      <c r="BZ42" s="305"/>
      <c r="CA42" s="305"/>
      <c r="CB42" s="305"/>
      <c r="CC42" s="305"/>
      <c r="CD42" s="305"/>
      <c r="CE42" s="305"/>
      <c r="CF42" s="305"/>
      <c r="CG42" s="305"/>
      <c r="CH42" s="305"/>
      <c r="CI42" s="305"/>
      <c r="CJ42" s="305"/>
      <c r="CK42" s="305"/>
      <c r="CL42" s="305"/>
      <c r="CM42" s="305"/>
      <c r="CN42" s="305"/>
      <c r="CO42" s="305"/>
      <c r="CP42" s="305"/>
      <c r="CQ42" s="305"/>
      <c r="CR42" s="305"/>
      <c r="CS42" s="305"/>
      <c r="CT42" s="305"/>
      <c r="CU42" s="305"/>
      <c r="CV42" s="305"/>
      <c r="CW42" s="305"/>
      <c r="CX42" s="305"/>
      <c r="CY42" s="305"/>
      <c r="CZ42" s="305"/>
      <c r="DA42" s="305"/>
      <c r="DB42" s="305"/>
      <c r="DC42" s="305"/>
      <c r="DD42" s="305"/>
      <c r="DE42" s="305"/>
      <c r="DF42" s="305"/>
      <c r="DG42" s="305"/>
      <c r="DH42" s="305"/>
      <c r="DI42" s="305"/>
      <c r="DJ42" s="305"/>
      <c r="DK42" s="305"/>
      <c r="DL42" s="305"/>
      <c r="DM42" s="305"/>
      <c r="DN42" s="305"/>
      <c r="DO42" s="305"/>
      <c r="DP42" s="305"/>
      <c r="DQ42" s="305"/>
      <c r="DR42" s="305"/>
      <c r="DS42" s="305"/>
      <c r="DT42" s="305"/>
      <c r="DU42" s="305"/>
      <c r="DV42" s="305"/>
      <c r="DW42" s="305"/>
      <c r="DX42" s="305"/>
      <c r="DY42" s="305"/>
      <c r="DZ42" s="305"/>
      <c r="EA42" s="305"/>
      <c r="EB42" s="305"/>
      <c r="EC42" s="305"/>
      <c r="ED42" s="305"/>
      <c r="EE42" s="305"/>
      <c r="EF42" s="305"/>
      <c r="EG42" s="305"/>
      <c r="EH42" s="305"/>
      <c r="EI42" s="305"/>
      <c r="EJ42" s="305"/>
      <c r="EK42" s="305"/>
      <c r="EL42" s="305"/>
      <c r="EM42" s="305"/>
      <c r="EN42" s="305"/>
      <c r="EO42" s="305"/>
    </row>
    <row r="43" spans="1:145" ht="15.75" customHeight="1" x14ac:dyDescent="0.15">
      <c r="A43" s="413" t="str">
        <f t="shared" si="2"/>
        <v>total_points level 33</v>
      </c>
      <c r="B43" s="413"/>
      <c r="C43" s="413">
        <v>33</v>
      </c>
      <c r="D43" s="413"/>
      <c r="E43" s="413"/>
      <c r="F43" s="413"/>
      <c r="G43" s="413"/>
      <c r="H43" s="414">
        <v>3200000</v>
      </c>
      <c r="I43" s="413" t="str">
        <f ca="1">IFERROR(__xludf.DUMMYFUNCTION("TRANSPOSE( FILTER( 'TitleData rewards.items'!$J$8:$J61 , 'TitleData rewards.items'!$GM$8:$GM61 = $M43&amp;"":""&amp;$N43 ) ) "),"#N/A")</f>
        <v>#N/A</v>
      </c>
      <c r="J43" s="305"/>
      <c r="K43" s="305"/>
      <c r="L43" s="415" t="s">
        <v>322</v>
      </c>
      <c r="M43" s="416" t="s">
        <v>4379</v>
      </c>
      <c r="N43" s="305">
        <f t="shared" si="3"/>
        <v>33</v>
      </c>
      <c r="O43" s="305" t="s">
        <v>280</v>
      </c>
      <c r="P43" s="420" t="s">
        <v>4380</v>
      </c>
      <c r="Q43" s="305">
        <f t="shared" si="4"/>
        <v>3300000</v>
      </c>
      <c r="R43" s="305" t="s">
        <v>280</v>
      </c>
      <c r="S43" s="419" t="s">
        <v>4376</v>
      </c>
      <c r="T43" s="416" t="s">
        <v>2359</v>
      </c>
      <c r="U43" s="305">
        <f t="shared" si="5"/>
        <v>3200000</v>
      </c>
      <c r="V43" s="305"/>
      <c r="W43" s="305"/>
      <c r="X43" s="305"/>
      <c r="Y43" s="305"/>
      <c r="Z43" s="305"/>
      <c r="AA43" s="305"/>
      <c r="AB43" s="305"/>
      <c r="AC43" s="305"/>
      <c r="AD43" s="305"/>
      <c r="AE43" s="305"/>
      <c r="AF43" s="305"/>
      <c r="AG43" s="305"/>
      <c r="AH43" s="305"/>
      <c r="AI43" s="305"/>
      <c r="AJ43" s="305"/>
      <c r="AK43" s="305"/>
      <c r="AL43" s="305"/>
      <c r="AM43" s="305"/>
      <c r="AN43" s="305"/>
      <c r="AO43" s="305"/>
      <c r="AP43" s="305"/>
      <c r="AQ43" s="305"/>
      <c r="AR43" s="305"/>
      <c r="AS43" s="305"/>
      <c r="AT43" s="305"/>
      <c r="AU43" s="305"/>
      <c r="AV43" s="305"/>
      <c r="AW43" s="305"/>
      <c r="AX43" s="305"/>
      <c r="AY43" s="305"/>
      <c r="AZ43" s="305"/>
      <c r="BA43" s="305"/>
      <c r="BB43" s="305"/>
      <c r="BC43" s="305"/>
      <c r="BD43" s="305"/>
      <c r="BE43" s="305"/>
      <c r="BF43" s="305"/>
      <c r="BG43" s="305"/>
      <c r="BH43" s="305"/>
      <c r="BI43" s="305"/>
      <c r="BJ43" s="305"/>
      <c r="BK43" s="305"/>
      <c r="BL43" s="305"/>
      <c r="BM43" s="305"/>
      <c r="BN43" s="305"/>
      <c r="BO43" s="305"/>
      <c r="BP43" s="305"/>
      <c r="BQ43" s="305"/>
      <c r="BR43" s="305"/>
      <c r="BS43" s="305"/>
      <c r="BT43" s="305"/>
      <c r="BU43" s="305"/>
      <c r="BV43" s="305"/>
      <c r="BW43" s="305"/>
      <c r="BX43" s="305"/>
      <c r="BY43" s="305"/>
      <c r="BZ43" s="305"/>
      <c r="CA43" s="305"/>
      <c r="CB43" s="305"/>
      <c r="CC43" s="305"/>
      <c r="CD43" s="305"/>
      <c r="CE43" s="305"/>
      <c r="CF43" s="305"/>
      <c r="CG43" s="305"/>
      <c r="CH43" s="305"/>
      <c r="CI43" s="305"/>
      <c r="CJ43" s="305"/>
      <c r="CK43" s="305"/>
      <c r="CL43" s="305"/>
      <c r="CM43" s="305"/>
      <c r="CN43" s="305"/>
      <c r="CO43" s="305"/>
      <c r="CP43" s="305"/>
      <c r="CQ43" s="305"/>
      <c r="CR43" s="305"/>
      <c r="CS43" s="305"/>
      <c r="CT43" s="305"/>
      <c r="CU43" s="305"/>
      <c r="CV43" s="305"/>
      <c r="CW43" s="305"/>
      <c r="CX43" s="305"/>
      <c r="CY43" s="305"/>
      <c r="CZ43" s="305"/>
      <c r="DA43" s="305"/>
      <c r="DB43" s="305"/>
      <c r="DC43" s="305"/>
      <c r="DD43" s="305"/>
      <c r="DE43" s="305"/>
      <c r="DF43" s="305"/>
      <c r="DG43" s="305"/>
      <c r="DH43" s="305"/>
      <c r="DI43" s="305"/>
      <c r="DJ43" s="305"/>
      <c r="DK43" s="305"/>
      <c r="DL43" s="305"/>
      <c r="DM43" s="305"/>
      <c r="DN43" s="305"/>
      <c r="DO43" s="305"/>
      <c r="DP43" s="305"/>
      <c r="DQ43" s="305"/>
      <c r="DR43" s="305"/>
      <c r="DS43" s="305"/>
      <c r="DT43" s="305"/>
      <c r="DU43" s="305"/>
      <c r="DV43" s="305"/>
      <c r="DW43" s="305"/>
      <c r="DX43" s="305"/>
      <c r="DY43" s="305"/>
      <c r="DZ43" s="305"/>
      <c r="EA43" s="305"/>
      <c r="EB43" s="305"/>
      <c r="EC43" s="305"/>
      <c r="ED43" s="305"/>
      <c r="EE43" s="305"/>
      <c r="EF43" s="305"/>
      <c r="EG43" s="305"/>
      <c r="EH43" s="305"/>
      <c r="EI43" s="305"/>
      <c r="EJ43" s="305"/>
      <c r="EK43" s="305"/>
      <c r="EL43" s="305"/>
      <c r="EM43" s="305"/>
      <c r="EN43" s="305"/>
      <c r="EO43" s="305"/>
    </row>
    <row r="44" spans="1:145" ht="15.75" customHeight="1" x14ac:dyDescent="0.15">
      <c r="A44" s="413" t="str">
        <f t="shared" si="2"/>
        <v>total_points level 34</v>
      </c>
      <c r="B44" s="413"/>
      <c r="C44" s="413">
        <v>34</v>
      </c>
      <c r="D44" s="413"/>
      <c r="E44" s="413"/>
      <c r="F44" s="413"/>
      <c r="G44" s="413"/>
      <c r="H44" s="414">
        <v>3300000</v>
      </c>
      <c r="I44" s="413" t="str">
        <f ca="1">IFERROR(__xludf.DUMMYFUNCTION("TRANSPOSE( FILTER( 'TitleData rewards.items'!$J$8:$J61 , 'TitleData rewards.items'!$GM$8:$GM61 = $M44&amp;"":""&amp;$N44 ) ) "),"#N/A")</f>
        <v>#N/A</v>
      </c>
      <c r="J44" s="305"/>
      <c r="K44" s="305"/>
      <c r="L44" s="415" t="s">
        <v>322</v>
      </c>
      <c r="M44" s="416" t="s">
        <v>4379</v>
      </c>
      <c r="N44" s="305">
        <f t="shared" si="3"/>
        <v>34</v>
      </c>
      <c r="O44" s="305" t="s">
        <v>280</v>
      </c>
      <c r="P44" s="420" t="s">
        <v>4380</v>
      </c>
      <c r="Q44" s="305">
        <f t="shared" si="4"/>
        <v>3400000</v>
      </c>
      <c r="R44" s="305" t="s">
        <v>280</v>
      </c>
      <c r="S44" s="419" t="s">
        <v>4376</v>
      </c>
      <c r="T44" s="416" t="s">
        <v>2359</v>
      </c>
      <c r="U44" s="305">
        <f t="shared" si="5"/>
        <v>3300000</v>
      </c>
      <c r="V44" s="305"/>
      <c r="W44" s="305"/>
      <c r="X44" s="305"/>
      <c r="Y44" s="305"/>
      <c r="Z44" s="305"/>
      <c r="AA44" s="305"/>
      <c r="AB44" s="305"/>
      <c r="AC44" s="305"/>
      <c r="AD44" s="305"/>
      <c r="AE44" s="305"/>
      <c r="AF44" s="305"/>
      <c r="AG44" s="305"/>
      <c r="AH44" s="305"/>
      <c r="AI44" s="305"/>
      <c r="AJ44" s="305"/>
      <c r="AK44" s="305"/>
      <c r="AL44" s="305"/>
      <c r="AM44" s="305"/>
      <c r="AN44" s="305"/>
      <c r="AO44" s="305"/>
      <c r="AP44" s="305"/>
      <c r="AQ44" s="305"/>
      <c r="AR44" s="305"/>
      <c r="AS44" s="305"/>
      <c r="AT44" s="305"/>
      <c r="AU44" s="305"/>
      <c r="AV44" s="305"/>
      <c r="AW44" s="305"/>
      <c r="AX44" s="305"/>
      <c r="AY44" s="305"/>
      <c r="AZ44" s="305"/>
      <c r="BA44" s="305"/>
      <c r="BB44" s="305"/>
      <c r="BC44" s="305"/>
      <c r="BD44" s="305"/>
      <c r="BE44" s="305"/>
      <c r="BF44" s="305"/>
      <c r="BG44" s="305"/>
      <c r="BH44" s="305"/>
      <c r="BI44" s="305"/>
      <c r="BJ44" s="305"/>
      <c r="BK44" s="305"/>
      <c r="BL44" s="305"/>
      <c r="BM44" s="305"/>
      <c r="BN44" s="305"/>
      <c r="BO44" s="305"/>
      <c r="BP44" s="305"/>
      <c r="BQ44" s="305"/>
      <c r="BR44" s="305"/>
      <c r="BS44" s="305"/>
      <c r="BT44" s="305"/>
      <c r="BU44" s="305"/>
      <c r="BV44" s="305"/>
      <c r="BW44" s="305"/>
      <c r="BX44" s="305"/>
      <c r="BY44" s="305"/>
      <c r="BZ44" s="305"/>
      <c r="CA44" s="305"/>
      <c r="CB44" s="305"/>
      <c r="CC44" s="305"/>
      <c r="CD44" s="305"/>
      <c r="CE44" s="305"/>
      <c r="CF44" s="305"/>
      <c r="CG44" s="305"/>
      <c r="CH44" s="305"/>
      <c r="CI44" s="305"/>
      <c r="CJ44" s="305"/>
      <c r="CK44" s="305"/>
      <c r="CL44" s="305"/>
      <c r="CM44" s="305"/>
      <c r="CN44" s="305"/>
      <c r="CO44" s="305"/>
      <c r="CP44" s="305"/>
      <c r="CQ44" s="305"/>
      <c r="CR44" s="305"/>
      <c r="CS44" s="305"/>
      <c r="CT44" s="305"/>
      <c r="CU44" s="305"/>
      <c r="CV44" s="305"/>
      <c r="CW44" s="305"/>
      <c r="CX44" s="305"/>
      <c r="CY44" s="305"/>
      <c r="CZ44" s="305"/>
      <c r="DA44" s="305"/>
      <c r="DB44" s="305"/>
      <c r="DC44" s="305"/>
      <c r="DD44" s="305"/>
      <c r="DE44" s="305"/>
      <c r="DF44" s="305"/>
      <c r="DG44" s="305"/>
      <c r="DH44" s="305"/>
      <c r="DI44" s="305"/>
      <c r="DJ44" s="305"/>
      <c r="DK44" s="305"/>
      <c r="DL44" s="305"/>
      <c r="DM44" s="305"/>
      <c r="DN44" s="305"/>
      <c r="DO44" s="305"/>
      <c r="DP44" s="305"/>
      <c r="DQ44" s="305"/>
      <c r="DR44" s="305"/>
      <c r="DS44" s="305"/>
      <c r="DT44" s="305"/>
      <c r="DU44" s="305"/>
      <c r="DV44" s="305"/>
      <c r="DW44" s="305"/>
      <c r="DX44" s="305"/>
      <c r="DY44" s="305"/>
      <c r="DZ44" s="305"/>
      <c r="EA44" s="305"/>
      <c r="EB44" s="305"/>
      <c r="EC44" s="305"/>
      <c r="ED44" s="305"/>
      <c r="EE44" s="305"/>
      <c r="EF44" s="305"/>
      <c r="EG44" s="305"/>
      <c r="EH44" s="305"/>
      <c r="EI44" s="305"/>
      <c r="EJ44" s="305"/>
      <c r="EK44" s="305"/>
      <c r="EL44" s="305"/>
      <c r="EM44" s="305"/>
      <c r="EN44" s="305"/>
      <c r="EO44" s="305"/>
    </row>
    <row r="45" spans="1:145" ht="15.75" customHeight="1" x14ac:dyDescent="0.15">
      <c r="A45" s="413" t="str">
        <f t="shared" si="2"/>
        <v>total_points level 35</v>
      </c>
      <c r="B45" s="413"/>
      <c r="C45" s="413">
        <v>35</v>
      </c>
      <c r="D45" s="413"/>
      <c r="E45" s="413"/>
      <c r="F45" s="413"/>
      <c r="G45" s="413"/>
      <c r="H45" s="414">
        <v>3400000</v>
      </c>
      <c r="I45" s="413" t="str">
        <f ca="1">IFERROR(__xludf.DUMMYFUNCTION("TRANSPOSE( FILTER( 'TitleData rewards.items'!$J$8:$J61 , 'TitleData rewards.items'!$GM$8:$GM61 = $M45&amp;"":""&amp;$N45 ) ) "),"#N/A")</f>
        <v>#N/A</v>
      </c>
      <c r="J45" s="305"/>
      <c r="K45" s="305"/>
      <c r="L45" s="415" t="s">
        <v>322</v>
      </c>
      <c r="M45" s="416" t="s">
        <v>4379</v>
      </c>
      <c r="N45" s="305">
        <f t="shared" si="3"/>
        <v>35</v>
      </c>
      <c r="O45" s="305" t="s">
        <v>280</v>
      </c>
      <c r="P45" s="420" t="s">
        <v>4380</v>
      </c>
      <c r="Q45" s="305">
        <f t="shared" si="4"/>
        <v>3500000</v>
      </c>
      <c r="R45" s="305" t="s">
        <v>280</v>
      </c>
      <c r="S45" s="419" t="s">
        <v>4376</v>
      </c>
      <c r="T45" s="416" t="s">
        <v>2359</v>
      </c>
      <c r="U45" s="305">
        <f t="shared" si="5"/>
        <v>3400000</v>
      </c>
      <c r="V45" s="305"/>
      <c r="W45" s="305"/>
      <c r="X45" s="305"/>
      <c r="Y45" s="305"/>
      <c r="Z45" s="305"/>
      <c r="AA45" s="305"/>
      <c r="AB45" s="305"/>
      <c r="AC45" s="305"/>
      <c r="AD45" s="305"/>
      <c r="AE45" s="305"/>
      <c r="AF45" s="305"/>
      <c r="AG45" s="305"/>
      <c r="AH45" s="305"/>
      <c r="AI45" s="305"/>
      <c r="AJ45" s="305"/>
      <c r="AK45" s="305"/>
      <c r="AL45" s="305"/>
      <c r="AM45" s="305"/>
      <c r="AN45" s="305"/>
      <c r="AO45" s="305"/>
      <c r="AP45" s="305"/>
      <c r="AQ45" s="305"/>
      <c r="AR45" s="305"/>
      <c r="AS45" s="305"/>
      <c r="AT45" s="305"/>
      <c r="AU45" s="305"/>
      <c r="AV45" s="305"/>
      <c r="AW45" s="305"/>
      <c r="AX45" s="305"/>
      <c r="AY45" s="305"/>
      <c r="AZ45" s="305"/>
      <c r="BA45" s="305"/>
      <c r="BB45" s="305"/>
      <c r="BC45" s="305"/>
      <c r="BD45" s="305"/>
      <c r="BE45" s="305"/>
      <c r="BF45" s="305"/>
      <c r="BG45" s="305"/>
      <c r="BH45" s="305"/>
      <c r="BI45" s="305"/>
      <c r="BJ45" s="305"/>
      <c r="BK45" s="305"/>
      <c r="BL45" s="305"/>
      <c r="BM45" s="305"/>
      <c r="BN45" s="305"/>
      <c r="BO45" s="305"/>
      <c r="BP45" s="305"/>
      <c r="BQ45" s="305"/>
      <c r="BR45" s="305"/>
      <c r="BS45" s="305"/>
      <c r="BT45" s="305"/>
      <c r="BU45" s="305"/>
      <c r="BV45" s="305"/>
      <c r="BW45" s="305"/>
      <c r="BX45" s="305"/>
      <c r="BY45" s="305"/>
      <c r="BZ45" s="305"/>
      <c r="CA45" s="305"/>
      <c r="CB45" s="305"/>
      <c r="CC45" s="305"/>
      <c r="CD45" s="305"/>
      <c r="CE45" s="305"/>
      <c r="CF45" s="305"/>
      <c r="CG45" s="305"/>
      <c r="CH45" s="305"/>
      <c r="CI45" s="305"/>
      <c r="CJ45" s="305"/>
      <c r="CK45" s="305"/>
      <c r="CL45" s="305"/>
      <c r="CM45" s="305"/>
      <c r="CN45" s="305"/>
      <c r="CO45" s="305"/>
      <c r="CP45" s="305"/>
      <c r="CQ45" s="305"/>
      <c r="CR45" s="305"/>
      <c r="CS45" s="305"/>
      <c r="CT45" s="305"/>
      <c r="CU45" s="305"/>
      <c r="CV45" s="305"/>
      <c r="CW45" s="305"/>
      <c r="CX45" s="305"/>
      <c r="CY45" s="305"/>
      <c r="CZ45" s="305"/>
      <c r="DA45" s="305"/>
      <c r="DB45" s="305"/>
      <c r="DC45" s="305"/>
      <c r="DD45" s="305"/>
      <c r="DE45" s="305"/>
      <c r="DF45" s="305"/>
      <c r="DG45" s="305"/>
      <c r="DH45" s="305"/>
      <c r="DI45" s="305"/>
      <c r="DJ45" s="305"/>
      <c r="DK45" s="305"/>
      <c r="DL45" s="305"/>
      <c r="DM45" s="305"/>
      <c r="DN45" s="305"/>
      <c r="DO45" s="305"/>
      <c r="DP45" s="305"/>
      <c r="DQ45" s="305"/>
      <c r="DR45" s="305"/>
      <c r="DS45" s="305"/>
      <c r="DT45" s="305"/>
      <c r="DU45" s="305"/>
      <c r="DV45" s="305"/>
      <c r="DW45" s="305"/>
      <c r="DX45" s="305"/>
      <c r="DY45" s="305"/>
      <c r="DZ45" s="305"/>
      <c r="EA45" s="305"/>
      <c r="EB45" s="305"/>
      <c r="EC45" s="305"/>
      <c r="ED45" s="305"/>
      <c r="EE45" s="305"/>
      <c r="EF45" s="305"/>
      <c r="EG45" s="305"/>
      <c r="EH45" s="305"/>
      <c r="EI45" s="305"/>
      <c r="EJ45" s="305"/>
      <c r="EK45" s="305"/>
      <c r="EL45" s="305"/>
      <c r="EM45" s="305"/>
      <c r="EN45" s="305"/>
      <c r="EO45" s="305"/>
    </row>
    <row r="46" spans="1:145" ht="15.75" customHeight="1" x14ac:dyDescent="0.15">
      <c r="A46" s="413" t="str">
        <f t="shared" si="2"/>
        <v>total_points level 36</v>
      </c>
      <c r="B46" s="413"/>
      <c r="C46" s="413">
        <v>36</v>
      </c>
      <c r="D46" s="413"/>
      <c r="E46" s="413"/>
      <c r="F46" s="413"/>
      <c r="G46" s="413"/>
      <c r="H46" s="414">
        <v>3500000</v>
      </c>
      <c r="I46" s="413" t="str">
        <f ca="1">IFERROR(__xludf.DUMMYFUNCTION("TRANSPOSE( FILTER( 'TitleData rewards.items'!$J$8:$J61 , 'TitleData rewards.items'!$GM$8:$GM61 = $M46&amp;"":""&amp;$N46 ) ) "),"#N/A")</f>
        <v>#N/A</v>
      </c>
      <c r="J46" s="305"/>
      <c r="K46" s="305"/>
      <c r="L46" s="415" t="s">
        <v>322</v>
      </c>
      <c r="M46" s="416" t="s">
        <v>4379</v>
      </c>
      <c r="N46" s="305">
        <f t="shared" si="3"/>
        <v>36</v>
      </c>
      <c r="O46" s="305" t="s">
        <v>280</v>
      </c>
      <c r="P46" s="420" t="s">
        <v>4380</v>
      </c>
      <c r="Q46" s="305">
        <f t="shared" si="4"/>
        <v>3600000</v>
      </c>
      <c r="R46" s="305" t="s">
        <v>280</v>
      </c>
      <c r="S46" s="419" t="s">
        <v>4376</v>
      </c>
      <c r="T46" s="416" t="s">
        <v>2359</v>
      </c>
      <c r="U46" s="305">
        <f t="shared" si="5"/>
        <v>3500000</v>
      </c>
      <c r="V46" s="305"/>
      <c r="W46" s="305"/>
      <c r="X46" s="305"/>
      <c r="Y46" s="305"/>
      <c r="Z46" s="305"/>
      <c r="AA46" s="305"/>
      <c r="AB46" s="305"/>
      <c r="AC46" s="305"/>
      <c r="AD46" s="305"/>
      <c r="AE46" s="305"/>
      <c r="AF46" s="305"/>
      <c r="AG46" s="305"/>
      <c r="AH46" s="305"/>
      <c r="AI46" s="305"/>
      <c r="AJ46" s="305"/>
      <c r="AK46" s="305"/>
      <c r="AL46" s="305"/>
      <c r="AM46" s="305"/>
      <c r="AN46" s="305"/>
      <c r="AO46" s="305"/>
      <c r="AP46" s="305"/>
      <c r="AQ46" s="305"/>
      <c r="AR46" s="305"/>
      <c r="AS46" s="305"/>
      <c r="AT46" s="305"/>
      <c r="AU46" s="305"/>
      <c r="AV46" s="305"/>
      <c r="AW46" s="305"/>
      <c r="AX46" s="305"/>
      <c r="AY46" s="305"/>
      <c r="AZ46" s="305"/>
      <c r="BA46" s="305"/>
      <c r="BB46" s="305"/>
      <c r="BC46" s="305"/>
      <c r="BD46" s="305"/>
      <c r="BE46" s="305"/>
      <c r="BF46" s="305"/>
      <c r="BG46" s="305"/>
      <c r="BH46" s="305"/>
      <c r="BI46" s="305"/>
      <c r="BJ46" s="305"/>
      <c r="BK46" s="305"/>
      <c r="BL46" s="305"/>
      <c r="BM46" s="305"/>
      <c r="BN46" s="305"/>
      <c r="BO46" s="305"/>
      <c r="BP46" s="305"/>
      <c r="BQ46" s="305"/>
      <c r="BR46" s="305"/>
      <c r="BS46" s="305"/>
      <c r="BT46" s="305"/>
      <c r="BU46" s="305"/>
      <c r="BV46" s="305"/>
      <c r="BW46" s="305"/>
      <c r="BX46" s="305"/>
      <c r="BY46" s="305"/>
      <c r="BZ46" s="305"/>
      <c r="CA46" s="305"/>
      <c r="CB46" s="305"/>
      <c r="CC46" s="305"/>
      <c r="CD46" s="305"/>
      <c r="CE46" s="305"/>
      <c r="CF46" s="305"/>
      <c r="CG46" s="305"/>
      <c r="CH46" s="305"/>
      <c r="CI46" s="305"/>
      <c r="CJ46" s="305"/>
      <c r="CK46" s="305"/>
      <c r="CL46" s="305"/>
      <c r="CM46" s="305"/>
      <c r="CN46" s="305"/>
      <c r="CO46" s="305"/>
      <c r="CP46" s="305"/>
      <c r="CQ46" s="305"/>
      <c r="CR46" s="305"/>
      <c r="CS46" s="305"/>
      <c r="CT46" s="305"/>
      <c r="CU46" s="305"/>
      <c r="CV46" s="305"/>
      <c r="CW46" s="305"/>
      <c r="CX46" s="305"/>
      <c r="CY46" s="305"/>
      <c r="CZ46" s="305"/>
      <c r="DA46" s="305"/>
      <c r="DB46" s="305"/>
      <c r="DC46" s="305"/>
      <c r="DD46" s="305"/>
      <c r="DE46" s="305"/>
      <c r="DF46" s="305"/>
      <c r="DG46" s="305"/>
      <c r="DH46" s="305"/>
      <c r="DI46" s="305"/>
      <c r="DJ46" s="305"/>
      <c r="DK46" s="305"/>
      <c r="DL46" s="305"/>
      <c r="DM46" s="305"/>
      <c r="DN46" s="305"/>
      <c r="DO46" s="305"/>
      <c r="DP46" s="305"/>
      <c r="DQ46" s="305"/>
      <c r="DR46" s="305"/>
      <c r="DS46" s="305"/>
      <c r="DT46" s="305"/>
      <c r="DU46" s="305"/>
      <c r="DV46" s="305"/>
      <c r="DW46" s="305"/>
      <c r="DX46" s="305"/>
      <c r="DY46" s="305"/>
      <c r="DZ46" s="305"/>
      <c r="EA46" s="305"/>
      <c r="EB46" s="305"/>
      <c r="EC46" s="305"/>
      <c r="ED46" s="305"/>
      <c r="EE46" s="305"/>
      <c r="EF46" s="305"/>
      <c r="EG46" s="305"/>
      <c r="EH46" s="305"/>
      <c r="EI46" s="305"/>
      <c r="EJ46" s="305"/>
      <c r="EK46" s="305"/>
      <c r="EL46" s="305"/>
      <c r="EM46" s="305"/>
      <c r="EN46" s="305"/>
      <c r="EO46" s="305"/>
    </row>
    <row r="47" spans="1:145" ht="15.75" customHeight="1" x14ac:dyDescent="0.15">
      <c r="A47" s="413" t="str">
        <f t="shared" si="2"/>
        <v>total_points level 37</v>
      </c>
      <c r="B47" s="413"/>
      <c r="C47" s="413">
        <v>37</v>
      </c>
      <c r="D47" s="413"/>
      <c r="E47" s="413"/>
      <c r="F47" s="413"/>
      <c r="G47" s="413"/>
      <c r="H47" s="414">
        <v>3600000</v>
      </c>
      <c r="I47" s="413" t="str">
        <f ca="1">IFERROR(__xludf.DUMMYFUNCTION("TRANSPOSE( FILTER( 'TitleData rewards.items'!$J$8:$J61 , 'TitleData rewards.items'!$GM$8:$GM61 = $M47&amp;"":""&amp;$N47 ) ) "),"#N/A")</f>
        <v>#N/A</v>
      </c>
      <c r="J47" s="305"/>
      <c r="K47" s="305"/>
      <c r="L47" s="415" t="s">
        <v>322</v>
      </c>
      <c r="M47" s="416" t="s">
        <v>4379</v>
      </c>
      <c r="N47" s="305">
        <f t="shared" si="3"/>
        <v>37</v>
      </c>
      <c r="O47" s="305" t="s">
        <v>280</v>
      </c>
      <c r="P47" s="420" t="s">
        <v>4380</v>
      </c>
      <c r="Q47" s="305">
        <f t="shared" si="4"/>
        <v>3700000</v>
      </c>
      <c r="R47" s="305" t="s">
        <v>280</v>
      </c>
      <c r="S47" s="419" t="s">
        <v>4376</v>
      </c>
      <c r="T47" s="416" t="s">
        <v>2359</v>
      </c>
      <c r="U47" s="305">
        <f t="shared" si="5"/>
        <v>3600000</v>
      </c>
      <c r="V47" s="305"/>
      <c r="W47" s="305"/>
      <c r="X47" s="305"/>
      <c r="Y47" s="305"/>
      <c r="Z47" s="305"/>
      <c r="AA47" s="305"/>
      <c r="AB47" s="305"/>
      <c r="AC47" s="305"/>
      <c r="AD47" s="305"/>
      <c r="AE47" s="305"/>
      <c r="AF47" s="305"/>
      <c r="AG47" s="305"/>
      <c r="AH47" s="305"/>
      <c r="AI47" s="305"/>
      <c r="AJ47" s="305"/>
      <c r="AK47" s="305"/>
      <c r="AL47" s="305"/>
      <c r="AM47" s="305"/>
      <c r="AN47" s="305"/>
      <c r="AO47" s="305"/>
      <c r="AP47" s="305"/>
      <c r="AQ47" s="305"/>
      <c r="AR47" s="305"/>
      <c r="AS47" s="305"/>
      <c r="AT47" s="305"/>
      <c r="AU47" s="305"/>
      <c r="AV47" s="305"/>
      <c r="AW47" s="305"/>
      <c r="AX47" s="305"/>
      <c r="AY47" s="305"/>
      <c r="AZ47" s="305"/>
      <c r="BA47" s="305"/>
      <c r="BB47" s="305"/>
      <c r="BC47" s="305"/>
      <c r="BD47" s="305"/>
      <c r="BE47" s="305"/>
      <c r="BF47" s="305"/>
      <c r="BG47" s="305"/>
      <c r="BH47" s="305"/>
      <c r="BI47" s="305"/>
      <c r="BJ47" s="305"/>
      <c r="BK47" s="305"/>
      <c r="BL47" s="305"/>
      <c r="BM47" s="305"/>
      <c r="BN47" s="305"/>
      <c r="BO47" s="305"/>
      <c r="BP47" s="305"/>
      <c r="BQ47" s="305"/>
      <c r="BR47" s="305"/>
      <c r="BS47" s="305"/>
      <c r="BT47" s="305"/>
      <c r="BU47" s="305"/>
      <c r="BV47" s="305"/>
      <c r="BW47" s="305"/>
      <c r="BX47" s="305"/>
      <c r="BY47" s="305"/>
      <c r="BZ47" s="305"/>
      <c r="CA47" s="305"/>
      <c r="CB47" s="305"/>
      <c r="CC47" s="305"/>
      <c r="CD47" s="305"/>
      <c r="CE47" s="305"/>
      <c r="CF47" s="305"/>
      <c r="CG47" s="305"/>
      <c r="CH47" s="305"/>
      <c r="CI47" s="305"/>
      <c r="CJ47" s="305"/>
      <c r="CK47" s="305"/>
      <c r="CL47" s="305"/>
      <c r="CM47" s="305"/>
      <c r="CN47" s="305"/>
      <c r="CO47" s="305"/>
      <c r="CP47" s="305"/>
      <c r="CQ47" s="305"/>
      <c r="CR47" s="305"/>
      <c r="CS47" s="305"/>
      <c r="CT47" s="305"/>
      <c r="CU47" s="305"/>
      <c r="CV47" s="305"/>
      <c r="CW47" s="305"/>
      <c r="CX47" s="305"/>
      <c r="CY47" s="305"/>
      <c r="CZ47" s="305"/>
      <c r="DA47" s="305"/>
      <c r="DB47" s="305"/>
      <c r="DC47" s="305"/>
      <c r="DD47" s="305"/>
      <c r="DE47" s="305"/>
      <c r="DF47" s="305"/>
      <c r="DG47" s="305"/>
      <c r="DH47" s="305"/>
      <c r="DI47" s="305"/>
      <c r="DJ47" s="305"/>
      <c r="DK47" s="305"/>
      <c r="DL47" s="305"/>
      <c r="DM47" s="305"/>
      <c r="DN47" s="305"/>
      <c r="DO47" s="305"/>
      <c r="DP47" s="305"/>
      <c r="DQ47" s="305"/>
      <c r="DR47" s="305"/>
      <c r="DS47" s="305"/>
      <c r="DT47" s="305"/>
      <c r="DU47" s="305"/>
      <c r="DV47" s="305"/>
      <c r="DW47" s="305"/>
      <c r="DX47" s="305"/>
      <c r="DY47" s="305"/>
      <c r="DZ47" s="305"/>
      <c r="EA47" s="305"/>
      <c r="EB47" s="305"/>
      <c r="EC47" s="305"/>
      <c r="ED47" s="305"/>
      <c r="EE47" s="305"/>
      <c r="EF47" s="305"/>
      <c r="EG47" s="305"/>
      <c r="EH47" s="305"/>
      <c r="EI47" s="305"/>
      <c r="EJ47" s="305"/>
      <c r="EK47" s="305"/>
      <c r="EL47" s="305"/>
      <c r="EM47" s="305"/>
      <c r="EN47" s="305"/>
      <c r="EO47" s="305"/>
    </row>
    <row r="48" spans="1:145" ht="15.75" customHeight="1" x14ac:dyDescent="0.15">
      <c r="A48" s="413" t="str">
        <f t="shared" si="2"/>
        <v>total_points level 38</v>
      </c>
      <c r="B48" s="413"/>
      <c r="C48" s="413">
        <v>38</v>
      </c>
      <c r="D48" s="413"/>
      <c r="E48" s="413"/>
      <c r="F48" s="413"/>
      <c r="G48" s="413"/>
      <c r="H48" s="414">
        <v>3700000</v>
      </c>
      <c r="I48" s="413" t="str">
        <f ca="1">IFERROR(__xludf.DUMMYFUNCTION("TRANSPOSE( FILTER( 'TitleData rewards.items'!$J$8:$J61 , 'TitleData rewards.items'!$GM$8:$GM61 = $M48&amp;"":""&amp;$N48 ) ) "),"#N/A")</f>
        <v>#N/A</v>
      </c>
      <c r="J48" s="305"/>
      <c r="K48" s="305"/>
      <c r="L48" s="415" t="s">
        <v>322</v>
      </c>
      <c r="M48" s="416" t="s">
        <v>4379</v>
      </c>
      <c r="N48" s="305">
        <f t="shared" si="3"/>
        <v>38</v>
      </c>
      <c r="O48" s="305" t="s">
        <v>280</v>
      </c>
      <c r="P48" s="420" t="s">
        <v>4380</v>
      </c>
      <c r="Q48" s="305">
        <f t="shared" si="4"/>
        <v>3800000</v>
      </c>
      <c r="R48" s="305" t="s">
        <v>280</v>
      </c>
      <c r="S48" s="419" t="s">
        <v>4376</v>
      </c>
      <c r="T48" s="416" t="s">
        <v>2359</v>
      </c>
      <c r="U48" s="305">
        <f t="shared" si="5"/>
        <v>3700000</v>
      </c>
      <c r="V48" s="305"/>
      <c r="W48" s="305"/>
      <c r="X48" s="305"/>
      <c r="Y48" s="305"/>
      <c r="Z48" s="305"/>
      <c r="AA48" s="305"/>
      <c r="AB48" s="305"/>
      <c r="AC48" s="305"/>
      <c r="AD48" s="305"/>
      <c r="AE48" s="305"/>
      <c r="AF48" s="305"/>
      <c r="AG48" s="305"/>
      <c r="AH48" s="305"/>
      <c r="AI48" s="305"/>
      <c r="AJ48" s="305"/>
      <c r="AK48" s="305"/>
      <c r="AL48" s="305"/>
      <c r="AM48" s="305"/>
      <c r="AN48" s="305"/>
      <c r="AO48" s="305"/>
      <c r="AP48" s="305"/>
      <c r="AQ48" s="305"/>
      <c r="AR48" s="305"/>
      <c r="AS48" s="305"/>
      <c r="AT48" s="305"/>
      <c r="AU48" s="305"/>
      <c r="AV48" s="305"/>
      <c r="AW48" s="305"/>
      <c r="AX48" s="305"/>
      <c r="AY48" s="305"/>
      <c r="AZ48" s="305"/>
      <c r="BA48" s="305"/>
      <c r="BB48" s="305"/>
      <c r="BC48" s="305"/>
      <c r="BD48" s="305"/>
      <c r="BE48" s="305"/>
      <c r="BF48" s="305"/>
      <c r="BG48" s="305"/>
      <c r="BH48" s="305"/>
      <c r="BI48" s="305"/>
      <c r="BJ48" s="305"/>
      <c r="BK48" s="305"/>
      <c r="BL48" s="305"/>
      <c r="BM48" s="305"/>
      <c r="BN48" s="305"/>
      <c r="BO48" s="305"/>
      <c r="BP48" s="305"/>
      <c r="BQ48" s="305"/>
      <c r="BR48" s="305"/>
      <c r="BS48" s="305"/>
      <c r="BT48" s="305"/>
      <c r="BU48" s="305"/>
      <c r="BV48" s="305"/>
      <c r="BW48" s="305"/>
      <c r="BX48" s="305"/>
      <c r="BY48" s="305"/>
      <c r="BZ48" s="305"/>
      <c r="CA48" s="305"/>
      <c r="CB48" s="305"/>
      <c r="CC48" s="305"/>
      <c r="CD48" s="305"/>
      <c r="CE48" s="305"/>
      <c r="CF48" s="305"/>
      <c r="CG48" s="305"/>
      <c r="CH48" s="305"/>
      <c r="CI48" s="305"/>
      <c r="CJ48" s="305"/>
      <c r="CK48" s="305"/>
      <c r="CL48" s="305"/>
      <c r="CM48" s="305"/>
      <c r="CN48" s="305"/>
      <c r="CO48" s="305"/>
      <c r="CP48" s="305"/>
      <c r="CQ48" s="305"/>
      <c r="CR48" s="305"/>
      <c r="CS48" s="305"/>
      <c r="CT48" s="305"/>
      <c r="CU48" s="305"/>
      <c r="CV48" s="305"/>
      <c r="CW48" s="305"/>
      <c r="CX48" s="305"/>
      <c r="CY48" s="305"/>
      <c r="CZ48" s="305"/>
      <c r="DA48" s="305"/>
      <c r="DB48" s="305"/>
      <c r="DC48" s="305"/>
      <c r="DD48" s="305"/>
      <c r="DE48" s="305"/>
      <c r="DF48" s="305"/>
      <c r="DG48" s="305"/>
      <c r="DH48" s="305"/>
      <c r="DI48" s="305"/>
      <c r="DJ48" s="305"/>
      <c r="DK48" s="305"/>
      <c r="DL48" s="305"/>
      <c r="DM48" s="305"/>
      <c r="DN48" s="305"/>
      <c r="DO48" s="305"/>
      <c r="DP48" s="305"/>
      <c r="DQ48" s="305"/>
      <c r="DR48" s="305"/>
      <c r="DS48" s="305"/>
      <c r="DT48" s="305"/>
      <c r="DU48" s="305"/>
      <c r="DV48" s="305"/>
      <c r="DW48" s="305"/>
      <c r="DX48" s="305"/>
      <c r="DY48" s="305"/>
      <c r="DZ48" s="305"/>
      <c r="EA48" s="305"/>
      <c r="EB48" s="305"/>
      <c r="EC48" s="305"/>
      <c r="ED48" s="305"/>
      <c r="EE48" s="305"/>
      <c r="EF48" s="305"/>
      <c r="EG48" s="305"/>
      <c r="EH48" s="305"/>
      <c r="EI48" s="305"/>
      <c r="EJ48" s="305"/>
      <c r="EK48" s="305"/>
      <c r="EL48" s="305"/>
      <c r="EM48" s="305"/>
      <c r="EN48" s="305"/>
      <c r="EO48" s="305"/>
    </row>
    <row r="49" spans="1:145" ht="15.75" customHeight="1" x14ac:dyDescent="0.15">
      <c r="A49" s="413" t="str">
        <f t="shared" si="2"/>
        <v>total_points level 39</v>
      </c>
      <c r="B49" s="413"/>
      <c r="C49" s="413">
        <v>39</v>
      </c>
      <c r="D49" s="413"/>
      <c r="E49" s="413"/>
      <c r="F49" s="413"/>
      <c r="G49" s="413"/>
      <c r="H49" s="414">
        <v>3800000</v>
      </c>
      <c r="I49" s="413" t="str">
        <f ca="1">IFERROR(__xludf.DUMMYFUNCTION("TRANSPOSE( FILTER( 'TitleData rewards.items'!$J$8:$J61 , 'TitleData rewards.items'!$GM$8:$GM61 = $M49&amp;"":""&amp;$N49 ) ) "),"#N/A")</f>
        <v>#N/A</v>
      </c>
      <c r="J49" s="305"/>
      <c r="K49" s="305"/>
      <c r="L49" s="415" t="s">
        <v>322</v>
      </c>
      <c r="M49" s="416" t="s">
        <v>4379</v>
      </c>
      <c r="N49" s="305">
        <f t="shared" si="3"/>
        <v>39</v>
      </c>
      <c r="O49" s="305" t="s">
        <v>280</v>
      </c>
      <c r="P49" s="420" t="s">
        <v>4380</v>
      </c>
      <c r="Q49" s="305">
        <f t="shared" si="4"/>
        <v>3900000</v>
      </c>
      <c r="R49" s="305" t="s">
        <v>280</v>
      </c>
      <c r="S49" s="419" t="s">
        <v>4376</v>
      </c>
      <c r="T49" s="416" t="s">
        <v>2359</v>
      </c>
      <c r="U49" s="305">
        <f t="shared" si="5"/>
        <v>3800000</v>
      </c>
      <c r="V49" s="305"/>
      <c r="W49" s="305"/>
      <c r="X49" s="305"/>
      <c r="Y49" s="305"/>
      <c r="Z49" s="305"/>
      <c r="AA49" s="305"/>
      <c r="AB49" s="305"/>
      <c r="AC49" s="305"/>
      <c r="AD49" s="305"/>
      <c r="AE49" s="305"/>
      <c r="AF49" s="305"/>
      <c r="AG49" s="305"/>
      <c r="AH49" s="305"/>
      <c r="AI49" s="305"/>
      <c r="AJ49" s="305"/>
      <c r="AK49" s="305"/>
      <c r="AL49" s="305"/>
      <c r="AM49" s="305"/>
      <c r="AN49" s="305"/>
      <c r="AO49" s="305"/>
      <c r="AP49" s="305"/>
      <c r="AQ49" s="305"/>
      <c r="AR49" s="305"/>
      <c r="AS49" s="305"/>
      <c r="AT49" s="305"/>
      <c r="AU49" s="305"/>
      <c r="AV49" s="305"/>
      <c r="AW49" s="305"/>
      <c r="AX49" s="305"/>
      <c r="AY49" s="305"/>
      <c r="AZ49" s="305"/>
      <c r="BA49" s="305"/>
      <c r="BB49" s="305"/>
      <c r="BC49" s="305"/>
      <c r="BD49" s="305"/>
      <c r="BE49" s="305"/>
      <c r="BF49" s="305"/>
      <c r="BG49" s="305"/>
      <c r="BH49" s="305"/>
      <c r="BI49" s="305"/>
      <c r="BJ49" s="305"/>
      <c r="BK49" s="305"/>
      <c r="BL49" s="305"/>
      <c r="BM49" s="305"/>
      <c r="BN49" s="305"/>
      <c r="BO49" s="305"/>
      <c r="BP49" s="305"/>
      <c r="BQ49" s="305"/>
      <c r="BR49" s="305"/>
      <c r="BS49" s="305"/>
      <c r="BT49" s="305"/>
      <c r="BU49" s="305"/>
      <c r="BV49" s="305"/>
      <c r="BW49" s="305"/>
      <c r="BX49" s="305"/>
      <c r="BY49" s="305"/>
      <c r="BZ49" s="305"/>
      <c r="CA49" s="305"/>
      <c r="CB49" s="305"/>
      <c r="CC49" s="305"/>
      <c r="CD49" s="305"/>
      <c r="CE49" s="305"/>
      <c r="CF49" s="305"/>
      <c r="CG49" s="305"/>
      <c r="CH49" s="305"/>
      <c r="CI49" s="305"/>
      <c r="CJ49" s="305"/>
      <c r="CK49" s="305"/>
      <c r="CL49" s="305"/>
      <c r="CM49" s="305"/>
      <c r="CN49" s="305"/>
      <c r="CO49" s="305"/>
      <c r="CP49" s="305"/>
      <c r="CQ49" s="305"/>
      <c r="CR49" s="305"/>
      <c r="CS49" s="305"/>
      <c r="CT49" s="305"/>
      <c r="CU49" s="305"/>
      <c r="CV49" s="305"/>
      <c r="CW49" s="305"/>
      <c r="CX49" s="305"/>
      <c r="CY49" s="305"/>
      <c r="CZ49" s="305"/>
      <c r="DA49" s="305"/>
      <c r="DB49" s="305"/>
      <c r="DC49" s="305"/>
      <c r="DD49" s="305"/>
      <c r="DE49" s="305"/>
      <c r="DF49" s="305"/>
      <c r="DG49" s="305"/>
      <c r="DH49" s="305"/>
      <c r="DI49" s="305"/>
      <c r="DJ49" s="305"/>
      <c r="DK49" s="305"/>
      <c r="DL49" s="305"/>
      <c r="DM49" s="305"/>
      <c r="DN49" s="305"/>
      <c r="DO49" s="305"/>
      <c r="DP49" s="305"/>
      <c r="DQ49" s="305"/>
      <c r="DR49" s="305"/>
      <c r="DS49" s="305"/>
      <c r="DT49" s="305"/>
      <c r="DU49" s="305"/>
      <c r="DV49" s="305"/>
      <c r="DW49" s="305"/>
      <c r="DX49" s="305"/>
      <c r="DY49" s="305"/>
      <c r="DZ49" s="305"/>
      <c r="EA49" s="305"/>
      <c r="EB49" s="305"/>
      <c r="EC49" s="305"/>
      <c r="ED49" s="305"/>
      <c r="EE49" s="305"/>
      <c r="EF49" s="305"/>
      <c r="EG49" s="305"/>
      <c r="EH49" s="305"/>
      <c r="EI49" s="305"/>
      <c r="EJ49" s="305"/>
      <c r="EK49" s="305"/>
      <c r="EL49" s="305"/>
      <c r="EM49" s="305"/>
      <c r="EN49" s="305"/>
      <c r="EO49" s="305"/>
    </row>
    <row r="50" spans="1:145" ht="15.75" customHeight="1" x14ac:dyDescent="0.15">
      <c r="A50" s="413" t="str">
        <f t="shared" si="2"/>
        <v>total_points level 40</v>
      </c>
      <c r="B50" s="413"/>
      <c r="C50" s="413">
        <v>40</v>
      </c>
      <c r="D50" s="413"/>
      <c r="E50" s="413"/>
      <c r="F50" s="413"/>
      <c r="G50" s="413"/>
      <c r="H50" s="414">
        <v>3900000</v>
      </c>
      <c r="I50" s="413" t="str">
        <f ca="1">IFERROR(__xludf.DUMMYFUNCTION("TRANSPOSE( FILTER( 'TitleData rewards.items'!$J$8:$J61 , 'TitleData rewards.items'!$GM$8:$GM61 = $M50&amp;"":""&amp;$N50 ) ) "),"#N/A")</f>
        <v>#N/A</v>
      </c>
      <c r="J50" s="305"/>
      <c r="K50" s="305"/>
      <c r="L50" s="415" t="s">
        <v>322</v>
      </c>
      <c r="M50" s="416" t="s">
        <v>4379</v>
      </c>
      <c r="N50" s="305">
        <f t="shared" si="3"/>
        <v>40</v>
      </c>
      <c r="O50" s="305" t="s">
        <v>280</v>
      </c>
      <c r="P50" s="420" t="s">
        <v>4380</v>
      </c>
      <c r="Q50" s="305">
        <f t="shared" si="4"/>
        <v>4000000</v>
      </c>
      <c r="R50" s="305" t="s">
        <v>280</v>
      </c>
      <c r="S50" s="419" t="s">
        <v>4376</v>
      </c>
      <c r="T50" s="416" t="s">
        <v>2359</v>
      </c>
      <c r="U50" s="305">
        <f t="shared" si="5"/>
        <v>3900000</v>
      </c>
      <c r="V50" s="305"/>
      <c r="W50" s="305"/>
      <c r="X50" s="305"/>
      <c r="Y50" s="305"/>
      <c r="Z50" s="305"/>
      <c r="AA50" s="305"/>
      <c r="AB50" s="305"/>
      <c r="AC50" s="305"/>
      <c r="AD50" s="305"/>
      <c r="AE50" s="305"/>
      <c r="AF50" s="305"/>
      <c r="AG50" s="305"/>
      <c r="AH50" s="305"/>
      <c r="AI50" s="305"/>
      <c r="AJ50" s="305"/>
      <c r="AK50" s="305"/>
      <c r="AL50" s="305"/>
      <c r="AM50" s="305"/>
      <c r="AN50" s="305"/>
      <c r="AO50" s="305"/>
      <c r="AP50" s="305"/>
      <c r="AQ50" s="305"/>
      <c r="AR50" s="305"/>
      <c r="AS50" s="305"/>
      <c r="AT50" s="305"/>
      <c r="AU50" s="305"/>
      <c r="AV50" s="305"/>
      <c r="AW50" s="305"/>
      <c r="AX50" s="305"/>
      <c r="AY50" s="305"/>
      <c r="AZ50" s="305"/>
      <c r="BA50" s="305"/>
      <c r="BB50" s="305"/>
      <c r="BC50" s="305"/>
      <c r="BD50" s="305"/>
      <c r="BE50" s="305"/>
      <c r="BF50" s="305"/>
      <c r="BG50" s="305"/>
      <c r="BH50" s="305"/>
      <c r="BI50" s="305"/>
      <c r="BJ50" s="305"/>
      <c r="BK50" s="305"/>
      <c r="BL50" s="305"/>
      <c r="BM50" s="305"/>
      <c r="BN50" s="305"/>
      <c r="BO50" s="305"/>
      <c r="BP50" s="305"/>
      <c r="BQ50" s="305"/>
      <c r="BR50" s="305"/>
      <c r="BS50" s="305"/>
      <c r="BT50" s="305"/>
      <c r="BU50" s="305"/>
      <c r="BV50" s="305"/>
      <c r="BW50" s="305"/>
      <c r="BX50" s="305"/>
      <c r="BY50" s="305"/>
      <c r="BZ50" s="305"/>
      <c r="CA50" s="305"/>
      <c r="CB50" s="305"/>
      <c r="CC50" s="305"/>
      <c r="CD50" s="305"/>
      <c r="CE50" s="305"/>
      <c r="CF50" s="305"/>
      <c r="CG50" s="305"/>
      <c r="CH50" s="305"/>
      <c r="CI50" s="305"/>
      <c r="CJ50" s="305"/>
      <c r="CK50" s="305"/>
      <c r="CL50" s="305"/>
      <c r="CM50" s="305"/>
      <c r="CN50" s="305"/>
      <c r="CO50" s="305"/>
      <c r="CP50" s="305"/>
      <c r="CQ50" s="305"/>
      <c r="CR50" s="305"/>
      <c r="CS50" s="305"/>
      <c r="CT50" s="305"/>
      <c r="CU50" s="305"/>
      <c r="CV50" s="305"/>
      <c r="CW50" s="305"/>
      <c r="CX50" s="305"/>
      <c r="CY50" s="305"/>
      <c r="CZ50" s="305"/>
      <c r="DA50" s="305"/>
      <c r="DB50" s="305"/>
      <c r="DC50" s="305"/>
      <c r="DD50" s="305"/>
      <c r="DE50" s="305"/>
      <c r="DF50" s="305"/>
      <c r="DG50" s="305"/>
      <c r="DH50" s="305"/>
      <c r="DI50" s="305"/>
      <c r="DJ50" s="305"/>
      <c r="DK50" s="305"/>
      <c r="DL50" s="305"/>
      <c r="DM50" s="305"/>
      <c r="DN50" s="305"/>
      <c r="DO50" s="305"/>
      <c r="DP50" s="305"/>
      <c r="DQ50" s="305"/>
      <c r="DR50" s="305"/>
      <c r="DS50" s="305"/>
      <c r="DT50" s="305"/>
      <c r="DU50" s="305"/>
      <c r="DV50" s="305"/>
      <c r="DW50" s="305"/>
      <c r="DX50" s="305"/>
      <c r="DY50" s="305"/>
      <c r="DZ50" s="305"/>
      <c r="EA50" s="305"/>
      <c r="EB50" s="305"/>
      <c r="EC50" s="305"/>
      <c r="ED50" s="305"/>
      <c r="EE50" s="305"/>
      <c r="EF50" s="305"/>
      <c r="EG50" s="305"/>
      <c r="EH50" s="305"/>
      <c r="EI50" s="305"/>
      <c r="EJ50" s="305"/>
      <c r="EK50" s="305"/>
      <c r="EL50" s="305"/>
      <c r="EM50" s="305"/>
      <c r="EN50" s="305"/>
      <c r="EO50" s="305"/>
    </row>
    <row r="51" spans="1:145" ht="15.75" customHeight="1" x14ac:dyDescent="0.15">
      <c r="A51" s="413" t="str">
        <f t="shared" si="2"/>
        <v>total_points level 41</v>
      </c>
      <c r="B51" s="413"/>
      <c r="C51" s="413">
        <v>41</v>
      </c>
      <c r="D51" s="413"/>
      <c r="E51" s="413"/>
      <c r="F51" s="413"/>
      <c r="G51" s="413"/>
      <c r="H51" s="414">
        <v>4000000</v>
      </c>
      <c r="I51" s="413" t="str">
        <f ca="1">IFERROR(__xludf.DUMMYFUNCTION("TRANSPOSE( FILTER( 'TitleData rewards.items'!$J$8:$J61 , 'TitleData rewards.items'!$GM$8:$GM61 = $M51&amp;"":""&amp;$N51 ) ) "),"#N/A")</f>
        <v>#N/A</v>
      </c>
      <c r="J51" s="305"/>
      <c r="K51" s="305"/>
      <c r="L51" s="415" t="s">
        <v>322</v>
      </c>
      <c r="M51" s="416" t="s">
        <v>4379</v>
      </c>
      <c r="N51" s="305">
        <f t="shared" si="3"/>
        <v>41</v>
      </c>
      <c r="O51" s="305" t="s">
        <v>280</v>
      </c>
      <c r="P51" s="420" t="s">
        <v>4380</v>
      </c>
      <c r="Q51" s="305">
        <f t="shared" si="4"/>
        <v>4100000</v>
      </c>
      <c r="R51" s="305" t="s">
        <v>280</v>
      </c>
      <c r="S51" s="419" t="s">
        <v>4376</v>
      </c>
      <c r="T51" s="416" t="s">
        <v>2359</v>
      </c>
      <c r="U51" s="305">
        <f t="shared" si="5"/>
        <v>4000000</v>
      </c>
      <c r="V51" s="305"/>
      <c r="W51" s="305"/>
      <c r="X51" s="305"/>
      <c r="Y51" s="305"/>
      <c r="Z51" s="305"/>
      <c r="AA51" s="305"/>
      <c r="AB51" s="305"/>
      <c r="AC51" s="305"/>
      <c r="AD51" s="305"/>
      <c r="AE51" s="305"/>
      <c r="AF51" s="305"/>
      <c r="AG51" s="305"/>
      <c r="AH51" s="305"/>
      <c r="AI51" s="305"/>
      <c r="AJ51" s="305"/>
      <c r="AK51" s="305"/>
      <c r="AL51" s="305"/>
      <c r="AM51" s="305"/>
      <c r="AN51" s="305"/>
      <c r="AO51" s="305"/>
      <c r="AP51" s="305"/>
      <c r="AQ51" s="305"/>
      <c r="AR51" s="305"/>
      <c r="AS51" s="305"/>
      <c r="AT51" s="305"/>
      <c r="AU51" s="305"/>
      <c r="AV51" s="305"/>
      <c r="AW51" s="305"/>
      <c r="AX51" s="305"/>
      <c r="AY51" s="305"/>
      <c r="AZ51" s="305"/>
      <c r="BA51" s="305"/>
      <c r="BB51" s="305"/>
      <c r="BC51" s="305"/>
      <c r="BD51" s="305"/>
      <c r="BE51" s="305"/>
      <c r="BF51" s="305"/>
      <c r="BG51" s="305"/>
      <c r="BH51" s="305"/>
      <c r="BI51" s="305"/>
      <c r="BJ51" s="305"/>
      <c r="BK51" s="305"/>
      <c r="BL51" s="305"/>
      <c r="BM51" s="305"/>
      <c r="BN51" s="305"/>
      <c r="BO51" s="305"/>
      <c r="BP51" s="305"/>
      <c r="BQ51" s="305"/>
      <c r="BR51" s="305"/>
      <c r="BS51" s="305"/>
      <c r="BT51" s="305"/>
      <c r="BU51" s="305"/>
      <c r="BV51" s="305"/>
      <c r="BW51" s="305"/>
      <c r="BX51" s="305"/>
      <c r="BY51" s="305"/>
      <c r="BZ51" s="305"/>
      <c r="CA51" s="305"/>
      <c r="CB51" s="305"/>
      <c r="CC51" s="305"/>
      <c r="CD51" s="305"/>
      <c r="CE51" s="305"/>
      <c r="CF51" s="305"/>
      <c r="CG51" s="305"/>
      <c r="CH51" s="305"/>
      <c r="CI51" s="305"/>
      <c r="CJ51" s="305"/>
      <c r="CK51" s="305"/>
      <c r="CL51" s="305"/>
      <c r="CM51" s="305"/>
      <c r="CN51" s="305"/>
      <c r="CO51" s="305"/>
      <c r="CP51" s="305"/>
      <c r="CQ51" s="305"/>
      <c r="CR51" s="305"/>
      <c r="CS51" s="305"/>
      <c r="CT51" s="305"/>
      <c r="CU51" s="305"/>
      <c r="CV51" s="305"/>
      <c r="CW51" s="305"/>
      <c r="CX51" s="305"/>
      <c r="CY51" s="305"/>
      <c r="CZ51" s="305"/>
      <c r="DA51" s="305"/>
      <c r="DB51" s="305"/>
      <c r="DC51" s="305"/>
      <c r="DD51" s="305"/>
      <c r="DE51" s="305"/>
      <c r="DF51" s="305"/>
      <c r="DG51" s="305"/>
      <c r="DH51" s="305"/>
      <c r="DI51" s="305"/>
      <c r="DJ51" s="305"/>
      <c r="DK51" s="305"/>
      <c r="DL51" s="305"/>
      <c r="DM51" s="305"/>
      <c r="DN51" s="305"/>
      <c r="DO51" s="305"/>
      <c r="DP51" s="305"/>
      <c r="DQ51" s="305"/>
      <c r="DR51" s="305"/>
      <c r="DS51" s="305"/>
      <c r="DT51" s="305"/>
      <c r="DU51" s="305"/>
      <c r="DV51" s="305"/>
      <c r="DW51" s="305"/>
      <c r="DX51" s="305"/>
      <c r="DY51" s="305"/>
      <c r="DZ51" s="305"/>
      <c r="EA51" s="305"/>
      <c r="EB51" s="305"/>
      <c r="EC51" s="305"/>
      <c r="ED51" s="305"/>
      <c r="EE51" s="305"/>
      <c r="EF51" s="305"/>
      <c r="EG51" s="305"/>
      <c r="EH51" s="305"/>
      <c r="EI51" s="305"/>
      <c r="EJ51" s="305"/>
      <c r="EK51" s="305"/>
      <c r="EL51" s="305"/>
      <c r="EM51" s="305"/>
      <c r="EN51" s="305"/>
      <c r="EO51" s="305"/>
    </row>
    <row r="52" spans="1:145" ht="15.75" customHeight="1" x14ac:dyDescent="0.15">
      <c r="A52" s="413" t="str">
        <f t="shared" si="2"/>
        <v>total_points level 42</v>
      </c>
      <c r="B52" s="413"/>
      <c r="C52" s="413">
        <v>42</v>
      </c>
      <c r="D52" s="413"/>
      <c r="E52" s="413"/>
      <c r="F52" s="413"/>
      <c r="G52" s="413"/>
      <c r="H52" s="414">
        <v>4100000</v>
      </c>
      <c r="I52" s="413" t="str">
        <f ca="1">IFERROR(__xludf.DUMMYFUNCTION("TRANSPOSE( FILTER( 'TitleData rewards.items'!$J$8:$J61 , 'TitleData rewards.items'!$GM$8:$GM61 = $M52&amp;"":""&amp;$N52 ) ) "),"#N/A")</f>
        <v>#N/A</v>
      </c>
      <c r="J52" s="305"/>
      <c r="K52" s="305"/>
      <c r="L52" s="415" t="s">
        <v>322</v>
      </c>
      <c r="M52" s="416" t="s">
        <v>4379</v>
      </c>
      <c r="N52" s="305">
        <f t="shared" si="3"/>
        <v>42</v>
      </c>
      <c r="O52" s="305" t="s">
        <v>280</v>
      </c>
      <c r="P52" s="420" t="s">
        <v>4380</v>
      </c>
      <c r="Q52" s="305">
        <f t="shared" si="4"/>
        <v>4200000</v>
      </c>
      <c r="R52" s="305" t="s">
        <v>280</v>
      </c>
      <c r="S52" s="419" t="s">
        <v>4376</v>
      </c>
      <c r="T52" s="416" t="s">
        <v>2359</v>
      </c>
      <c r="U52" s="305">
        <f t="shared" si="5"/>
        <v>4100000</v>
      </c>
      <c r="V52" s="305"/>
      <c r="W52" s="305"/>
      <c r="X52" s="305"/>
      <c r="Y52" s="305"/>
      <c r="Z52" s="305"/>
      <c r="AA52" s="305"/>
      <c r="AB52" s="305"/>
      <c r="AC52" s="305"/>
      <c r="AD52" s="305"/>
      <c r="AE52" s="305"/>
      <c r="AF52" s="305"/>
      <c r="AG52" s="305"/>
      <c r="AH52" s="305"/>
      <c r="AI52" s="305"/>
      <c r="AJ52" s="305"/>
      <c r="AK52" s="305"/>
      <c r="AL52" s="305"/>
      <c r="AM52" s="305"/>
      <c r="AN52" s="305"/>
      <c r="AO52" s="305"/>
      <c r="AP52" s="305"/>
      <c r="AQ52" s="305"/>
      <c r="AR52" s="305"/>
      <c r="AS52" s="305"/>
      <c r="AT52" s="305"/>
      <c r="AU52" s="305"/>
      <c r="AV52" s="305"/>
      <c r="AW52" s="305"/>
      <c r="AX52" s="305"/>
      <c r="AY52" s="305"/>
      <c r="AZ52" s="305"/>
      <c r="BA52" s="305"/>
      <c r="BB52" s="305"/>
      <c r="BC52" s="305"/>
      <c r="BD52" s="305"/>
      <c r="BE52" s="305"/>
      <c r="BF52" s="305"/>
      <c r="BG52" s="305"/>
      <c r="BH52" s="305"/>
      <c r="BI52" s="305"/>
      <c r="BJ52" s="305"/>
      <c r="BK52" s="305"/>
      <c r="BL52" s="305"/>
      <c r="BM52" s="305"/>
      <c r="BN52" s="305"/>
      <c r="BO52" s="305"/>
      <c r="BP52" s="305"/>
      <c r="BQ52" s="305"/>
      <c r="BR52" s="305"/>
      <c r="BS52" s="305"/>
      <c r="BT52" s="305"/>
      <c r="BU52" s="305"/>
      <c r="BV52" s="305"/>
      <c r="BW52" s="305"/>
      <c r="BX52" s="305"/>
      <c r="BY52" s="305"/>
      <c r="BZ52" s="305"/>
      <c r="CA52" s="305"/>
      <c r="CB52" s="305"/>
      <c r="CC52" s="305"/>
      <c r="CD52" s="305"/>
      <c r="CE52" s="305"/>
      <c r="CF52" s="305"/>
      <c r="CG52" s="305"/>
      <c r="CH52" s="305"/>
      <c r="CI52" s="305"/>
      <c r="CJ52" s="305"/>
      <c r="CK52" s="305"/>
      <c r="CL52" s="305"/>
      <c r="CM52" s="305"/>
      <c r="CN52" s="305"/>
      <c r="CO52" s="305"/>
      <c r="CP52" s="305"/>
      <c r="CQ52" s="305"/>
      <c r="CR52" s="305"/>
      <c r="CS52" s="305"/>
      <c r="CT52" s="305"/>
      <c r="CU52" s="305"/>
      <c r="CV52" s="305"/>
      <c r="CW52" s="305"/>
      <c r="CX52" s="305"/>
      <c r="CY52" s="305"/>
      <c r="CZ52" s="305"/>
      <c r="DA52" s="305"/>
      <c r="DB52" s="305"/>
      <c r="DC52" s="305"/>
      <c r="DD52" s="305"/>
      <c r="DE52" s="305"/>
      <c r="DF52" s="305"/>
      <c r="DG52" s="305"/>
      <c r="DH52" s="305"/>
      <c r="DI52" s="305"/>
      <c r="DJ52" s="305"/>
      <c r="DK52" s="305"/>
      <c r="DL52" s="305"/>
      <c r="DM52" s="305"/>
      <c r="DN52" s="305"/>
      <c r="DO52" s="305"/>
      <c r="DP52" s="305"/>
      <c r="DQ52" s="305"/>
      <c r="DR52" s="305"/>
      <c r="DS52" s="305"/>
      <c r="DT52" s="305"/>
      <c r="DU52" s="305"/>
      <c r="DV52" s="305"/>
      <c r="DW52" s="305"/>
      <c r="DX52" s="305"/>
      <c r="DY52" s="305"/>
      <c r="DZ52" s="305"/>
      <c r="EA52" s="305"/>
      <c r="EB52" s="305"/>
      <c r="EC52" s="305"/>
      <c r="ED52" s="305"/>
      <c r="EE52" s="305"/>
      <c r="EF52" s="305"/>
      <c r="EG52" s="305"/>
      <c r="EH52" s="305"/>
      <c r="EI52" s="305"/>
      <c r="EJ52" s="305"/>
      <c r="EK52" s="305"/>
      <c r="EL52" s="305"/>
      <c r="EM52" s="305"/>
      <c r="EN52" s="305"/>
      <c r="EO52" s="305"/>
    </row>
    <row r="53" spans="1:145" ht="15.75" customHeight="1" x14ac:dyDescent="0.15">
      <c r="A53" s="413" t="str">
        <f t="shared" si="2"/>
        <v>total_points level 43</v>
      </c>
      <c r="B53" s="413"/>
      <c r="C53" s="413">
        <v>43</v>
      </c>
      <c r="D53" s="413"/>
      <c r="E53" s="413"/>
      <c r="F53" s="413"/>
      <c r="G53" s="413"/>
      <c r="H53" s="414">
        <v>4200000</v>
      </c>
      <c r="I53" s="413" t="str">
        <f ca="1">IFERROR(__xludf.DUMMYFUNCTION("TRANSPOSE( FILTER( 'TitleData rewards.items'!$J$8:$J61 , 'TitleData rewards.items'!$GM$8:$GM61 = $M53&amp;"":""&amp;$N53 ) ) "),"#N/A")</f>
        <v>#N/A</v>
      </c>
      <c r="J53" s="305"/>
      <c r="K53" s="305"/>
      <c r="L53" s="415" t="s">
        <v>322</v>
      </c>
      <c r="M53" s="416" t="s">
        <v>4379</v>
      </c>
      <c r="N53" s="305">
        <f t="shared" si="3"/>
        <v>43</v>
      </c>
      <c r="O53" s="305" t="s">
        <v>280</v>
      </c>
      <c r="P53" s="420" t="s">
        <v>4380</v>
      </c>
      <c r="Q53" s="305">
        <f t="shared" si="4"/>
        <v>4300000</v>
      </c>
      <c r="R53" s="305" t="s">
        <v>280</v>
      </c>
      <c r="S53" s="419" t="s">
        <v>4376</v>
      </c>
      <c r="T53" s="416" t="s">
        <v>2359</v>
      </c>
      <c r="U53" s="305">
        <f t="shared" si="5"/>
        <v>4200000</v>
      </c>
      <c r="V53" s="305"/>
      <c r="W53" s="305"/>
      <c r="X53" s="305"/>
      <c r="Y53" s="305"/>
      <c r="Z53" s="305"/>
      <c r="AA53" s="305"/>
      <c r="AB53" s="305"/>
      <c r="AC53" s="305"/>
      <c r="AD53" s="305"/>
      <c r="AE53" s="305"/>
      <c r="AF53" s="305"/>
      <c r="AG53" s="305"/>
      <c r="AH53" s="305"/>
      <c r="AI53" s="305"/>
      <c r="AJ53" s="305"/>
      <c r="AK53" s="305"/>
      <c r="AL53" s="305"/>
      <c r="AM53" s="305"/>
      <c r="AN53" s="305"/>
      <c r="AO53" s="305"/>
      <c r="AP53" s="305"/>
      <c r="AQ53" s="305"/>
      <c r="AR53" s="305"/>
      <c r="AS53" s="305"/>
      <c r="AT53" s="305"/>
      <c r="AU53" s="305"/>
      <c r="AV53" s="305"/>
      <c r="AW53" s="305"/>
      <c r="AX53" s="305"/>
      <c r="AY53" s="305"/>
      <c r="AZ53" s="305"/>
      <c r="BA53" s="305"/>
      <c r="BB53" s="305"/>
      <c r="BC53" s="305"/>
      <c r="BD53" s="305"/>
      <c r="BE53" s="305"/>
      <c r="BF53" s="305"/>
      <c r="BG53" s="305"/>
      <c r="BH53" s="305"/>
      <c r="BI53" s="305"/>
      <c r="BJ53" s="305"/>
      <c r="BK53" s="305"/>
      <c r="BL53" s="305"/>
      <c r="BM53" s="305"/>
      <c r="BN53" s="305"/>
      <c r="BO53" s="305"/>
      <c r="BP53" s="305"/>
      <c r="BQ53" s="305"/>
      <c r="BR53" s="305"/>
      <c r="BS53" s="305"/>
      <c r="BT53" s="305"/>
      <c r="BU53" s="305"/>
      <c r="BV53" s="305"/>
      <c r="BW53" s="305"/>
      <c r="BX53" s="305"/>
      <c r="BY53" s="305"/>
      <c r="BZ53" s="305"/>
      <c r="CA53" s="305"/>
      <c r="CB53" s="305"/>
      <c r="CC53" s="305"/>
      <c r="CD53" s="305"/>
      <c r="CE53" s="305"/>
      <c r="CF53" s="305"/>
      <c r="CG53" s="305"/>
      <c r="CH53" s="305"/>
      <c r="CI53" s="305"/>
      <c r="CJ53" s="305"/>
      <c r="CK53" s="305"/>
      <c r="CL53" s="305"/>
      <c r="CM53" s="305"/>
      <c r="CN53" s="305"/>
      <c r="CO53" s="305"/>
      <c r="CP53" s="305"/>
      <c r="CQ53" s="305"/>
      <c r="CR53" s="305"/>
      <c r="CS53" s="305"/>
      <c r="CT53" s="305"/>
      <c r="CU53" s="305"/>
      <c r="CV53" s="305"/>
      <c r="CW53" s="305"/>
      <c r="CX53" s="305"/>
      <c r="CY53" s="305"/>
      <c r="CZ53" s="305"/>
      <c r="DA53" s="305"/>
      <c r="DB53" s="305"/>
      <c r="DC53" s="305"/>
      <c r="DD53" s="305"/>
      <c r="DE53" s="305"/>
      <c r="DF53" s="305"/>
      <c r="DG53" s="305"/>
      <c r="DH53" s="305"/>
      <c r="DI53" s="305"/>
      <c r="DJ53" s="305"/>
      <c r="DK53" s="305"/>
      <c r="DL53" s="305"/>
      <c r="DM53" s="305"/>
      <c r="DN53" s="305"/>
      <c r="DO53" s="305"/>
      <c r="DP53" s="305"/>
      <c r="DQ53" s="305"/>
      <c r="DR53" s="305"/>
      <c r="DS53" s="305"/>
      <c r="DT53" s="305"/>
      <c r="DU53" s="305"/>
      <c r="DV53" s="305"/>
      <c r="DW53" s="305"/>
      <c r="DX53" s="305"/>
      <c r="DY53" s="305"/>
      <c r="DZ53" s="305"/>
      <c r="EA53" s="305"/>
      <c r="EB53" s="305"/>
      <c r="EC53" s="305"/>
      <c r="ED53" s="305"/>
      <c r="EE53" s="305"/>
      <c r="EF53" s="305"/>
      <c r="EG53" s="305"/>
      <c r="EH53" s="305"/>
      <c r="EI53" s="305"/>
      <c r="EJ53" s="305"/>
      <c r="EK53" s="305"/>
      <c r="EL53" s="305"/>
      <c r="EM53" s="305"/>
      <c r="EN53" s="305"/>
      <c r="EO53" s="305"/>
    </row>
    <row r="54" spans="1:145" ht="15.75" customHeight="1" x14ac:dyDescent="0.15">
      <c r="A54" s="413" t="str">
        <f t="shared" si="2"/>
        <v>total_points level 44</v>
      </c>
      <c r="B54" s="413"/>
      <c r="C54" s="413">
        <v>44</v>
      </c>
      <c r="D54" s="413"/>
      <c r="E54" s="413"/>
      <c r="F54" s="413"/>
      <c r="G54" s="413"/>
      <c r="H54" s="414">
        <v>4300000</v>
      </c>
      <c r="I54" s="413" t="str">
        <f ca="1">IFERROR(__xludf.DUMMYFUNCTION("TRANSPOSE( FILTER( 'TitleData rewards.items'!$J$8:$J61 , 'TitleData rewards.items'!$GM$8:$GM61 = $M54&amp;"":""&amp;$N54 ) ) "),"#N/A")</f>
        <v>#N/A</v>
      </c>
      <c r="J54" s="305"/>
      <c r="K54" s="305"/>
      <c r="L54" s="415" t="s">
        <v>322</v>
      </c>
      <c r="M54" s="416" t="s">
        <v>4379</v>
      </c>
      <c r="N54" s="305">
        <f t="shared" si="3"/>
        <v>44</v>
      </c>
      <c r="O54" s="305" t="s">
        <v>280</v>
      </c>
      <c r="P54" s="420" t="s">
        <v>4380</v>
      </c>
      <c r="Q54" s="305">
        <f t="shared" si="4"/>
        <v>4400000</v>
      </c>
      <c r="R54" s="305" t="s">
        <v>280</v>
      </c>
      <c r="S54" s="419" t="s">
        <v>4376</v>
      </c>
      <c r="T54" s="416" t="s">
        <v>2359</v>
      </c>
      <c r="U54" s="305">
        <f t="shared" si="5"/>
        <v>4300000</v>
      </c>
      <c r="V54" s="305"/>
      <c r="W54" s="305"/>
      <c r="X54" s="305"/>
      <c r="Y54" s="305"/>
      <c r="Z54" s="305"/>
      <c r="AA54" s="305"/>
      <c r="AB54" s="305"/>
      <c r="AC54" s="305"/>
      <c r="AD54" s="305"/>
      <c r="AE54" s="305"/>
      <c r="AF54" s="305"/>
      <c r="AG54" s="305"/>
      <c r="AH54" s="305"/>
      <c r="AI54" s="305"/>
      <c r="AJ54" s="305"/>
      <c r="AK54" s="305"/>
      <c r="AL54" s="305"/>
      <c r="AM54" s="305"/>
      <c r="AN54" s="305"/>
      <c r="AO54" s="305"/>
      <c r="AP54" s="305"/>
      <c r="AQ54" s="305"/>
      <c r="AR54" s="305"/>
      <c r="AS54" s="305"/>
      <c r="AT54" s="305"/>
      <c r="AU54" s="305"/>
      <c r="AV54" s="305"/>
      <c r="AW54" s="305"/>
      <c r="AX54" s="305"/>
      <c r="AY54" s="305"/>
      <c r="AZ54" s="305"/>
      <c r="BA54" s="305"/>
      <c r="BB54" s="305"/>
      <c r="BC54" s="305"/>
      <c r="BD54" s="305"/>
      <c r="BE54" s="305"/>
      <c r="BF54" s="305"/>
      <c r="BG54" s="305"/>
      <c r="BH54" s="305"/>
      <c r="BI54" s="305"/>
      <c r="BJ54" s="305"/>
      <c r="BK54" s="305"/>
      <c r="BL54" s="305"/>
      <c r="BM54" s="305"/>
      <c r="BN54" s="305"/>
      <c r="BO54" s="305"/>
      <c r="BP54" s="305"/>
      <c r="BQ54" s="305"/>
      <c r="BR54" s="305"/>
      <c r="BS54" s="305"/>
      <c r="BT54" s="305"/>
      <c r="BU54" s="305"/>
      <c r="BV54" s="305"/>
      <c r="BW54" s="305"/>
      <c r="BX54" s="305"/>
      <c r="BY54" s="305"/>
      <c r="BZ54" s="305"/>
      <c r="CA54" s="305"/>
      <c r="CB54" s="305"/>
      <c r="CC54" s="305"/>
      <c r="CD54" s="305"/>
      <c r="CE54" s="305"/>
      <c r="CF54" s="305"/>
      <c r="CG54" s="305"/>
      <c r="CH54" s="305"/>
      <c r="CI54" s="305"/>
      <c r="CJ54" s="305"/>
      <c r="CK54" s="305"/>
      <c r="CL54" s="305"/>
      <c r="CM54" s="305"/>
      <c r="CN54" s="305"/>
      <c r="CO54" s="305"/>
      <c r="CP54" s="305"/>
      <c r="CQ54" s="305"/>
      <c r="CR54" s="305"/>
      <c r="CS54" s="305"/>
      <c r="CT54" s="305"/>
      <c r="CU54" s="305"/>
      <c r="CV54" s="305"/>
      <c r="CW54" s="305"/>
      <c r="CX54" s="305"/>
      <c r="CY54" s="305"/>
      <c r="CZ54" s="305"/>
      <c r="DA54" s="305"/>
      <c r="DB54" s="305"/>
      <c r="DC54" s="305"/>
      <c r="DD54" s="305"/>
      <c r="DE54" s="305"/>
      <c r="DF54" s="305"/>
      <c r="DG54" s="305"/>
      <c r="DH54" s="305"/>
      <c r="DI54" s="305"/>
      <c r="DJ54" s="305"/>
      <c r="DK54" s="305"/>
      <c r="DL54" s="305"/>
      <c r="DM54" s="305"/>
      <c r="DN54" s="305"/>
      <c r="DO54" s="305"/>
      <c r="DP54" s="305"/>
      <c r="DQ54" s="305"/>
      <c r="DR54" s="305"/>
      <c r="DS54" s="305"/>
      <c r="DT54" s="305"/>
      <c r="DU54" s="305"/>
      <c r="DV54" s="305"/>
      <c r="DW54" s="305"/>
      <c r="DX54" s="305"/>
      <c r="DY54" s="305"/>
      <c r="DZ54" s="305"/>
      <c r="EA54" s="305"/>
      <c r="EB54" s="305"/>
      <c r="EC54" s="305"/>
      <c r="ED54" s="305"/>
      <c r="EE54" s="305"/>
      <c r="EF54" s="305"/>
      <c r="EG54" s="305"/>
      <c r="EH54" s="305"/>
      <c r="EI54" s="305"/>
      <c r="EJ54" s="305"/>
      <c r="EK54" s="305"/>
      <c r="EL54" s="305"/>
      <c r="EM54" s="305"/>
      <c r="EN54" s="305"/>
      <c r="EO54" s="305"/>
    </row>
    <row r="55" spans="1:145" ht="15.75" customHeight="1" x14ac:dyDescent="0.15">
      <c r="A55" s="413" t="str">
        <f t="shared" si="2"/>
        <v>total_points level 45</v>
      </c>
      <c r="B55" s="413"/>
      <c r="C55" s="413">
        <v>45</v>
      </c>
      <c r="D55" s="413"/>
      <c r="E55" s="413"/>
      <c r="F55" s="413"/>
      <c r="G55" s="413"/>
      <c r="H55" s="414">
        <v>4400000</v>
      </c>
      <c r="I55" s="413" t="str">
        <f ca="1">IFERROR(__xludf.DUMMYFUNCTION("TRANSPOSE( FILTER( 'TitleData rewards.items'!$J$8:$J61 , 'TitleData rewards.items'!$GM$8:$GM61 = $M55&amp;"":""&amp;$N55 ) ) "),"#N/A")</f>
        <v>#N/A</v>
      </c>
      <c r="J55" s="305"/>
      <c r="K55" s="305"/>
      <c r="L55" s="415" t="s">
        <v>322</v>
      </c>
      <c r="M55" s="416" t="s">
        <v>4379</v>
      </c>
      <c r="N55" s="305">
        <f t="shared" si="3"/>
        <v>45</v>
      </c>
      <c r="O55" s="305" t="s">
        <v>280</v>
      </c>
      <c r="P55" s="420" t="s">
        <v>4380</v>
      </c>
      <c r="Q55" s="305">
        <f t="shared" si="4"/>
        <v>4500000</v>
      </c>
      <c r="R55" s="305" t="s">
        <v>280</v>
      </c>
      <c r="S55" s="419" t="s">
        <v>4376</v>
      </c>
      <c r="T55" s="416" t="s">
        <v>2359</v>
      </c>
      <c r="U55" s="305">
        <f t="shared" si="5"/>
        <v>4400000</v>
      </c>
      <c r="V55" s="305"/>
      <c r="W55" s="305"/>
      <c r="X55" s="305"/>
      <c r="Y55" s="305"/>
      <c r="Z55" s="305"/>
      <c r="AA55" s="305"/>
      <c r="AB55" s="305"/>
      <c r="AC55" s="305"/>
      <c r="AD55" s="305"/>
      <c r="AE55" s="305"/>
      <c r="AF55" s="305"/>
      <c r="AG55" s="305"/>
      <c r="AH55" s="305"/>
      <c r="AI55" s="305"/>
      <c r="AJ55" s="305"/>
      <c r="AK55" s="305"/>
      <c r="AL55" s="305"/>
      <c r="AM55" s="305"/>
      <c r="AN55" s="305"/>
      <c r="AO55" s="305"/>
      <c r="AP55" s="305"/>
      <c r="AQ55" s="305"/>
      <c r="AR55" s="305"/>
      <c r="AS55" s="305"/>
      <c r="AT55" s="305"/>
      <c r="AU55" s="305"/>
      <c r="AV55" s="305"/>
      <c r="AW55" s="305"/>
      <c r="AX55" s="305"/>
      <c r="AY55" s="305"/>
      <c r="AZ55" s="305"/>
      <c r="BA55" s="305"/>
      <c r="BB55" s="305"/>
      <c r="BC55" s="305"/>
      <c r="BD55" s="305"/>
      <c r="BE55" s="305"/>
      <c r="BF55" s="305"/>
      <c r="BG55" s="305"/>
      <c r="BH55" s="305"/>
      <c r="BI55" s="305"/>
      <c r="BJ55" s="305"/>
      <c r="BK55" s="305"/>
      <c r="BL55" s="305"/>
      <c r="BM55" s="305"/>
      <c r="BN55" s="305"/>
      <c r="BO55" s="305"/>
      <c r="BP55" s="305"/>
      <c r="BQ55" s="305"/>
      <c r="BR55" s="305"/>
      <c r="BS55" s="305"/>
      <c r="BT55" s="305"/>
      <c r="BU55" s="305"/>
      <c r="BV55" s="305"/>
      <c r="BW55" s="305"/>
      <c r="BX55" s="305"/>
      <c r="BY55" s="305"/>
      <c r="BZ55" s="305"/>
      <c r="CA55" s="305"/>
      <c r="CB55" s="305"/>
      <c r="CC55" s="305"/>
      <c r="CD55" s="305"/>
      <c r="CE55" s="305"/>
      <c r="CF55" s="305"/>
      <c r="CG55" s="305"/>
      <c r="CH55" s="305"/>
      <c r="CI55" s="305"/>
      <c r="CJ55" s="305"/>
      <c r="CK55" s="305"/>
      <c r="CL55" s="305"/>
      <c r="CM55" s="305"/>
      <c r="CN55" s="305"/>
      <c r="CO55" s="305"/>
      <c r="CP55" s="305"/>
      <c r="CQ55" s="305"/>
      <c r="CR55" s="305"/>
      <c r="CS55" s="305"/>
      <c r="CT55" s="305"/>
      <c r="CU55" s="305"/>
      <c r="CV55" s="305"/>
      <c r="CW55" s="305"/>
      <c r="CX55" s="305"/>
      <c r="CY55" s="305"/>
      <c r="CZ55" s="305"/>
      <c r="DA55" s="305"/>
      <c r="DB55" s="305"/>
      <c r="DC55" s="305"/>
      <c r="DD55" s="305"/>
      <c r="DE55" s="305"/>
      <c r="DF55" s="305"/>
      <c r="DG55" s="305"/>
      <c r="DH55" s="305"/>
      <c r="DI55" s="305"/>
      <c r="DJ55" s="305"/>
      <c r="DK55" s="305"/>
      <c r="DL55" s="305"/>
      <c r="DM55" s="305"/>
      <c r="DN55" s="305"/>
      <c r="DO55" s="305"/>
      <c r="DP55" s="305"/>
      <c r="DQ55" s="305"/>
      <c r="DR55" s="305"/>
      <c r="DS55" s="305"/>
      <c r="DT55" s="305"/>
      <c r="DU55" s="305"/>
      <c r="DV55" s="305"/>
      <c r="DW55" s="305"/>
      <c r="DX55" s="305"/>
      <c r="DY55" s="305"/>
      <c r="DZ55" s="305"/>
      <c r="EA55" s="305"/>
      <c r="EB55" s="305"/>
      <c r="EC55" s="305"/>
      <c r="ED55" s="305"/>
      <c r="EE55" s="305"/>
      <c r="EF55" s="305"/>
      <c r="EG55" s="305"/>
      <c r="EH55" s="305"/>
      <c r="EI55" s="305"/>
      <c r="EJ55" s="305"/>
      <c r="EK55" s="305"/>
      <c r="EL55" s="305"/>
      <c r="EM55" s="305"/>
      <c r="EN55" s="305"/>
      <c r="EO55" s="305"/>
    </row>
    <row r="56" spans="1:145" ht="15.75" customHeight="1" x14ac:dyDescent="0.15">
      <c r="A56" s="413" t="str">
        <f t="shared" si="2"/>
        <v>total_points level 46</v>
      </c>
      <c r="B56" s="413"/>
      <c r="C56" s="413">
        <v>46</v>
      </c>
      <c r="D56" s="413"/>
      <c r="E56" s="413"/>
      <c r="F56" s="413"/>
      <c r="G56" s="413"/>
      <c r="H56" s="414">
        <v>4500000</v>
      </c>
      <c r="I56" s="413" t="str">
        <f ca="1">IFERROR(__xludf.DUMMYFUNCTION("TRANSPOSE( FILTER( 'TitleData rewards.items'!$J$8:$J61 , 'TitleData rewards.items'!$GM$8:$GM61 = $M56&amp;"":""&amp;$N56 ) ) "),"#N/A")</f>
        <v>#N/A</v>
      </c>
      <c r="J56" s="305"/>
      <c r="K56" s="305"/>
      <c r="L56" s="415" t="s">
        <v>322</v>
      </c>
      <c r="M56" s="416" t="s">
        <v>4379</v>
      </c>
      <c r="N56" s="305">
        <f t="shared" si="3"/>
        <v>46</v>
      </c>
      <c r="O56" s="305" t="s">
        <v>280</v>
      </c>
      <c r="P56" s="420" t="s">
        <v>4380</v>
      </c>
      <c r="Q56" s="305">
        <f t="shared" si="4"/>
        <v>4600000</v>
      </c>
      <c r="R56" s="305" t="s">
        <v>280</v>
      </c>
      <c r="S56" s="419" t="s">
        <v>4376</v>
      </c>
      <c r="T56" s="416" t="s">
        <v>2359</v>
      </c>
      <c r="U56" s="305">
        <f t="shared" si="5"/>
        <v>4500000</v>
      </c>
      <c r="V56" s="305"/>
      <c r="W56" s="305"/>
      <c r="X56" s="305"/>
      <c r="Y56" s="305"/>
      <c r="Z56" s="305"/>
      <c r="AA56" s="305"/>
      <c r="AB56" s="305"/>
      <c r="AC56" s="305"/>
      <c r="AD56" s="305"/>
      <c r="AE56" s="305"/>
      <c r="AF56" s="305"/>
      <c r="AG56" s="305"/>
      <c r="AH56" s="305"/>
      <c r="AI56" s="305"/>
      <c r="AJ56" s="305"/>
      <c r="AK56" s="305"/>
      <c r="AL56" s="305"/>
      <c r="AM56" s="305"/>
      <c r="AN56" s="305"/>
      <c r="AO56" s="305"/>
      <c r="AP56" s="305"/>
      <c r="AQ56" s="305"/>
      <c r="AR56" s="305"/>
      <c r="AS56" s="305"/>
      <c r="AT56" s="305"/>
      <c r="AU56" s="305"/>
      <c r="AV56" s="305"/>
      <c r="AW56" s="305"/>
      <c r="AX56" s="305"/>
      <c r="AY56" s="305"/>
      <c r="AZ56" s="305"/>
      <c r="BA56" s="305"/>
      <c r="BB56" s="305"/>
      <c r="BC56" s="305"/>
      <c r="BD56" s="305"/>
      <c r="BE56" s="305"/>
      <c r="BF56" s="305"/>
      <c r="BG56" s="305"/>
      <c r="BH56" s="305"/>
      <c r="BI56" s="305"/>
      <c r="BJ56" s="305"/>
      <c r="BK56" s="305"/>
      <c r="BL56" s="305"/>
      <c r="BM56" s="305"/>
      <c r="BN56" s="305"/>
      <c r="BO56" s="305"/>
      <c r="BP56" s="305"/>
      <c r="BQ56" s="305"/>
      <c r="BR56" s="305"/>
      <c r="BS56" s="305"/>
      <c r="BT56" s="305"/>
      <c r="BU56" s="305"/>
      <c r="BV56" s="305"/>
      <c r="BW56" s="305"/>
      <c r="BX56" s="305"/>
      <c r="BY56" s="305"/>
      <c r="BZ56" s="305"/>
      <c r="CA56" s="305"/>
      <c r="CB56" s="305"/>
      <c r="CC56" s="305"/>
      <c r="CD56" s="305"/>
      <c r="CE56" s="305"/>
      <c r="CF56" s="305"/>
      <c r="CG56" s="305"/>
      <c r="CH56" s="305"/>
      <c r="CI56" s="305"/>
      <c r="CJ56" s="305"/>
      <c r="CK56" s="305"/>
      <c r="CL56" s="305"/>
      <c r="CM56" s="305"/>
      <c r="CN56" s="305"/>
      <c r="CO56" s="305"/>
      <c r="CP56" s="305"/>
      <c r="CQ56" s="305"/>
      <c r="CR56" s="305"/>
      <c r="CS56" s="305"/>
      <c r="CT56" s="305"/>
      <c r="CU56" s="305"/>
      <c r="CV56" s="305"/>
      <c r="CW56" s="305"/>
      <c r="CX56" s="305"/>
      <c r="CY56" s="305"/>
      <c r="CZ56" s="305"/>
      <c r="DA56" s="305"/>
      <c r="DB56" s="305"/>
      <c r="DC56" s="305"/>
      <c r="DD56" s="305"/>
      <c r="DE56" s="305"/>
      <c r="DF56" s="305"/>
      <c r="DG56" s="305"/>
      <c r="DH56" s="305"/>
      <c r="DI56" s="305"/>
      <c r="DJ56" s="305"/>
      <c r="DK56" s="305"/>
      <c r="DL56" s="305"/>
      <c r="DM56" s="305"/>
      <c r="DN56" s="305"/>
      <c r="DO56" s="305"/>
      <c r="DP56" s="305"/>
      <c r="DQ56" s="305"/>
      <c r="DR56" s="305"/>
      <c r="DS56" s="305"/>
      <c r="DT56" s="305"/>
      <c r="DU56" s="305"/>
      <c r="DV56" s="305"/>
      <c r="DW56" s="305"/>
      <c r="DX56" s="305"/>
      <c r="DY56" s="305"/>
      <c r="DZ56" s="305"/>
      <c r="EA56" s="305"/>
      <c r="EB56" s="305"/>
      <c r="EC56" s="305"/>
      <c r="ED56" s="305"/>
      <c r="EE56" s="305"/>
      <c r="EF56" s="305"/>
      <c r="EG56" s="305"/>
      <c r="EH56" s="305"/>
      <c r="EI56" s="305"/>
      <c r="EJ56" s="305"/>
      <c r="EK56" s="305"/>
      <c r="EL56" s="305"/>
      <c r="EM56" s="305"/>
      <c r="EN56" s="305"/>
      <c r="EO56" s="305"/>
    </row>
    <row r="57" spans="1:145" ht="15.75" customHeight="1" x14ac:dyDescent="0.15">
      <c r="A57" s="413" t="str">
        <f t="shared" si="2"/>
        <v>total_points level 47</v>
      </c>
      <c r="B57" s="413"/>
      <c r="C57" s="413">
        <v>47</v>
      </c>
      <c r="D57" s="413"/>
      <c r="E57" s="413"/>
      <c r="F57" s="413"/>
      <c r="G57" s="413"/>
      <c r="H57" s="414">
        <v>4600000</v>
      </c>
      <c r="I57" s="413" t="str">
        <f ca="1">IFERROR(__xludf.DUMMYFUNCTION("TRANSPOSE( FILTER( 'TitleData rewards.items'!$J$8:$J61 , 'TitleData rewards.items'!$GM$8:$GM61 = $M57&amp;"":""&amp;$N57 ) ) "),"#N/A")</f>
        <v>#N/A</v>
      </c>
      <c r="J57" s="305"/>
      <c r="K57" s="305"/>
      <c r="L57" s="415" t="s">
        <v>322</v>
      </c>
      <c r="M57" s="416" t="s">
        <v>4379</v>
      </c>
      <c r="N57" s="305">
        <f t="shared" si="3"/>
        <v>47</v>
      </c>
      <c r="O57" s="305" t="s">
        <v>280</v>
      </c>
      <c r="P57" s="420" t="s">
        <v>4380</v>
      </c>
      <c r="Q57" s="305">
        <f t="shared" si="4"/>
        <v>4700000</v>
      </c>
      <c r="R57" s="305" t="s">
        <v>280</v>
      </c>
      <c r="S57" s="419" t="s">
        <v>4376</v>
      </c>
      <c r="T57" s="416" t="s">
        <v>2359</v>
      </c>
      <c r="U57" s="305">
        <f t="shared" si="5"/>
        <v>4600000</v>
      </c>
      <c r="V57" s="305"/>
      <c r="W57" s="305"/>
      <c r="X57" s="305"/>
      <c r="Y57" s="305"/>
      <c r="Z57" s="305"/>
      <c r="AA57" s="305"/>
      <c r="AB57" s="305"/>
      <c r="AC57" s="305"/>
      <c r="AD57" s="305"/>
      <c r="AE57" s="305"/>
      <c r="AF57" s="305"/>
      <c r="AG57" s="305"/>
      <c r="AH57" s="305"/>
      <c r="AI57" s="305"/>
      <c r="AJ57" s="305"/>
      <c r="AK57" s="305"/>
      <c r="AL57" s="305"/>
      <c r="AM57" s="305"/>
      <c r="AN57" s="305"/>
      <c r="AO57" s="305"/>
      <c r="AP57" s="305"/>
      <c r="AQ57" s="305"/>
      <c r="AR57" s="305"/>
      <c r="AS57" s="305"/>
      <c r="AT57" s="305"/>
      <c r="AU57" s="305"/>
      <c r="AV57" s="305"/>
      <c r="AW57" s="305"/>
      <c r="AX57" s="305"/>
      <c r="AY57" s="305"/>
      <c r="AZ57" s="305"/>
      <c r="BA57" s="305"/>
      <c r="BB57" s="305"/>
      <c r="BC57" s="305"/>
      <c r="BD57" s="305"/>
      <c r="BE57" s="305"/>
      <c r="BF57" s="305"/>
      <c r="BG57" s="305"/>
      <c r="BH57" s="305"/>
      <c r="BI57" s="305"/>
      <c r="BJ57" s="305"/>
      <c r="BK57" s="305"/>
      <c r="BL57" s="305"/>
      <c r="BM57" s="305"/>
      <c r="BN57" s="305"/>
      <c r="BO57" s="305"/>
      <c r="BP57" s="305"/>
      <c r="BQ57" s="305"/>
      <c r="BR57" s="305"/>
      <c r="BS57" s="305"/>
      <c r="BT57" s="305"/>
      <c r="BU57" s="305"/>
      <c r="BV57" s="305"/>
      <c r="BW57" s="305"/>
      <c r="BX57" s="305"/>
      <c r="BY57" s="305"/>
      <c r="BZ57" s="305"/>
      <c r="CA57" s="305"/>
      <c r="CB57" s="305"/>
      <c r="CC57" s="305"/>
      <c r="CD57" s="305"/>
      <c r="CE57" s="305"/>
      <c r="CF57" s="305"/>
      <c r="CG57" s="305"/>
      <c r="CH57" s="305"/>
      <c r="CI57" s="305"/>
      <c r="CJ57" s="305"/>
      <c r="CK57" s="305"/>
      <c r="CL57" s="305"/>
      <c r="CM57" s="305"/>
      <c r="CN57" s="305"/>
      <c r="CO57" s="305"/>
      <c r="CP57" s="305"/>
      <c r="CQ57" s="305"/>
      <c r="CR57" s="305"/>
      <c r="CS57" s="305"/>
      <c r="CT57" s="305"/>
      <c r="CU57" s="305"/>
      <c r="CV57" s="305"/>
      <c r="CW57" s="305"/>
      <c r="CX57" s="305"/>
      <c r="CY57" s="305"/>
      <c r="CZ57" s="305"/>
      <c r="DA57" s="305"/>
      <c r="DB57" s="305"/>
      <c r="DC57" s="305"/>
      <c r="DD57" s="305"/>
      <c r="DE57" s="305"/>
      <c r="DF57" s="305"/>
      <c r="DG57" s="305"/>
      <c r="DH57" s="305"/>
      <c r="DI57" s="305"/>
      <c r="DJ57" s="305"/>
      <c r="DK57" s="305"/>
      <c r="DL57" s="305"/>
      <c r="DM57" s="305"/>
      <c r="DN57" s="305"/>
      <c r="DO57" s="305"/>
      <c r="DP57" s="305"/>
      <c r="DQ57" s="305"/>
      <c r="DR57" s="305"/>
      <c r="DS57" s="305"/>
      <c r="DT57" s="305"/>
      <c r="DU57" s="305"/>
      <c r="DV57" s="305"/>
      <c r="DW57" s="305"/>
      <c r="DX57" s="305"/>
      <c r="DY57" s="305"/>
      <c r="DZ57" s="305"/>
      <c r="EA57" s="305"/>
      <c r="EB57" s="305"/>
      <c r="EC57" s="305"/>
      <c r="ED57" s="305"/>
      <c r="EE57" s="305"/>
      <c r="EF57" s="305"/>
      <c r="EG57" s="305"/>
      <c r="EH57" s="305"/>
      <c r="EI57" s="305"/>
      <c r="EJ57" s="305"/>
      <c r="EK57" s="305"/>
      <c r="EL57" s="305"/>
      <c r="EM57" s="305"/>
      <c r="EN57" s="305"/>
      <c r="EO57" s="305"/>
    </row>
    <row r="58" spans="1:145" ht="15.75" customHeight="1" x14ac:dyDescent="0.15">
      <c r="A58" s="413" t="str">
        <f t="shared" si="2"/>
        <v>total_points level 48</v>
      </c>
      <c r="B58" s="413"/>
      <c r="C58" s="413">
        <v>48</v>
      </c>
      <c r="D58" s="413"/>
      <c r="E58" s="413"/>
      <c r="F58" s="413"/>
      <c r="G58" s="413"/>
      <c r="H58" s="414">
        <v>4700000</v>
      </c>
      <c r="I58" s="413" t="str">
        <f ca="1">IFERROR(__xludf.DUMMYFUNCTION("TRANSPOSE( FILTER( 'TitleData rewards.items'!$J$8:$J61 , 'TitleData rewards.items'!$GM$8:$GM61 = $M58&amp;"":""&amp;$N58 ) ) "),"#N/A")</f>
        <v>#N/A</v>
      </c>
      <c r="J58" s="305"/>
      <c r="K58" s="305"/>
      <c r="L58" s="415" t="s">
        <v>322</v>
      </c>
      <c r="M58" s="416" t="s">
        <v>4379</v>
      </c>
      <c r="N58" s="305">
        <f t="shared" si="3"/>
        <v>48</v>
      </c>
      <c r="O58" s="305" t="s">
        <v>280</v>
      </c>
      <c r="P58" s="420" t="s">
        <v>4380</v>
      </c>
      <c r="Q58" s="305">
        <f t="shared" si="4"/>
        <v>4800000</v>
      </c>
      <c r="R58" s="305" t="s">
        <v>280</v>
      </c>
      <c r="S58" s="419" t="s">
        <v>4376</v>
      </c>
      <c r="T58" s="416" t="s">
        <v>2359</v>
      </c>
      <c r="U58" s="305">
        <f t="shared" si="5"/>
        <v>4700000</v>
      </c>
      <c r="V58" s="305"/>
      <c r="W58" s="305"/>
      <c r="X58" s="305"/>
      <c r="Y58" s="305"/>
      <c r="Z58" s="305"/>
      <c r="AA58" s="305"/>
      <c r="AB58" s="305"/>
      <c r="AC58" s="305"/>
      <c r="AD58" s="305"/>
      <c r="AE58" s="305"/>
      <c r="AF58" s="305"/>
      <c r="AG58" s="305"/>
      <c r="AH58" s="305"/>
      <c r="AI58" s="305"/>
      <c r="AJ58" s="305"/>
      <c r="AK58" s="305"/>
      <c r="AL58" s="305"/>
      <c r="AM58" s="305"/>
      <c r="AN58" s="305"/>
      <c r="AO58" s="305"/>
      <c r="AP58" s="305"/>
      <c r="AQ58" s="305"/>
      <c r="AR58" s="305"/>
      <c r="AS58" s="305"/>
      <c r="AT58" s="305"/>
      <c r="AU58" s="305"/>
      <c r="AV58" s="305"/>
      <c r="AW58" s="305"/>
      <c r="AX58" s="305"/>
      <c r="AY58" s="305"/>
      <c r="AZ58" s="305"/>
      <c r="BA58" s="305"/>
      <c r="BB58" s="305"/>
      <c r="BC58" s="305"/>
      <c r="BD58" s="305"/>
      <c r="BE58" s="305"/>
      <c r="BF58" s="305"/>
      <c r="BG58" s="305"/>
      <c r="BH58" s="305"/>
      <c r="BI58" s="305"/>
      <c r="BJ58" s="305"/>
      <c r="BK58" s="305"/>
      <c r="BL58" s="305"/>
      <c r="BM58" s="305"/>
      <c r="BN58" s="305"/>
      <c r="BO58" s="305"/>
      <c r="BP58" s="305"/>
      <c r="BQ58" s="305"/>
      <c r="BR58" s="305"/>
      <c r="BS58" s="305"/>
      <c r="BT58" s="305"/>
      <c r="BU58" s="305"/>
      <c r="BV58" s="305"/>
      <c r="BW58" s="305"/>
      <c r="BX58" s="305"/>
      <c r="BY58" s="305"/>
      <c r="BZ58" s="305"/>
      <c r="CA58" s="305"/>
      <c r="CB58" s="305"/>
      <c r="CC58" s="305"/>
      <c r="CD58" s="305"/>
      <c r="CE58" s="305"/>
      <c r="CF58" s="305"/>
      <c r="CG58" s="305"/>
      <c r="CH58" s="305"/>
      <c r="CI58" s="305"/>
      <c r="CJ58" s="305"/>
      <c r="CK58" s="305"/>
      <c r="CL58" s="305"/>
      <c r="CM58" s="305"/>
      <c r="CN58" s="305"/>
      <c r="CO58" s="305"/>
      <c r="CP58" s="305"/>
      <c r="CQ58" s="305"/>
      <c r="CR58" s="305"/>
      <c r="CS58" s="305"/>
      <c r="CT58" s="305"/>
      <c r="CU58" s="305"/>
      <c r="CV58" s="305"/>
      <c r="CW58" s="305"/>
      <c r="CX58" s="305"/>
      <c r="CY58" s="305"/>
      <c r="CZ58" s="305"/>
      <c r="DA58" s="305"/>
      <c r="DB58" s="305"/>
      <c r="DC58" s="305"/>
      <c r="DD58" s="305"/>
      <c r="DE58" s="305"/>
      <c r="DF58" s="305"/>
      <c r="DG58" s="305"/>
      <c r="DH58" s="305"/>
      <c r="DI58" s="305"/>
      <c r="DJ58" s="305"/>
      <c r="DK58" s="305"/>
      <c r="DL58" s="305"/>
      <c r="DM58" s="305"/>
      <c r="DN58" s="305"/>
      <c r="DO58" s="305"/>
      <c r="DP58" s="305"/>
      <c r="DQ58" s="305"/>
      <c r="DR58" s="305"/>
      <c r="DS58" s="305"/>
      <c r="DT58" s="305"/>
      <c r="DU58" s="305"/>
      <c r="DV58" s="305"/>
      <c r="DW58" s="305"/>
      <c r="DX58" s="305"/>
      <c r="DY58" s="305"/>
      <c r="DZ58" s="305"/>
      <c r="EA58" s="305"/>
      <c r="EB58" s="305"/>
      <c r="EC58" s="305"/>
      <c r="ED58" s="305"/>
      <c r="EE58" s="305"/>
      <c r="EF58" s="305"/>
      <c r="EG58" s="305"/>
      <c r="EH58" s="305"/>
      <c r="EI58" s="305"/>
      <c r="EJ58" s="305"/>
      <c r="EK58" s="305"/>
      <c r="EL58" s="305"/>
      <c r="EM58" s="305"/>
      <c r="EN58" s="305"/>
      <c r="EO58" s="305"/>
    </row>
    <row r="59" spans="1:145" ht="15.75" customHeight="1" x14ac:dyDescent="0.15">
      <c r="A59" s="413" t="str">
        <f t="shared" si="2"/>
        <v>total_points level 49</v>
      </c>
      <c r="B59" s="413"/>
      <c r="C59" s="413">
        <v>49</v>
      </c>
      <c r="D59" s="413"/>
      <c r="E59" s="413"/>
      <c r="F59" s="413"/>
      <c r="G59" s="413"/>
      <c r="H59" s="414">
        <v>4800000</v>
      </c>
      <c r="I59" s="413" t="str">
        <f ca="1">IFERROR(__xludf.DUMMYFUNCTION("TRANSPOSE( FILTER( 'TitleData rewards.items'!$J$8:$J61 , 'TitleData rewards.items'!$GM$8:$GM61 = $M59&amp;"":""&amp;$N59 ) ) "),"#N/A")</f>
        <v>#N/A</v>
      </c>
      <c r="J59" s="305"/>
      <c r="K59" s="305"/>
      <c r="L59" s="415" t="s">
        <v>322</v>
      </c>
      <c r="M59" s="416" t="s">
        <v>4379</v>
      </c>
      <c r="N59" s="305">
        <f t="shared" si="3"/>
        <v>49</v>
      </c>
      <c r="O59" s="305" t="s">
        <v>280</v>
      </c>
      <c r="P59" s="420" t="s">
        <v>4380</v>
      </c>
      <c r="Q59" s="305">
        <f t="shared" si="4"/>
        <v>4900000</v>
      </c>
      <c r="R59" s="305" t="s">
        <v>280</v>
      </c>
      <c r="S59" s="419" t="s">
        <v>4376</v>
      </c>
      <c r="T59" s="416" t="s">
        <v>2359</v>
      </c>
      <c r="U59" s="305">
        <f t="shared" si="5"/>
        <v>4800000</v>
      </c>
      <c r="V59" s="305"/>
      <c r="W59" s="305"/>
      <c r="X59" s="305"/>
      <c r="Y59" s="305"/>
      <c r="Z59" s="305"/>
      <c r="AA59" s="305"/>
      <c r="AB59" s="305"/>
      <c r="AC59" s="305"/>
      <c r="AD59" s="305"/>
      <c r="AE59" s="305"/>
      <c r="AF59" s="305"/>
      <c r="AG59" s="305"/>
      <c r="AH59" s="305"/>
      <c r="AI59" s="305"/>
      <c r="AJ59" s="305"/>
      <c r="AK59" s="305"/>
      <c r="AL59" s="305"/>
      <c r="AM59" s="305"/>
      <c r="AN59" s="305"/>
      <c r="AO59" s="305"/>
      <c r="AP59" s="305"/>
      <c r="AQ59" s="305"/>
      <c r="AR59" s="305"/>
      <c r="AS59" s="305"/>
      <c r="AT59" s="305"/>
      <c r="AU59" s="305"/>
      <c r="AV59" s="305"/>
      <c r="AW59" s="305"/>
      <c r="AX59" s="305"/>
      <c r="AY59" s="305"/>
      <c r="AZ59" s="305"/>
      <c r="BA59" s="305"/>
      <c r="BB59" s="305"/>
      <c r="BC59" s="305"/>
      <c r="BD59" s="305"/>
      <c r="BE59" s="305"/>
      <c r="BF59" s="305"/>
      <c r="BG59" s="305"/>
      <c r="BH59" s="305"/>
      <c r="BI59" s="305"/>
      <c r="BJ59" s="305"/>
      <c r="BK59" s="305"/>
      <c r="BL59" s="305"/>
      <c r="BM59" s="305"/>
      <c r="BN59" s="305"/>
      <c r="BO59" s="305"/>
      <c r="BP59" s="305"/>
      <c r="BQ59" s="305"/>
      <c r="BR59" s="305"/>
      <c r="BS59" s="305"/>
      <c r="BT59" s="305"/>
      <c r="BU59" s="305"/>
      <c r="BV59" s="305"/>
      <c r="BW59" s="305"/>
      <c r="BX59" s="305"/>
      <c r="BY59" s="305"/>
      <c r="BZ59" s="305"/>
      <c r="CA59" s="305"/>
      <c r="CB59" s="305"/>
      <c r="CC59" s="305"/>
      <c r="CD59" s="305"/>
      <c r="CE59" s="305"/>
      <c r="CF59" s="305"/>
      <c r="CG59" s="305"/>
      <c r="CH59" s="305"/>
      <c r="CI59" s="305"/>
      <c r="CJ59" s="305"/>
      <c r="CK59" s="305"/>
      <c r="CL59" s="305"/>
      <c r="CM59" s="305"/>
      <c r="CN59" s="305"/>
      <c r="CO59" s="305"/>
      <c r="CP59" s="305"/>
      <c r="CQ59" s="305"/>
      <c r="CR59" s="305"/>
      <c r="CS59" s="305"/>
      <c r="CT59" s="305"/>
      <c r="CU59" s="305"/>
      <c r="CV59" s="305"/>
      <c r="CW59" s="305"/>
      <c r="CX59" s="305"/>
      <c r="CY59" s="305"/>
      <c r="CZ59" s="305"/>
      <c r="DA59" s="305"/>
      <c r="DB59" s="305"/>
      <c r="DC59" s="305"/>
      <c r="DD59" s="305"/>
      <c r="DE59" s="305"/>
      <c r="DF59" s="305"/>
      <c r="DG59" s="305"/>
      <c r="DH59" s="305"/>
      <c r="DI59" s="305"/>
      <c r="DJ59" s="305"/>
      <c r="DK59" s="305"/>
      <c r="DL59" s="305"/>
      <c r="DM59" s="305"/>
      <c r="DN59" s="305"/>
      <c r="DO59" s="305"/>
      <c r="DP59" s="305"/>
      <c r="DQ59" s="305"/>
      <c r="DR59" s="305"/>
      <c r="DS59" s="305"/>
      <c r="DT59" s="305"/>
      <c r="DU59" s="305"/>
      <c r="DV59" s="305"/>
      <c r="DW59" s="305"/>
      <c r="DX59" s="305"/>
      <c r="DY59" s="305"/>
      <c r="DZ59" s="305"/>
      <c r="EA59" s="305"/>
      <c r="EB59" s="305"/>
      <c r="EC59" s="305"/>
      <c r="ED59" s="305"/>
      <c r="EE59" s="305"/>
      <c r="EF59" s="305"/>
      <c r="EG59" s="305"/>
      <c r="EH59" s="305"/>
      <c r="EI59" s="305"/>
      <c r="EJ59" s="305"/>
      <c r="EK59" s="305"/>
      <c r="EL59" s="305"/>
      <c r="EM59" s="305"/>
      <c r="EN59" s="305"/>
      <c r="EO59" s="305"/>
    </row>
    <row r="60" spans="1:145" ht="68" x14ac:dyDescent="0.15">
      <c r="A60" s="413" t="str">
        <f t="shared" si="2"/>
        <v>total_points level 50</v>
      </c>
      <c r="B60" s="413"/>
      <c r="C60" s="413">
        <v>50</v>
      </c>
      <c r="D60" s="413"/>
      <c r="E60" s="413"/>
      <c r="F60" s="413"/>
      <c r="G60" s="413"/>
      <c r="H60" s="414">
        <v>4900000</v>
      </c>
      <c r="I60" s="413" t="str">
        <f ca="1">IFERROR(__xludf.DUMMYFUNCTION("TRANSPOSE( FILTER( 'TitleData rewards.items'!$J$8:$J61 , 'TitleData rewards.items'!$GM$8:$GM61 = $M60&amp;"":""&amp;$N60 ) ) "),"#N/A")</f>
        <v>#N/A</v>
      </c>
      <c r="J60" s="305"/>
      <c r="K60" s="305"/>
      <c r="L60" s="415" t="s">
        <v>322</v>
      </c>
      <c r="M60" s="416" t="s">
        <v>4379</v>
      </c>
      <c r="N60" s="305">
        <f t="shared" si="3"/>
        <v>50</v>
      </c>
      <c r="O60" s="305" t="s">
        <v>280</v>
      </c>
      <c r="P60" s="420" t="s">
        <v>4380</v>
      </c>
      <c r="Q60" s="305">
        <f t="shared" si="4"/>
        <v>5000000</v>
      </c>
      <c r="R60" s="305" t="s">
        <v>280</v>
      </c>
      <c r="S60" s="419" t="s">
        <v>4376</v>
      </c>
      <c r="T60" s="416" t="s">
        <v>2359</v>
      </c>
      <c r="U60" s="305">
        <f t="shared" si="5"/>
        <v>4900000</v>
      </c>
      <c r="V60" s="305"/>
      <c r="W60" s="305"/>
      <c r="X60" s="305"/>
      <c r="Y60" s="305"/>
      <c r="Z60" s="305"/>
      <c r="AA60" s="305"/>
      <c r="AB60" s="305"/>
      <c r="AC60" s="305"/>
      <c r="AD60" s="305"/>
      <c r="AE60" s="305"/>
      <c r="AF60" s="305"/>
      <c r="AG60" s="305"/>
      <c r="AH60" s="305"/>
      <c r="AI60" s="305"/>
      <c r="AJ60" s="305"/>
      <c r="AK60" s="305"/>
      <c r="AL60" s="305"/>
      <c r="AM60" s="305"/>
      <c r="AN60" s="305"/>
      <c r="AO60" s="305"/>
      <c r="AP60" s="305"/>
      <c r="AQ60" s="305"/>
      <c r="AR60" s="305"/>
      <c r="AS60" s="305"/>
      <c r="AT60" s="305"/>
      <c r="AU60" s="305"/>
      <c r="AV60" s="305"/>
      <c r="AW60" s="305"/>
      <c r="AX60" s="305"/>
      <c r="AY60" s="305"/>
      <c r="AZ60" s="305"/>
      <c r="BA60" s="305"/>
      <c r="BB60" s="305"/>
      <c r="BC60" s="305"/>
      <c r="BD60" s="305"/>
      <c r="BE60" s="305"/>
      <c r="BF60" s="305"/>
      <c r="BG60" s="305"/>
      <c r="BH60" s="305"/>
      <c r="BI60" s="305"/>
      <c r="BJ60" s="305"/>
      <c r="BK60" s="305"/>
      <c r="BL60" s="305"/>
      <c r="BM60" s="305"/>
      <c r="BN60" s="305"/>
      <c r="BO60" s="305"/>
      <c r="BP60" s="305"/>
      <c r="BQ60" s="305"/>
      <c r="BR60" s="305"/>
      <c r="BS60" s="305"/>
      <c r="BT60" s="305"/>
      <c r="BU60" s="305"/>
      <c r="BV60" s="305"/>
      <c r="BW60" s="305"/>
      <c r="BX60" s="305"/>
      <c r="BY60" s="305"/>
      <c r="BZ60" s="305"/>
      <c r="CA60" s="305"/>
      <c r="CB60" s="305"/>
      <c r="CC60" s="305"/>
      <c r="CD60" s="305"/>
      <c r="CE60" s="305"/>
      <c r="CF60" s="305"/>
      <c r="CG60" s="305"/>
      <c r="CH60" s="305"/>
      <c r="CI60" s="305"/>
      <c r="CJ60" s="305"/>
      <c r="CK60" s="305"/>
      <c r="CL60" s="305"/>
      <c r="CM60" s="305"/>
      <c r="CN60" s="305"/>
      <c r="CO60" s="305"/>
      <c r="CP60" s="305"/>
      <c r="CQ60" s="305"/>
      <c r="CR60" s="305"/>
      <c r="CS60" s="305"/>
      <c r="CT60" s="305"/>
      <c r="CU60" s="305"/>
      <c r="CV60" s="305"/>
      <c r="CW60" s="305"/>
      <c r="CX60" s="305"/>
      <c r="CY60" s="305"/>
      <c r="CZ60" s="305"/>
      <c r="DA60" s="305"/>
      <c r="DB60" s="305"/>
      <c r="DC60" s="305"/>
      <c r="DD60" s="305"/>
      <c r="DE60" s="305"/>
      <c r="DF60" s="305"/>
      <c r="DG60" s="305"/>
      <c r="DH60" s="305"/>
      <c r="DI60" s="305"/>
      <c r="DJ60" s="305"/>
      <c r="DK60" s="305"/>
      <c r="DL60" s="305"/>
      <c r="DM60" s="305"/>
      <c r="DN60" s="305"/>
      <c r="DO60" s="305"/>
      <c r="DP60" s="305"/>
      <c r="DQ60" s="305"/>
      <c r="DR60" s="305"/>
      <c r="DS60" s="305"/>
      <c r="DT60" s="305"/>
      <c r="DU60" s="305"/>
      <c r="DV60" s="305"/>
      <c r="DW60" s="305"/>
      <c r="DX60" s="305"/>
      <c r="DY60" s="305"/>
      <c r="DZ60" s="305"/>
      <c r="EA60" s="305"/>
      <c r="EB60" s="305"/>
      <c r="EC60" s="305"/>
      <c r="ED60" s="305"/>
      <c r="EE60" s="305"/>
      <c r="EF60" s="305"/>
      <c r="EG60" s="305"/>
      <c r="EH60" s="305"/>
      <c r="EI60" s="305"/>
      <c r="EJ60" s="305"/>
      <c r="EK60" s="305"/>
      <c r="EL60" s="305"/>
      <c r="EM60" s="305"/>
      <c r="EN60" s="305"/>
      <c r="EO60" s="305"/>
    </row>
    <row r="61" spans="1:145" ht="68" x14ac:dyDescent="0.15">
      <c r="A61" s="413" t="str">
        <f t="shared" si="2"/>
        <v>total_points level 51</v>
      </c>
      <c r="B61" s="413"/>
      <c r="C61" s="413">
        <v>51</v>
      </c>
      <c r="D61" s="413"/>
      <c r="E61" s="413"/>
      <c r="F61" s="413"/>
      <c r="G61" s="413"/>
      <c r="H61" s="414">
        <v>5000000</v>
      </c>
      <c r="I61" s="413" t="str">
        <f ca="1">IFERROR(__xludf.DUMMYFUNCTION("TRANSPOSE( FILTER( 'TitleData rewards.items'!$J$8:$J61 , 'TitleData rewards.items'!$GM$8:$GM61 = $M61&amp;"":""&amp;$N61 ) ) "),"#N/A")</f>
        <v>#N/A</v>
      </c>
      <c r="J61" s="305"/>
      <c r="K61" s="305"/>
      <c r="L61" s="415" t="s">
        <v>322</v>
      </c>
      <c r="M61" s="416" t="s">
        <v>4379</v>
      </c>
      <c r="N61" s="305">
        <f t="shared" si="3"/>
        <v>51</v>
      </c>
      <c r="O61" s="305" t="s">
        <v>280</v>
      </c>
      <c r="P61" s="420" t="s">
        <v>4380</v>
      </c>
      <c r="Q61" s="305">
        <f t="shared" si="4"/>
        <v>0</v>
      </c>
      <c r="R61" s="305" t="s">
        <v>280</v>
      </c>
      <c r="S61" s="419" t="s">
        <v>4376</v>
      </c>
      <c r="T61" s="416" t="s">
        <v>2359</v>
      </c>
      <c r="U61" s="305">
        <f t="shared" si="5"/>
        <v>5000000</v>
      </c>
      <c r="V61" s="305"/>
      <c r="W61" s="305"/>
      <c r="X61" s="305"/>
      <c r="Y61" s="305"/>
      <c r="Z61" s="305"/>
      <c r="AA61" s="305"/>
      <c r="AB61" s="305"/>
      <c r="AC61" s="305"/>
      <c r="AD61" s="305"/>
      <c r="AE61" s="305"/>
      <c r="AF61" s="305"/>
      <c r="AG61" s="305"/>
      <c r="AH61" s="305"/>
      <c r="AI61" s="305"/>
      <c r="AJ61" s="305"/>
      <c r="AK61" s="305"/>
      <c r="AL61" s="305"/>
      <c r="AM61" s="305"/>
      <c r="AN61" s="305"/>
      <c r="AO61" s="305"/>
      <c r="AP61" s="305"/>
      <c r="AQ61" s="305"/>
      <c r="AR61" s="305"/>
      <c r="AS61" s="305"/>
      <c r="AT61" s="305"/>
      <c r="AU61" s="305"/>
      <c r="AV61" s="305"/>
      <c r="AW61" s="305"/>
      <c r="AX61" s="305"/>
      <c r="AY61" s="305"/>
      <c r="AZ61" s="305"/>
      <c r="BA61" s="305"/>
      <c r="BB61" s="305"/>
      <c r="BC61" s="305"/>
      <c r="BD61" s="305"/>
      <c r="BE61" s="305"/>
      <c r="BF61" s="305"/>
      <c r="BG61" s="305"/>
      <c r="BH61" s="305"/>
      <c r="BI61" s="305"/>
      <c r="BJ61" s="305"/>
      <c r="BK61" s="305"/>
      <c r="BL61" s="305"/>
      <c r="BM61" s="305"/>
      <c r="BN61" s="305"/>
      <c r="BO61" s="305"/>
      <c r="BP61" s="305"/>
      <c r="BQ61" s="305"/>
      <c r="BR61" s="305"/>
      <c r="BS61" s="305"/>
      <c r="BT61" s="305"/>
      <c r="BU61" s="305"/>
      <c r="BV61" s="305"/>
      <c r="BW61" s="305"/>
      <c r="BX61" s="305"/>
      <c r="BY61" s="305"/>
      <c r="BZ61" s="305"/>
      <c r="CA61" s="305"/>
      <c r="CB61" s="305"/>
      <c r="CC61" s="305"/>
      <c r="CD61" s="305"/>
      <c r="CE61" s="305"/>
      <c r="CF61" s="305"/>
      <c r="CG61" s="305"/>
      <c r="CH61" s="305"/>
      <c r="CI61" s="305"/>
      <c r="CJ61" s="305"/>
      <c r="CK61" s="305"/>
      <c r="CL61" s="305"/>
      <c r="CM61" s="305"/>
      <c r="CN61" s="305"/>
      <c r="CO61" s="305"/>
      <c r="CP61" s="305"/>
      <c r="CQ61" s="305"/>
      <c r="CR61" s="305"/>
      <c r="CS61" s="305"/>
      <c r="CT61" s="305"/>
      <c r="CU61" s="305"/>
      <c r="CV61" s="305"/>
      <c r="CW61" s="305"/>
      <c r="CX61" s="305"/>
      <c r="CY61" s="305"/>
      <c r="CZ61" s="305"/>
      <c r="DA61" s="305"/>
      <c r="DB61" s="305"/>
      <c r="DC61" s="305"/>
      <c r="DD61" s="305"/>
      <c r="DE61" s="305"/>
      <c r="DF61" s="305"/>
      <c r="DG61" s="305"/>
      <c r="DH61" s="305"/>
      <c r="DI61" s="305"/>
      <c r="DJ61" s="305"/>
      <c r="DK61" s="305"/>
      <c r="DL61" s="305"/>
      <c r="DM61" s="305"/>
      <c r="DN61" s="305"/>
      <c r="DO61" s="305"/>
      <c r="DP61" s="305"/>
      <c r="DQ61" s="305"/>
      <c r="DR61" s="305"/>
      <c r="DS61" s="305"/>
      <c r="DT61" s="305"/>
      <c r="DU61" s="305"/>
      <c r="DV61" s="305"/>
      <c r="DW61" s="305"/>
      <c r="DX61" s="305"/>
      <c r="DY61" s="305"/>
      <c r="DZ61" s="305"/>
      <c r="EA61" s="305"/>
      <c r="EB61" s="305"/>
      <c r="EC61" s="305"/>
      <c r="ED61" s="305"/>
      <c r="EE61" s="305"/>
      <c r="EF61" s="305"/>
      <c r="EG61" s="305"/>
      <c r="EH61" s="305"/>
      <c r="EI61" s="305"/>
      <c r="EJ61" s="305"/>
      <c r="EK61" s="305"/>
      <c r="EL61" s="305"/>
      <c r="EM61" s="305"/>
      <c r="EN61" s="305"/>
      <c r="EO61" s="305"/>
    </row>
  </sheetData>
  <conditionalFormatting sqref="A8:EO61">
    <cfRule type="expression" dxfId="64" priority="1">
      <formula>AND($B8=TRUE)</formula>
    </cfRule>
  </conditionalFormatting>
  <conditionalFormatting sqref="A8:EO61">
    <cfRule type="expression" dxfId="63" priority="2">
      <formula>_xludf.ISFORMULA(A8)</formula>
    </cfRule>
  </conditionalFormatting>
  <conditionalFormatting sqref="I8:I61 A11:H61 J11:EO61">
    <cfRule type="expression" dxfId="62" priority="3">
      <formula>REGEXMATCH($T8, "points")</formula>
    </cfRule>
  </conditionalFormatting>
  <conditionalFormatting sqref="I8:I61 A11:H61 J11:EO61">
    <cfRule type="expression" dxfId="61" priority="4">
      <formula>REGEXMATCH($T8, "elemental")</formula>
    </cfRule>
  </conditionalFormatting>
  <dataValidations count="3">
    <dataValidation type="list" allowBlank="1" sqref="T8:T61" xr:uid="{00000000-0002-0000-0D00-000001000000}">
      <formula1>DataValidation_StatisticPrimary</formula1>
    </dataValidation>
    <dataValidation type="list" allowBlank="1" sqref="P8:P61" xr:uid="{00000000-0002-0000-0D00-000002000000}">
      <formula1>DataValidation_PlayerDataKey</formula1>
    </dataValidation>
    <dataValidation type="decimal" operator="greaterThanOrEqual" allowBlank="1" showDropDown="1" sqref="Q8:Q61 U8:EO61" xr:uid="{00000000-0002-0000-0D00-000003000000}">
      <formula1>0</formula1>
    </dataValidation>
  </dataValidations>
  <hyperlinks>
    <hyperlink ref="T5" r:id="rId1" xr:uid="{00000000-0004-0000-0D00-000000000000}"/>
    <hyperlink ref="C7" r:id="rId2" xr:uid="{00000000-0004-0000-0D00-000001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D00-000000000000}">
          <x14:formula1>
            <xm:f>'_REF Data Validation for All Sh'!$O$6:$O$12</xm:f>
          </x14:formula1>
          <xm:sqref>O8:O61 R8:R61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900FF"/>
    <outlinePr summaryBelow="0" summaryRight="0"/>
  </sheetPr>
  <dimension ref="A1:K7"/>
  <sheetViews>
    <sheetView workbookViewId="0">
      <pane ySplit="6" topLeftCell="A7" activePane="bottomLeft" state="frozen"/>
      <selection activeCell="B10" sqref="B10"/>
      <selection pane="bottomLeft" activeCell="B10" sqref="B10"/>
    </sheetView>
  </sheetViews>
  <sheetFormatPr baseColWidth="10" defaultColWidth="12.6640625" defaultRowHeight="15.75" customHeight="1" x14ac:dyDescent="0.15"/>
  <sheetData>
    <row r="1" spans="1:11" ht="15.75" customHeight="1" x14ac:dyDescent="0.15">
      <c r="A1" s="313"/>
      <c r="B1" s="421"/>
      <c r="C1" s="313"/>
      <c r="D1" s="313"/>
      <c r="E1" s="313"/>
      <c r="F1" s="313"/>
      <c r="G1" s="422"/>
      <c r="H1" s="313"/>
      <c r="I1" s="313"/>
      <c r="J1" s="313"/>
      <c r="K1" s="422"/>
    </row>
    <row r="2" spans="1:11" ht="15.75" customHeight="1" x14ac:dyDescent="0.15">
      <c r="A2" s="313"/>
      <c r="B2" s="421"/>
      <c r="C2" s="313" t="s">
        <v>4383</v>
      </c>
      <c r="D2" s="313" t="s">
        <v>4384</v>
      </c>
      <c r="E2" s="313"/>
      <c r="F2" s="313"/>
      <c r="G2" s="422"/>
      <c r="H2" s="313"/>
      <c r="I2" s="313"/>
      <c r="J2" s="313"/>
      <c r="K2" s="422"/>
    </row>
    <row r="3" spans="1:11" ht="15.75" customHeight="1" x14ac:dyDescent="0.15">
      <c r="A3" s="309" t="s">
        <v>7</v>
      </c>
      <c r="B3" s="423" t="s">
        <v>4385</v>
      </c>
      <c r="C3" s="779" t="s">
        <v>4386</v>
      </c>
      <c r="D3" s="773"/>
      <c r="E3" s="773"/>
      <c r="F3" s="773"/>
      <c r="G3" s="780"/>
      <c r="H3" s="773"/>
      <c r="I3" s="773"/>
      <c r="J3" s="773"/>
      <c r="K3" s="424" t="s">
        <v>4387</v>
      </c>
    </row>
    <row r="4" spans="1:11" ht="15.75" customHeight="1" x14ac:dyDescent="0.15">
      <c r="A4" s="425"/>
      <c r="B4" s="426"/>
      <c r="C4" s="781">
        <v>1</v>
      </c>
      <c r="D4" s="773"/>
      <c r="E4" s="781">
        <v>2</v>
      </c>
      <c r="F4" s="773"/>
      <c r="G4" s="782">
        <v>3</v>
      </c>
      <c r="H4" s="773"/>
      <c r="I4" s="781">
        <v>4</v>
      </c>
      <c r="J4" s="773"/>
      <c r="K4" s="427"/>
    </row>
    <row r="5" spans="1:11" ht="15.75" customHeight="1" x14ac:dyDescent="0.15">
      <c r="A5" s="428"/>
      <c r="B5" s="429"/>
      <c r="C5" s="430" t="s">
        <v>4388</v>
      </c>
      <c r="D5" s="430" t="s">
        <v>4389</v>
      </c>
      <c r="E5" s="430" t="s">
        <v>4388</v>
      </c>
      <c r="F5" s="430" t="s">
        <v>4389</v>
      </c>
      <c r="G5" s="431"/>
      <c r="H5" s="430"/>
      <c r="I5" s="430"/>
      <c r="J5" s="430"/>
      <c r="K5" s="431"/>
    </row>
    <row r="6" spans="1:11" ht="15.75" customHeight="1" x14ac:dyDescent="0.15">
      <c r="A6" s="311"/>
      <c r="B6" s="432" t="s">
        <v>4390</v>
      </c>
      <c r="C6" s="433" t="s">
        <v>4391</v>
      </c>
      <c r="D6" s="433" t="s">
        <v>4392</v>
      </c>
      <c r="E6" s="433" t="s">
        <v>4393</v>
      </c>
      <c r="F6" s="433" t="s">
        <v>4394</v>
      </c>
      <c r="G6" s="433" t="s">
        <v>4395</v>
      </c>
      <c r="H6" s="433" t="s">
        <v>4396</v>
      </c>
      <c r="I6" s="433" t="s">
        <v>4397</v>
      </c>
      <c r="J6" s="433" t="s">
        <v>4398</v>
      </c>
      <c r="K6" s="434" t="s">
        <v>4399</v>
      </c>
    </row>
    <row r="7" spans="1:11" ht="15.75" customHeight="1" x14ac:dyDescent="0.15">
      <c r="A7" s="313"/>
      <c r="B7" s="435">
        <v>5</v>
      </c>
      <c r="C7" s="315">
        <v>1</v>
      </c>
      <c r="D7" s="315">
        <v>1</v>
      </c>
      <c r="E7" s="315">
        <v>2</v>
      </c>
      <c r="F7" s="315">
        <v>5</v>
      </c>
      <c r="G7" s="436">
        <v>3</v>
      </c>
      <c r="H7" s="315">
        <v>10</v>
      </c>
      <c r="I7" s="315">
        <v>4</v>
      </c>
      <c r="J7" s="315">
        <v>15</v>
      </c>
      <c r="K7" s="436">
        <v>300</v>
      </c>
    </row>
  </sheetData>
  <mergeCells count="6">
    <mergeCell ref="C3:F3"/>
    <mergeCell ref="G3:J3"/>
    <mergeCell ref="C4:D4"/>
    <mergeCell ref="E4:F4"/>
    <mergeCell ref="G4:H4"/>
    <mergeCell ref="I4:J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900FF"/>
    <outlinePr summaryBelow="0" summaryRight="0"/>
  </sheetPr>
  <dimension ref="A1:P6"/>
  <sheetViews>
    <sheetView workbookViewId="0">
      <pane ySplit="5" topLeftCell="A6" activePane="bottomLeft" state="frozen"/>
      <selection activeCell="B7" sqref="B7"/>
      <selection pane="bottomLeft" activeCell="B7" sqref="B7"/>
    </sheetView>
  </sheetViews>
  <sheetFormatPr baseColWidth="10" defaultColWidth="12.6640625" defaultRowHeight="15.75" customHeight="1" x14ac:dyDescent="0.15"/>
  <sheetData>
    <row r="1" spans="1:16" ht="15.75" customHeight="1" x14ac:dyDescent="0.15">
      <c r="A1" s="437" t="s">
        <v>4400</v>
      </c>
      <c r="C1" s="437"/>
      <c r="D1" s="437"/>
      <c r="E1" s="437"/>
      <c r="F1" s="437"/>
      <c r="G1" s="437"/>
      <c r="H1" s="437"/>
      <c r="I1" s="437"/>
      <c r="J1" s="437"/>
      <c r="K1" s="437"/>
      <c r="L1" s="437"/>
      <c r="M1" s="437"/>
      <c r="N1" s="437"/>
      <c r="O1" s="437"/>
      <c r="P1" s="437"/>
    </row>
    <row r="2" spans="1:16" ht="15.75" customHeight="1" x14ac:dyDescent="0.15">
      <c r="A2" s="342"/>
      <c r="B2" s="342"/>
      <c r="C2" s="342"/>
      <c r="D2" s="342"/>
      <c r="E2" s="342"/>
      <c r="F2" s="342"/>
      <c r="G2" s="342"/>
      <c r="H2" s="342"/>
      <c r="I2" s="342"/>
      <c r="J2" s="342"/>
      <c r="K2" s="342"/>
      <c r="L2" s="342"/>
      <c r="M2" s="342"/>
      <c r="N2" s="342"/>
      <c r="O2" s="342"/>
      <c r="P2" s="342"/>
    </row>
    <row r="3" spans="1:16" ht="15.75" customHeight="1" x14ac:dyDescent="0.15">
      <c r="A3" s="342"/>
      <c r="B3" s="342" t="s">
        <v>2515</v>
      </c>
      <c r="C3" s="342"/>
      <c r="D3" s="342"/>
      <c r="E3" s="343" t="s">
        <v>4401</v>
      </c>
      <c r="F3" s="342"/>
      <c r="G3" s="342"/>
      <c r="H3" s="342"/>
      <c r="I3" s="342"/>
      <c r="J3" s="342"/>
      <c r="K3" s="342"/>
      <c r="L3" s="342"/>
      <c r="M3" s="342"/>
      <c r="N3" s="342"/>
      <c r="O3" s="342"/>
      <c r="P3" s="342"/>
    </row>
    <row r="4" spans="1:16" ht="15.75" customHeight="1" x14ac:dyDescent="0.15">
      <c r="A4" s="344" t="s">
        <v>7</v>
      </c>
      <c r="B4" s="344" t="s">
        <v>104</v>
      </c>
      <c r="C4" s="345" t="s">
        <v>2468</v>
      </c>
      <c r="D4" s="345" t="s">
        <v>4315</v>
      </c>
      <c r="E4" s="344" t="s">
        <v>4402</v>
      </c>
      <c r="F4" s="345" t="s">
        <v>4317</v>
      </c>
      <c r="G4" s="345" t="s">
        <v>4318</v>
      </c>
      <c r="H4" s="345" t="s">
        <v>4319</v>
      </c>
      <c r="I4" s="345" t="s">
        <v>4320</v>
      </c>
      <c r="J4" s="345" t="s">
        <v>4321</v>
      </c>
      <c r="K4" s="345" t="s">
        <v>4322</v>
      </c>
      <c r="L4" s="346"/>
      <c r="M4" s="345"/>
      <c r="N4" s="345"/>
      <c r="O4" s="345"/>
      <c r="P4" s="345"/>
    </row>
    <row r="5" spans="1:16" ht="15.75" customHeight="1" x14ac:dyDescent="0.15">
      <c r="A5" s="347"/>
      <c r="B5" s="347" t="s">
        <v>206</v>
      </c>
      <c r="C5" s="348" t="s">
        <v>2474</v>
      </c>
      <c r="D5" s="348" t="s">
        <v>4323</v>
      </c>
      <c r="E5" s="349"/>
      <c r="F5" s="348" t="s">
        <v>2477</v>
      </c>
      <c r="G5" s="348" t="s">
        <v>2478</v>
      </c>
      <c r="H5" s="348" t="s">
        <v>2479</v>
      </c>
      <c r="I5" s="348" t="s">
        <v>2480</v>
      </c>
      <c r="J5" s="348" t="s">
        <v>2479</v>
      </c>
      <c r="K5" s="348" t="s">
        <v>2480</v>
      </c>
      <c r="L5" s="347"/>
      <c r="M5" s="348"/>
      <c r="N5" s="348"/>
      <c r="O5" s="348"/>
      <c r="P5" s="348"/>
    </row>
    <row r="6" spans="1:16" ht="15.75" customHeight="1" x14ac:dyDescent="0.15">
      <c r="A6" s="306"/>
      <c r="B6" s="306"/>
      <c r="C6" s="332" t="s">
        <v>2314</v>
      </c>
      <c r="D6" s="332" t="b">
        <v>1</v>
      </c>
      <c r="E6" s="338" t="s">
        <v>2313</v>
      </c>
      <c r="F6" s="306" t="s">
        <v>283</v>
      </c>
      <c r="G6" s="332" t="s">
        <v>4403</v>
      </c>
      <c r="H6" s="332" t="s">
        <v>2510</v>
      </c>
      <c r="I6" s="332"/>
      <c r="J6" s="332" t="s">
        <v>4326</v>
      </c>
      <c r="K6" s="332"/>
      <c r="L6" s="332"/>
      <c r="M6" s="332"/>
      <c r="N6" s="332"/>
      <c r="O6" s="332"/>
      <c r="P6" s="33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900FF"/>
    <outlinePr summaryBelow="0" summaryRight="0"/>
  </sheetPr>
  <dimension ref="A1:O9"/>
  <sheetViews>
    <sheetView workbookViewId="0">
      <pane ySplit="5" topLeftCell="A6" activePane="bottomLeft" state="frozen"/>
      <selection activeCell="B7" sqref="B7"/>
      <selection pane="bottomLeft" activeCell="B7" sqref="B7"/>
    </sheetView>
  </sheetViews>
  <sheetFormatPr baseColWidth="10" defaultColWidth="12.6640625" defaultRowHeight="15.75" customHeight="1" x14ac:dyDescent="0.15"/>
  <sheetData>
    <row r="1" spans="1:15" ht="15.75" customHeight="1" x14ac:dyDescent="0.15">
      <c r="A1" s="437" t="s">
        <v>4404</v>
      </c>
      <c r="C1" s="437"/>
      <c r="D1" s="437"/>
      <c r="E1" s="437"/>
      <c r="F1" s="437"/>
      <c r="G1" s="437"/>
      <c r="H1" s="437"/>
      <c r="I1" s="437"/>
      <c r="J1" s="437"/>
      <c r="K1" s="437"/>
      <c r="L1" s="437"/>
      <c r="M1" s="437"/>
      <c r="N1" s="437"/>
      <c r="O1" s="437"/>
    </row>
    <row r="2" spans="1:15" ht="15.75" customHeight="1" x14ac:dyDescent="0.15">
      <c r="A2" s="342"/>
      <c r="B2" s="342"/>
      <c r="C2" s="342"/>
      <c r="D2" s="342"/>
      <c r="E2" s="342"/>
      <c r="F2" s="342"/>
      <c r="G2" s="342"/>
      <c r="H2" s="342"/>
      <c r="I2" s="342"/>
      <c r="J2" s="342"/>
      <c r="K2" s="342"/>
      <c r="L2" s="342"/>
      <c r="M2" s="342"/>
      <c r="N2" s="342"/>
      <c r="O2" s="342"/>
    </row>
    <row r="3" spans="1:15" ht="15.75" customHeight="1" x14ac:dyDescent="0.15">
      <c r="A3" s="342"/>
      <c r="B3" s="342" t="s">
        <v>2515</v>
      </c>
      <c r="C3" s="342"/>
      <c r="D3" s="342"/>
      <c r="E3" s="342"/>
      <c r="F3" s="342"/>
      <c r="G3" s="342"/>
      <c r="H3" s="342"/>
      <c r="I3" s="342"/>
      <c r="J3" s="342"/>
      <c r="K3" s="342"/>
      <c r="L3" s="342"/>
      <c r="M3" s="342"/>
      <c r="N3" s="342"/>
      <c r="O3" s="342"/>
    </row>
    <row r="4" spans="1:15" ht="15.75" customHeight="1" x14ac:dyDescent="0.15">
      <c r="A4" s="345" t="s">
        <v>7</v>
      </c>
      <c r="B4" s="345" t="s">
        <v>104</v>
      </c>
      <c r="C4" s="345" t="s">
        <v>2468</v>
      </c>
      <c r="D4" s="345" t="s">
        <v>4405</v>
      </c>
      <c r="E4" s="345" t="s">
        <v>4317</v>
      </c>
      <c r="F4" s="345" t="s">
        <v>4318</v>
      </c>
      <c r="G4" s="345" t="s">
        <v>4319</v>
      </c>
      <c r="H4" s="345" t="s">
        <v>4320</v>
      </c>
      <c r="I4" s="345" t="s">
        <v>4321</v>
      </c>
      <c r="J4" s="345" t="s">
        <v>4322</v>
      </c>
      <c r="K4" s="346"/>
      <c r="L4" s="345"/>
      <c r="M4" s="345"/>
      <c r="N4" s="345"/>
      <c r="O4" s="345"/>
    </row>
    <row r="5" spans="1:15" ht="15.75" customHeight="1" x14ac:dyDescent="0.15">
      <c r="A5" s="347"/>
      <c r="B5" s="347" t="s">
        <v>206</v>
      </c>
      <c r="C5" s="348" t="s">
        <v>2474</v>
      </c>
      <c r="D5" s="348" t="s">
        <v>4323</v>
      </c>
      <c r="E5" s="348" t="s">
        <v>2477</v>
      </c>
      <c r="F5" s="348" t="s">
        <v>2478</v>
      </c>
      <c r="G5" s="348" t="s">
        <v>2479</v>
      </c>
      <c r="H5" s="348" t="s">
        <v>2480</v>
      </c>
      <c r="I5" s="348" t="s">
        <v>2479</v>
      </c>
      <c r="J5" s="348" t="s">
        <v>2480</v>
      </c>
      <c r="K5" s="347"/>
      <c r="L5" s="348"/>
      <c r="M5" s="348"/>
      <c r="N5" s="348"/>
      <c r="O5" s="348"/>
    </row>
    <row r="6" spans="1:15" ht="15.75" customHeight="1" x14ac:dyDescent="0.15">
      <c r="A6" s="306"/>
      <c r="B6" s="306"/>
      <c r="C6" s="332" t="s">
        <v>2313</v>
      </c>
      <c r="D6" s="332" t="b">
        <v>1</v>
      </c>
      <c r="E6" s="306" t="s">
        <v>283</v>
      </c>
      <c r="F6" s="332" t="s">
        <v>4406</v>
      </c>
      <c r="G6" s="332"/>
      <c r="H6" s="332"/>
      <c r="I6" s="332"/>
      <c r="J6" s="332"/>
      <c r="K6" s="332"/>
      <c r="L6" s="332"/>
      <c r="M6" s="332"/>
      <c r="N6" s="332"/>
      <c r="O6" s="332"/>
    </row>
    <row r="7" spans="1:15" ht="15.75" customHeight="1" x14ac:dyDescent="0.15">
      <c r="A7" s="332"/>
      <c r="B7" s="332"/>
      <c r="C7" s="332"/>
      <c r="D7" s="332"/>
      <c r="E7" s="306"/>
      <c r="F7" s="332"/>
      <c r="G7" s="306"/>
      <c r="H7" s="306"/>
      <c r="I7" s="306"/>
      <c r="J7" s="306"/>
      <c r="K7" s="306"/>
      <c r="L7" s="306"/>
      <c r="M7" s="306"/>
      <c r="N7" s="306"/>
      <c r="O7" s="306"/>
    </row>
    <row r="8" spans="1:15" ht="15.75" customHeight="1" x14ac:dyDescent="0.15">
      <c r="A8" s="306"/>
      <c r="B8" s="306"/>
      <c r="C8" s="332"/>
      <c r="D8" s="332"/>
      <c r="E8" s="306"/>
      <c r="F8" s="332"/>
      <c r="G8" s="306"/>
      <c r="H8" s="306"/>
      <c r="I8" s="306"/>
      <c r="J8" s="306"/>
      <c r="K8" s="306"/>
      <c r="L8" s="306"/>
      <c r="M8" s="306"/>
      <c r="N8" s="306"/>
      <c r="O8" s="306"/>
    </row>
    <row r="9" spans="1:15" ht="15.75" customHeight="1" x14ac:dyDescent="0.15">
      <c r="A9" s="306"/>
      <c r="B9" s="306"/>
      <c r="C9" s="306"/>
      <c r="D9" s="306"/>
      <c r="E9" s="306"/>
      <c r="F9" s="306"/>
      <c r="G9" s="306"/>
      <c r="H9" s="306"/>
      <c r="I9" s="306"/>
      <c r="J9" s="306"/>
      <c r="K9" s="306"/>
      <c r="L9" s="306"/>
      <c r="M9" s="306"/>
      <c r="N9" s="306"/>
      <c r="O9" s="30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900FF"/>
    <outlinePr summaryBelow="0" summaryRight="0"/>
  </sheetPr>
  <dimension ref="A1:GP127"/>
  <sheetViews>
    <sheetView workbookViewId="0">
      <pane xSplit="3" ySplit="8" topLeftCell="D9" activePane="bottomRight" state="frozen"/>
      <selection activeCell="B7" sqref="B7"/>
      <selection pane="topRight" activeCell="B7" sqref="B7"/>
      <selection pane="bottomLeft" activeCell="B7" sqref="B7"/>
      <selection pane="bottomRight" activeCell="B7" sqref="B7"/>
    </sheetView>
  </sheetViews>
  <sheetFormatPr baseColWidth="10" defaultColWidth="12.6640625" defaultRowHeight="15.75" customHeight="1" outlineLevelRow="1" outlineLevelCol="2" x14ac:dyDescent="0.15"/>
  <cols>
    <col min="1" max="1" width="28.6640625" customWidth="1"/>
    <col min="2" max="2" width="13.1640625" customWidth="1"/>
    <col min="3" max="3" width="29.33203125" customWidth="1"/>
    <col min="4" max="4" width="8.83203125" customWidth="1"/>
    <col min="5" max="6" width="11.33203125" customWidth="1"/>
    <col min="7" max="8" width="29.33203125" customWidth="1"/>
    <col min="9" max="9" width="11.6640625" customWidth="1"/>
    <col min="11" max="12" width="12.6640625" outlineLevel="1"/>
    <col min="13" max="14" width="12.6640625" outlineLevel="2"/>
    <col min="15" max="15" width="12.6640625" outlineLevel="1"/>
    <col min="16" max="17" width="12.6640625" outlineLevel="2"/>
    <col min="18" max="18" width="12.6640625" outlineLevel="1"/>
    <col min="19" max="19" width="12.6640625" collapsed="1"/>
    <col min="20" max="21" width="12.6640625" hidden="1" outlineLevel="1"/>
    <col min="22" max="23" width="12.6640625" hidden="1" outlineLevel="2"/>
    <col min="24" max="24" width="12.6640625" hidden="1" outlineLevel="1"/>
    <col min="25" max="26" width="12.6640625" hidden="1" outlineLevel="2"/>
    <col min="27" max="27" width="12.6640625" hidden="1" outlineLevel="1"/>
    <col min="29" max="33" width="12.6640625" outlineLevel="1"/>
    <col min="34" max="34" width="12.6640625" collapsed="1"/>
    <col min="35" max="39" width="12.6640625" hidden="1" outlineLevel="1"/>
    <col min="40" max="40" width="12.6640625" collapsed="1"/>
    <col min="41" max="45" width="12.6640625" hidden="1" outlineLevel="1"/>
    <col min="46" max="46" width="12.6640625" collapsed="1"/>
    <col min="47" max="51" width="12.6640625" hidden="1" outlineLevel="1"/>
    <col min="53" max="53" width="22.83203125" customWidth="1" outlineLevel="1"/>
    <col min="54" max="54" width="12.6640625" outlineLevel="1"/>
    <col min="56" max="57" width="12.6640625" outlineLevel="1"/>
    <col min="60" max="61" width="12.6640625" outlineLevel="1"/>
    <col min="62" max="63" width="12.6640625" outlineLevel="2"/>
    <col min="64" max="64" width="12.6640625" outlineLevel="1"/>
    <col min="65" max="66" width="12.6640625" outlineLevel="2"/>
    <col min="67" max="67" width="12.6640625" outlineLevel="1"/>
    <col min="68" max="70" width="12.6640625" outlineLevel="2"/>
    <col min="71" max="71" width="12.6640625" outlineLevel="1"/>
    <col min="75" max="76" width="12.6640625" outlineLevel="1"/>
    <col min="78" max="79" width="12.6640625" outlineLevel="1"/>
    <col min="81" max="83" width="12.6640625" outlineLevel="1"/>
    <col min="86" max="87" width="12.6640625" outlineLevel="1"/>
    <col min="88" max="89" width="12.6640625" outlineLevel="2"/>
    <col min="90" max="90" width="12.6640625" outlineLevel="1"/>
    <col min="91" max="92" width="12.6640625" outlineLevel="2"/>
    <col min="93" max="93" width="12.6640625" outlineLevel="1"/>
    <col min="94" max="96" width="12.6640625" outlineLevel="2"/>
    <col min="97" max="97" width="12.6640625" outlineLevel="1"/>
    <col min="99" max="100" width="12.6640625" outlineLevel="1"/>
    <col min="101" max="102" width="12.6640625" outlineLevel="2"/>
    <col min="103" max="103" width="12.6640625" outlineLevel="1"/>
    <col min="104" max="105" width="12.6640625" outlineLevel="2"/>
    <col min="106" max="106" width="12.6640625" outlineLevel="1"/>
    <col min="107" max="109" width="12.6640625" outlineLevel="2"/>
    <col min="110" max="110" width="12.6640625" outlineLevel="1"/>
    <col min="112" max="113" width="12.6640625" outlineLevel="1"/>
    <col min="114" max="115" width="12.6640625" outlineLevel="2"/>
    <col min="116" max="116" width="12.6640625" outlineLevel="1"/>
    <col min="117" max="118" width="12.6640625" outlineLevel="2"/>
    <col min="119" max="119" width="12.6640625" outlineLevel="1"/>
    <col min="120" max="122" width="12.6640625" outlineLevel="2"/>
    <col min="123" max="123" width="12.6640625" outlineLevel="1"/>
    <col min="125" max="126" width="12.6640625" outlineLevel="1"/>
    <col min="127" max="128" width="12.6640625" outlineLevel="2"/>
    <col min="129" max="129" width="12.6640625" outlineLevel="1"/>
    <col min="130" max="131" width="12.6640625" outlineLevel="2"/>
    <col min="132" max="133" width="12.6640625" outlineLevel="1"/>
    <col min="134" max="136" width="12.6640625" outlineLevel="2"/>
    <col min="137" max="137" width="12.6640625" outlineLevel="1"/>
    <col min="139" max="140" width="12.6640625" outlineLevel="1"/>
    <col min="141" max="142" width="12.6640625" outlineLevel="2"/>
    <col min="143" max="143" width="12.6640625" outlineLevel="1"/>
    <col min="144" max="145" width="12.6640625" outlineLevel="2"/>
    <col min="146" max="147" width="12.6640625" outlineLevel="1"/>
    <col min="148" max="150" width="12.6640625" outlineLevel="2"/>
    <col min="151" max="151" width="12.6640625" outlineLevel="1"/>
    <col min="153" max="156" width="12.6640625" outlineLevel="1"/>
    <col min="157" max="158" width="12.6640625" outlineLevel="2"/>
    <col min="159" max="159" width="12.6640625" outlineLevel="1"/>
    <col min="160" max="161" width="12.6640625" outlineLevel="2"/>
    <col min="162" max="163" width="12.6640625" outlineLevel="1"/>
    <col min="164" max="166" width="12.6640625" outlineLevel="2"/>
    <col min="167" max="167" width="12.6640625" outlineLevel="1"/>
    <col min="169" max="172" width="12.6640625" outlineLevel="1"/>
    <col min="173" max="174" width="12.6640625" outlineLevel="2"/>
    <col min="175" max="175" width="12.6640625" outlineLevel="1"/>
    <col min="176" max="177" width="12.6640625" outlineLevel="2"/>
    <col min="178" max="179" width="12.6640625" outlineLevel="1"/>
    <col min="180" max="182" width="12.6640625" outlineLevel="2"/>
    <col min="183" max="183" width="12.6640625" outlineLevel="1"/>
  </cols>
  <sheetData>
    <row r="1" spans="1:198" ht="23" x14ac:dyDescent="0.15">
      <c r="A1" s="438" t="s">
        <v>4407</v>
      </c>
      <c r="B1" s="438"/>
      <c r="C1" s="438"/>
      <c r="D1" s="438"/>
      <c r="E1" s="438"/>
      <c r="F1" s="438"/>
      <c r="G1" s="438"/>
      <c r="H1" s="438"/>
      <c r="I1" s="438"/>
      <c r="J1" s="438"/>
      <c r="K1" s="438"/>
      <c r="L1" s="438"/>
      <c r="M1" s="438"/>
      <c r="N1" s="438"/>
      <c r="O1" s="438"/>
      <c r="P1" s="438"/>
      <c r="Q1" s="438"/>
      <c r="R1" s="438"/>
      <c r="S1" s="438"/>
      <c r="T1" s="438"/>
      <c r="U1" s="438"/>
      <c r="V1" s="438"/>
      <c r="W1" s="438"/>
      <c r="X1" s="438"/>
      <c r="Y1" s="438"/>
      <c r="Z1" s="438"/>
      <c r="AA1" s="438"/>
      <c r="AB1" s="438"/>
      <c r="AC1" s="438"/>
      <c r="AD1" s="438"/>
      <c r="AE1" s="438"/>
      <c r="AF1" s="438"/>
      <c r="AG1" s="438"/>
      <c r="AH1" s="438"/>
      <c r="AI1" s="438"/>
      <c r="AJ1" s="438"/>
      <c r="AK1" s="438"/>
      <c r="AL1" s="438"/>
      <c r="AM1" s="438"/>
      <c r="AN1" s="438"/>
      <c r="AO1" s="438"/>
      <c r="AP1" s="438"/>
      <c r="AQ1" s="438"/>
      <c r="AR1" s="438"/>
      <c r="AS1" s="438"/>
      <c r="AT1" s="438"/>
      <c r="AU1" s="438"/>
      <c r="AV1" s="438"/>
      <c r="AW1" s="438"/>
      <c r="AX1" s="438"/>
      <c r="AY1" s="438"/>
      <c r="AZ1" s="438"/>
      <c r="BA1" s="438"/>
      <c r="BB1" s="438"/>
      <c r="BC1" s="438"/>
      <c r="BD1" s="438"/>
      <c r="BE1" s="438"/>
      <c r="BF1" s="438"/>
      <c r="BG1" s="438"/>
      <c r="BH1" s="438"/>
      <c r="BI1" s="438"/>
      <c r="BJ1" s="438"/>
      <c r="BK1" s="438"/>
      <c r="BL1" s="438"/>
      <c r="BM1" s="438"/>
      <c r="BN1" s="438"/>
      <c r="BO1" s="438"/>
      <c r="BP1" s="439"/>
      <c r="BQ1" s="438"/>
      <c r="BR1" s="438"/>
      <c r="BS1" s="438"/>
      <c r="BT1" s="438"/>
      <c r="BU1" s="438"/>
      <c r="BV1" s="438"/>
      <c r="BW1" s="438"/>
      <c r="BX1" s="438"/>
      <c r="BY1" s="438"/>
      <c r="BZ1" s="438"/>
      <c r="CA1" s="438"/>
      <c r="CB1" s="438"/>
      <c r="CC1" s="439"/>
      <c r="CD1" s="438"/>
      <c r="CE1" s="438"/>
      <c r="CF1" s="438"/>
      <c r="CG1" s="438"/>
      <c r="CH1" s="438"/>
      <c r="CI1" s="438"/>
      <c r="CJ1" s="438"/>
      <c r="CK1" s="438"/>
      <c r="CL1" s="438"/>
      <c r="CM1" s="438"/>
      <c r="CN1" s="438"/>
      <c r="CO1" s="438"/>
      <c r="CP1" s="438"/>
      <c r="CQ1" s="438"/>
      <c r="CR1" s="438"/>
      <c r="CS1" s="438"/>
      <c r="CT1" s="438"/>
      <c r="CU1" s="438"/>
      <c r="CV1" s="438"/>
      <c r="CW1" s="438"/>
      <c r="CX1" s="438"/>
      <c r="CY1" s="438"/>
      <c r="CZ1" s="438"/>
      <c r="DA1" s="438"/>
      <c r="DB1" s="438"/>
      <c r="DC1" s="439"/>
      <c r="DD1" s="438"/>
      <c r="DE1" s="438"/>
      <c r="DF1" s="438"/>
      <c r="DG1" s="438"/>
      <c r="DH1" s="438"/>
      <c r="DI1" s="438"/>
      <c r="DJ1" s="438"/>
      <c r="DK1" s="438"/>
      <c r="DL1" s="438"/>
      <c r="DM1" s="438"/>
      <c r="DN1" s="438"/>
      <c r="DO1" s="438"/>
      <c r="DP1" s="439"/>
      <c r="DQ1" s="438"/>
      <c r="DR1" s="438"/>
      <c r="DS1" s="438"/>
      <c r="DT1" s="438"/>
      <c r="DU1" s="438"/>
      <c r="DV1" s="438"/>
      <c r="DW1" s="438"/>
      <c r="DX1" s="438"/>
      <c r="DY1" s="438"/>
      <c r="DZ1" s="438"/>
      <c r="EA1" s="438"/>
      <c r="EB1" s="438"/>
      <c r="EC1" s="438"/>
      <c r="ED1" s="439"/>
      <c r="EE1" s="438"/>
      <c r="EF1" s="438"/>
      <c r="EG1" s="438"/>
      <c r="EH1" s="438"/>
      <c r="EI1" s="438"/>
      <c r="EJ1" s="438"/>
      <c r="EK1" s="438"/>
      <c r="EL1" s="438"/>
      <c r="EM1" s="438"/>
      <c r="EN1" s="438"/>
      <c r="EO1" s="438"/>
      <c r="EP1" s="438"/>
      <c r="EQ1" s="438"/>
      <c r="ER1" s="438"/>
      <c r="ES1" s="438"/>
      <c r="ET1" s="438"/>
      <c r="EU1" s="438"/>
      <c r="EV1" s="438"/>
      <c r="EW1" s="438"/>
      <c r="EX1" s="438"/>
      <c r="EY1" s="438"/>
      <c r="EZ1" s="438"/>
      <c r="FA1" s="438"/>
      <c r="FB1" s="438"/>
      <c r="FC1" s="438"/>
      <c r="FD1" s="438"/>
      <c r="FE1" s="438"/>
      <c r="FF1" s="438"/>
      <c r="FG1" s="438"/>
      <c r="FH1" s="438"/>
      <c r="FI1" s="438"/>
      <c r="FJ1" s="438"/>
      <c r="FK1" s="438"/>
      <c r="FL1" s="438"/>
      <c r="FM1" s="438"/>
      <c r="FN1" s="438"/>
      <c r="FO1" s="438"/>
      <c r="FP1" s="438"/>
      <c r="FQ1" s="438"/>
      <c r="FR1" s="438"/>
      <c r="FS1" s="438"/>
      <c r="FT1" s="438"/>
      <c r="FU1" s="438"/>
      <c r="FV1" s="438"/>
      <c r="FW1" s="438"/>
      <c r="FX1" s="438"/>
      <c r="FY1" s="438"/>
      <c r="FZ1" s="438"/>
      <c r="GA1" s="438"/>
      <c r="GB1" s="438"/>
      <c r="GC1" s="438"/>
      <c r="GD1" s="438"/>
      <c r="GE1" s="438"/>
      <c r="GF1" s="438"/>
      <c r="GG1" s="438"/>
      <c r="GH1" s="438"/>
      <c r="GI1" s="438"/>
      <c r="GJ1" s="440"/>
      <c r="GK1" s="438"/>
      <c r="GL1" s="438"/>
      <c r="GM1" s="438"/>
      <c r="GN1" s="438"/>
      <c r="GO1" s="438"/>
      <c r="GP1" s="438"/>
    </row>
    <row r="2" spans="1:198" ht="23" x14ac:dyDescent="0.15">
      <c r="A2" s="441" t="s">
        <v>4408</v>
      </c>
      <c r="B2" s="441"/>
      <c r="C2" s="441"/>
      <c r="D2" s="441"/>
      <c r="E2" s="441"/>
      <c r="F2" s="441"/>
      <c r="G2" s="441"/>
      <c r="H2" s="441"/>
      <c r="I2" s="441"/>
      <c r="J2" s="441"/>
      <c r="K2" s="441"/>
      <c r="L2" s="441"/>
      <c r="M2" s="441"/>
      <c r="N2" s="441"/>
      <c r="O2" s="441"/>
      <c r="P2" s="441"/>
      <c r="Q2" s="441"/>
      <c r="R2" s="441"/>
      <c r="S2" s="441"/>
      <c r="T2" s="441"/>
      <c r="U2" s="441"/>
      <c r="V2" s="441"/>
      <c r="W2" s="441"/>
      <c r="X2" s="441"/>
      <c r="Y2" s="441"/>
      <c r="Z2" s="441"/>
      <c r="AA2" s="441"/>
      <c r="AB2" s="441"/>
      <c r="AC2" s="441"/>
      <c r="AD2" s="441"/>
      <c r="AE2" s="441"/>
      <c r="AF2" s="441"/>
      <c r="AG2" s="441"/>
      <c r="AH2" s="441"/>
      <c r="AI2" s="441"/>
      <c r="AJ2" s="441"/>
      <c r="AK2" s="441"/>
      <c r="AL2" s="441"/>
      <c r="AM2" s="441"/>
      <c r="AN2" s="441"/>
      <c r="AO2" s="441"/>
      <c r="AP2" s="441"/>
      <c r="AQ2" s="441"/>
      <c r="AR2" s="441"/>
      <c r="AS2" s="441"/>
      <c r="AT2" s="441"/>
      <c r="AU2" s="441"/>
      <c r="AV2" s="441"/>
      <c r="AW2" s="441"/>
      <c r="AX2" s="441"/>
      <c r="AY2" s="441"/>
      <c r="AZ2" s="441"/>
      <c r="BA2" s="441"/>
      <c r="BB2" s="441"/>
      <c r="BC2" s="441"/>
      <c r="BD2" s="441"/>
      <c r="BE2" s="441"/>
      <c r="BF2" s="441"/>
      <c r="BG2" s="441"/>
      <c r="BH2" s="441"/>
      <c r="BI2" s="441"/>
      <c r="BJ2" s="441"/>
      <c r="BK2" s="441"/>
      <c r="BL2" s="441"/>
      <c r="BM2" s="441"/>
      <c r="BN2" s="441"/>
      <c r="BO2" s="441"/>
      <c r="BP2" s="442"/>
      <c r="BQ2" s="441"/>
      <c r="BR2" s="441"/>
      <c r="BS2" s="441"/>
      <c r="BT2" s="441"/>
      <c r="BU2" s="441"/>
      <c r="BV2" s="441"/>
      <c r="BW2" s="441"/>
      <c r="BX2" s="441"/>
      <c r="BY2" s="441"/>
      <c r="BZ2" s="441"/>
      <c r="CA2" s="441"/>
      <c r="CB2" s="441"/>
      <c r="CC2" s="442"/>
      <c r="CD2" s="441"/>
      <c r="CE2" s="441"/>
      <c r="CF2" s="441"/>
      <c r="CG2" s="441"/>
      <c r="CH2" s="441"/>
      <c r="CI2" s="441"/>
      <c r="CJ2" s="441"/>
      <c r="CK2" s="441"/>
      <c r="CL2" s="441"/>
      <c r="CM2" s="441"/>
      <c r="CN2" s="441"/>
      <c r="CO2" s="441"/>
      <c r="CP2" s="441"/>
      <c r="CQ2" s="441"/>
      <c r="CR2" s="441"/>
      <c r="CS2" s="441"/>
      <c r="CT2" s="441"/>
      <c r="CU2" s="441"/>
      <c r="CV2" s="441"/>
      <c r="CW2" s="441"/>
      <c r="CX2" s="441"/>
      <c r="CY2" s="441"/>
      <c r="CZ2" s="441"/>
      <c r="DA2" s="441"/>
      <c r="DB2" s="441"/>
      <c r="DC2" s="442"/>
      <c r="DD2" s="441"/>
      <c r="DE2" s="441"/>
      <c r="DF2" s="441"/>
      <c r="DG2" s="441"/>
      <c r="DH2" s="441"/>
      <c r="DI2" s="441"/>
      <c r="DJ2" s="441"/>
      <c r="DK2" s="441"/>
      <c r="DL2" s="441"/>
      <c r="DM2" s="441"/>
      <c r="DN2" s="441"/>
      <c r="DO2" s="441"/>
      <c r="DP2" s="442"/>
      <c r="DQ2" s="441"/>
      <c r="DR2" s="441"/>
      <c r="DS2" s="441"/>
      <c r="DT2" s="441"/>
      <c r="DU2" s="441"/>
      <c r="DV2" s="441"/>
      <c r="DW2" s="441"/>
      <c r="DX2" s="441"/>
      <c r="DY2" s="441"/>
      <c r="DZ2" s="441"/>
      <c r="EA2" s="441"/>
      <c r="EB2" s="441"/>
      <c r="EC2" s="441"/>
      <c r="ED2" s="442"/>
      <c r="EE2" s="441"/>
      <c r="EF2" s="441"/>
      <c r="EG2" s="441"/>
      <c r="EH2" s="441"/>
      <c r="EI2" s="441"/>
      <c r="EJ2" s="441"/>
      <c r="EK2" s="441"/>
      <c r="EL2" s="441"/>
      <c r="EM2" s="441"/>
      <c r="EN2" s="441"/>
      <c r="EO2" s="441"/>
      <c r="EP2" s="441"/>
      <c r="EQ2" s="441"/>
      <c r="ER2" s="441"/>
      <c r="ES2" s="441"/>
      <c r="ET2" s="441"/>
      <c r="EU2" s="441"/>
      <c r="EV2" s="441"/>
      <c r="EW2" s="441"/>
      <c r="EX2" s="441"/>
      <c r="EY2" s="441"/>
      <c r="EZ2" s="441"/>
      <c r="FA2" s="441"/>
      <c r="FB2" s="441"/>
      <c r="FC2" s="441"/>
      <c r="FD2" s="441"/>
      <c r="FE2" s="441"/>
      <c r="FF2" s="441"/>
      <c r="FG2" s="441"/>
      <c r="FH2" s="441"/>
      <c r="FI2" s="441"/>
      <c r="FJ2" s="441"/>
      <c r="FK2" s="441"/>
      <c r="FL2" s="441"/>
      <c r="FM2" s="441"/>
      <c r="FN2" s="441"/>
      <c r="FO2" s="441"/>
      <c r="FP2" s="441"/>
      <c r="FQ2" s="441"/>
      <c r="FR2" s="441"/>
      <c r="FS2" s="441"/>
      <c r="FT2" s="441"/>
      <c r="FU2" s="441"/>
      <c r="FV2" s="441"/>
      <c r="FW2" s="441"/>
      <c r="FX2" s="441"/>
      <c r="FY2" s="441"/>
      <c r="FZ2" s="441"/>
      <c r="GA2" s="441"/>
      <c r="GB2" s="441"/>
      <c r="GC2" s="441"/>
      <c r="GD2" s="441"/>
      <c r="GE2" s="441"/>
      <c r="GF2" s="441"/>
      <c r="GG2" s="441"/>
      <c r="GH2" s="441"/>
      <c r="GI2" s="441"/>
      <c r="GJ2" s="443"/>
      <c r="GK2" s="441"/>
      <c r="GL2" s="441"/>
      <c r="GM2" s="441"/>
      <c r="GN2" s="441"/>
      <c r="GO2" s="441"/>
      <c r="GP2" s="441"/>
    </row>
    <row r="3" spans="1:198" ht="23" x14ac:dyDescent="0.15">
      <c r="A3" s="441" t="s">
        <v>4409</v>
      </c>
      <c r="B3" s="441"/>
      <c r="C3" s="441"/>
      <c r="D3" s="441"/>
      <c r="E3" s="441"/>
      <c r="F3" s="441"/>
      <c r="G3" s="441"/>
      <c r="H3" s="441"/>
      <c r="I3" s="441"/>
      <c r="J3" s="441"/>
      <c r="K3" s="441"/>
      <c r="L3" s="441"/>
      <c r="M3" s="441"/>
      <c r="N3" s="441"/>
      <c r="O3" s="441"/>
      <c r="P3" s="441"/>
      <c r="Q3" s="441"/>
      <c r="R3" s="441"/>
      <c r="S3" s="441"/>
      <c r="T3" s="441"/>
      <c r="U3" s="441"/>
      <c r="V3" s="441"/>
      <c r="W3" s="441"/>
      <c r="X3" s="441"/>
      <c r="Y3" s="441"/>
      <c r="Z3" s="441"/>
      <c r="AA3" s="441"/>
      <c r="AB3" s="441"/>
      <c r="AC3" s="441"/>
      <c r="AD3" s="441"/>
      <c r="AE3" s="441"/>
      <c r="AF3" s="441"/>
      <c r="AG3" s="441"/>
      <c r="AH3" s="441"/>
      <c r="AI3" s="441"/>
      <c r="AJ3" s="441"/>
      <c r="AK3" s="441"/>
      <c r="AL3" s="441"/>
      <c r="AM3" s="441"/>
      <c r="AN3" s="441"/>
      <c r="AO3" s="441"/>
      <c r="AP3" s="441"/>
      <c r="AQ3" s="441"/>
      <c r="AR3" s="441"/>
      <c r="AS3" s="441"/>
      <c r="AT3" s="441"/>
      <c r="AU3" s="441"/>
      <c r="AV3" s="441"/>
      <c r="AW3" s="441"/>
      <c r="AX3" s="441"/>
      <c r="AY3" s="441"/>
      <c r="AZ3" s="441"/>
      <c r="BA3" s="441"/>
      <c r="BB3" s="441"/>
      <c r="BC3" s="441"/>
      <c r="BD3" s="441"/>
      <c r="BE3" s="441"/>
      <c r="BF3" s="441"/>
      <c r="BG3" s="441"/>
      <c r="BH3" s="441"/>
      <c r="BI3" s="441"/>
      <c r="BJ3" s="441"/>
      <c r="BK3" s="441"/>
      <c r="BL3" s="441"/>
      <c r="BM3" s="441"/>
      <c r="BN3" s="441"/>
      <c r="BO3" s="441"/>
      <c r="BP3" s="442"/>
      <c r="BQ3" s="441"/>
      <c r="BR3" s="441"/>
      <c r="BS3" s="441"/>
      <c r="BT3" s="441"/>
      <c r="BU3" s="441"/>
      <c r="BV3" s="441"/>
      <c r="BW3" s="441"/>
      <c r="BX3" s="441"/>
      <c r="BY3" s="441"/>
      <c r="BZ3" s="441"/>
      <c r="CA3" s="441"/>
      <c r="CB3" s="441"/>
      <c r="CC3" s="442"/>
      <c r="CD3" s="441"/>
      <c r="CE3" s="441"/>
      <c r="CF3" s="441"/>
      <c r="CG3" s="441"/>
      <c r="CH3" s="441"/>
      <c r="CI3" s="441"/>
      <c r="CJ3" s="441"/>
      <c r="CK3" s="441"/>
      <c r="CL3" s="441"/>
      <c r="CM3" s="441"/>
      <c r="CN3" s="441"/>
      <c r="CO3" s="441"/>
      <c r="CP3" s="441"/>
      <c r="CQ3" s="441"/>
      <c r="CR3" s="441"/>
      <c r="CS3" s="441"/>
      <c r="CT3" s="441"/>
      <c r="CU3" s="441"/>
      <c r="CV3" s="441"/>
      <c r="CW3" s="441"/>
      <c r="CX3" s="441"/>
      <c r="CY3" s="441"/>
      <c r="CZ3" s="441"/>
      <c r="DA3" s="441"/>
      <c r="DB3" s="441"/>
      <c r="DC3" s="442"/>
      <c r="DD3" s="441"/>
      <c r="DE3" s="441"/>
      <c r="DF3" s="441"/>
      <c r="DG3" s="441"/>
      <c r="DH3" s="441"/>
      <c r="DI3" s="441"/>
      <c r="DJ3" s="441"/>
      <c r="DK3" s="441"/>
      <c r="DL3" s="441"/>
      <c r="DM3" s="441"/>
      <c r="DN3" s="441"/>
      <c r="DO3" s="441"/>
      <c r="DP3" s="442"/>
      <c r="DQ3" s="441"/>
      <c r="DR3" s="441"/>
      <c r="DS3" s="441"/>
      <c r="DT3" s="441"/>
      <c r="DU3" s="441"/>
      <c r="DV3" s="441"/>
      <c r="DW3" s="441"/>
      <c r="DX3" s="441"/>
      <c r="DY3" s="441"/>
      <c r="DZ3" s="441"/>
      <c r="EA3" s="441"/>
      <c r="EB3" s="441"/>
      <c r="EC3" s="441"/>
      <c r="ED3" s="442"/>
      <c r="EE3" s="441"/>
      <c r="EF3" s="441"/>
      <c r="EG3" s="441"/>
      <c r="EH3" s="441"/>
      <c r="EI3" s="441"/>
      <c r="EJ3" s="441"/>
      <c r="EK3" s="441"/>
      <c r="EL3" s="441"/>
      <c r="EM3" s="441"/>
      <c r="EN3" s="441"/>
      <c r="EO3" s="441"/>
      <c r="EP3" s="441"/>
      <c r="EQ3" s="441"/>
      <c r="ER3" s="441"/>
      <c r="ES3" s="441"/>
      <c r="ET3" s="441"/>
      <c r="EU3" s="441"/>
      <c r="EV3" s="441"/>
      <c r="EW3" s="441"/>
      <c r="EX3" s="441"/>
      <c r="EY3" s="441"/>
      <c r="EZ3" s="441"/>
      <c r="FA3" s="441"/>
      <c r="FB3" s="441"/>
      <c r="FC3" s="441"/>
      <c r="FD3" s="441"/>
      <c r="FE3" s="441"/>
      <c r="FF3" s="441"/>
      <c r="FG3" s="441"/>
      <c r="FH3" s="441"/>
      <c r="FI3" s="441"/>
      <c r="FJ3" s="441"/>
      <c r="FK3" s="441"/>
      <c r="FL3" s="441"/>
      <c r="FM3" s="441"/>
      <c r="FN3" s="441"/>
      <c r="FO3" s="441"/>
      <c r="FP3" s="441"/>
      <c r="FQ3" s="441"/>
      <c r="FR3" s="441"/>
      <c r="FS3" s="441"/>
      <c r="FT3" s="441"/>
      <c r="FU3" s="441"/>
      <c r="FV3" s="441"/>
      <c r="FW3" s="441"/>
      <c r="FX3" s="441"/>
      <c r="FY3" s="441"/>
      <c r="FZ3" s="441"/>
      <c r="GA3" s="441"/>
      <c r="GB3" s="441"/>
      <c r="GC3" s="441"/>
      <c r="GD3" s="441"/>
      <c r="GE3" s="441"/>
      <c r="GF3" s="441"/>
      <c r="GG3" s="441"/>
      <c r="GH3" s="441"/>
      <c r="GI3" s="441"/>
      <c r="GJ3" s="443"/>
      <c r="GK3" s="441"/>
      <c r="GL3" s="441"/>
      <c r="GM3" s="441"/>
      <c r="GN3" s="441"/>
      <c r="GO3" s="441"/>
      <c r="GP3" s="441"/>
    </row>
    <row r="4" spans="1:198" ht="14" x14ac:dyDescent="0.15">
      <c r="A4" s="379"/>
      <c r="B4" s="379"/>
      <c r="C4" s="379"/>
      <c r="D4" s="379"/>
      <c r="E4" s="379"/>
      <c r="F4" s="379"/>
      <c r="G4" s="379"/>
      <c r="H4" s="379"/>
      <c r="I4" s="379"/>
      <c r="J4" s="379"/>
      <c r="K4" s="379"/>
      <c r="L4" s="379"/>
      <c r="M4" s="379"/>
      <c r="N4" s="379"/>
      <c r="O4" s="379"/>
      <c r="P4" s="379"/>
      <c r="Q4" s="379"/>
      <c r="R4" s="379"/>
      <c r="S4" s="379"/>
      <c r="T4" s="379"/>
      <c r="U4" s="379"/>
      <c r="V4" s="379"/>
      <c r="W4" s="379"/>
      <c r="X4" s="379"/>
      <c r="Y4" s="379"/>
      <c r="Z4" s="379"/>
      <c r="AA4" s="379"/>
      <c r="AB4" s="379"/>
      <c r="AC4" s="379"/>
      <c r="AD4" s="379"/>
      <c r="AE4" s="379"/>
      <c r="AF4" s="379"/>
      <c r="AG4" s="379"/>
      <c r="AH4" s="379"/>
      <c r="AI4" s="379"/>
      <c r="AJ4" s="379"/>
      <c r="AK4" s="379"/>
      <c r="AL4" s="379"/>
      <c r="AM4" s="379"/>
      <c r="AN4" s="379"/>
      <c r="AO4" s="379"/>
      <c r="AP4" s="379"/>
      <c r="AQ4" s="379"/>
      <c r="AR4" s="379"/>
      <c r="AS4" s="379"/>
      <c r="AT4" s="379"/>
      <c r="AU4" s="379"/>
      <c r="AV4" s="379"/>
      <c r="AW4" s="379"/>
      <c r="AX4" s="379"/>
      <c r="AY4" s="379"/>
      <c r="AZ4" s="379"/>
      <c r="BA4" s="379"/>
      <c r="BB4" s="379"/>
      <c r="BC4" s="379"/>
      <c r="BD4" s="379"/>
      <c r="BE4" s="379"/>
      <c r="BF4" s="379"/>
      <c r="BG4" s="379"/>
      <c r="BH4" s="379"/>
      <c r="BI4" s="379"/>
      <c r="BJ4" s="379"/>
      <c r="BK4" s="379"/>
      <c r="BL4" s="379"/>
      <c r="BM4" s="379"/>
      <c r="BN4" s="379"/>
      <c r="BO4" s="379"/>
      <c r="BP4" s="444"/>
      <c r="BQ4" s="379"/>
      <c r="BR4" s="379"/>
      <c r="BS4" s="379"/>
      <c r="BT4" s="379"/>
      <c r="BU4" s="379"/>
      <c r="BV4" s="379"/>
      <c r="BW4" s="379"/>
      <c r="BX4" s="379"/>
      <c r="BY4" s="379"/>
      <c r="BZ4" s="379"/>
      <c r="CA4" s="379"/>
      <c r="CB4" s="379"/>
      <c r="CC4" s="444"/>
      <c r="CD4" s="379"/>
      <c r="CE4" s="379"/>
      <c r="CF4" s="379"/>
      <c r="CG4" s="379"/>
      <c r="CH4" s="379"/>
      <c r="CI4" s="379"/>
      <c r="CJ4" s="379"/>
      <c r="CK4" s="379"/>
      <c r="CL4" s="379"/>
      <c r="CM4" s="379"/>
      <c r="CN4" s="379"/>
      <c r="CO4" s="379"/>
      <c r="CP4" s="379"/>
      <c r="CQ4" s="379"/>
      <c r="CR4" s="379"/>
      <c r="CS4" s="379"/>
      <c r="CT4" s="379"/>
      <c r="CU4" s="379"/>
      <c r="CV4" s="379"/>
      <c r="CW4" s="379"/>
      <c r="CX4" s="379"/>
      <c r="CY4" s="379"/>
      <c r="CZ4" s="379"/>
      <c r="DA4" s="379"/>
      <c r="DB4" s="379"/>
      <c r="DC4" s="444"/>
      <c r="DD4" s="379"/>
      <c r="DE4" s="379"/>
      <c r="DF4" s="379"/>
      <c r="DG4" s="379"/>
      <c r="DH4" s="379"/>
      <c r="DI4" s="379"/>
      <c r="DJ4" s="379"/>
      <c r="DK4" s="379"/>
      <c r="DL4" s="379"/>
      <c r="DM4" s="379"/>
      <c r="DN4" s="379"/>
      <c r="DO4" s="379"/>
      <c r="DP4" s="444"/>
      <c r="DQ4" s="379"/>
      <c r="DR4" s="379"/>
      <c r="DS4" s="379"/>
      <c r="DT4" s="379"/>
      <c r="DU4" s="379"/>
      <c r="DV4" s="379"/>
      <c r="DW4" s="379"/>
      <c r="DX4" s="379"/>
      <c r="DY4" s="379"/>
      <c r="DZ4" s="379"/>
      <c r="EA4" s="379"/>
      <c r="EB4" s="379"/>
      <c r="EC4" s="379"/>
      <c r="ED4" s="444"/>
      <c r="EE4" s="379"/>
      <c r="EF4" s="379"/>
      <c r="EG4" s="379"/>
      <c r="EH4" s="379"/>
      <c r="EI4" s="379"/>
      <c r="EJ4" s="379"/>
      <c r="EK4" s="379"/>
      <c r="EL4" s="379"/>
      <c r="EM4" s="379"/>
      <c r="EN4" s="379"/>
      <c r="EO4" s="379"/>
      <c r="EP4" s="379"/>
      <c r="EQ4" s="379"/>
      <c r="ER4" s="379"/>
      <c r="ES4" s="379"/>
      <c r="ET4" s="379"/>
      <c r="EU4" s="379"/>
      <c r="EV4" s="379"/>
      <c r="EW4" s="379"/>
      <c r="EX4" s="379"/>
      <c r="EY4" s="379"/>
      <c r="EZ4" s="379"/>
      <c r="FA4" s="379"/>
      <c r="FB4" s="379"/>
      <c r="FC4" s="379"/>
      <c r="FD4" s="379"/>
      <c r="FE4" s="379"/>
      <c r="FF4" s="379"/>
      <c r="FG4" s="379"/>
      <c r="FH4" s="379"/>
      <c r="FI4" s="379"/>
      <c r="FJ4" s="379"/>
      <c r="FK4" s="379"/>
      <c r="FL4" s="379"/>
      <c r="FM4" s="379"/>
      <c r="FN4" s="379"/>
      <c r="FO4" s="379"/>
      <c r="FP4" s="379"/>
      <c r="FQ4" s="379"/>
      <c r="FR4" s="379"/>
      <c r="FS4" s="379"/>
      <c r="FT4" s="379"/>
      <c r="FU4" s="379"/>
      <c r="FV4" s="379"/>
      <c r="FW4" s="379"/>
      <c r="FX4" s="379"/>
      <c r="FY4" s="379"/>
      <c r="FZ4" s="379"/>
      <c r="GA4" s="379"/>
      <c r="GB4" s="379"/>
      <c r="GC4" s="379"/>
      <c r="GD4" s="379"/>
      <c r="GE4" s="379"/>
      <c r="GF4" s="379"/>
      <c r="GG4" s="379"/>
      <c r="GH4" s="379"/>
      <c r="GI4" s="379"/>
      <c r="GJ4" s="381"/>
      <c r="GK4" s="379"/>
      <c r="GL4" s="379"/>
      <c r="GM4" s="379"/>
      <c r="GN4" s="379"/>
      <c r="GO4" s="379"/>
      <c r="GP4" s="379"/>
    </row>
    <row r="5" spans="1:198" ht="60" x14ac:dyDescent="0.15">
      <c r="A5" s="379" t="s">
        <v>4410</v>
      </c>
      <c r="B5" s="379"/>
      <c r="C5" s="379"/>
      <c r="D5" s="379" t="s">
        <v>4410</v>
      </c>
      <c r="E5" s="379" t="s">
        <v>4410</v>
      </c>
      <c r="F5" s="379" t="s">
        <v>4410</v>
      </c>
      <c r="G5" s="379" t="s">
        <v>4410</v>
      </c>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445"/>
      <c r="BG5" s="379"/>
      <c r="BH5" s="379"/>
      <c r="BI5" s="379"/>
      <c r="BJ5" s="379"/>
      <c r="BK5" s="379"/>
      <c r="BL5" s="379"/>
      <c r="BM5" s="379"/>
      <c r="BN5" s="379"/>
      <c r="BO5" s="379"/>
      <c r="BP5" s="444"/>
      <c r="BQ5" s="379"/>
      <c r="BR5" s="379"/>
      <c r="BS5" s="446"/>
      <c r="BT5" s="379"/>
      <c r="BU5" s="379"/>
      <c r="BV5" s="379"/>
      <c r="BW5" s="379"/>
      <c r="BX5" s="379"/>
      <c r="BY5" s="379"/>
      <c r="BZ5" s="379"/>
      <c r="CA5" s="379"/>
      <c r="CB5" s="379"/>
      <c r="CC5" s="444"/>
      <c r="CD5" s="379"/>
      <c r="CE5" s="379"/>
      <c r="CF5" s="446"/>
      <c r="CG5" s="379"/>
      <c r="CH5" s="379"/>
      <c r="CI5" s="379"/>
      <c r="CJ5" s="379"/>
      <c r="CK5" s="379"/>
      <c r="CL5" s="379"/>
      <c r="CM5" s="379"/>
      <c r="CN5" s="379"/>
      <c r="CO5" s="379"/>
      <c r="CP5" s="379"/>
      <c r="CQ5" s="379"/>
      <c r="CR5" s="379"/>
      <c r="CS5" s="379"/>
      <c r="CT5" s="379"/>
      <c r="CU5" s="379"/>
      <c r="CV5" s="379"/>
      <c r="CW5" s="379"/>
      <c r="CX5" s="379"/>
      <c r="CY5" s="379"/>
      <c r="CZ5" s="379"/>
      <c r="DA5" s="379"/>
      <c r="DB5" s="379"/>
      <c r="DC5" s="444"/>
      <c r="DD5" s="379"/>
      <c r="DE5" s="379"/>
      <c r="DF5" s="379"/>
      <c r="DG5" s="379"/>
      <c r="DH5" s="379"/>
      <c r="DI5" s="379"/>
      <c r="DJ5" s="379"/>
      <c r="DK5" s="379"/>
      <c r="DL5" s="379"/>
      <c r="DM5" s="379"/>
      <c r="DN5" s="379"/>
      <c r="DO5" s="379"/>
      <c r="DP5" s="444"/>
      <c r="DQ5" s="379"/>
      <c r="DR5" s="379"/>
      <c r="DS5" s="379"/>
      <c r="DT5" s="379"/>
      <c r="DU5" s="379"/>
      <c r="DV5" s="379"/>
      <c r="DW5" s="379"/>
      <c r="DX5" s="379"/>
      <c r="DY5" s="379"/>
      <c r="DZ5" s="379"/>
      <c r="EA5" s="379"/>
      <c r="EB5" s="379"/>
      <c r="EC5" s="379"/>
      <c r="ED5" s="444"/>
      <c r="EE5" s="379"/>
      <c r="EF5" s="379"/>
      <c r="EG5" s="379"/>
      <c r="EH5" s="379"/>
      <c r="EI5" s="379"/>
      <c r="EJ5" s="379"/>
      <c r="EK5" s="379"/>
      <c r="EL5" s="379"/>
      <c r="EM5" s="379"/>
      <c r="EN5" s="379"/>
      <c r="EO5" s="379"/>
      <c r="EP5" s="379"/>
      <c r="EQ5" s="379"/>
      <c r="ER5" s="379"/>
      <c r="ES5" s="379"/>
      <c r="ET5" s="379"/>
      <c r="EU5" s="379"/>
      <c r="EV5" s="379"/>
      <c r="EW5" s="379"/>
      <c r="EX5" s="379"/>
      <c r="EY5" s="379"/>
      <c r="EZ5" s="379"/>
      <c r="FA5" s="379"/>
      <c r="FB5" s="379"/>
      <c r="FC5" s="379"/>
      <c r="FD5" s="379"/>
      <c r="FE5" s="379"/>
      <c r="FF5" s="379"/>
      <c r="FG5" s="379"/>
      <c r="FH5" s="379"/>
      <c r="FI5" s="379"/>
      <c r="FJ5" s="379"/>
      <c r="FK5" s="379"/>
      <c r="FL5" s="379"/>
      <c r="FM5" s="379"/>
      <c r="FN5" s="379"/>
      <c r="FO5" s="379"/>
      <c r="FP5" s="379"/>
      <c r="FQ5" s="379"/>
      <c r="FR5" s="379"/>
      <c r="FS5" s="379"/>
      <c r="FT5" s="379"/>
      <c r="FU5" s="379"/>
      <c r="FV5" s="379"/>
      <c r="FW5" s="379"/>
      <c r="FX5" s="379"/>
      <c r="FY5" s="379"/>
      <c r="FZ5" s="379"/>
      <c r="GA5" s="379"/>
      <c r="GB5" s="379"/>
      <c r="GC5" s="379"/>
      <c r="GD5" s="379"/>
      <c r="GE5" s="379"/>
      <c r="GF5" s="379"/>
      <c r="GG5" s="379"/>
      <c r="GH5" s="379"/>
      <c r="GI5" s="379"/>
      <c r="GJ5" s="381"/>
      <c r="GK5" s="379"/>
      <c r="GL5" s="379"/>
      <c r="GM5" s="379" t="s">
        <v>4411</v>
      </c>
      <c r="GN5" s="379"/>
      <c r="GO5" s="379"/>
      <c r="GP5" s="379"/>
    </row>
    <row r="6" spans="1:198" ht="105" collapsed="1" x14ac:dyDescent="0.15">
      <c r="A6" s="447" t="s">
        <v>2609</v>
      </c>
      <c r="B6" s="447" t="s">
        <v>4412</v>
      </c>
      <c r="C6" s="448" t="s">
        <v>4413</v>
      </c>
      <c r="D6" s="447" t="s">
        <v>4414</v>
      </c>
      <c r="E6" s="447" t="s">
        <v>4415</v>
      </c>
      <c r="F6" s="447" t="s">
        <v>176</v>
      </c>
      <c r="G6" s="447" t="s">
        <v>4416</v>
      </c>
      <c r="H6" s="447" t="s">
        <v>4417</v>
      </c>
      <c r="I6" s="447" t="s">
        <v>4418</v>
      </c>
      <c r="J6" s="449" t="s">
        <v>4419</v>
      </c>
      <c r="K6" s="449" t="s">
        <v>4420</v>
      </c>
      <c r="L6" s="449" t="s">
        <v>4421</v>
      </c>
      <c r="M6" s="449" t="s">
        <v>4422</v>
      </c>
      <c r="N6" s="449" t="s">
        <v>4423</v>
      </c>
      <c r="O6" s="449" t="s">
        <v>4424</v>
      </c>
      <c r="P6" s="449" t="s">
        <v>4425</v>
      </c>
      <c r="Q6" s="449" t="s">
        <v>4426</v>
      </c>
      <c r="R6" s="449" t="s">
        <v>4427</v>
      </c>
      <c r="S6" s="449" t="s">
        <v>4428</v>
      </c>
      <c r="T6" s="449" t="s">
        <v>4429</v>
      </c>
      <c r="U6" s="449" t="s">
        <v>4430</v>
      </c>
      <c r="V6" s="449" t="s">
        <v>4431</v>
      </c>
      <c r="W6" s="449" t="s">
        <v>4432</v>
      </c>
      <c r="X6" s="449" t="s">
        <v>4433</v>
      </c>
      <c r="Y6" s="449" t="s">
        <v>4434</v>
      </c>
      <c r="Z6" s="449" t="s">
        <v>4435</v>
      </c>
      <c r="AA6" s="449" t="s">
        <v>4436</v>
      </c>
      <c r="AB6" s="391" t="s">
        <v>4437</v>
      </c>
      <c r="AC6" s="450" t="s">
        <v>4438</v>
      </c>
      <c r="AD6" s="450" t="s">
        <v>4439</v>
      </c>
      <c r="AE6" s="450" t="s">
        <v>4440</v>
      </c>
      <c r="AF6" s="450" t="s">
        <v>4441</v>
      </c>
      <c r="AG6" s="450" t="s">
        <v>4442</v>
      </c>
      <c r="AH6" s="451" t="s">
        <v>4443</v>
      </c>
      <c r="AI6" s="450" t="s">
        <v>4444</v>
      </c>
      <c r="AJ6" s="450" t="s">
        <v>4445</v>
      </c>
      <c r="AK6" s="450" t="s">
        <v>4446</v>
      </c>
      <c r="AL6" s="450" t="s">
        <v>4447</v>
      </c>
      <c r="AM6" s="450" t="s">
        <v>4448</v>
      </c>
      <c r="AN6" s="451" t="s">
        <v>4449</v>
      </c>
      <c r="AO6" s="450" t="s">
        <v>4450</v>
      </c>
      <c r="AP6" s="450" t="s">
        <v>4451</v>
      </c>
      <c r="AQ6" s="450" t="s">
        <v>4452</v>
      </c>
      <c r="AR6" s="450" t="s">
        <v>4453</v>
      </c>
      <c r="AS6" s="450" t="s">
        <v>4454</v>
      </c>
      <c r="AT6" s="451" t="s">
        <v>4455</v>
      </c>
      <c r="AU6" s="450" t="s">
        <v>4456</v>
      </c>
      <c r="AV6" s="450" t="s">
        <v>4457</v>
      </c>
      <c r="AW6" s="450" t="s">
        <v>4458</v>
      </c>
      <c r="AX6" s="450" t="s">
        <v>4459</v>
      </c>
      <c r="AY6" s="450" t="s">
        <v>4460</v>
      </c>
      <c r="AZ6" s="452" t="s">
        <v>4357</v>
      </c>
      <c r="BA6" s="450" t="s">
        <v>4358</v>
      </c>
      <c r="BB6" s="450" t="s">
        <v>4359</v>
      </c>
      <c r="BC6" s="450" t="s">
        <v>4360</v>
      </c>
      <c r="BD6" s="450" t="s">
        <v>4361</v>
      </c>
      <c r="BE6" s="450" t="s">
        <v>4362</v>
      </c>
      <c r="BF6" s="450" t="s">
        <v>4461</v>
      </c>
      <c r="BG6" s="451" t="s">
        <v>4462</v>
      </c>
      <c r="BH6" s="450" t="s">
        <v>4463</v>
      </c>
      <c r="BI6" s="450" t="s">
        <v>4464</v>
      </c>
      <c r="BJ6" s="450" t="s">
        <v>4465</v>
      </c>
      <c r="BK6" s="450" t="s">
        <v>4466</v>
      </c>
      <c r="BL6" s="450" t="s">
        <v>4467</v>
      </c>
      <c r="BM6" s="450" t="s">
        <v>4468</v>
      </c>
      <c r="BN6" s="453" t="s">
        <v>4469</v>
      </c>
      <c r="BO6" s="450" t="s">
        <v>4470</v>
      </c>
      <c r="BP6" s="454" t="s">
        <v>4471</v>
      </c>
      <c r="BQ6" s="453" t="s">
        <v>4472</v>
      </c>
      <c r="BR6" s="453" t="s">
        <v>4473</v>
      </c>
      <c r="BS6" s="450" t="s">
        <v>4474</v>
      </c>
      <c r="BT6" s="451" t="s">
        <v>4475</v>
      </c>
      <c r="BU6" s="450" t="s">
        <v>4476</v>
      </c>
      <c r="BV6" s="450" t="s">
        <v>4477</v>
      </c>
      <c r="BW6" s="450" t="s">
        <v>4478</v>
      </c>
      <c r="BX6" s="450" t="s">
        <v>4479</v>
      </c>
      <c r="BY6" s="450" t="s">
        <v>4480</v>
      </c>
      <c r="BZ6" s="450" t="s">
        <v>4481</v>
      </c>
      <c r="CA6" s="450" t="s">
        <v>4482</v>
      </c>
      <c r="CB6" s="450" t="s">
        <v>4483</v>
      </c>
      <c r="CC6" s="454" t="s">
        <v>4484</v>
      </c>
      <c r="CD6" s="453" t="s">
        <v>4485</v>
      </c>
      <c r="CE6" s="453" t="s">
        <v>4486</v>
      </c>
      <c r="CF6" s="450" t="s">
        <v>4487</v>
      </c>
      <c r="CG6" s="451" t="s">
        <v>4488</v>
      </c>
      <c r="CH6" s="450" t="s">
        <v>4489</v>
      </c>
      <c r="CI6" s="450" t="s">
        <v>4490</v>
      </c>
      <c r="CJ6" s="450" t="s">
        <v>4491</v>
      </c>
      <c r="CK6" s="450" t="s">
        <v>4492</v>
      </c>
      <c r="CL6" s="450" t="s">
        <v>4493</v>
      </c>
      <c r="CM6" s="450" t="s">
        <v>4494</v>
      </c>
      <c r="CN6" s="450" t="s">
        <v>4495</v>
      </c>
      <c r="CO6" s="450" t="s">
        <v>4496</v>
      </c>
      <c r="CP6" s="450" t="s">
        <v>4497</v>
      </c>
      <c r="CQ6" s="453" t="s">
        <v>4498</v>
      </c>
      <c r="CR6" s="453" t="s">
        <v>4499</v>
      </c>
      <c r="CS6" s="450" t="s">
        <v>4500</v>
      </c>
      <c r="CT6" s="451" t="s">
        <v>4501</v>
      </c>
      <c r="CU6" s="450" t="s">
        <v>4502</v>
      </c>
      <c r="CV6" s="450" t="s">
        <v>4503</v>
      </c>
      <c r="CW6" s="450" t="s">
        <v>4504</v>
      </c>
      <c r="CX6" s="450" t="s">
        <v>4505</v>
      </c>
      <c r="CY6" s="450" t="s">
        <v>4506</v>
      </c>
      <c r="CZ6" s="450" t="s">
        <v>4507</v>
      </c>
      <c r="DA6" s="450" t="s">
        <v>4508</v>
      </c>
      <c r="DB6" s="450" t="s">
        <v>4509</v>
      </c>
      <c r="DC6" s="454" t="s">
        <v>4510</v>
      </c>
      <c r="DD6" s="453" t="s">
        <v>4511</v>
      </c>
      <c r="DE6" s="453" t="s">
        <v>4512</v>
      </c>
      <c r="DF6" s="450" t="s">
        <v>4513</v>
      </c>
      <c r="DG6" s="451" t="s">
        <v>4514</v>
      </c>
      <c r="DH6" s="450" t="s">
        <v>4515</v>
      </c>
      <c r="DI6" s="450" t="s">
        <v>4516</v>
      </c>
      <c r="DJ6" s="450" t="s">
        <v>4517</v>
      </c>
      <c r="DK6" s="450" t="s">
        <v>4518</v>
      </c>
      <c r="DL6" s="450" t="s">
        <v>4519</v>
      </c>
      <c r="DM6" s="450" t="s">
        <v>4520</v>
      </c>
      <c r="DN6" s="450" t="s">
        <v>4521</v>
      </c>
      <c r="DO6" s="450" t="s">
        <v>4522</v>
      </c>
      <c r="DP6" s="454" t="s">
        <v>4523</v>
      </c>
      <c r="DQ6" s="453" t="s">
        <v>4524</v>
      </c>
      <c r="DR6" s="453" t="s">
        <v>4525</v>
      </c>
      <c r="DS6" s="450" t="s">
        <v>4526</v>
      </c>
      <c r="DT6" s="450" t="s">
        <v>4527</v>
      </c>
      <c r="DU6" s="450" t="s">
        <v>4528</v>
      </c>
      <c r="DV6" s="452" t="s">
        <v>4529</v>
      </c>
      <c r="DW6" s="450" t="s">
        <v>4530</v>
      </c>
      <c r="DX6" s="450" t="s">
        <v>4531</v>
      </c>
      <c r="DY6" s="450" t="s">
        <v>4532</v>
      </c>
      <c r="DZ6" s="452" t="s">
        <v>4533</v>
      </c>
      <c r="EA6" s="452" t="s">
        <v>4534</v>
      </c>
      <c r="EB6" s="452" t="s">
        <v>4535</v>
      </c>
      <c r="EC6" s="450" t="s">
        <v>4536</v>
      </c>
      <c r="ED6" s="454" t="s">
        <v>4537</v>
      </c>
      <c r="EE6" s="453" t="s">
        <v>4538</v>
      </c>
      <c r="EF6" s="453" t="s">
        <v>4539</v>
      </c>
      <c r="EG6" s="450" t="s">
        <v>4540</v>
      </c>
      <c r="EH6" s="451" t="s">
        <v>4541</v>
      </c>
      <c r="EI6" s="450" t="s">
        <v>4542</v>
      </c>
      <c r="EJ6" s="452" t="s">
        <v>4543</v>
      </c>
      <c r="EK6" s="450" t="s">
        <v>4544</v>
      </c>
      <c r="EL6" s="450" t="s">
        <v>4545</v>
      </c>
      <c r="EM6" s="450" t="s">
        <v>4546</v>
      </c>
      <c r="EN6" s="452" t="s">
        <v>4547</v>
      </c>
      <c r="EO6" s="452" t="s">
        <v>4548</v>
      </c>
      <c r="EP6" s="450" t="s">
        <v>4549</v>
      </c>
      <c r="EQ6" s="450" t="s">
        <v>4550</v>
      </c>
      <c r="ER6" s="450" t="s">
        <v>4551</v>
      </c>
      <c r="ES6" s="453" t="s">
        <v>4552</v>
      </c>
      <c r="ET6" s="453" t="s">
        <v>4553</v>
      </c>
      <c r="EU6" s="450" t="s">
        <v>4554</v>
      </c>
      <c r="EV6" s="451" t="s">
        <v>4555</v>
      </c>
      <c r="EW6" s="450" t="s">
        <v>4556</v>
      </c>
      <c r="EX6" s="450" t="s">
        <v>4557</v>
      </c>
      <c r="EY6" s="450" t="s">
        <v>4558</v>
      </c>
      <c r="EZ6" s="450" t="s">
        <v>4559</v>
      </c>
      <c r="FA6" s="450" t="s">
        <v>4560</v>
      </c>
      <c r="FB6" s="450" t="s">
        <v>4561</v>
      </c>
      <c r="FC6" s="450" t="s">
        <v>4562</v>
      </c>
      <c r="FD6" s="450" t="s">
        <v>4563</v>
      </c>
      <c r="FE6" s="450" t="s">
        <v>4564</v>
      </c>
      <c r="FF6" s="450" t="s">
        <v>4565</v>
      </c>
      <c r="FG6" s="450" t="s">
        <v>4566</v>
      </c>
      <c r="FH6" s="450" t="s">
        <v>4567</v>
      </c>
      <c r="FI6" s="453" t="s">
        <v>4568</v>
      </c>
      <c r="FJ6" s="453" t="s">
        <v>4569</v>
      </c>
      <c r="FK6" s="450" t="s">
        <v>4570</v>
      </c>
      <c r="FL6" s="451" t="s">
        <v>4571</v>
      </c>
      <c r="FM6" s="450" t="s">
        <v>4572</v>
      </c>
      <c r="FN6" s="450" t="s">
        <v>4573</v>
      </c>
      <c r="FO6" s="450" t="s">
        <v>4574</v>
      </c>
      <c r="FP6" s="450" t="s">
        <v>4575</v>
      </c>
      <c r="FQ6" s="450" t="s">
        <v>4576</v>
      </c>
      <c r="FR6" s="450" t="s">
        <v>4577</v>
      </c>
      <c r="FS6" s="450" t="s">
        <v>4578</v>
      </c>
      <c r="FT6" s="450" t="s">
        <v>4579</v>
      </c>
      <c r="FU6" s="450" t="s">
        <v>4580</v>
      </c>
      <c r="FV6" s="450" t="s">
        <v>4581</v>
      </c>
      <c r="FW6" s="450" t="s">
        <v>4582</v>
      </c>
      <c r="FX6" s="450" t="s">
        <v>4583</v>
      </c>
      <c r="FY6" s="453" t="s">
        <v>4584</v>
      </c>
      <c r="FZ6" s="453" t="s">
        <v>4585</v>
      </c>
      <c r="GA6" s="450" t="s">
        <v>4586</v>
      </c>
      <c r="GB6" s="451" t="s">
        <v>4587</v>
      </c>
      <c r="GC6" s="450" t="s">
        <v>4588</v>
      </c>
      <c r="GD6" s="451" t="s">
        <v>4589</v>
      </c>
      <c r="GE6" s="450" t="s">
        <v>4590</v>
      </c>
      <c r="GF6" s="451" t="s">
        <v>4364</v>
      </c>
      <c r="GG6" s="450" t="s">
        <v>4365</v>
      </c>
      <c r="GH6" s="451" t="s">
        <v>4591</v>
      </c>
      <c r="GI6" s="450" t="s">
        <v>4592</v>
      </c>
      <c r="GJ6" s="455" t="s">
        <v>4593</v>
      </c>
      <c r="GK6" s="450" t="s">
        <v>4594</v>
      </c>
      <c r="GL6" s="450" t="s">
        <v>4595</v>
      </c>
      <c r="GM6" s="456" t="s">
        <v>4596</v>
      </c>
      <c r="GN6" s="451" t="s">
        <v>4597</v>
      </c>
      <c r="GO6" s="450" t="s">
        <v>4598</v>
      </c>
      <c r="GP6" s="450" t="s">
        <v>4599</v>
      </c>
    </row>
    <row r="7" spans="1:198" ht="225" hidden="1" outlineLevel="1" x14ac:dyDescent="0.15">
      <c r="A7" s="457" t="s">
        <v>4600</v>
      </c>
      <c r="B7" s="457"/>
      <c r="C7" s="458"/>
      <c r="D7" s="458"/>
      <c r="E7" s="458"/>
      <c r="F7" s="458"/>
      <c r="G7" s="458"/>
      <c r="H7" s="458"/>
      <c r="I7" s="458"/>
      <c r="J7" s="302" t="s">
        <v>4601</v>
      </c>
      <c r="K7" s="459"/>
      <c r="L7" s="401"/>
      <c r="M7" s="301"/>
      <c r="N7" s="302" t="s">
        <v>4602</v>
      </c>
      <c r="O7" s="459"/>
      <c r="P7" s="301"/>
      <c r="Q7" s="302" t="s">
        <v>4602</v>
      </c>
      <c r="R7" s="405" t="s">
        <v>4603</v>
      </c>
      <c r="S7" s="460" t="s">
        <v>4604</v>
      </c>
      <c r="T7" s="459"/>
      <c r="U7" s="459"/>
      <c r="V7" s="301"/>
      <c r="W7" s="302" t="s">
        <v>4602</v>
      </c>
      <c r="X7" s="459"/>
      <c r="Y7" s="301"/>
      <c r="Z7" s="302" t="s">
        <v>4602</v>
      </c>
      <c r="AA7" s="461" t="s">
        <v>4603</v>
      </c>
      <c r="AB7" s="302" t="s">
        <v>4605</v>
      </c>
      <c r="AC7" s="459"/>
      <c r="AD7" s="405" t="s">
        <v>4603</v>
      </c>
      <c r="AE7" s="302" t="s">
        <v>4606</v>
      </c>
      <c r="AF7" s="302" t="s">
        <v>4607</v>
      </c>
      <c r="AG7" s="302" t="s">
        <v>4607</v>
      </c>
      <c r="AH7" s="460" t="s">
        <v>4608</v>
      </c>
      <c r="AI7" s="459"/>
      <c r="AJ7" s="405" t="s">
        <v>4603</v>
      </c>
      <c r="AK7" s="302" t="s">
        <v>4606</v>
      </c>
      <c r="AL7" s="302" t="s">
        <v>4609</v>
      </c>
      <c r="AM7" s="302" t="s">
        <v>4609</v>
      </c>
      <c r="AN7" s="404" t="s">
        <v>4610</v>
      </c>
      <c r="AO7" s="459"/>
      <c r="AP7" s="405" t="s">
        <v>4603</v>
      </c>
      <c r="AQ7" s="302" t="s">
        <v>4606</v>
      </c>
      <c r="AR7" s="302" t="s">
        <v>4609</v>
      </c>
      <c r="AS7" s="302" t="s">
        <v>4609</v>
      </c>
      <c r="AT7" s="460" t="s">
        <v>4611</v>
      </c>
      <c r="AU7" s="459"/>
      <c r="AV7" s="405" t="s">
        <v>4603</v>
      </c>
      <c r="AW7" s="302" t="s">
        <v>4606</v>
      </c>
      <c r="AX7" s="302" t="s">
        <v>4609</v>
      </c>
      <c r="AY7" s="302" t="s">
        <v>4609</v>
      </c>
      <c r="AZ7" s="401"/>
      <c r="BA7" s="301"/>
      <c r="BB7" s="302" t="s">
        <v>4367</v>
      </c>
      <c r="BC7" s="462"/>
      <c r="BD7" s="301"/>
      <c r="BE7" s="302" t="s">
        <v>4367</v>
      </c>
      <c r="BF7" s="463" t="s">
        <v>4612</v>
      </c>
      <c r="BG7" s="464" t="s">
        <v>4613</v>
      </c>
      <c r="BH7" s="464" t="s">
        <v>4614</v>
      </c>
      <c r="BI7" s="78"/>
      <c r="BJ7" s="78"/>
      <c r="BK7" s="78"/>
      <c r="BL7" s="78"/>
      <c r="BM7" s="78"/>
      <c r="BN7" s="67"/>
      <c r="BO7" s="78"/>
      <c r="BP7" s="465"/>
      <c r="BQ7" s="67"/>
      <c r="BR7" s="67"/>
      <c r="BS7" s="466" t="s">
        <v>4615</v>
      </c>
      <c r="BT7" s="467"/>
      <c r="BU7" s="464"/>
      <c r="BV7" s="78"/>
      <c r="BW7" s="78"/>
      <c r="BX7" s="78"/>
      <c r="BY7" s="78"/>
      <c r="BZ7" s="78"/>
      <c r="CA7" s="78"/>
      <c r="CB7" s="78"/>
      <c r="CC7" s="465"/>
      <c r="CD7" s="67"/>
      <c r="CE7" s="67"/>
      <c r="CF7" s="466" t="s">
        <v>4615</v>
      </c>
      <c r="CG7" s="467"/>
      <c r="CH7" s="464"/>
      <c r="CI7" s="78"/>
      <c r="CJ7" s="78"/>
      <c r="CK7" s="78"/>
      <c r="CL7" s="78"/>
      <c r="CM7" s="78"/>
      <c r="CN7" s="78"/>
      <c r="CO7" s="78"/>
      <c r="CP7" s="78"/>
      <c r="CQ7" s="67"/>
      <c r="CR7" s="67"/>
      <c r="CS7" s="77" t="s">
        <v>4615</v>
      </c>
      <c r="CT7" s="467"/>
      <c r="CU7" s="464"/>
      <c r="CV7" s="78"/>
      <c r="CW7" s="78"/>
      <c r="CX7" s="78"/>
      <c r="CY7" s="78"/>
      <c r="CZ7" s="78"/>
      <c r="DA7" s="78"/>
      <c r="DB7" s="78"/>
      <c r="DC7" s="465"/>
      <c r="DD7" s="67"/>
      <c r="DE7" s="67"/>
      <c r="DF7" s="77" t="s">
        <v>4615</v>
      </c>
      <c r="DG7" s="467"/>
      <c r="DH7" s="464"/>
      <c r="DI7" s="78"/>
      <c r="DJ7" s="78"/>
      <c r="DK7" s="78"/>
      <c r="DL7" s="78"/>
      <c r="DM7" s="78"/>
      <c r="DN7" s="78"/>
      <c r="DO7" s="78"/>
      <c r="DP7" s="465"/>
      <c r="DQ7" s="67"/>
      <c r="DR7" s="67"/>
      <c r="DS7" s="468" t="s">
        <v>4615</v>
      </c>
      <c r="DT7" s="77" t="s">
        <v>4616</v>
      </c>
      <c r="DU7" s="405"/>
      <c r="DV7" s="78"/>
      <c r="DW7" s="78"/>
      <c r="DX7" s="78"/>
      <c r="DY7" s="78"/>
      <c r="DZ7" s="78"/>
      <c r="EA7" s="78"/>
      <c r="EB7" s="405" t="s">
        <v>4617</v>
      </c>
      <c r="EC7" s="78"/>
      <c r="ED7" s="465"/>
      <c r="EE7" s="67"/>
      <c r="EF7" s="67"/>
      <c r="EG7" s="405" t="s">
        <v>4615</v>
      </c>
      <c r="EH7" s="409" t="s">
        <v>4616</v>
      </c>
      <c r="EI7" s="405"/>
      <c r="EJ7" s="78"/>
      <c r="EK7" s="78"/>
      <c r="EL7" s="78"/>
      <c r="EM7" s="78"/>
      <c r="EN7" s="78"/>
      <c r="EO7" s="78"/>
      <c r="EP7" s="405" t="s">
        <v>4617</v>
      </c>
      <c r="EQ7" s="78"/>
      <c r="ER7" s="78"/>
      <c r="ES7" s="67"/>
      <c r="ET7" s="67"/>
      <c r="EU7" s="405" t="s">
        <v>4615</v>
      </c>
      <c r="EV7" s="469" t="s">
        <v>4613</v>
      </c>
      <c r="EW7" s="76" t="s">
        <v>4613</v>
      </c>
      <c r="EX7" s="405" t="s">
        <v>4613</v>
      </c>
      <c r="EY7" s="405"/>
      <c r="EZ7" s="78"/>
      <c r="FA7" s="78"/>
      <c r="FB7" s="78"/>
      <c r="FC7" s="78"/>
      <c r="FD7" s="78"/>
      <c r="FE7" s="78"/>
      <c r="FF7" s="405" t="s">
        <v>4617</v>
      </c>
      <c r="FG7" s="78"/>
      <c r="FH7" s="78"/>
      <c r="FI7" s="67"/>
      <c r="FJ7" s="67"/>
      <c r="FK7" s="405" t="s">
        <v>4615</v>
      </c>
      <c r="FL7" s="409" t="s">
        <v>4613</v>
      </c>
      <c r="FM7" s="470" t="s">
        <v>4618</v>
      </c>
      <c r="FN7" s="76" t="s">
        <v>4613</v>
      </c>
      <c r="FO7" s="405"/>
      <c r="FP7" s="78"/>
      <c r="FQ7" s="78"/>
      <c r="FR7" s="78"/>
      <c r="FS7" s="78"/>
      <c r="FT7" s="78"/>
      <c r="FU7" s="78"/>
      <c r="FV7" s="405" t="s">
        <v>4617</v>
      </c>
      <c r="FW7" s="78"/>
      <c r="FX7" s="78"/>
      <c r="FY7" s="67"/>
      <c r="FZ7" s="67"/>
      <c r="GA7" s="405" t="s">
        <v>4615</v>
      </c>
      <c r="GB7" s="404"/>
      <c r="GC7" s="405"/>
      <c r="GD7" s="459"/>
      <c r="GE7" s="459"/>
      <c r="GF7" s="404"/>
      <c r="GG7" s="405"/>
      <c r="GH7" s="462"/>
      <c r="GI7" s="459"/>
      <c r="GJ7" s="404"/>
      <c r="GK7" s="405"/>
      <c r="GL7" s="405"/>
      <c r="GM7" s="302"/>
      <c r="GN7" s="462"/>
      <c r="GO7" s="459"/>
      <c r="GP7" s="459"/>
    </row>
    <row r="8" spans="1:198" ht="75" hidden="1" outlineLevel="1" x14ac:dyDescent="0.15">
      <c r="A8" s="457"/>
      <c r="B8" s="457" t="s">
        <v>206</v>
      </c>
      <c r="C8" s="471" t="s">
        <v>2474</v>
      </c>
      <c r="D8" s="471"/>
      <c r="E8" s="471"/>
      <c r="F8" s="471"/>
      <c r="G8" s="471"/>
      <c r="H8" s="471"/>
      <c r="I8" s="471"/>
      <c r="J8" s="408" t="s">
        <v>4619</v>
      </c>
      <c r="K8" s="411" t="s">
        <v>4620</v>
      </c>
      <c r="L8" s="407" t="s">
        <v>4621</v>
      </c>
      <c r="M8" s="408" t="s">
        <v>4622</v>
      </c>
      <c r="N8" s="408" t="s">
        <v>4623</v>
      </c>
      <c r="O8" s="411" t="s">
        <v>4624</v>
      </c>
      <c r="P8" s="408" t="s">
        <v>4625</v>
      </c>
      <c r="Q8" s="408" t="s">
        <v>4626</v>
      </c>
      <c r="R8" s="411" t="s">
        <v>4627</v>
      </c>
      <c r="S8" s="472" t="s">
        <v>4628</v>
      </c>
      <c r="T8" s="411" t="s">
        <v>4629</v>
      </c>
      <c r="U8" s="411" t="s">
        <v>4630</v>
      </c>
      <c r="V8" s="408" t="s">
        <v>4631</v>
      </c>
      <c r="W8" s="408" t="s">
        <v>4632</v>
      </c>
      <c r="X8" s="411" t="s">
        <v>4633</v>
      </c>
      <c r="Y8" s="408" t="s">
        <v>4634</v>
      </c>
      <c r="Z8" s="408" t="s">
        <v>4635</v>
      </c>
      <c r="AA8" s="473" t="s">
        <v>4636</v>
      </c>
      <c r="AB8" s="408" t="s">
        <v>4637</v>
      </c>
      <c r="AC8" s="411" t="s">
        <v>4638</v>
      </c>
      <c r="AD8" s="411" t="s">
        <v>4639</v>
      </c>
      <c r="AE8" s="411" t="s">
        <v>4640</v>
      </c>
      <c r="AF8" s="411" t="s">
        <v>4641</v>
      </c>
      <c r="AG8" s="411" t="s">
        <v>4642</v>
      </c>
      <c r="AH8" s="472" t="s">
        <v>4643</v>
      </c>
      <c r="AI8" s="411" t="s">
        <v>4644</v>
      </c>
      <c r="AJ8" s="411" t="s">
        <v>4645</v>
      </c>
      <c r="AK8" s="411" t="s">
        <v>4646</v>
      </c>
      <c r="AL8" s="411" t="s">
        <v>4647</v>
      </c>
      <c r="AM8" s="411" t="s">
        <v>4648</v>
      </c>
      <c r="AN8" s="474" t="s">
        <v>4649</v>
      </c>
      <c r="AO8" s="411" t="s">
        <v>4650</v>
      </c>
      <c r="AP8" s="411" t="s">
        <v>4651</v>
      </c>
      <c r="AQ8" s="411" t="s">
        <v>4652</v>
      </c>
      <c r="AR8" s="411" t="s">
        <v>4653</v>
      </c>
      <c r="AS8" s="411" t="s">
        <v>4654</v>
      </c>
      <c r="AT8" s="472" t="s">
        <v>4655</v>
      </c>
      <c r="AU8" s="411" t="s">
        <v>4656</v>
      </c>
      <c r="AV8" s="411" t="s">
        <v>4657</v>
      </c>
      <c r="AW8" s="411" t="s">
        <v>4658</v>
      </c>
      <c r="AX8" s="411" t="s">
        <v>4659</v>
      </c>
      <c r="AY8" s="411" t="s">
        <v>4660</v>
      </c>
      <c r="AZ8" s="407" t="s">
        <v>4661</v>
      </c>
      <c r="BA8" s="408" t="s">
        <v>4662</v>
      </c>
      <c r="BB8" s="408" t="s">
        <v>4663</v>
      </c>
      <c r="BC8" s="475" t="s">
        <v>4664</v>
      </c>
      <c r="BD8" s="408" t="s">
        <v>4665</v>
      </c>
      <c r="BE8" s="408" t="s">
        <v>4666</v>
      </c>
      <c r="BF8" s="476" t="s">
        <v>4667</v>
      </c>
      <c r="BG8" s="477" t="s">
        <v>4668</v>
      </c>
      <c r="BH8" s="411" t="s">
        <v>4669</v>
      </c>
      <c r="BI8" s="411" t="s">
        <v>4670</v>
      </c>
      <c r="BJ8" s="408" t="s">
        <v>4671</v>
      </c>
      <c r="BK8" s="408" t="s">
        <v>4672</v>
      </c>
      <c r="BL8" s="411" t="s">
        <v>4673</v>
      </c>
      <c r="BM8" s="408" t="s">
        <v>4674</v>
      </c>
      <c r="BN8" s="77" t="s">
        <v>4675</v>
      </c>
      <c r="BO8" s="411" t="s">
        <v>4676</v>
      </c>
      <c r="BP8" s="478" t="s">
        <v>4677</v>
      </c>
      <c r="BQ8" s="77" t="s">
        <v>4678</v>
      </c>
      <c r="BR8" s="77" t="s">
        <v>4679</v>
      </c>
      <c r="BS8" s="479" t="s">
        <v>4680</v>
      </c>
      <c r="BT8" s="472" t="s">
        <v>4681</v>
      </c>
      <c r="BU8" s="411" t="s">
        <v>4682</v>
      </c>
      <c r="BV8" s="411" t="s">
        <v>4683</v>
      </c>
      <c r="BW8" s="408" t="s">
        <v>4684</v>
      </c>
      <c r="BX8" s="408" t="s">
        <v>4685</v>
      </c>
      <c r="BY8" s="411" t="s">
        <v>4686</v>
      </c>
      <c r="BZ8" s="408" t="s">
        <v>4687</v>
      </c>
      <c r="CA8" s="408" t="s">
        <v>4688</v>
      </c>
      <c r="CB8" s="411" t="s">
        <v>4689</v>
      </c>
      <c r="CC8" s="478" t="s">
        <v>4690</v>
      </c>
      <c r="CD8" s="77" t="s">
        <v>4691</v>
      </c>
      <c r="CE8" s="77" t="s">
        <v>4692</v>
      </c>
      <c r="CF8" s="479" t="s">
        <v>4693</v>
      </c>
      <c r="CG8" s="472" t="s">
        <v>4694</v>
      </c>
      <c r="CH8" s="411" t="s">
        <v>4695</v>
      </c>
      <c r="CI8" s="411" t="s">
        <v>4696</v>
      </c>
      <c r="CJ8" s="408" t="s">
        <v>4697</v>
      </c>
      <c r="CK8" s="408" t="s">
        <v>4698</v>
      </c>
      <c r="CL8" s="411" t="s">
        <v>4699</v>
      </c>
      <c r="CM8" s="408" t="s">
        <v>4700</v>
      </c>
      <c r="CN8" s="408" t="s">
        <v>4701</v>
      </c>
      <c r="CO8" s="411" t="s">
        <v>4702</v>
      </c>
      <c r="CP8" s="408" t="s">
        <v>4703</v>
      </c>
      <c r="CQ8" s="77" t="s">
        <v>4704</v>
      </c>
      <c r="CR8" s="77" t="s">
        <v>4705</v>
      </c>
      <c r="CS8" s="411" t="s">
        <v>4706</v>
      </c>
      <c r="CT8" s="472" t="s">
        <v>4707</v>
      </c>
      <c r="CU8" s="411" t="s">
        <v>4708</v>
      </c>
      <c r="CV8" s="411" t="s">
        <v>4709</v>
      </c>
      <c r="CW8" s="408" t="s">
        <v>4710</v>
      </c>
      <c r="CX8" s="408" t="s">
        <v>4711</v>
      </c>
      <c r="CY8" s="411" t="s">
        <v>4712</v>
      </c>
      <c r="CZ8" s="408" t="s">
        <v>4713</v>
      </c>
      <c r="DA8" s="408" t="s">
        <v>4714</v>
      </c>
      <c r="DB8" s="411" t="s">
        <v>4715</v>
      </c>
      <c r="DC8" s="478" t="s">
        <v>4716</v>
      </c>
      <c r="DD8" s="77" t="s">
        <v>4717</v>
      </c>
      <c r="DE8" s="77" t="s">
        <v>4718</v>
      </c>
      <c r="DF8" s="411" t="s">
        <v>4719</v>
      </c>
      <c r="DG8" s="472" t="s">
        <v>4720</v>
      </c>
      <c r="DH8" s="411" t="s">
        <v>4721</v>
      </c>
      <c r="DI8" s="411" t="s">
        <v>4722</v>
      </c>
      <c r="DJ8" s="408" t="s">
        <v>4723</v>
      </c>
      <c r="DK8" s="408" t="s">
        <v>4724</v>
      </c>
      <c r="DL8" s="411" t="s">
        <v>4725</v>
      </c>
      <c r="DM8" s="408" t="s">
        <v>4726</v>
      </c>
      <c r="DN8" s="408" t="s">
        <v>4727</v>
      </c>
      <c r="DO8" s="411" t="s">
        <v>4728</v>
      </c>
      <c r="DP8" s="478" t="s">
        <v>4729</v>
      </c>
      <c r="DQ8" s="77" t="s">
        <v>4730</v>
      </c>
      <c r="DR8" s="77" t="s">
        <v>4731</v>
      </c>
      <c r="DS8" s="473" t="s">
        <v>4732</v>
      </c>
      <c r="DT8" s="408" t="s">
        <v>4733</v>
      </c>
      <c r="DU8" s="411" t="s">
        <v>4734</v>
      </c>
      <c r="DV8" s="411" t="s">
        <v>4735</v>
      </c>
      <c r="DW8" s="408" t="s">
        <v>4736</v>
      </c>
      <c r="DX8" s="408" t="s">
        <v>4737</v>
      </c>
      <c r="DY8" s="411" t="s">
        <v>4738</v>
      </c>
      <c r="DZ8" s="408" t="s">
        <v>4739</v>
      </c>
      <c r="EA8" s="408" t="s">
        <v>4740</v>
      </c>
      <c r="EB8" s="411" t="s">
        <v>4741</v>
      </c>
      <c r="EC8" s="411" t="s">
        <v>4742</v>
      </c>
      <c r="ED8" s="478" t="s">
        <v>4743</v>
      </c>
      <c r="EE8" s="77" t="s">
        <v>4744</v>
      </c>
      <c r="EF8" s="77" t="s">
        <v>4745</v>
      </c>
      <c r="EG8" s="411" t="s">
        <v>4746</v>
      </c>
      <c r="EH8" s="472" t="s">
        <v>4747</v>
      </c>
      <c r="EI8" s="411" t="s">
        <v>4748</v>
      </c>
      <c r="EJ8" s="411" t="s">
        <v>4749</v>
      </c>
      <c r="EK8" s="408" t="s">
        <v>4750</v>
      </c>
      <c r="EL8" s="408" t="s">
        <v>4751</v>
      </c>
      <c r="EM8" s="411" t="s">
        <v>4752</v>
      </c>
      <c r="EN8" s="408" t="s">
        <v>4753</v>
      </c>
      <c r="EO8" s="408" t="s">
        <v>4754</v>
      </c>
      <c r="EP8" s="411" t="s">
        <v>4755</v>
      </c>
      <c r="EQ8" s="411" t="s">
        <v>4756</v>
      </c>
      <c r="ER8" s="408" t="s">
        <v>4757</v>
      </c>
      <c r="ES8" s="77" t="s">
        <v>4758</v>
      </c>
      <c r="ET8" s="77" t="s">
        <v>4759</v>
      </c>
      <c r="EU8" s="411" t="s">
        <v>4760</v>
      </c>
      <c r="EV8" s="474" t="s">
        <v>4761</v>
      </c>
      <c r="EW8" s="411" t="s">
        <v>4762</v>
      </c>
      <c r="EX8" s="411" t="s">
        <v>4763</v>
      </c>
      <c r="EY8" s="411" t="s">
        <v>4764</v>
      </c>
      <c r="EZ8" s="411" t="s">
        <v>4765</v>
      </c>
      <c r="FA8" s="408" t="s">
        <v>4766</v>
      </c>
      <c r="FB8" s="408" t="s">
        <v>4767</v>
      </c>
      <c r="FC8" s="411" t="s">
        <v>4768</v>
      </c>
      <c r="FD8" s="408" t="s">
        <v>4769</v>
      </c>
      <c r="FE8" s="408" t="s">
        <v>4770</v>
      </c>
      <c r="FF8" s="411" t="s">
        <v>4771</v>
      </c>
      <c r="FG8" s="411" t="s">
        <v>4772</v>
      </c>
      <c r="FH8" s="408" t="s">
        <v>4773</v>
      </c>
      <c r="FI8" s="77" t="s">
        <v>4774</v>
      </c>
      <c r="FJ8" s="77" t="s">
        <v>4775</v>
      </c>
      <c r="FK8" s="411" t="s">
        <v>4776</v>
      </c>
      <c r="FL8" s="472" t="s">
        <v>4777</v>
      </c>
      <c r="FM8" s="411" t="s">
        <v>4778</v>
      </c>
      <c r="FN8" s="411" t="s">
        <v>4779</v>
      </c>
      <c r="FO8" s="411" t="s">
        <v>4780</v>
      </c>
      <c r="FP8" s="411" t="s">
        <v>4781</v>
      </c>
      <c r="FQ8" s="408" t="s">
        <v>4782</v>
      </c>
      <c r="FR8" s="408" t="s">
        <v>4783</v>
      </c>
      <c r="FS8" s="411" t="s">
        <v>4784</v>
      </c>
      <c r="FT8" s="408" t="s">
        <v>4785</v>
      </c>
      <c r="FU8" s="408" t="s">
        <v>4786</v>
      </c>
      <c r="FV8" s="411" t="s">
        <v>4787</v>
      </c>
      <c r="FW8" s="411" t="s">
        <v>4788</v>
      </c>
      <c r="FX8" s="408" t="s">
        <v>4789</v>
      </c>
      <c r="FY8" s="77" t="s">
        <v>4790</v>
      </c>
      <c r="FZ8" s="77" t="s">
        <v>4791</v>
      </c>
      <c r="GA8" s="411" t="s">
        <v>4792</v>
      </c>
      <c r="GB8" s="474" t="s">
        <v>4793</v>
      </c>
      <c r="GC8" s="411" t="s">
        <v>4794</v>
      </c>
      <c r="GD8" s="480" t="s">
        <v>4795</v>
      </c>
      <c r="GE8" s="411" t="s">
        <v>4796</v>
      </c>
      <c r="GF8" s="474" t="s">
        <v>4797</v>
      </c>
      <c r="GG8" s="411" t="s">
        <v>4798</v>
      </c>
      <c r="GH8" s="472" t="s">
        <v>4799</v>
      </c>
      <c r="GI8" s="411" t="s">
        <v>4800</v>
      </c>
      <c r="GJ8" s="474" t="s">
        <v>4801</v>
      </c>
      <c r="GK8" s="411" t="s">
        <v>4802</v>
      </c>
      <c r="GL8" s="411" t="s">
        <v>4803</v>
      </c>
      <c r="GM8" s="408"/>
      <c r="GN8" s="472" t="s">
        <v>4804</v>
      </c>
      <c r="GO8" s="411" t="s">
        <v>4805</v>
      </c>
      <c r="GP8" s="411" t="s">
        <v>4806</v>
      </c>
    </row>
    <row r="9" spans="1:198" ht="30" x14ac:dyDescent="0.15">
      <c r="A9" s="481" t="str">
        <f>VLOOKUP($J9&amp;":", Catalog!$F$5:$BV127, COLUMNS(Catalog!$F$5:$BV127), FALSE)</f>
        <v>State 2: has any action with season=january.</v>
      </c>
      <c r="B9" s="482" t="b">
        <f t="shared" ref="B9:B127" ca="1" si="0">IFERROR(OR($BF9="",AND($BG9="",$DT9="",$EV9="",$GB9="",$GF9="",$GJ9="")), TRUE)</f>
        <v>0</v>
      </c>
      <c r="C9" s="483" t="str">
        <f t="shared" ref="C9:C127" si="1">"grant"&amp;UPPER(LEFT(J9,1))&amp;RIGHT(J9,LEN(J9)-1)&amp;IF(AND(I9,H9&lt;&gt;"action"), "State"&amp;I9, "")</f>
        <v>grantSkinJanuaryState2</v>
      </c>
      <c r="D9" s="484" t="str">
        <f>VLOOKUP($J9&amp;":", Catalog!$F$5:$BW127, COLUMNS(Catalog!$F$5:$BW127), FALSE)</f>
        <v>never</v>
      </c>
      <c r="E9" s="485">
        <f>VLOOKUP($J9&amp;":", Catalog!$F$5:$BX127, COLUMNS(Catalog!$F$5:$BX127), FALSE)</f>
        <v>0</v>
      </c>
      <c r="F9" s="484">
        <f>VLOOKUP($J9&amp;":", Catalog!$F$5:$BY127, COLUMNS(Catalog!$F$5:$BY127), FALSE)</f>
        <v>0</v>
      </c>
      <c r="G9" s="484" t="str">
        <f>VLOOKUP($J9&amp;":", Catalog!$F$5:$BZ127, COLUMNS(Catalog!$F$5:$BZ127), FALSE)</f>
        <v>rewardIfAnyRequirementsMet</v>
      </c>
      <c r="H9" s="483" t="s">
        <v>315</v>
      </c>
      <c r="I9" s="483">
        <v>2</v>
      </c>
      <c r="J9" s="82" t="s">
        <v>346</v>
      </c>
      <c r="K9" s="486">
        <v>1</v>
      </c>
      <c r="L9" s="100" t="s">
        <v>279</v>
      </c>
      <c r="M9" s="100">
        <v>2</v>
      </c>
      <c r="N9" s="100" t="s">
        <v>280</v>
      </c>
      <c r="O9" s="86"/>
      <c r="P9" s="86"/>
      <c r="Q9" s="86"/>
      <c r="R9" s="100" t="str">
        <f t="shared" ref="R9:R127" si="2">$D9</f>
        <v>never</v>
      </c>
      <c r="S9" s="487"/>
      <c r="T9" s="486"/>
      <c r="U9" s="488"/>
      <c r="V9" s="488"/>
      <c r="W9" s="488"/>
      <c r="X9" s="488"/>
      <c r="Y9" s="306"/>
      <c r="Z9" s="306"/>
      <c r="AA9" s="489"/>
      <c r="AB9" s="306" t="str">
        <f t="shared" ref="AB9:AB127" si="3">IF($E9&lt;&gt;"", "total_points", "")</f>
        <v>total_points</v>
      </c>
      <c r="AC9" s="490">
        <f t="shared" ref="AC9:AC127" si="4">$E9</f>
        <v>0</v>
      </c>
      <c r="AD9" s="490">
        <f t="shared" ref="AD9:AD127" si="5">$F9</f>
        <v>0</v>
      </c>
      <c r="AE9" s="306"/>
      <c r="AF9" s="332" t="str">
        <f t="shared" ref="AF9:AF127" si="6">IF($AB9&lt;&gt;"",$J9,"")</f>
        <v>skinJanuary</v>
      </c>
      <c r="AG9" s="306"/>
      <c r="AH9" s="487"/>
      <c r="AI9" s="306"/>
      <c r="AJ9" s="306"/>
      <c r="AK9" s="306"/>
      <c r="AL9" s="306"/>
      <c r="AM9" s="306"/>
      <c r="AN9" s="491"/>
      <c r="AO9" s="306"/>
      <c r="AP9" s="306"/>
      <c r="AQ9" s="306"/>
      <c r="AR9" s="306"/>
      <c r="AS9" s="306"/>
      <c r="AT9" s="487"/>
      <c r="AU9" s="306"/>
      <c r="AV9" s="306"/>
      <c r="AW9" s="306"/>
      <c r="AX9" s="306"/>
      <c r="AY9" s="306"/>
      <c r="AZ9" s="491"/>
      <c r="BA9" s="306"/>
      <c r="BB9" s="306"/>
      <c r="BC9" s="487"/>
      <c r="BD9" s="306"/>
      <c r="BE9" s="306"/>
      <c r="BF9" s="492" t="str">
        <f ca="1">IFERROR(__xludf.DUMMYFUNCTION("IF(REGEXMATCH($G9, ""Any""), ""any"", IF(REGEXMATCH($G9, ""All""), ""all"", """"))"),"any")</f>
        <v>any</v>
      </c>
      <c r="BG9" s="491"/>
      <c r="BH9" s="306"/>
      <c r="BI9" s="306"/>
      <c r="BJ9" s="306"/>
      <c r="BK9" s="306"/>
      <c r="BL9" s="306"/>
      <c r="BM9" s="306"/>
      <c r="BN9" s="306"/>
      <c r="BO9" s="306"/>
      <c r="BP9" s="493"/>
      <c r="BQ9" s="306"/>
      <c r="BR9" s="306"/>
      <c r="BS9" s="494"/>
      <c r="BT9" s="487"/>
      <c r="BU9" s="306"/>
      <c r="BV9" s="306"/>
      <c r="BW9" s="306"/>
      <c r="BX9" s="306"/>
      <c r="BY9" s="306"/>
      <c r="BZ9" s="306"/>
      <c r="CA9" s="306"/>
      <c r="CB9" s="306"/>
      <c r="CC9" s="493"/>
      <c r="CD9" s="306"/>
      <c r="CE9" s="306"/>
      <c r="CF9" s="494"/>
      <c r="CG9" s="487"/>
      <c r="CH9" s="306"/>
      <c r="CI9" s="306"/>
      <c r="CJ9" s="306"/>
      <c r="CK9" s="306"/>
      <c r="CL9" s="306"/>
      <c r="CM9" s="306"/>
      <c r="CN9" s="306"/>
      <c r="CO9" s="306"/>
      <c r="CP9" s="306"/>
      <c r="CQ9" s="306"/>
      <c r="CR9" s="306"/>
      <c r="CS9" s="494"/>
      <c r="CT9" s="306"/>
      <c r="CU9" s="306"/>
      <c r="CV9" s="306"/>
      <c r="CW9" s="306"/>
      <c r="CX9" s="306"/>
      <c r="CY9" s="306"/>
      <c r="CZ9" s="306"/>
      <c r="DA9" s="306"/>
      <c r="DB9" s="306"/>
      <c r="DC9" s="493"/>
      <c r="DD9" s="306"/>
      <c r="DE9" s="306"/>
      <c r="DF9" s="494"/>
      <c r="DG9" s="306"/>
      <c r="DH9" s="306"/>
      <c r="DI9" s="306"/>
      <c r="DJ9" s="306"/>
      <c r="DK9" s="306"/>
      <c r="DL9" s="306"/>
      <c r="DM9" s="306"/>
      <c r="DN9" s="306"/>
      <c r="DO9" s="306"/>
      <c r="DP9" s="493"/>
      <c r="DQ9" s="306"/>
      <c r="DR9" s="306"/>
      <c r="DS9" s="489"/>
      <c r="DT9" s="495" t="s">
        <v>811</v>
      </c>
      <c r="DU9" s="306"/>
      <c r="DV9" s="306"/>
      <c r="DW9" s="306"/>
      <c r="DX9" s="306"/>
      <c r="DY9" s="306"/>
      <c r="DZ9" s="306"/>
      <c r="EA9" s="306"/>
      <c r="EB9" s="306"/>
      <c r="EC9" s="100" t="s">
        <v>2369</v>
      </c>
      <c r="ED9" s="496" t="s">
        <v>4807</v>
      </c>
      <c r="EE9" s="306"/>
      <c r="EF9" s="306"/>
      <c r="EG9" s="306"/>
      <c r="EH9" s="487"/>
      <c r="EI9" s="306"/>
      <c r="EJ9" s="306"/>
      <c r="EK9" s="306"/>
      <c r="EL9" s="306"/>
      <c r="EM9" s="306"/>
      <c r="EN9" s="306"/>
      <c r="EO9" s="306"/>
      <c r="EP9" s="306"/>
      <c r="EQ9" s="306"/>
      <c r="ER9" s="306"/>
      <c r="ES9" s="306"/>
      <c r="ET9" s="306"/>
      <c r="EU9" s="306"/>
      <c r="EV9" s="491"/>
      <c r="EW9" s="306"/>
      <c r="EX9" s="306"/>
      <c r="EY9" s="306"/>
      <c r="EZ9" s="306"/>
      <c r="FA9" s="306"/>
      <c r="FB9" s="306"/>
      <c r="FC9" s="306"/>
      <c r="FD9" s="306"/>
      <c r="FE9" s="306"/>
      <c r="FF9" s="306"/>
      <c r="FG9" s="306"/>
      <c r="FH9" s="306"/>
      <c r="FI9" s="306"/>
      <c r="FJ9" s="306"/>
      <c r="FK9" s="306"/>
      <c r="FL9" s="487"/>
      <c r="FM9" s="306"/>
      <c r="FN9" s="306"/>
      <c r="FO9" s="306"/>
      <c r="FP9" s="306"/>
      <c r="FQ9" s="306"/>
      <c r="FR9" s="306"/>
      <c r="FS9" s="306"/>
      <c r="FT9" s="306"/>
      <c r="FU9" s="306"/>
      <c r="FV9" s="306"/>
      <c r="FW9" s="306"/>
      <c r="FX9" s="306"/>
      <c r="FY9" s="306"/>
      <c r="FZ9" s="306"/>
      <c r="GA9" s="306"/>
      <c r="GB9" s="491"/>
      <c r="GC9" s="306"/>
      <c r="GD9" s="306"/>
      <c r="GE9" s="306"/>
      <c r="GF9" s="491"/>
      <c r="GG9" s="494"/>
      <c r="GH9" s="487"/>
      <c r="GI9" s="306"/>
      <c r="GJ9" s="491"/>
      <c r="GK9" s="306"/>
      <c r="GL9" s="306"/>
      <c r="GM9" s="497" t="str">
        <f t="shared" ref="GM9:GM49" si="7">$GJ9&amp;":"&amp;$GK9</f>
        <v>:</v>
      </c>
      <c r="GN9" s="306"/>
      <c r="GO9" s="306"/>
      <c r="GP9" s="306"/>
    </row>
    <row r="10" spans="1:198" ht="30" x14ac:dyDescent="0.15">
      <c r="A10" s="481" t="str">
        <f>VLOOKUP($J10&amp;":", Catalog!$F$5:$BV127, COLUMNS(Catalog!$F$5:$BV127), FALSE)</f>
        <v>State 2: has any action with season=february</v>
      </c>
      <c r="B10" s="482" t="b">
        <f t="shared" ca="1" si="0"/>
        <v>0</v>
      </c>
      <c r="C10" s="483" t="str">
        <f t="shared" si="1"/>
        <v>grantSkinFebruaryState2</v>
      </c>
      <c r="D10" s="484" t="str">
        <f>VLOOKUP($J10&amp;":", Catalog!$F$5:$BW127, COLUMNS(Catalog!$F$5:$BW127), FALSE)</f>
        <v>never</v>
      </c>
      <c r="E10" s="485">
        <f>VLOOKUP($J10&amp;":", Catalog!$F$5:$BX127, COLUMNS(Catalog!$F$5:$BX127), FALSE)</f>
        <v>0</v>
      </c>
      <c r="F10" s="484">
        <f>VLOOKUP($J10&amp;":", Catalog!$F$5:$BY127, COLUMNS(Catalog!$F$5:$BY127), FALSE)</f>
        <v>0</v>
      </c>
      <c r="G10" s="484" t="str">
        <f>VLOOKUP($J10, Catalog!$E$5:$BZ127, COLUMNS(Catalog!$E$5:$BZ127), FALSE)</f>
        <v>rewardIfAnyRequirementsMet</v>
      </c>
      <c r="H10" s="483" t="s">
        <v>315</v>
      </c>
      <c r="I10" s="483">
        <v>2</v>
      </c>
      <c r="J10" s="82" t="s">
        <v>355</v>
      </c>
      <c r="K10" s="486">
        <v>1</v>
      </c>
      <c r="L10" s="100" t="s">
        <v>279</v>
      </c>
      <c r="M10" s="100">
        <v>2</v>
      </c>
      <c r="N10" s="100" t="s">
        <v>280</v>
      </c>
      <c r="O10" s="86"/>
      <c r="P10" s="86"/>
      <c r="Q10" s="86"/>
      <c r="R10" s="100" t="str">
        <f t="shared" si="2"/>
        <v>never</v>
      </c>
      <c r="S10" s="487"/>
      <c r="T10" s="486"/>
      <c r="U10" s="488"/>
      <c r="V10" s="488"/>
      <c r="W10" s="488"/>
      <c r="X10" s="488"/>
      <c r="Y10" s="306"/>
      <c r="Z10" s="306"/>
      <c r="AA10" s="489"/>
      <c r="AB10" s="306" t="str">
        <f t="shared" si="3"/>
        <v>total_points</v>
      </c>
      <c r="AC10" s="490">
        <f t="shared" si="4"/>
        <v>0</v>
      </c>
      <c r="AD10" s="490">
        <f t="shared" si="5"/>
        <v>0</v>
      </c>
      <c r="AE10" s="306"/>
      <c r="AF10" s="332" t="str">
        <f t="shared" si="6"/>
        <v>skinFebruary</v>
      </c>
      <c r="AG10" s="306"/>
      <c r="AH10" s="487"/>
      <c r="AI10" s="306"/>
      <c r="AJ10" s="306"/>
      <c r="AK10" s="306"/>
      <c r="AL10" s="306"/>
      <c r="AM10" s="306"/>
      <c r="AN10" s="491"/>
      <c r="AO10" s="306"/>
      <c r="AP10" s="306"/>
      <c r="AQ10" s="306"/>
      <c r="AR10" s="306"/>
      <c r="AS10" s="306"/>
      <c r="AT10" s="487"/>
      <c r="AU10" s="306"/>
      <c r="AV10" s="306"/>
      <c r="AW10" s="306"/>
      <c r="AX10" s="306"/>
      <c r="AY10" s="306"/>
      <c r="AZ10" s="491"/>
      <c r="BA10" s="306"/>
      <c r="BB10" s="306"/>
      <c r="BC10" s="487"/>
      <c r="BD10" s="306"/>
      <c r="BE10" s="306"/>
      <c r="BF10" s="492" t="str">
        <f ca="1">IFERROR(__xludf.DUMMYFUNCTION("IF(REGEXMATCH($G10, ""Any""), ""any"", IF(REGEXMATCH($G10, ""All""), ""all"", """"))"),"any")</f>
        <v>any</v>
      </c>
      <c r="BG10" s="491"/>
      <c r="BH10" s="306"/>
      <c r="BI10" s="306"/>
      <c r="BJ10" s="306"/>
      <c r="BK10" s="306"/>
      <c r="BL10" s="306"/>
      <c r="BM10" s="306"/>
      <c r="BN10" s="306"/>
      <c r="BO10" s="306"/>
      <c r="BP10" s="493"/>
      <c r="BQ10" s="306"/>
      <c r="BR10" s="306"/>
      <c r="BS10" s="494"/>
      <c r="BT10" s="487"/>
      <c r="BU10" s="306"/>
      <c r="BV10" s="306"/>
      <c r="BW10" s="306"/>
      <c r="BX10" s="306"/>
      <c r="BY10" s="306"/>
      <c r="BZ10" s="306"/>
      <c r="CA10" s="306"/>
      <c r="CB10" s="306"/>
      <c r="CC10" s="493"/>
      <c r="CD10" s="306"/>
      <c r="CE10" s="306"/>
      <c r="CF10" s="494"/>
      <c r="CG10" s="487"/>
      <c r="CH10" s="306"/>
      <c r="CI10" s="306"/>
      <c r="CJ10" s="306"/>
      <c r="CK10" s="306"/>
      <c r="CL10" s="306"/>
      <c r="CM10" s="306"/>
      <c r="CN10" s="306"/>
      <c r="CO10" s="306"/>
      <c r="CP10" s="306"/>
      <c r="CQ10" s="306"/>
      <c r="CR10" s="306"/>
      <c r="CS10" s="494"/>
      <c r="CT10" s="306"/>
      <c r="CU10" s="306"/>
      <c r="CV10" s="306"/>
      <c r="CW10" s="306"/>
      <c r="CX10" s="306"/>
      <c r="CY10" s="306"/>
      <c r="CZ10" s="306"/>
      <c r="DA10" s="306"/>
      <c r="DB10" s="306"/>
      <c r="DC10" s="493"/>
      <c r="DD10" s="306"/>
      <c r="DE10" s="306"/>
      <c r="DF10" s="494"/>
      <c r="DG10" s="306"/>
      <c r="DH10" s="306"/>
      <c r="DI10" s="306"/>
      <c r="DJ10" s="306"/>
      <c r="DK10" s="306"/>
      <c r="DL10" s="306"/>
      <c r="DM10" s="306"/>
      <c r="DN10" s="306"/>
      <c r="DO10" s="306"/>
      <c r="DP10" s="493"/>
      <c r="DQ10" s="306"/>
      <c r="DR10" s="306"/>
      <c r="DS10" s="489"/>
      <c r="DT10" s="495" t="s">
        <v>811</v>
      </c>
      <c r="DU10" s="306"/>
      <c r="DV10" s="306"/>
      <c r="DW10" s="306"/>
      <c r="DX10" s="306"/>
      <c r="DY10" s="306"/>
      <c r="DZ10" s="306"/>
      <c r="EA10" s="306"/>
      <c r="EB10" s="306"/>
      <c r="EC10" s="100" t="s">
        <v>2369</v>
      </c>
      <c r="ED10" s="496" t="s">
        <v>4808</v>
      </c>
      <c r="EE10" s="306"/>
      <c r="EF10" s="306"/>
      <c r="EG10" s="306"/>
      <c r="EH10" s="487"/>
      <c r="EI10" s="306"/>
      <c r="EJ10" s="306"/>
      <c r="EK10" s="306"/>
      <c r="EL10" s="306"/>
      <c r="EM10" s="306"/>
      <c r="EN10" s="306"/>
      <c r="EO10" s="306"/>
      <c r="EP10" s="306"/>
      <c r="EQ10" s="306"/>
      <c r="ER10" s="306"/>
      <c r="ES10" s="306"/>
      <c r="ET10" s="306"/>
      <c r="EU10" s="306"/>
      <c r="EV10" s="491"/>
      <c r="EW10" s="306"/>
      <c r="EX10" s="306"/>
      <c r="EY10" s="306"/>
      <c r="EZ10" s="306"/>
      <c r="FA10" s="306"/>
      <c r="FB10" s="306"/>
      <c r="FC10" s="306"/>
      <c r="FD10" s="306"/>
      <c r="FE10" s="306"/>
      <c r="FF10" s="306"/>
      <c r="FG10" s="306"/>
      <c r="FH10" s="306"/>
      <c r="FI10" s="306"/>
      <c r="FJ10" s="306"/>
      <c r="FK10" s="306"/>
      <c r="FL10" s="487"/>
      <c r="FM10" s="306"/>
      <c r="FN10" s="306"/>
      <c r="FO10" s="306"/>
      <c r="FP10" s="306"/>
      <c r="FQ10" s="306"/>
      <c r="FR10" s="306"/>
      <c r="FS10" s="306"/>
      <c r="FT10" s="306"/>
      <c r="FU10" s="306"/>
      <c r="FV10" s="306"/>
      <c r="FW10" s="306"/>
      <c r="FX10" s="306"/>
      <c r="FY10" s="306"/>
      <c r="FZ10" s="306"/>
      <c r="GA10" s="306"/>
      <c r="GB10" s="491"/>
      <c r="GC10" s="306"/>
      <c r="GD10" s="306"/>
      <c r="GE10" s="306"/>
      <c r="GF10" s="491"/>
      <c r="GG10" s="494"/>
      <c r="GH10" s="487"/>
      <c r="GI10" s="306"/>
      <c r="GJ10" s="491"/>
      <c r="GK10" s="306"/>
      <c r="GL10" s="306"/>
      <c r="GM10" s="497" t="str">
        <f t="shared" si="7"/>
        <v>:</v>
      </c>
      <c r="GN10" s="306"/>
      <c r="GO10" s="306"/>
      <c r="GP10" s="306"/>
    </row>
    <row r="11" spans="1:198" ht="30" x14ac:dyDescent="0.15">
      <c r="A11" s="481" t="str">
        <f>VLOOKUP($J11&amp;":", Catalog!$F$5:$BV127, COLUMNS(Catalog!$F$5:$BV127), FALSE)</f>
        <v>State 2: has any action with season=march</v>
      </c>
      <c r="B11" s="482" t="b">
        <f t="shared" ca="1" si="0"/>
        <v>0</v>
      </c>
      <c r="C11" s="483" t="str">
        <f t="shared" si="1"/>
        <v>grantSkinMarchState2</v>
      </c>
      <c r="D11" s="484" t="str">
        <f>VLOOKUP($J11&amp;":", Catalog!$F$5:$BW127, COLUMNS(Catalog!$F$5:$BW127), FALSE)</f>
        <v>never</v>
      </c>
      <c r="E11" s="485">
        <f>VLOOKUP($J11&amp;":", Catalog!$F$5:$BX127, COLUMNS(Catalog!$F$5:$BX127), FALSE)</f>
        <v>0</v>
      </c>
      <c r="F11" s="484">
        <f>VLOOKUP($J11&amp;":", Catalog!$F$5:$BY127, COLUMNS(Catalog!$F$5:$BY127), FALSE)</f>
        <v>0</v>
      </c>
      <c r="G11" s="484" t="str">
        <f>VLOOKUP($J11, Catalog!$E$5:$BZ127, COLUMNS(Catalog!$E$5:$BZ127), FALSE)</f>
        <v>rewardIfAnyRequirementsMet</v>
      </c>
      <c r="H11" s="483" t="s">
        <v>315</v>
      </c>
      <c r="I11" s="483">
        <v>2</v>
      </c>
      <c r="J11" s="82" t="s">
        <v>362</v>
      </c>
      <c r="K11" s="486">
        <v>1</v>
      </c>
      <c r="L11" s="100" t="s">
        <v>279</v>
      </c>
      <c r="M11" s="100">
        <v>2</v>
      </c>
      <c r="N11" s="100" t="s">
        <v>280</v>
      </c>
      <c r="O11" s="86"/>
      <c r="P11" s="86"/>
      <c r="Q11" s="86"/>
      <c r="R11" s="100" t="str">
        <f t="shared" si="2"/>
        <v>never</v>
      </c>
      <c r="S11" s="487"/>
      <c r="T11" s="486"/>
      <c r="U11" s="488"/>
      <c r="V11" s="488"/>
      <c r="W11" s="488"/>
      <c r="X11" s="488"/>
      <c r="Y11" s="306"/>
      <c r="Z11" s="306"/>
      <c r="AA11" s="489"/>
      <c r="AB11" s="306" t="str">
        <f t="shared" si="3"/>
        <v>total_points</v>
      </c>
      <c r="AC11" s="490">
        <f t="shared" si="4"/>
        <v>0</v>
      </c>
      <c r="AD11" s="490">
        <f t="shared" si="5"/>
        <v>0</v>
      </c>
      <c r="AE11" s="306"/>
      <c r="AF11" s="332" t="str">
        <f t="shared" si="6"/>
        <v>skinMarch</v>
      </c>
      <c r="AG11" s="306"/>
      <c r="AH11" s="487"/>
      <c r="AI11" s="306"/>
      <c r="AJ11" s="306"/>
      <c r="AK11" s="306"/>
      <c r="AL11" s="306"/>
      <c r="AM11" s="306"/>
      <c r="AN11" s="491"/>
      <c r="AO11" s="306"/>
      <c r="AP11" s="306"/>
      <c r="AQ11" s="306"/>
      <c r="AR11" s="306"/>
      <c r="AS11" s="306"/>
      <c r="AT11" s="487"/>
      <c r="AU11" s="306"/>
      <c r="AV11" s="306"/>
      <c r="AW11" s="306"/>
      <c r="AX11" s="306"/>
      <c r="AY11" s="306"/>
      <c r="AZ11" s="491"/>
      <c r="BA11" s="306"/>
      <c r="BB11" s="306"/>
      <c r="BC11" s="487"/>
      <c r="BD11" s="306"/>
      <c r="BE11" s="306"/>
      <c r="BF11" s="492" t="str">
        <f ca="1">IFERROR(__xludf.DUMMYFUNCTION("IF(REGEXMATCH($G11, ""Any""), ""any"", IF(REGEXMATCH($G11, ""All""), ""all"", """"))"),"any")</f>
        <v>any</v>
      </c>
      <c r="BG11" s="491"/>
      <c r="BH11" s="306"/>
      <c r="BI11" s="306"/>
      <c r="BJ11" s="306"/>
      <c r="BK11" s="306"/>
      <c r="BL11" s="306"/>
      <c r="BM11" s="306"/>
      <c r="BN11" s="306"/>
      <c r="BO11" s="306"/>
      <c r="BP11" s="493"/>
      <c r="BQ11" s="306"/>
      <c r="BR11" s="306"/>
      <c r="BS11" s="494"/>
      <c r="BT11" s="487"/>
      <c r="BU11" s="306"/>
      <c r="BV11" s="306"/>
      <c r="BW11" s="306"/>
      <c r="BX11" s="306"/>
      <c r="BY11" s="306"/>
      <c r="BZ11" s="306"/>
      <c r="CA11" s="306"/>
      <c r="CB11" s="306"/>
      <c r="CC11" s="493"/>
      <c r="CD11" s="306"/>
      <c r="CE11" s="306"/>
      <c r="CF11" s="494"/>
      <c r="CG11" s="487"/>
      <c r="CH11" s="306"/>
      <c r="CI11" s="306"/>
      <c r="CJ11" s="306"/>
      <c r="CK11" s="306"/>
      <c r="CL11" s="306"/>
      <c r="CM11" s="306"/>
      <c r="CN11" s="306"/>
      <c r="CO11" s="306"/>
      <c r="CP11" s="306"/>
      <c r="CQ11" s="306"/>
      <c r="CR11" s="306"/>
      <c r="CS11" s="494"/>
      <c r="CT11" s="306"/>
      <c r="CU11" s="306"/>
      <c r="CV11" s="306"/>
      <c r="CW11" s="306"/>
      <c r="CX11" s="306"/>
      <c r="CY11" s="306"/>
      <c r="CZ11" s="306"/>
      <c r="DA11" s="306"/>
      <c r="DB11" s="306"/>
      <c r="DC11" s="493"/>
      <c r="DD11" s="306"/>
      <c r="DE11" s="306"/>
      <c r="DF11" s="494"/>
      <c r="DG11" s="306"/>
      <c r="DH11" s="306"/>
      <c r="DI11" s="306"/>
      <c r="DJ11" s="306"/>
      <c r="DK11" s="306"/>
      <c r="DL11" s="306"/>
      <c r="DM11" s="306"/>
      <c r="DN11" s="306"/>
      <c r="DO11" s="306"/>
      <c r="DP11" s="493"/>
      <c r="DQ11" s="306"/>
      <c r="DR11" s="306"/>
      <c r="DS11" s="489"/>
      <c r="DT11" s="495" t="s">
        <v>811</v>
      </c>
      <c r="DU11" s="306"/>
      <c r="DV11" s="306"/>
      <c r="DW11" s="306"/>
      <c r="DX11" s="306"/>
      <c r="DY11" s="306"/>
      <c r="DZ11" s="306"/>
      <c r="EA11" s="306"/>
      <c r="EB11" s="306"/>
      <c r="EC11" s="100" t="s">
        <v>2369</v>
      </c>
      <c r="ED11" s="496" t="s">
        <v>4809</v>
      </c>
      <c r="EE11" s="306"/>
      <c r="EF11" s="306"/>
      <c r="EG11" s="306"/>
      <c r="EH11" s="487"/>
      <c r="EI11" s="306"/>
      <c r="EJ11" s="306"/>
      <c r="EK11" s="306"/>
      <c r="EL11" s="306"/>
      <c r="EM11" s="306"/>
      <c r="EN11" s="306"/>
      <c r="EO11" s="306"/>
      <c r="EP11" s="306"/>
      <c r="EQ11" s="306"/>
      <c r="ER11" s="306"/>
      <c r="ES11" s="306"/>
      <c r="ET11" s="306"/>
      <c r="EU11" s="306"/>
      <c r="EV11" s="491"/>
      <c r="EW11" s="306"/>
      <c r="EX11" s="306"/>
      <c r="EY11" s="306"/>
      <c r="EZ11" s="306"/>
      <c r="FA11" s="306"/>
      <c r="FB11" s="306"/>
      <c r="FC11" s="306"/>
      <c r="FD11" s="306"/>
      <c r="FE11" s="306"/>
      <c r="FF11" s="306"/>
      <c r="FG11" s="306"/>
      <c r="FH11" s="306"/>
      <c r="FI11" s="306"/>
      <c r="FJ11" s="306"/>
      <c r="FK11" s="306"/>
      <c r="FL11" s="487"/>
      <c r="FM11" s="306"/>
      <c r="FN11" s="306"/>
      <c r="FO11" s="306"/>
      <c r="FP11" s="306"/>
      <c r="FQ11" s="306"/>
      <c r="FR11" s="306"/>
      <c r="FS11" s="306"/>
      <c r="FT11" s="306"/>
      <c r="FU11" s="306"/>
      <c r="FV11" s="306"/>
      <c r="FW11" s="306"/>
      <c r="FX11" s="306"/>
      <c r="FY11" s="306"/>
      <c r="FZ11" s="306"/>
      <c r="GA11" s="306"/>
      <c r="GB11" s="491"/>
      <c r="GC11" s="306"/>
      <c r="GD11" s="306"/>
      <c r="GE11" s="306"/>
      <c r="GF11" s="491"/>
      <c r="GG11" s="494"/>
      <c r="GH11" s="487"/>
      <c r="GI11" s="306"/>
      <c r="GJ11" s="491"/>
      <c r="GK11" s="306"/>
      <c r="GL11" s="306"/>
      <c r="GM11" s="497" t="str">
        <f t="shared" si="7"/>
        <v>:</v>
      </c>
      <c r="GN11" s="306"/>
      <c r="GO11" s="306"/>
      <c r="GP11" s="306"/>
    </row>
    <row r="12" spans="1:198" ht="30" x14ac:dyDescent="0.15">
      <c r="A12" s="481" t="str">
        <f>VLOOKUP($J12&amp;":", Catalog!$F$5:$BV127, COLUMNS(Catalog!$F$5:$BV127), FALSE)</f>
        <v>State 2: has any action with season=april</v>
      </c>
      <c r="B12" s="482" t="b">
        <f t="shared" ca="1" si="0"/>
        <v>0</v>
      </c>
      <c r="C12" s="483" t="str">
        <f t="shared" si="1"/>
        <v>grantSkinAprilState2</v>
      </c>
      <c r="D12" s="484" t="str">
        <f>VLOOKUP($J12&amp;":", Catalog!$F$5:$BW127, COLUMNS(Catalog!$F$5:$BW127), FALSE)</f>
        <v>never</v>
      </c>
      <c r="E12" s="485">
        <f>VLOOKUP($J12&amp;":", Catalog!$F$5:$BX127, COLUMNS(Catalog!$F$5:$BX127), FALSE)</f>
        <v>0</v>
      </c>
      <c r="F12" s="484">
        <f>VLOOKUP($J12&amp;":", Catalog!$F$5:$BY127, COLUMNS(Catalog!$F$5:$BY127), FALSE)</f>
        <v>0</v>
      </c>
      <c r="G12" s="484" t="str">
        <f>VLOOKUP($J12, Catalog!$E$5:$BZ127, COLUMNS(Catalog!$E$5:$BZ127), FALSE)</f>
        <v>rewardIfAnyRequirementsMet</v>
      </c>
      <c r="H12" s="483" t="s">
        <v>315</v>
      </c>
      <c r="I12" s="483">
        <v>2</v>
      </c>
      <c r="J12" s="82" t="s">
        <v>370</v>
      </c>
      <c r="K12" s="486">
        <v>1</v>
      </c>
      <c r="L12" s="100" t="s">
        <v>279</v>
      </c>
      <c r="M12" s="100">
        <v>2</v>
      </c>
      <c r="N12" s="100" t="s">
        <v>280</v>
      </c>
      <c r="O12" s="86"/>
      <c r="P12" s="86"/>
      <c r="Q12" s="86"/>
      <c r="R12" s="100" t="str">
        <f t="shared" si="2"/>
        <v>never</v>
      </c>
      <c r="S12" s="487"/>
      <c r="T12" s="486"/>
      <c r="U12" s="488"/>
      <c r="V12" s="488"/>
      <c r="W12" s="488"/>
      <c r="X12" s="488"/>
      <c r="Y12" s="306"/>
      <c r="Z12" s="306"/>
      <c r="AA12" s="489"/>
      <c r="AB12" s="306" t="str">
        <f t="shared" si="3"/>
        <v>total_points</v>
      </c>
      <c r="AC12" s="490">
        <f t="shared" si="4"/>
        <v>0</v>
      </c>
      <c r="AD12" s="490">
        <f t="shared" si="5"/>
        <v>0</v>
      </c>
      <c r="AE12" s="306"/>
      <c r="AF12" s="332" t="str">
        <f t="shared" si="6"/>
        <v>skinApril</v>
      </c>
      <c r="AG12" s="306"/>
      <c r="AH12" s="487"/>
      <c r="AI12" s="306"/>
      <c r="AJ12" s="306"/>
      <c r="AK12" s="306"/>
      <c r="AL12" s="306"/>
      <c r="AM12" s="306"/>
      <c r="AN12" s="491"/>
      <c r="AO12" s="306"/>
      <c r="AP12" s="306"/>
      <c r="AQ12" s="306"/>
      <c r="AR12" s="306"/>
      <c r="AS12" s="306"/>
      <c r="AT12" s="487"/>
      <c r="AU12" s="306"/>
      <c r="AV12" s="306"/>
      <c r="AW12" s="306"/>
      <c r="AX12" s="306"/>
      <c r="AY12" s="306"/>
      <c r="AZ12" s="491"/>
      <c r="BA12" s="306"/>
      <c r="BB12" s="306"/>
      <c r="BC12" s="487"/>
      <c r="BD12" s="306"/>
      <c r="BE12" s="306"/>
      <c r="BF12" s="492" t="str">
        <f ca="1">IFERROR(__xludf.DUMMYFUNCTION("IF(REGEXMATCH($G12, ""Any""), ""any"", IF(REGEXMATCH($G12, ""All""), ""all"", """"))"),"any")</f>
        <v>any</v>
      </c>
      <c r="BG12" s="491"/>
      <c r="BH12" s="306"/>
      <c r="BI12" s="306"/>
      <c r="BJ12" s="306"/>
      <c r="BK12" s="306"/>
      <c r="BL12" s="306"/>
      <c r="BM12" s="306"/>
      <c r="BN12" s="306"/>
      <c r="BO12" s="306"/>
      <c r="BP12" s="493"/>
      <c r="BQ12" s="306"/>
      <c r="BR12" s="306"/>
      <c r="BS12" s="494"/>
      <c r="BT12" s="487"/>
      <c r="BU12" s="306"/>
      <c r="BV12" s="306"/>
      <c r="BW12" s="306"/>
      <c r="BX12" s="306"/>
      <c r="BY12" s="306"/>
      <c r="BZ12" s="306"/>
      <c r="CA12" s="306"/>
      <c r="CB12" s="306"/>
      <c r="CC12" s="493"/>
      <c r="CD12" s="306"/>
      <c r="CE12" s="306"/>
      <c r="CF12" s="494"/>
      <c r="CG12" s="487"/>
      <c r="CH12" s="306"/>
      <c r="CI12" s="306"/>
      <c r="CJ12" s="306"/>
      <c r="CK12" s="306"/>
      <c r="CL12" s="306"/>
      <c r="CM12" s="306"/>
      <c r="CN12" s="306"/>
      <c r="CO12" s="306"/>
      <c r="CP12" s="306"/>
      <c r="CQ12" s="306"/>
      <c r="CR12" s="306"/>
      <c r="CS12" s="494"/>
      <c r="CT12" s="306"/>
      <c r="CU12" s="306"/>
      <c r="CV12" s="306"/>
      <c r="CW12" s="306"/>
      <c r="CX12" s="306"/>
      <c r="CY12" s="306"/>
      <c r="CZ12" s="306"/>
      <c r="DA12" s="306"/>
      <c r="DB12" s="306"/>
      <c r="DC12" s="493"/>
      <c r="DD12" s="306"/>
      <c r="DE12" s="306"/>
      <c r="DF12" s="494"/>
      <c r="DG12" s="306"/>
      <c r="DH12" s="306"/>
      <c r="DI12" s="306"/>
      <c r="DJ12" s="306"/>
      <c r="DK12" s="306"/>
      <c r="DL12" s="306"/>
      <c r="DM12" s="306"/>
      <c r="DN12" s="306"/>
      <c r="DO12" s="306"/>
      <c r="DP12" s="493"/>
      <c r="DQ12" s="306"/>
      <c r="DR12" s="306"/>
      <c r="DS12" s="489"/>
      <c r="DT12" s="495" t="s">
        <v>811</v>
      </c>
      <c r="DU12" s="306"/>
      <c r="DV12" s="306"/>
      <c r="DW12" s="306"/>
      <c r="DX12" s="306"/>
      <c r="DY12" s="306"/>
      <c r="DZ12" s="306"/>
      <c r="EA12" s="306"/>
      <c r="EB12" s="306"/>
      <c r="EC12" s="100" t="s">
        <v>2369</v>
      </c>
      <c r="ED12" s="496" t="s">
        <v>4810</v>
      </c>
      <c r="EE12" s="306"/>
      <c r="EF12" s="306"/>
      <c r="EG12" s="306"/>
      <c r="EH12" s="487"/>
      <c r="EI12" s="306"/>
      <c r="EJ12" s="306"/>
      <c r="EK12" s="306"/>
      <c r="EL12" s="306"/>
      <c r="EM12" s="306"/>
      <c r="EN12" s="306"/>
      <c r="EO12" s="306"/>
      <c r="EP12" s="306"/>
      <c r="EQ12" s="306"/>
      <c r="ER12" s="306"/>
      <c r="ES12" s="306"/>
      <c r="ET12" s="306"/>
      <c r="EU12" s="306"/>
      <c r="EV12" s="491"/>
      <c r="EW12" s="306"/>
      <c r="EX12" s="306"/>
      <c r="EY12" s="306"/>
      <c r="EZ12" s="306"/>
      <c r="FA12" s="306"/>
      <c r="FB12" s="306"/>
      <c r="FC12" s="306"/>
      <c r="FD12" s="306"/>
      <c r="FE12" s="306"/>
      <c r="FF12" s="306"/>
      <c r="FG12" s="306"/>
      <c r="FH12" s="306"/>
      <c r="FI12" s="306"/>
      <c r="FJ12" s="306"/>
      <c r="FK12" s="306"/>
      <c r="FL12" s="487"/>
      <c r="FM12" s="306"/>
      <c r="FN12" s="306"/>
      <c r="FO12" s="306"/>
      <c r="FP12" s="306"/>
      <c r="FQ12" s="306"/>
      <c r="FR12" s="306"/>
      <c r="FS12" s="306"/>
      <c r="FT12" s="306"/>
      <c r="FU12" s="306"/>
      <c r="FV12" s="306"/>
      <c r="FW12" s="306"/>
      <c r="FX12" s="306"/>
      <c r="FY12" s="306"/>
      <c r="FZ12" s="306"/>
      <c r="GA12" s="306"/>
      <c r="GB12" s="491"/>
      <c r="GC12" s="306"/>
      <c r="GD12" s="306"/>
      <c r="GE12" s="306"/>
      <c r="GF12" s="491"/>
      <c r="GG12" s="494"/>
      <c r="GH12" s="487"/>
      <c r="GI12" s="306"/>
      <c r="GJ12" s="491"/>
      <c r="GK12" s="306"/>
      <c r="GL12" s="306"/>
      <c r="GM12" s="497" t="str">
        <f t="shared" si="7"/>
        <v>:</v>
      </c>
      <c r="GN12" s="306"/>
      <c r="GO12" s="306"/>
      <c r="GP12" s="306"/>
    </row>
    <row r="13" spans="1:198" ht="30" x14ac:dyDescent="0.15">
      <c r="A13" s="481" t="str">
        <f>VLOOKUP($J13&amp;":", Catalog!$F$5:$BV127, COLUMNS(Catalog!$F$5:$BV127), FALSE)</f>
        <v>State 2: has any action with season=may</v>
      </c>
      <c r="B13" s="482" t="b">
        <f t="shared" ca="1" si="0"/>
        <v>0</v>
      </c>
      <c r="C13" s="483" t="str">
        <f t="shared" si="1"/>
        <v>grantSkinMayState2</v>
      </c>
      <c r="D13" s="484" t="str">
        <f>VLOOKUP($J13&amp;":", Catalog!$F$5:$BW127, COLUMNS(Catalog!$F$5:$BW127), FALSE)</f>
        <v>never</v>
      </c>
      <c r="E13" s="485">
        <f>VLOOKUP($J13&amp;":", Catalog!$F$5:$BX127, COLUMNS(Catalog!$F$5:$BX127), FALSE)</f>
        <v>0</v>
      </c>
      <c r="F13" s="484">
        <f>VLOOKUP($J13&amp;":", Catalog!$F$5:$BY127, COLUMNS(Catalog!$F$5:$BY127), FALSE)</f>
        <v>0</v>
      </c>
      <c r="G13" s="484" t="str">
        <f>VLOOKUP($J13, Catalog!$E$5:$BZ127, COLUMNS(Catalog!$E$5:$BZ127), FALSE)</f>
        <v>rewardIfAnyRequirementsMet</v>
      </c>
      <c r="H13" s="483" t="s">
        <v>315</v>
      </c>
      <c r="I13" s="483">
        <v>2</v>
      </c>
      <c r="J13" s="82" t="s">
        <v>377</v>
      </c>
      <c r="K13" s="486">
        <v>1</v>
      </c>
      <c r="L13" s="100" t="s">
        <v>279</v>
      </c>
      <c r="M13" s="100">
        <v>2</v>
      </c>
      <c r="N13" s="100" t="s">
        <v>280</v>
      </c>
      <c r="O13" s="86"/>
      <c r="P13" s="86"/>
      <c r="Q13" s="86"/>
      <c r="R13" s="100" t="str">
        <f t="shared" si="2"/>
        <v>never</v>
      </c>
      <c r="S13" s="487"/>
      <c r="T13" s="486"/>
      <c r="U13" s="488"/>
      <c r="V13" s="488"/>
      <c r="W13" s="488"/>
      <c r="X13" s="488"/>
      <c r="Y13" s="306"/>
      <c r="Z13" s="306"/>
      <c r="AA13" s="489"/>
      <c r="AB13" s="306" t="str">
        <f t="shared" si="3"/>
        <v>total_points</v>
      </c>
      <c r="AC13" s="490">
        <f t="shared" si="4"/>
        <v>0</v>
      </c>
      <c r="AD13" s="490">
        <f t="shared" si="5"/>
        <v>0</v>
      </c>
      <c r="AE13" s="306"/>
      <c r="AF13" s="332" t="str">
        <f t="shared" si="6"/>
        <v>skinMay</v>
      </c>
      <c r="AG13" s="306"/>
      <c r="AH13" s="487"/>
      <c r="AI13" s="306"/>
      <c r="AJ13" s="306"/>
      <c r="AK13" s="306"/>
      <c r="AL13" s="306"/>
      <c r="AM13" s="306"/>
      <c r="AN13" s="491"/>
      <c r="AO13" s="306"/>
      <c r="AP13" s="306"/>
      <c r="AQ13" s="306"/>
      <c r="AR13" s="306"/>
      <c r="AS13" s="306"/>
      <c r="AT13" s="487"/>
      <c r="AU13" s="306"/>
      <c r="AV13" s="306"/>
      <c r="AW13" s="306"/>
      <c r="AX13" s="306"/>
      <c r="AY13" s="306"/>
      <c r="AZ13" s="491"/>
      <c r="BA13" s="306"/>
      <c r="BB13" s="306"/>
      <c r="BC13" s="487"/>
      <c r="BD13" s="306"/>
      <c r="BE13" s="306"/>
      <c r="BF13" s="492" t="str">
        <f ca="1">IFERROR(__xludf.DUMMYFUNCTION("IF(REGEXMATCH($G13, ""Any""), ""any"", IF(REGEXMATCH($G13, ""All""), ""all"", """"))"),"any")</f>
        <v>any</v>
      </c>
      <c r="BG13" s="491"/>
      <c r="BH13" s="306"/>
      <c r="BI13" s="306"/>
      <c r="BJ13" s="306"/>
      <c r="BK13" s="306"/>
      <c r="BL13" s="306"/>
      <c r="BM13" s="306"/>
      <c r="BN13" s="306"/>
      <c r="BO13" s="306"/>
      <c r="BP13" s="493"/>
      <c r="BQ13" s="306"/>
      <c r="BR13" s="306"/>
      <c r="BS13" s="494"/>
      <c r="BT13" s="487"/>
      <c r="BU13" s="306"/>
      <c r="BV13" s="306"/>
      <c r="BW13" s="306"/>
      <c r="BX13" s="306"/>
      <c r="BY13" s="306"/>
      <c r="BZ13" s="306"/>
      <c r="CA13" s="306"/>
      <c r="CB13" s="306"/>
      <c r="CC13" s="493"/>
      <c r="CD13" s="306"/>
      <c r="CE13" s="306"/>
      <c r="CF13" s="494"/>
      <c r="CG13" s="487"/>
      <c r="CH13" s="306"/>
      <c r="CI13" s="306"/>
      <c r="CJ13" s="306"/>
      <c r="CK13" s="306"/>
      <c r="CL13" s="306"/>
      <c r="CM13" s="306"/>
      <c r="CN13" s="306"/>
      <c r="CO13" s="306"/>
      <c r="CP13" s="306"/>
      <c r="CQ13" s="306"/>
      <c r="CR13" s="306"/>
      <c r="CS13" s="494"/>
      <c r="CT13" s="306"/>
      <c r="CU13" s="306"/>
      <c r="CV13" s="306"/>
      <c r="CW13" s="306"/>
      <c r="CX13" s="306"/>
      <c r="CY13" s="306"/>
      <c r="CZ13" s="306"/>
      <c r="DA13" s="306"/>
      <c r="DB13" s="306"/>
      <c r="DC13" s="493"/>
      <c r="DD13" s="306"/>
      <c r="DE13" s="306"/>
      <c r="DF13" s="494"/>
      <c r="DG13" s="306"/>
      <c r="DH13" s="306"/>
      <c r="DI13" s="306"/>
      <c r="DJ13" s="306"/>
      <c r="DK13" s="306"/>
      <c r="DL13" s="306"/>
      <c r="DM13" s="306"/>
      <c r="DN13" s="306"/>
      <c r="DO13" s="306"/>
      <c r="DP13" s="493"/>
      <c r="DQ13" s="306"/>
      <c r="DR13" s="306"/>
      <c r="DS13" s="489"/>
      <c r="DT13" s="495" t="s">
        <v>811</v>
      </c>
      <c r="DU13" s="306"/>
      <c r="DV13" s="306"/>
      <c r="DW13" s="306"/>
      <c r="DX13" s="306"/>
      <c r="DY13" s="306"/>
      <c r="DZ13" s="306"/>
      <c r="EA13" s="306"/>
      <c r="EB13" s="306"/>
      <c r="EC13" s="100" t="s">
        <v>2369</v>
      </c>
      <c r="ED13" s="496" t="s">
        <v>4811</v>
      </c>
      <c r="EE13" s="306"/>
      <c r="EF13" s="306"/>
      <c r="EG13" s="306"/>
      <c r="EH13" s="487"/>
      <c r="EI13" s="306"/>
      <c r="EJ13" s="306"/>
      <c r="EK13" s="306"/>
      <c r="EL13" s="306"/>
      <c r="EM13" s="306"/>
      <c r="EN13" s="306"/>
      <c r="EO13" s="306"/>
      <c r="EP13" s="306"/>
      <c r="EQ13" s="306"/>
      <c r="ER13" s="306"/>
      <c r="ES13" s="306"/>
      <c r="ET13" s="306"/>
      <c r="EU13" s="306"/>
      <c r="EV13" s="491"/>
      <c r="EW13" s="306"/>
      <c r="EX13" s="306"/>
      <c r="EY13" s="306"/>
      <c r="EZ13" s="306"/>
      <c r="FA13" s="306"/>
      <c r="FB13" s="306"/>
      <c r="FC13" s="306"/>
      <c r="FD13" s="306"/>
      <c r="FE13" s="306"/>
      <c r="FF13" s="306"/>
      <c r="FG13" s="306"/>
      <c r="FH13" s="306"/>
      <c r="FI13" s="306"/>
      <c r="FJ13" s="306"/>
      <c r="FK13" s="306"/>
      <c r="FL13" s="487"/>
      <c r="FM13" s="306"/>
      <c r="FN13" s="306"/>
      <c r="FO13" s="306"/>
      <c r="FP13" s="306"/>
      <c r="FQ13" s="306"/>
      <c r="FR13" s="306"/>
      <c r="FS13" s="306"/>
      <c r="FT13" s="306"/>
      <c r="FU13" s="306"/>
      <c r="FV13" s="306"/>
      <c r="FW13" s="306"/>
      <c r="FX13" s="306"/>
      <c r="FY13" s="306"/>
      <c r="FZ13" s="306"/>
      <c r="GA13" s="306"/>
      <c r="GB13" s="491"/>
      <c r="GC13" s="306"/>
      <c r="GD13" s="306"/>
      <c r="GE13" s="306"/>
      <c r="GF13" s="491"/>
      <c r="GG13" s="494"/>
      <c r="GH13" s="487"/>
      <c r="GI13" s="306"/>
      <c r="GJ13" s="491"/>
      <c r="GK13" s="306"/>
      <c r="GL13" s="306"/>
      <c r="GM13" s="497" t="str">
        <f t="shared" si="7"/>
        <v>:</v>
      </c>
      <c r="GN13" s="306"/>
      <c r="GO13" s="306"/>
      <c r="GP13" s="306"/>
    </row>
    <row r="14" spans="1:198" ht="30" x14ac:dyDescent="0.15">
      <c r="A14" s="481" t="str">
        <f>VLOOKUP($J14&amp;":", Catalog!$F$5:$BV127, COLUMNS(Catalog!$F$5:$BV127), FALSE)</f>
        <v>State 2: has any action with season=june</v>
      </c>
      <c r="B14" s="482" t="b">
        <f t="shared" ca="1" si="0"/>
        <v>0</v>
      </c>
      <c r="C14" s="483" t="str">
        <f t="shared" si="1"/>
        <v>grantSkinJuneState2</v>
      </c>
      <c r="D14" s="484" t="str">
        <f>VLOOKUP($J14&amp;":", Catalog!$F$5:$BW127, COLUMNS(Catalog!$F$5:$BW127), FALSE)</f>
        <v>never</v>
      </c>
      <c r="E14" s="485">
        <f>VLOOKUP($J14&amp;":", Catalog!$F$5:$BX127, COLUMNS(Catalog!$F$5:$BX127), FALSE)</f>
        <v>0</v>
      </c>
      <c r="F14" s="484">
        <f>VLOOKUP($J14&amp;":", Catalog!$F$5:$BY127, COLUMNS(Catalog!$F$5:$BY127), FALSE)</f>
        <v>0</v>
      </c>
      <c r="G14" s="484" t="str">
        <f>VLOOKUP($J14, Catalog!$E$5:$BZ127, COLUMNS(Catalog!$E$5:$BZ127), FALSE)</f>
        <v>rewardIfAnyRequirementsMet</v>
      </c>
      <c r="H14" s="483" t="s">
        <v>315</v>
      </c>
      <c r="I14" s="483">
        <v>2</v>
      </c>
      <c r="J14" s="82" t="s">
        <v>384</v>
      </c>
      <c r="K14" s="486">
        <v>1</v>
      </c>
      <c r="L14" s="100" t="s">
        <v>279</v>
      </c>
      <c r="M14" s="100">
        <v>2</v>
      </c>
      <c r="N14" s="100" t="s">
        <v>280</v>
      </c>
      <c r="O14" s="86"/>
      <c r="P14" s="86"/>
      <c r="Q14" s="86"/>
      <c r="R14" s="100" t="str">
        <f t="shared" si="2"/>
        <v>never</v>
      </c>
      <c r="S14" s="487"/>
      <c r="T14" s="486"/>
      <c r="U14" s="488"/>
      <c r="V14" s="488"/>
      <c r="W14" s="488"/>
      <c r="X14" s="488"/>
      <c r="Y14" s="306"/>
      <c r="Z14" s="306"/>
      <c r="AA14" s="489"/>
      <c r="AB14" s="306" t="str">
        <f t="shared" si="3"/>
        <v>total_points</v>
      </c>
      <c r="AC14" s="490">
        <f t="shared" si="4"/>
        <v>0</v>
      </c>
      <c r="AD14" s="490">
        <f t="shared" si="5"/>
        <v>0</v>
      </c>
      <c r="AE14" s="306"/>
      <c r="AF14" s="332" t="str">
        <f t="shared" si="6"/>
        <v>skinJune</v>
      </c>
      <c r="AG14" s="306"/>
      <c r="AH14" s="487"/>
      <c r="AI14" s="306"/>
      <c r="AJ14" s="306"/>
      <c r="AK14" s="306"/>
      <c r="AL14" s="306"/>
      <c r="AM14" s="306"/>
      <c r="AN14" s="491"/>
      <c r="AO14" s="306"/>
      <c r="AP14" s="306"/>
      <c r="AQ14" s="306"/>
      <c r="AR14" s="306"/>
      <c r="AS14" s="306"/>
      <c r="AT14" s="487"/>
      <c r="AU14" s="306"/>
      <c r="AV14" s="306"/>
      <c r="AW14" s="306"/>
      <c r="AX14" s="306"/>
      <c r="AY14" s="306"/>
      <c r="AZ14" s="491"/>
      <c r="BA14" s="306"/>
      <c r="BB14" s="306"/>
      <c r="BC14" s="487"/>
      <c r="BD14" s="306"/>
      <c r="BE14" s="306"/>
      <c r="BF14" s="492" t="str">
        <f ca="1">IFERROR(__xludf.DUMMYFUNCTION("IF(REGEXMATCH($G14, ""Any""), ""any"", IF(REGEXMATCH($G14, ""All""), ""all"", """"))"),"any")</f>
        <v>any</v>
      </c>
      <c r="BG14" s="491"/>
      <c r="BH14" s="306"/>
      <c r="BI14" s="306"/>
      <c r="BJ14" s="306"/>
      <c r="BK14" s="306"/>
      <c r="BL14" s="306"/>
      <c r="BM14" s="306"/>
      <c r="BN14" s="306"/>
      <c r="BO14" s="306"/>
      <c r="BP14" s="493"/>
      <c r="BQ14" s="306"/>
      <c r="BR14" s="306"/>
      <c r="BS14" s="494"/>
      <c r="BT14" s="487"/>
      <c r="BU14" s="306"/>
      <c r="BV14" s="306"/>
      <c r="BW14" s="306"/>
      <c r="BX14" s="306"/>
      <c r="BY14" s="306"/>
      <c r="BZ14" s="306"/>
      <c r="CA14" s="306"/>
      <c r="CB14" s="306"/>
      <c r="CC14" s="493"/>
      <c r="CD14" s="306"/>
      <c r="CE14" s="306"/>
      <c r="CF14" s="494"/>
      <c r="CG14" s="487"/>
      <c r="CH14" s="306"/>
      <c r="CI14" s="306"/>
      <c r="CJ14" s="306"/>
      <c r="CK14" s="306"/>
      <c r="CL14" s="306"/>
      <c r="CM14" s="306"/>
      <c r="CN14" s="306"/>
      <c r="CO14" s="306"/>
      <c r="CP14" s="306"/>
      <c r="CQ14" s="306"/>
      <c r="CR14" s="306"/>
      <c r="CS14" s="494"/>
      <c r="CT14" s="306"/>
      <c r="CU14" s="306"/>
      <c r="CV14" s="306"/>
      <c r="CW14" s="306"/>
      <c r="CX14" s="306"/>
      <c r="CY14" s="306"/>
      <c r="CZ14" s="306"/>
      <c r="DA14" s="306"/>
      <c r="DB14" s="306"/>
      <c r="DC14" s="493"/>
      <c r="DD14" s="306"/>
      <c r="DE14" s="306"/>
      <c r="DF14" s="494"/>
      <c r="DG14" s="306"/>
      <c r="DH14" s="306"/>
      <c r="DI14" s="306"/>
      <c r="DJ14" s="306"/>
      <c r="DK14" s="306"/>
      <c r="DL14" s="306"/>
      <c r="DM14" s="306"/>
      <c r="DN14" s="306"/>
      <c r="DO14" s="306"/>
      <c r="DP14" s="493"/>
      <c r="DQ14" s="306"/>
      <c r="DR14" s="306"/>
      <c r="DS14" s="489"/>
      <c r="DT14" s="495" t="s">
        <v>811</v>
      </c>
      <c r="DU14" s="306"/>
      <c r="DV14" s="306"/>
      <c r="DW14" s="306"/>
      <c r="DX14" s="306"/>
      <c r="DY14" s="306"/>
      <c r="DZ14" s="306"/>
      <c r="EA14" s="306"/>
      <c r="EB14" s="306"/>
      <c r="EC14" s="100" t="s">
        <v>2369</v>
      </c>
      <c r="ED14" s="496" t="s">
        <v>4812</v>
      </c>
      <c r="EE14" s="306"/>
      <c r="EF14" s="306"/>
      <c r="EG14" s="306"/>
      <c r="EH14" s="487"/>
      <c r="EI14" s="306"/>
      <c r="EJ14" s="306"/>
      <c r="EK14" s="306"/>
      <c r="EL14" s="306"/>
      <c r="EM14" s="306"/>
      <c r="EN14" s="306"/>
      <c r="EO14" s="306"/>
      <c r="EP14" s="306"/>
      <c r="EQ14" s="306"/>
      <c r="ER14" s="306"/>
      <c r="ES14" s="306"/>
      <c r="ET14" s="306"/>
      <c r="EU14" s="306"/>
      <c r="EV14" s="491"/>
      <c r="EW14" s="306"/>
      <c r="EX14" s="306"/>
      <c r="EY14" s="306"/>
      <c r="EZ14" s="306"/>
      <c r="FA14" s="306"/>
      <c r="FB14" s="306"/>
      <c r="FC14" s="306"/>
      <c r="FD14" s="306"/>
      <c r="FE14" s="306"/>
      <c r="FF14" s="306"/>
      <c r="FG14" s="306"/>
      <c r="FH14" s="306"/>
      <c r="FI14" s="306"/>
      <c r="FJ14" s="306"/>
      <c r="FK14" s="306"/>
      <c r="FL14" s="487"/>
      <c r="FM14" s="306"/>
      <c r="FN14" s="306"/>
      <c r="FO14" s="306"/>
      <c r="FP14" s="306"/>
      <c r="FQ14" s="306"/>
      <c r="FR14" s="306"/>
      <c r="FS14" s="306"/>
      <c r="FT14" s="306"/>
      <c r="FU14" s="306"/>
      <c r="FV14" s="306"/>
      <c r="FW14" s="306"/>
      <c r="FX14" s="306"/>
      <c r="FY14" s="306"/>
      <c r="FZ14" s="306"/>
      <c r="GA14" s="306"/>
      <c r="GB14" s="491"/>
      <c r="GC14" s="306"/>
      <c r="GD14" s="306"/>
      <c r="GE14" s="306"/>
      <c r="GF14" s="491"/>
      <c r="GG14" s="494"/>
      <c r="GH14" s="487"/>
      <c r="GI14" s="306"/>
      <c r="GJ14" s="491"/>
      <c r="GK14" s="306"/>
      <c r="GL14" s="306"/>
      <c r="GM14" s="497" t="str">
        <f t="shared" si="7"/>
        <v>:</v>
      </c>
      <c r="GN14" s="306"/>
      <c r="GO14" s="306"/>
      <c r="GP14" s="306"/>
    </row>
    <row r="15" spans="1:198" ht="30" x14ac:dyDescent="0.15">
      <c r="A15" s="481" t="str">
        <f>VLOOKUP($J15&amp;":", Catalog!$F$5:$BV127, COLUMNS(Catalog!$F$5:$BV127), FALSE)</f>
        <v>State 2: has any action with season=july</v>
      </c>
      <c r="B15" s="482" t="b">
        <f t="shared" ca="1" si="0"/>
        <v>0</v>
      </c>
      <c r="C15" s="483" t="str">
        <f t="shared" si="1"/>
        <v>grantSkinJulyState2</v>
      </c>
      <c r="D15" s="484" t="str">
        <f>VLOOKUP($J15&amp;":", Catalog!$F$5:$BW127, COLUMNS(Catalog!$F$5:$BW127), FALSE)</f>
        <v>never</v>
      </c>
      <c r="E15" s="485">
        <f>VLOOKUP($J15&amp;":", Catalog!$F$5:$BX127, COLUMNS(Catalog!$F$5:$BX127), FALSE)</f>
        <v>0</v>
      </c>
      <c r="F15" s="484">
        <f>VLOOKUP($J15&amp;":", Catalog!$F$5:$BY127, COLUMNS(Catalog!$F$5:$BY127), FALSE)</f>
        <v>0</v>
      </c>
      <c r="G15" s="484" t="str">
        <f>VLOOKUP($J15, Catalog!$E$5:$BZ127, COLUMNS(Catalog!$E$5:$BZ127), FALSE)</f>
        <v>rewardIfAnyRequirementsMet</v>
      </c>
      <c r="H15" s="483" t="s">
        <v>315</v>
      </c>
      <c r="I15" s="483">
        <v>2</v>
      </c>
      <c r="J15" s="82" t="s">
        <v>392</v>
      </c>
      <c r="K15" s="486">
        <v>1</v>
      </c>
      <c r="L15" s="100" t="s">
        <v>279</v>
      </c>
      <c r="M15" s="100">
        <v>2</v>
      </c>
      <c r="N15" s="100" t="s">
        <v>280</v>
      </c>
      <c r="O15" s="86"/>
      <c r="P15" s="86"/>
      <c r="Q15" s="86"/>
      <c r="R15" s="100" t="str">
        <f t="shared" si="2"/>
        <v>never</v>
      </c>
      <c r="S15" s="487"/>
      <c r="T15" s="486"/>
      <c r="U15" s="488"/>
      <c r="V15" s="488"/>
      <c r="W15" s="488"/>
      <c r="X15" s="488"/>
      <c r="Y15" s="306"/>
      <c r="Z15" s="306"/>
      <c r="AA15" s="489"/>
      <c r="AB15" s="306" t="str">
        <f t="shared" si="3"/>
        <v>total_points</v>
      </c>
      <c r="AC15" s="490">
        <f t="shared" si="4"/>
        <v>0</v>
      </c>
      <c r="AD15" s="490">
        <f t="shared" si="5"/>
        <v>0</v>
      </c>
      <c r="AE15" s="306"/>
      <c r="AF15" s="332" t="str">
        <f t="shared" si="6"/>
        <v>skinJuly</v>
      </c>
      <c r="AG15" s="306"/>
      <c r="AH15" s="487"/>
      <c r="AI15" s="306"/>
      <c r="AJ15" s="306"/>
      <c r="AK15" s="306"/>
      <c r="AL15" s="306"/>
      <c r="AM15" s="306"/>
      <c r="AN15" s="491"/>
      <c r="AO15" s="306"/>
      <c r="AP15" s="306"/>
      <c r="AQ15" s="306"/>
      <c r="AR15" s="306"/>
      <c r="AS15" s="306"/>
      <c r="AT15" s="487"/>
      <c r="AU15" s="306"/>
      <c r="AV15" s="306"/>
      <c r="AW15" s="306"/>
      <c r="AX15" s="306"/>
      <c r="AY15" s="306"/>
      <c r="AZ15" s="491"/>
      <c r="BA15" s="306"/>
      <c r="BB15" s="306"/>
      <c r="BC15" s="487"/>
      <c r="BD15" s="306"/>
      <c r="BE15" s="306"/>
      <c r="BF15" s="492" t="str">
        <f ca="1">IFERROR(__xludf.DUMMYFUNCTION("IF(REGEXMATCH($G15, ""Any""), ""any"", IF(REGEXMATCH($G15, ""All""), ""all"", """"))"),"any")</f>
        <v>any</v>
      </c>
      <c r="BG15" s="491"/>
      <c r="BH15" s="306"/>
      <c r="BI15" s="306"/>
      <c r="BJ15" s="306"/>
      <c r="BK15" s="306"/>
      <c r="BL15" s="306"/>
      <c r="BM15" s="306"/>
      <c r="BN15" s="306"/>
      <c r="BO15" s="306"/>
      <c r="BP15" s="493"/>
      <c r="BQ15" s="306"/>
      <c r="BR15" s="306"/>
      <c r="BS15" s="494"/>
      <c r="BT15" s="487"/>
      <c r="BU15" s="306"/>
      <c r="BV15" s="306"/>
      <c r="BW15" s="306"/>
      <c r="BX15" s="306"/>
      <c r="BY15" s="306"/>
      <c r="BZ15" s="306"/>
      <c r="CA15" s="306"/>
      <c r="CB15" s="306"/>
      <c r="CC15" s="493"/>
      <c r="CD15" s="306"/>
      <c r="CE15" s="306"/>
      <c r="CF15" s="494"/>
      <c r="CG15" s="487"/>
      <c r="CH15" s="306"/>
      <c r="CI15" s="306"/>
      <c r="CJ15" s="306"/>
      <c r="CK15" s="306"/>
      <c r="CL15" s="306"/>
      <c r="CM15" s="306"/>
      <c r="CN15" s="306"/>
      <c r="CO15" s="306"/>
      <c r="CP15" s="306"/>
      <c r="CQ15" s="306"/>
      <c r="CR15" s="306"/>
      <c r="CS15" s="494"/>
      <c r="CT15" s="306"/>
      <c r="CU15" s="306"/>
      <c r="CV15" s="306"/>
      <c r="CW15" s="306"/>
      <c r="CX15" s="306"/>
      <c r="CY15" s="306"/>
      <c r="CZ15" s="306"/>
      <c r="DA15" s="306"/>
      <c r="DB15" s="306"/>
      <c r="DC15" s="493"/>
      <c r="DD15" s="306"/>
      <c r="DE15" s="306"/>
      <c r="DF15" s="494"/>
      <c r="DG15" s="306"/>
      <c r="DH15" s="306"/>
      <c r="DI15" s="306"/>
      <c r="DJ15" s="306"/>
      <c r="DK15" s="306"/>
      <c r="DL15" s="306"/>
      <c r="DM15" s="306"/>
      <c r="DN15" s="306"/>
      <c r="DO15" s="306"/>
      <c r="DP15" s="493"/>
      <c r="DQ15" s="306"/>
      <c r="DR15" s="306"/>
      <c r="DS15" s="489"/>
      <c r="DT15" s="495" t="s">
        <v>811</v>
      </c>
      <c r="DU15" s="306"/>
      <c r="DV15" s="306"/>
      <c r="DW15" s="306"/>
      <c r="DX15" s="306"/>
      <c r="DY15" s="306"/>
      <c r="DZ15" s="306"/>
      <c r="EA15" s="306"/>
      <c r="EB15" s="306"/>
      <c r="EC15" s="100" t="s">
        <v>2369</v>
      </c>
      <c r="ED15" s="496" t="s">
        <v>4813</v>
      </c>
      <c r="EE15" s="306"/>
      <c r="EF15" s="306"/>
      <c r="EG15" s="306"/>
      <c r="EH15" s="487"/>
      <c r="EI15" s="306"/>
      <c r="EJ15" s="306"/>
      <c r="EK15" s="306"/>
      <c r="EL15" s="306"/>
      <c r="EM15" s="306"/>
      <c r="EN15" s="306"/>
      <c r="EO15" s="306"/>
      <c r="EP15" s="306"/>
      <c r="EQ15" s="306"/>
      <c r="ER15" s="306"/>
      <c r="ES15" s="306"/>
      <c r="ET15" s="306"/>
      <c r="EU15" s="306"/>
      <c r="EV15" s="491"/>
      <c r="EW15" s="306"/>
      <c r="EX15" s="306"/>
      <c r="EY15" s="306"/>
      <c r="EZ15" s="306"/>
      <c r="FA15" s="306"/>
      <c r="FB15" s="306"/>
      <c r="FC15" s="306"/>
      <c r="FD15" s="306"/>
      <c r="FE15" s="306"/>
      <c r="FF15" s="306"/>
      <c r="FG15" s="306"/>
      <c r="FH15" s="306"/>
      <c r="FI15" s="306"/>
      <c r="FJ15" s="306"/>
      <c r="FK15" s="306"/>
      <c r="FL15" s="487"/>
      <c r="FM15" s="306"/>
      <c r="FN15" s="306"/>
      <c r="FO15" s="306"/>
      <c r="FP15" s="306"/>
      <c r="FQ15" s="306"/>
      <c r="FR15" s="306"/>
      <c r="FS15" s="306"/>
      <c r="FT15" s="306"/>
      <c r="FU15" s="306"/>
      <c r="FV15" s="306"/>
      <c r="FW15" s="306"/>
      <c r="FX15" s="306"/>
      <c r="FY15" s="306"/>
      <c r="FZ15" s="306"/>
      <c r="GA15" s="306"/>
      <c r="GB15" s="491"/>
      <c r="GC15" s="306"/>
      <c r="GD15" s="306"/>
      <c r="GE15" s="306"/>
      <c r="GF15" s="491"/>
      <c r="GG15" s="494"/>
      <c r="GH15" s="487"/>
      <c r="GI15" s="306"/>
      <c r="GJ15" s="491"/>
      <c r="GK15" s="306"/>
      <c r="GL15" s="306"/>
      <c r="GM15" s="497" t="str">
        <f t="shared" si="7"/>
        <v>:</v>
      </c>
      <c r="GN15" s="306"/>
      <c r="GO15" s="306"/>
      <c r="GP15" s="306"/>
    </row>
    <row r="16" spans="1:198" ht="30" x14ac:dyDescent="0.15">
      <c r="A16" s="481" t="str">
        <f>VLOOKUP($J16&amp;":", Catalog!$F$5:$BV127, COLUMNS(Catalog!$F$5:$BV127), FALSE)</f>
        <v>State 2: has any action with season=august</v>
      </c>
      <c r="B16" s="482" t="b">
        <f t="shared" ca="1" si="0"/>
        <v>0</v>
      </c>
      <c r="C16" s="483" t="str">
        <f t="shared" si="1"/>
        <v>grantSkinAugustState2</v>
      </c>
      <c r="D16" s="484" t="str">
        <f>VLOOKUP($J16&amp;":", Catalog!$F$5:$BW127, COLUMNS(Catalog!$F$5:$BW127), FALSE)</f>
        <v>never</v>
      </c>
      <c r="E16" s="485">
        <f>VLOOKUP($J16&amp;":", Catalog!$F$5:$BX127, COLUMNS(Catalog!$F$5:$BX127), FALSE)</f>
        <v>0</v>
      </c>
      <c r="F16" s="484">
        <f>VLOOKUP($J16&amp;":", Catalog!$F$5:$BY127, COLUMNS(Catalog!$F$5:$BY127), FALSE)</f>
        <v>0</v>
      </c>
      <c r="G16" s="484" t="str">
        <f>VLOOKUP($J16, Catalog!$E$5:$BZ127, COLUMNS(Catalog!$E$5:$BZ127), FALSE)</f>
        <v>rewardIfAnyRequirementsMet</v>
      </c>
      <c r="H16" s="483" t="s">
        <v>315</v>
      </c>
      <c r="I16" s="483">
        <v>2</v>
      </c>
      <c r="J16" s="82" t="s">
        <v>399</v>
      </c>
      <c r="K16" s="486">
        <v>1</v>
      </c>
      <c r="L16" s="100" t="s">
        <v>279</v>
      </c>
      <c r="M16" s="100">
        <v>2</v>
      </c>
      <c r="N16" s="100" t="s">
        <v>280</v>
      </c>
      <c r="O16" s="86"/>
      <c r="P16" s="86"/>
      <c r="Q16" s="86"/>
      <c r="R16" s="100" t="str">
        <f t="shared" si="2"/>
        <v>never</v>
      </c>
      <c r="S16" s="487"/>
      <c r="T16" s="486"/>
      <c r="U16" s="488"/>
      <c r="V16" s="488"/>
      <c r="W16" s="488"/>
      <c r="X16" s="488"/>
      <c r="Y16" s="306"/>
      <c r="Z16" s="306"/>
      <c r="AA16" s="489"/>
      <c r="AB16" s="306" t="str">
        <f t="shared" si="3"/>
        <v>total_points</v>
      </c>
      <c r="AC16" s="490">
        <f t="shared" si="4"/>
        <v>0</v>
      </c>
      <c r="AD16" s="490">
        <f t="shared" si="5"/>
        <v>0</v>
      </c>
      <c r="AE16" s="306"/>
      <c r="AF16" s="332" t="str">
        <f t="shared" si="6"/>
        <v>skinAugust</v>
      </c>
      <c r="AG16" s="306"/>
      <c r="AH16" s="487"/>
      <c r="AI16" s="306"/>
      <c r="AJ16" s="306"/>
      <c r="AK16" s="306"/>
      <c r="AL16" s="306"/>
      <c r="AM16" s="306"/>
      <c r="AN16" s="491"/>
      <c r="AO16" s="306"/>
      <c r="AP16" s="306"/>
      <c r="AQ16" s="306"/>
      <c r="AR16" s="306"/>
      <c r="AS16" s="306"/>
      <c r="AT16" s="487"/>
      <c r="AU16" s="306"/>
      <c r="AV16" s="306"/>
      <c r="AW16" s="306"/>
      <c r="AX16" s="306"/>
      <c r="AY16" s="306"/>
      <c r="AZ16" s="491"/>
      <c r="BA16" s="306"/>
      <c r="BB16" s="306"/>
      <c r="BC16" s="487"/>
      <c r="BD16" s="306"/>
      <c r="BE16" s="306"/>
      <c r="BF16" s="492" t="str">
        <f ca="1">IFERROR(__xludf.DUMMYFUNCTION("IF(REGEXMATCH($G16, ""Any""), ""any"", IF(REGEXMATCH($G16, ""All""), ""all"", """"))"),"any")</f>
        <v>any</v>
      </c>
      <c r="BG16" s="491"/>
      <c r="BH16" s="306"/>
      <c r="BI16" s="306"/>
      <c r="BJ16" s="306"/>
      <c r="BK16" s="306"/>
      <c r="BL16" s="306"/>
      <c r="BM16" s="306"/>
      <c r="BN16" s="306"/>
      <c r="BO16" s="306"/>
      <c r="BP16" s="493"/>
      <c r="BQ16" s="306"/>
      <c r="BR16" s="306"/>
      <c r="BS16" s="494"/>
      <c r="BT16" s="487"/>
      <c r="BU16" s="306"/>
      <c r="BV16" s="306"/>
      <c r="BW16" s="306"/>
      <c r="BX16" s="306"/>
      <c r="BY16" s="306"/>
      <c r="BZ16" s="306"/>
      <c r="CA16" s="306"/>
      <c r="CB16" s="306"/>
      <c r="CC16" s="493"/>
      <c r="CD16" s="306"/>
      <c r="CE16" s="306"/>
      <c r="CF16" s="494"/>
      <c r="CG16" s="487"/>
      <c r="CH16" s="306"/>
      <c r="CI16" s="306"/>
      <c r="CJ16" s="306"/>
      <c r="CK16" s="306"/>
      <c r="CL16" s="306"/>
      <c r="CM16" s="306"/>
      <c r="CN16" s="306"/>
      <c r="CO16" s="306"/>
      <c r="CP16" s="306"/>
      <c r="CQ16" s="306"/>
      <c r="CR16" s="306"/>
      <c r="CS16" s="494"/>
      <c r="CT16" s="306"/>
      <c r="CU16" s="306"/>
      <c r="CV16" s="306"/>
      <c r="CW16" s="306"/>
      <c r="CX16" s="306"/>
      <c r="CY16" s="306"/>
      <c r="CZ16" s="306"/>
      <c r="DA16" s="306"/>
      <c r="DB16" s="306"/>
      <c r="DC16" s="493"/>
      <c r="DD16" s="306"/>
      <c r="DE16" s="306"/>
      <c r="DF16" s="494"/>
      <c r="DG16" s="306"/>
      <c r="DH16" s="306"/>
      <c r="DI16" s="306"/>
      <c r="DJ16" s="306"/>
      <c r="DK16" s="306"/>
      <c r="DL16" s="306"/>
      <c r="DM16" s="306"/>
      <c r="DN16" s="306"/>
      <c r="DO16" s="306"/>
      <c r="DP16" s="493"/>
      <c r="DQ16" s="306"/>
      <c r="DR16" s="306"/>
      <c r="DS16" s="489"/>
      <c r="DT16" s="495" t="s">
        <v>811</v>
      </c>
      <c r="DU16" s="306"/>
      <c r="DV16" s="306"/>
      <c r="DW16" s="306"/>
      <c r="DX16" s="306"/>
      <c r="DY16" s="306"/>
      <c r="DZ16" s="306"/>
      <c r="EA16" s="306"/>
      <c r="EB16" s="306"/>
      <c r="EC16" s="100" t="s">
        <v>2369</v>
      </c>
      <c r="ED16" s="496" t="s">
        <v>4814</v>
      </c>
      <c r="EE16" s="306"/>
      <c r="EF16" s="306"/>
      <c r="EG16" s="306"/>
      <c r="EH16" s="487"/>
      <c r="EI16" s="306"/>
      <c r="EJ16" s="306"/>
      <c r="EK16" s="306"/>
      <c r="EL16" s="306"/>
      <c r="EM16" s="306"/>
      <c r="EN16" s="306"/>
      <c r="EO16" s="306"/>
      <c r="EP16" s="306"/>
      <c r="EQ16" s="306"/>
      <c r="ER16" s="306"/>
      <c r="ES16" s="306"/>
      <c r="ET16" s="306"/>
      <c r="EU16" s="306"/>
      <c r="EV16" s="491"/>
      <c r="EW16" s="306"/>
      <c r="EX16" s="306"/>
      <c r="EY16" s="306"/>
      <c r="EZ16" s="306"/>
      <c r="FA16" s="306"/>
      <c r="FB16" s="306"/>
      <c r="FC16" s="306"/>
      <c r="FD16" s="306"/>
      <c r="FE16" s="306"/>
      <c r="FF16" s="306"/>
      <c r="FG16" s="306"/>
      <c r="FH16" s="306"/>
      <c r="FI16" s="306"/>
      <c r="FJ16" s="306"/>
      <c r="FK16" s="306"/>
      <c r="FL16" s="487"/>
      <c r="FM16" s="306"/>
      <c r="FN16" s="306"/>
      <c r="FO16" s="306"/>
      <c r="FP16" s="306"/>
      <c r="FQ16" s="306"/>
      <c r="FR16" s="306"/>
      <c r="FS16" s="306"/>
      <c r="FT16" s="306"/>
      <c r="FU16" s="306"/>
      <c r="FV16" s="306"/>
      <c r="FW16" s="306"/>
      <c r="FX16" s="306"/>
      <c r="FY16" s="306"/>
      <c r="FZ16" s="306"/>
      <c r="GA16" s="306"/>
      <c r="GB16" s="491"/>
      <c r="GC16" s="306"/>
      <c r="GD16" s="306"/>
      <c r="GE16" s="306"/>
      <c r="GF16" s="491"/>
      <c r="GG16" s="494"/>
      <c r="GH16" s="487"/>
      <c r="GI16" s="306"/>
      <c r="GJ16" s="491"/>
      <c r="GK16" s="306"/>
      <c r="GL16" s="306"/>
      <c r="GM16" s="497" t="str">
        <f t="shared" si="7"/>
        <v>:</v>
      </c>
      <c r="GN16" s="306"/>
      <c r="GO16" s="306"/>
      <c r="GP16" s="306"/>
    </row>
    <row r="17" spans="1:198" ht="30" x14ac:dyDescent="0.15">
      <c r="A17" s="481" t="str">
        <f>VLOOKUP($J17&amp;":", Catalog!$F$5:$BV127, COLUMNS(Catalog!$F$5:$BV127), FALSE)</f>
        <v>State 2: has any action with season=september</v>
      </c>
      <c r="B17" s="482" t="b">
        <f t="shared" ca="1" si="0"/>
        <v>0</v>
      </c>
      <c r="C17" s="483" t="str">
        <f t="shared" si="1"/>
        <v>grantSkinSeptemberState2</v>
      </c>
      <c r="D17" s="484" t="str">
        <f>VLOOKUP($J17&amp;":", Catalog!$F$5:$BW127, COLUMNS(Catalog!$F$5:$BW127), FALSE)</f>
        <v>never</v>
      </c>
      <c r="E17" s="485">
        <f>VLOOKUP($J17&amp;":", Catalog!$F$5:$BX127, COLUMNS(Catalog!$F$5:$BX127), FALSE)</f>
        <v>0</v>
      </c>
      <c r="F17" s="484">
        <f>VLOOKUP($J17&amp;":", Catalog!$F$5:$BY127, COLUMNS(Catalog!$F$5:$BY127), FALSE)</f>
        <v>0</v>
      </c>
      <c r="G17" s="484" t="str">
        <f>VLOOKUP($J17, Catalog!$E$5:$BZ127, COLUMNS(Catalog!$E$5:$BZ127), FALSE)</f>
        <v>rewardIfAnyRequirementsMet</v>
      </c>
      <c r="H17" s="483" t="s">
        <v>315</v>
      </c>
      <c r="I17" s="483">
        <v>2</v>
      </c>
      <c r="J17" s="82" t="s">
        <v>406</v>
      </c>
      <c r="K17" s="486">
        <v>1</v>
      </c>
      <c r="L17" s="100" t="s">
        <v>279</v>
      </c>
      <c r="M17" s="100">
        <v>2</v>
      </c>
      <c r="N17" s="100" t="s">
        <v>280</v>
      </c>
      <c r="O17" s="86"/>
      <c r="P17" s="86"/>
      <c r="Q17" s="86"/>
      <c r="R17" s="100" t="str">
        <f t="shared" si="2"/>
        <v>never</v>
      </c>
      <c r="S17" s="487"/>
      <c r="T17" s="486"/>
      <c r="U17" s="488"/>
      <c r="V17" s="488"/>
      <c r="W17" s="488"/>
      <c r="X17" s="488"/>
      <c r="Y17" s="306"/>
      <c r="Z17" s="306"/>
      <c r="AA17" s="489"/>
      <c r="AB17" s="306" t="str">
        <f t="shared" si="3"/>
        <v>total_points</v>
      </c>
      <c r="AC17" s="490">
        <f t="shared" si="4"/>
        <v>0</v>
      </c>
      <c r="AD17" s="490">
        <f t="shared" si="5"/>
        <v>0</v>
      </c>
      <c r="AE17" s="306"/>
      <c r="AF17" s="332" t="str">
        <f t="shared" si="6"/>
        <v>skinSeptember</v>
      </c>
      <c r="AG17" s="306"/>
      <c r="AH17" s="487"/>
      <c r="AI17" s="306"/>
      <c r="AJ17" s="306"/>
      <c r="AK17" s="306"/>
      <c r="AL17" s="306"/>
      <c r="AM17" s="306"/>
      <c r="AN17" s="491"/>
      <c r="AO17" s="306"/>
      <c r="AP17" s="306"/>
      <c r="AQ17" s="306"/>
      <c r="AR17" s="306"/>
      <c r="AS17" s="306"/>
      <c r="AT17" s="487"/>
      <c r="AU17" s="306"/>
      <c r="AV17" s="306"/>
      <c r="AW17" s="306"/>
      <c r="AX17" s="306"/>
      <c r="AY17" s="306"/>
      <c r="AZ17" s="491"/>
      <c r="BA17" s="306"/>
      <c r="BB17" s="306"/>
      <c r="BC17" s="487"/>
      <c r="BD17" s="306"/>
      <c r="BE17" s="306"/>
      <c r="BF17" s="492" t="str">
        <f ca="1">IFERROR(__xludf.DUMMYFUNCTION("IF(REGEXMATCH($G17, ""Any""), ""any"", IF(REGEXMATCH($G17, ""All""), ""all"", """"))"),"any")</f>
        <v>any</v>
      </c>
      <c r="BG17" s="491"/>
      <c r="BH17" s="306"/>
      <c r="BI17" s="306"/>
      <c r="BJ17" s="306"/>
      <c r="BK17" s="306"/>
      <c r="BL17" s="306"/>
      <c r="BM17" s="306"/>
      <c r="BN17" s="306"/>
      <c r="BO17" s="306"/>
      <c r="BP17" s="493"/>
      <c r="BQ17" s="306"/>
      <c r="BR17" s="306"/>
      <c r="BS17" s="494"/>
      <c r="BT17" s="487"/>
      <c r="BU17" s="306"/>
      <c r="BV17" s="306"/>
      <c r="BW17" s="306"/>
      <c r="BX17" s="306"/>
      <c r="BY17" s="306"/>
      <c r="BZ17" s="306"/>
      <c r="CA17" s="306"/>
      <c r="CB17" s="306"/>
      <c r="CC17" s="493"/>
      <c r="CD17" s="306"/>
      <c r="CE17" s="306"/>
      <c r="CF17" s="494"/>
      <c r="CG17" s="487"/>
      <c r="CH17" s="306"/>
      <c r="CI17" s="306"/>
      <c r="CJ17" s="306"/>
      <c r="CK17" s="306"/>
      <c r="CL17" s="306"/>
      <c r="CM17" s="306"/>
      <c r="CN17" s="306"/>
      <c r="CO17" s="306"/>
      <c r="CP17" s="306"/>
      <c r="CQ17" s="306"/>
      <c r="CR17" s="306"/>
      <c r="CS17" s="494"/>
      <c r="CT17" s="306"/>
      <c r="CU17" s="306"/>
      <c r="CV17" s="306"/>
      <c r="CW17" s="306"/>
      <c r="CX17" s="306"/>
      <c r="CY17" s="306"/>
      <c r="CZ17" s="306"/>
      <c r="DA17" s="306"/>
      <c r="DB17" s="306"/>
      <c r="DC17" s="493"/>
      <c r="DD17" s="306"/>
      <c r="DE17" s="306"/>
      <c r="DF17" s="494"/>
      <c r="DG17" s="306"/>
      <c r="DH17" s="306"/>
      <c r="DI17" s="306"/>
      <c r="DJ17" s="306"/>
      <c r="DK17" s="306"/>
      <c r="DL17" s="306"/>
      <c r="DM17" s="306"/>
      <c r="DN17" s="306"/>
      <c r="DO17" s="306"/>
      <c r="DP17" s="493"/>
      <c r="DQ17" s="306"/>
      <c r="DR17" s="306"/>
      <c r="DS17" s="489"/>
      <c r="DT17" s="495" t="s">
        <v>811</v>
      </c>
      <c r="DU17" s="306"/>
      <c r="DV17" s="306"/>
      <c r="DW17" s="306"/>
      <c r="DX17" s="306"/>
      <c r="DY17" s="306"/>
      <c r="DZ17" s="306"/>
      <c r="EA17" s="306"/>
      <c r="EB17" s="306"/>
      <c r="EC17" s="100" t="s">
        <v>2369</v>
      </c>
      <c r="ED17" s="496" t="s">
        <v>4815</v>
      </c>
      <c r="EE17" s="306"/>
      <c r="EF17" s="306"/>
      <c r="EG17" s="306"/>
      <c r="EH17" s="487"/>
      <c r="EI17" s="306"/>
      <c r="EJ17" s="306"/>
      <c r="EK17" s="306"/>
      <c r="EL17" s="306"/>
      <c r="EM17" s="306"/>
      <c r="EN17" s="306"/>
      <c r="EO17" s="306"/>
      <c r="EP17" s="306"/>
      <c r="EQ17" s="306"/>
      <c r="ER17" s="306"/>
      <c r="ES17" s="306"/>
      <c r="ET17" s="306"/>
      <c r="EU17" s="306"/>
      <c r="EV17" s="491"/>
      <c r="EW17" s="306"/>
      <c r="EX17" s="306"/>
      <c r="EY17" s="306"/>
      <c r="EZ17" s="306"/>
      <c r="FA17" s="306"/>
      <c r="FB17" s="306"/>
      <c r="FC17" s="306"/>
      <c r="FD17" s="306"/>
      <c r="FE17" s="306"/>
      <c r="FF17" s="306"/>
      <c r="FG17" s="306"/>
      <c r="FH17" s="306"/>
      <c r="FI17" s="306"/>
      <c r="FJ17" s="306"/>
      <c r="FK17" s="306"/>
      <c r="FL17" s="487"/>
      <c r="FM17" s="306"/>
      <c r="FN17" s="306"/>
      <c r="FO17" s="306"/>
      <c r="FP17" s="306"/>
      <c r="FQ17" s="306"/>
      <c r="FR17" s="306"/>
      <c r="FS17" s="306"/>
      <c r="FT17" s="306"/>
      <c r="FU17" s="306"/>
      <c r="FV17" s="306"/>
      <c r="FW17" s="306"/>
      <c r="FX17" s="306"/>
      <c r="FY17" s="306"/>
      <c r="FZ17" s="306"/>
      <c r="GA17" s="306"/>
      <c r="GB17" s="491"/>
      <c r="GC17" s="306"/>
      <c r="GD17" s="306"/>
      <c r="GE17" s="306"/>
      <c r="GF17" s="491"/>
      <c r="GG17" s="494"/>
      <c r="GH17" s="487"/>
      <c r="GI17" s="306"/>
      <c r="GJ17" s="491"/>
      <c r="GK17" s="306"/>
      <c r="GL17" s="306"/>
      <c r="GM17" s="497" t="str">
        <f t="shared" si="7"/>
        <v>:</v>
      </c>
      <c r="GN17" s="306"/>
      <c r="GO17" s="306"/>
      <c r="GP17" s="306"/>
    </row>
    <row r="18" spans="1:198" ht="30" x14ac:dyDescent="0.15">
      <c r="A18" s="481" t="str">
        <f>VLOOKUP($J18&amp;":", Catalog!$F$5:$BV127, COLUMNS(Catalog!$F$5:$BV127), FALSE)</f>
        <v>State 2: has any action with season=october</v>
      </c>
      <c r="B18" s="482" t="b">
        <f t="shared" ca="1" si="0"/>
        <v>0</v>
      </c>
      <c r="C18" s="483" t="str">
        <f t="shared" si="1"/>
        <v>grantSkinOctoberState2</v>
      </c>
      <c r="D18" s="484" t="str">
        <f>VLOOKUP($J18&amp;":", Catalog!$F$5:$BW127, COLUMNS(Catalog!$F$5:$BW127), FALSE)</f>
        <v>never</v>
      </c>
      <c r="E18" s="485">
        <f>VLOOKUP($J18&amp;":", Catalog!$F$5:$BX127, COLUMNS(Catalog!$F$5:$BX127), FALSE)</f>
        <v>0</v>
      </c>
      <c r="F18" s="484">
        <f>VLOOKUP($J18&amp;":", Catalog!$F$5:$BY127, COLUMNS(Catalog!$F$5:$BY127), FALSE)</f>
        <v>0</v>
      </c>
      <c r="G18" s="484" t="str">
        <f>VLOOKUP($J18, Catalog!$E$5:$BZ127, COLUMNS(Catalog!$E$5:$BZ127), FALSE)</f>
        <v>rewardIfAnyRequirementsMet</v>
      </c>
      <c r="H18" s="483" t="s">
        <v>315</v>
      </c>
      <c r="I18" s="483">
        <v>2</v>
      </c>
      <c r="J18" s="82" t="s">
        <v>413</v>
      </c>
      <c r="K18" s="486">
        <v>1</v>
      </c>
      <c r="L18" s="100" t="s">
        <v>279</v>
      </c>
      <c r="M18" s="100">
        <v>2</v>
      </c>
      <c r="N18" s="100" t="s">
        <v>280</v>
      </c>
      <c r="O18" s="86"/>
      <c r="P18" s="86"/>
      <c r="Q18" s="86"/>
      <c r="R18" s="100" t="str">
        <f t="shared" si="2"/>
        <v>never</v>
      </c>
      <c r="S18" s="487"/>
      <c r="T18" s="486"/>
      <c r="U18" s="488"/>
      <c r="V18" s="488"/>
      <c r="W18" s="488"/>
      <c r="X18" s="488"/>
      <c r="Y18" s="306"/>
      <c r="Z18" s="306"/>
      <c r="AA18" s="489"/>
      <c r="AB18" s="306" t="str">
        <f t="shared" si="3"/>
        <v>total_points</v>
      </c>
      <c r="AC18" s="490">
        <f t="shared" si="4"/>
        <v>0</v>
      </c>
      <c r="AD18" s="490">
        <f t="shared" si="5"/>
        <v>0</v>
      </c>
      <c r="AE18" s="306"/>
      <c r="AF18" s="332" t="str">
        <f t="shared" si="6"/>
        <v>skinOctober</v>
      </c>
      <c r="AG18" s="306"/>
      <c r="AH18" s="487"/>
      <c r="AI18" s="306"/>
      <c r="AJ18" s="306"/>
      <c r="AK18" s="306"/>
      <c r="AL18" s="306"/>
      <c r="AM18" s="306"/>
      <c r="AN18" s="491"/>
      <c r="AO18" s="306"/>
      <c r="AP18" s="306"/>
      <c r="AQ18" s="306"/>
      <c r="AR18" s="306"/>
      <c r="AS18" s="306"/>
      <c r="AT18" s="487"/>
      <c r="AU18" s="306"/>
      <c r="AV18" s="306"/>
      <c r="AW18" s="306"/>
      <c r="AX18" s="306"/>
      <c r="AY18" s="306"/>
      <c r="AZ18" s="491"/>
      <c r="BA18" s="306"/>
      <c r="BB18" s="306"/>
      <c r="BC18" s="487"/>
      <c r="BD18" s="306"/>
      <c r="BE18" s="306"/>
      <c r="BF18" s="492" t="str">
        <f ca="1">IFERROR(__xludf.DUMMYFUNCTION("IF(REGEXMATCH($G18, ""Any""), ""any"", IF(REGEXMATCH($G18, ""All""), ""all"", """"))"),"any")</f>
        <v>any</v>
      </c>
      <c r="BG18" s="491"/>
      <c r="BH18" s="306"/>
      <c r="BI18" s="306"/>
      <c r="BJ18" s="306"/>
      <c r="BK18" s="306"/>
      <c r="BL18" s="306"/>
      <c r="BM18" s="306"/>
      <c r="BN18" s="306"/>
      <c r="BO18" s="306"/>
      <c r="BP18" s="493"/>
      <c r="BQ18" s="306"/>
      <c r="BR18" s="306"/>
      <c r="BS18" s="494"/>
      <c r="BT18" s="487"/>
      <c r="BU18" s="306"/>
      <c r="BV18" s="306"/>
      <c r="BW18" s="306"/>
      <c r="BX18" s="306"/>
      <c r="BY18" s="306"/>
      <c r="BZ18" s="306"/>
      <c r="CA18" s="306"/>
      <c r="CB18" s="306"/>
      <c r="CC18" s="493"/>
      <c r="CD18" s="306"/>
      <c r="CE18" s="306"/>
      <c r="CF18" s="494"/>
      <c r="CG18" s="487"/>
      <c r="CH18" s="306"/>
      <c r="CI18" s="306"/>
      <c r="CJ18" s="306"/>
      <c r="CK18" s="306"/>
      <c r="CL18" s="306"/>
      <c r="CM18" s="306"/>
      <c r="CN18" s="306"/>
      <c r="CO18" s="306"/>
      <c r="CP18" s="306"/>
      <c r="CQ18" s="306"/>
      <c r="CR18" s="306"/>
      <c r="CS18" s="494"/>
      <c r="CT18" s="306"/>
      <c r="CU18" s="306"/>
      <c r="CV18" s="306"/>
      <c r="CW18" s="306"/>
      <c r="CX18" s="306"/>
      <c r="CY18" s="306"/>
      <c r="CZ18" s="306"/>
      <c r="DA18" s="306"/>
      <c r="DB18" s="306"/>
      <c r="DC18" s="493"/>
      <c r="DD18" s="306"/>
      <c r="DE18" s="306"/>
      <c r="DF18" s="494"/>
      <c r="DG18" s="306"/>
      <c r="DH18" s="306"/>
      <c r="DI18" s="306"/>
      <c r="DJ18" s="306"/>
      <c r="DK18" s="306"/>
      <c r="DL18" s="306"/>
      <c r="DM18" s="306"/>
      <c r="DN18" s="306"/>
      <c r="DO18" s="306"/>
      <c r="DP18" s="493"/>
      <c r="DQ18" s="306"/>
      <c r="DR18" s="306"/>
      <c r="DS18" s="489"/>
      <c r="DT18" s="495" t="s">
        <v>811</v>
      </c>
      <c r="DU18" s="306"/>
      <c r="DV18" s="306"/>
      <c r="DW18" s="306"/>
      <c r="DX18" s="306"/>
      <c r="DY18" s="306"/>
      <c r="DZ18" s="306"/>
      <c r="EA18" s="306"/>
      <c r="EB18" s="306"/>
      <c r="EC18" s="100" t="s">
        <v>2369</v>
      </c>
      <c r="ED18" s="496" t="s">
        <v>4816</v>
      </c>
      <c r="EE18" s="306"/>
      <c r="EF18" s="306"/>
      <c r="EG18" s="306"/>
      <c r="EH18" s="487"/>
      <c r="EI18" s="306"/>
      <c r="EJ18" s="306"/>
      <c r="EK18" s="306"/>
      <c r="EL18" s="306"/>
      <c r="EM18" s="306"/>
      <c r="EN18" s="306"/>
      <c r="EO18" s="306"/>
      <c r="EP18" s="306"/>
      <c r="EQ18" s="306"/>
      <c r="ER18" s="306"/>
      <c r="ES18" s="306"/>
      <c r="ET18" s="306"/>
      <c r="EU18" s="306"/>
      <c r="EV18" s="491"/>
      <c r="EW18" s="306"/>
      <c r="EX18" s="306"/>
      <c r="EY18" s="306"/>
      <c r="EZ18" s="306"/>
      <c r="FA18" s="306"/>
      <c r="FB18" s="306"/>
      <c r="FC18" s="306"/>
      <c r="FD18" s="306"/>
      <c r="FE18" s="306"/>
      <c r="FF18" s="306"/>
      <c r="FG18" s="306"/>
      <c r="FH18" s="306"/>
      <c r="FI18" s="306"/>
      <c r="FJ18" s="306"/>
      <c r="FK18" s="306"/>
      <c r="FL18" s="487"/>
      <c r="FM18" s="306"/>
      <c r="FN18" s="306"/>
      <c r="FO18" s="306"/>
      <c r="FP18" s="306"/>
      <c r="FQ18" s="306"/>
      <c r="FR18" s="306"/>
      <c r="FS18" s="306"/>
      <c r="FT18" s="306"/>
      <c r="FU18" s="306"/>
      <c r="FV18" s="306"/>
      <c r="FW18" s="306"/>
      <c r="FX18" s="306"/>
      <c r="FY18" s="306"/>
      <c r="FZ18" s="306"/>
      <c r="GA18" s="306"/>
      <c r="GB18" s="491"/>
      <c r="GC18" s="306"/>
      <c r="GD18" s="306"/>
      <c r="GE18" s="306"/>
      <c r="GF18" s="491"/>
      <c r="GG18" s="494"/>
      <c r="GH18" s="487"/>
      <c r="GI18" s="306"/>
      <c r="GJ18" s="491"/>
      <c r="GK18" s="306"/>
      <c r="GL18" s="306"/>
      <c r="GM18" s="497" t="str">
        <f t="shared" si="7"/>
        <v>:</v>
      </c>
      <c r="GN18" s="306"/>
      <c r="GO18" s="306"/>
      <c r="GP18" s="306"/>
    </row>
    <row r="19" spans="1:198" ht="30" x14ac:dyDescent="0.15">
      <c r="A19" s="481" t="str">
        <f>VLOOKUP($J19&amp;":", Catalog!$F$5:$BV127, COLUMNS(Catalog!$F$5:$BV127), FALSE)</f>
        <v>State 2: has any action with season=november</v>
      </c>
      <c r="B19" s="482" t="b">
        <f t="shared" ca="1" si="0"/>
        <v>0</v>
      </c>
      <c r="C19" s="483" t="str">
        <f t="shared" si="1"/>
        <v>grantSkinNovemberState2</v>
      </c>
      <c r="D19" s="484" t="str">
        <f>VLOOKUP($J19&amp;":", Catalog!$F$5:$BW127, COLUMNS(Catalog!$F$5:$BW127), FALSE)</f>
        <v>never</v>
      </c>
      <c r="E19" s="485">
        <f>VLOOKUP($J19&amp;":", Catalog!$F$5:$BX127, COLUMNS(Catalog!$F$5:$BX127), FALSE)</f>
        <v>0</v>
      </c>
      <c r="F19" s="484">
        <f>VLOOKUP($J19&amp;":", Catalog!$F$5:$BY127, COLUMNS(Catalog!$F$5:$BY127), FALSE)</f>
        <v>0</v>
      </c>
      <c r="G19" s="484" t="str">
        <f>VLOOKUP($J19, Catalog!$E$5:$BZ127, COLUMNS(Catalog!$E$5:$BZ127), FALSE)</f>
        <v>rewardIfAnyRequirementsMet</v>
      </c>
      <c r="H19" s="483" t="s">
        <v>315</v>
      </c>
      <c r="I19" s="483">
        <v>2</v>
      </c>
      <c r="J19" s="82" t="s">
        <v>420</v>
      </c>
      <c r="K19" s="486">
        <v>1</v>
      </c>
      <c r="L19" s="100" t="s">
        <v>279</v>
      </c>
      <c r="M19" s="100">
        <v>2</v>
      </c>
      <c r="N19" s="100" t="s">
        <v>280</v>
      </c>
      <c r="O19" s="86"/>
      <c r="P19" s="86"/>
      <c r="Q19" s="86"/>
      <c r="R19" s="100" t="str">
        <f t="shared" si="2"/>
        <v>never</v>
      </c>
      <c r="S19" s="487"/>
      <c r="T19" s="486"/>
      <c r="U19" s="488"/>
      <c r="V19" s="488"/>
      <c r="W19" s="488"/>
      <c r="X19" s="488"/>
      <c r="Y19" s="306"/>
      <c r="Z19" s="306"/>
      <c r="AA19" s="489"/>
      <c r="AB19" s="306" t="str">
        <f t="shared" si="3"/>
        <v>total_points</v>
      </c>
      <c r="AC19" s="490">
        <f t="shared" si="4"/>
        <v>0</v>
      </c>
      <c r="AD19" s="490">
        <f t="shared" si="5"/>
        <v>0</v>
      </c>
      <c r="AE19" s="306"/>
      <c r="AF19" s="332" t="str">
        <f t="shared" si="6"/>
        <v>skinNovember</v>
      </c>
      <c r="AG19" s="306"/>
      <c r="AH19" s="487"/>
      <c r="AI19" s="306"/>
      <c r="AJ19" s="306"/>
      <c r="AK19" s="306"/>
      <c r="AL19" s="306"/>
      <c r="AM19" s="306"/>
      <c r="AN19" s="491"/>
      <c r="AO19" s="306"/>
      <c r="AP19" s="306"/>
      <c r="AQ19" s="306"/>
      <c r="AR19" s="306"/>
      <c r="AS19" s="306"/>
      <c r="AT19" s="487"/>
      <c r="AU19" s="306"/>
      <c r="AV19" s="306"/>
      <c r="AW19" s="306"/>
      <c r="AX19" s="306"/>
      <c r="AY19" s="306"/>
      <c r="AZ19" s="491"/>
      <c r="BA19" s="306"/>
      <c r="BB19" s="306"/>
      <c r="BC19" s="487"/>
      <c r="BD19" s="306"/>
      <c r="BE19" s="306"/>
      <c r="BF19" s="492" t="str">
        <f ca="1">IFERROR(__xludf.DUMMYFUNCTION("IF(REGEXMATCH($G19, ""Any""), ""any"", IF(REGEXMATCH($G19, ""All""), ""all"", """"))"),"any")</f>
        <v>any</v>
      </c>
      <c r="BG19" s="491"/>
      <c r="BH19" s="306"/>
      <c r="BI19" s="306"/>
      <c r="BJ19" s="306"/>
      <c r="BK19" s="306"/>
      <c r="BL19" s="306"/>
      <c r="BM19" s="306"/>
      <c r="BN19" s="306"/>
      <c r="BO19" s="306"/>
      <c r="BP19" s="493"/>
      <c r="BQ19" s="306"/>
      <c r="BR19" s="306"/>
      <c r="BS19" s="494"/>
      <c r="BT19" s="487"/>
      <c r="BU19" s="306"/>
      <c r="BV19" s="306"/>
      <c r="BW19" s="306"/>
      <c r="BX19" s="306"/>
      <c r="BY19" s="306"/>
      <c r="BZ19" s="306"/>
      <c r="CA19" s="306"/>
      <c r="CB19" s="306"/>
      <c r="CC19" s="493"/>
      <c r="CD19" s="306"/>
      <c r="CE19" s="306"/>
      <c r="CF19" s="494"/>
      <c r="CG19" s="487"/>
      <c r="CH19" s="306"/>
      <c r="CI19" s="306"/>
      <c r="CJ19" s="306"/>
      <c r="CK19" s="306"/>
      <c r="CL19" s="306"/>
      <c r="CM19" s="306"/>
      <c r="CN19" s="306"/>
      <c r="CO19" s="306"/>
      <c r="CP19" s="306"/>
      <c r="CQ19" s="306"/>
      <c r="CR19" s="306"/>
      <c r="CS19" s="494"/>
      <c r="CT19" s="306"/>
      <c r="CU19" s="306"/>
      <c r="CV19" s="306"/>
      <c r="CW19" s="306"/>
      <c r="CX19" s="306"/>
      <c r="CY19" s="306"/>
      <c r="CZ19" s="306"/>
      <c r="DA19" s="306"/>
      <c r="DB19" s="306"/>
      <c r="DC19" s="493"/>
      <c r="DD19" s="306"/>
      <c r="DE19" s="306"/>
      <c r="DF19" s="494"/>
      <c r="DG19" s="306"/>
      <c r="DH19" s="306"/>
      <c r="DI19" s="306"/>
      <c r="DJ19" s="306"/>
      <c r="DK19" s="306"/>
      <c r="DL19" s="306"/>
      <c r="DM19" s="306"/>
      <c r="DN19" s="306"/>
      <c r="DO19" s="306"/>
      <c r="DP19" s="493"/>
      <c r="DQ19" s="306"/>
      <c r="DR19" s="306"/>
      <c r="DS19" s="489"/>
      <c r="DT19" s="495" t="s">
        <v>811</v>
      </c>
      <c r="DU19" s="306"/>
      <c r="DV19" s="306"/>
      <c r="DW19" s="306"/>
      <c r="DX19" s="306"/>
      <c r="DY19" s="306"/>
      <c r="DZ19" s="306"/>
      <c r="EA19" s="306"/>
      <c r="EB19" s="306"/>
      <c r="EC19" s="100" t="s">
        <v>2369</v>
      </c>
      <c r="ED19" s="496" t="s">
        <v>4817</v>
      </c>
      <c r="EE19" s="306"/>
      <c r="EF19" s="306"/>
      <c r="EG19" s="306"/>
      <c r="EH19" s="487"/>
      <c r="EI19" s="306"/>
      <c r="EJ19" s="306"/>
      <c r="EK19" s="306"/>
      <c r="EL19" s="306"/>
      <c r="EM19" s="306"/>
      <c r="EN19" s="306"/>
      <c r="EO19" s="306"/>
      <c r="EP19" s="306"/>
      <c r="EQ19" s="306"/>
      <c r="ER19" s="306"/>
      <c r="ES19" s="306"/>
      <c r="ET19" s="306"/>
      <c r="EU19" s="306"/>
      <c r="EV19" s="491"/>
      <c r="EW19" s="306"/>
      <c r="EX19" s="306"/>
      <c r="EY19" s="306"/>
      <c r="EZ19" s="306"/>
      <c r="FA19" s="306"/>
      <c r="FB19" s="306"/>
      <c r="FC19" s="306"/>
      <c r="FD19" s="306"/>
      <c r="FE19" s="306"/>
      <c r="FF19" s="306"/>
      <c r="FG19" s="306"/>
      <c r="FH19" s="306"/>
      <c r="FI19" s="306"/>
      <c r="FJ19" s="306"/>
      <c r="FK19" s="306"/>
      <c r="FL19" s="487"/>
      <c r="FM19" s="306"/>
      <c r="FN19" s="306"/>
      <c r="FO19" s="306"/>
      <c r="FP19" s="306"/>
      <c r="FQ19" s="306"/>
      <c r="FR19" s="306"/>
      <c r="FS19" s="306"/>
      <c r="FT19" s="306"/>
      <c r="FU19" s="306"/>
      <c r="FV19" s="306"/>
      <c r="FW19" s="306"/>
      <c r="FX19" s="306"/>
      <c r="FY19" s="306"/>
      <c r="FZ19" s="306"/>
      <c r="GA19" s="306"/>
      <c r="GB19" s="491"/>
      <c r="GC19" s="306"/>
      <c r="GD19" s="306"/>
      <c r="GE19" s="306"/>
      <c r="GF19" s="491"/>
      <c r="GG19" s="494"/>
      <c r="GH19" s="487"/>
      <c r="GI19" s="306"/>
      <c r="GJ19" s="491"/>
      <c r="GK19" s="306"/>
      <c r="GL19" s="306"/>
      <c r="GM19" s="497" t="str">
        <f t="shared" si="7"/>
        <v>:</v>
      </c>
      <c r="GN19" s="306"/>
      <c r="GO19" s="306"/>
      <c r="GP19" s="306"/>
    </row>
    <row r="20" spans="1:198" ht="30" x14ac:dyDescent="0.15">
      <c r="A20" s="481" t="str">
        <f>VLOOKUP($J20&amp;":", Catalog!$F$5:$BV127, COLUMNS(Catalog!$F$5:$BV127), FALSE)</f>
        <v>State 2: has any action with season=december</v>
      </c>
      <c r="B20" s="482" t="b">
        <f t="shared" ca="1" si="0"/>
        <v>0</v>
      </c>
      <c r="C20" s="483" t="str">
        <f t="shared" si="1"/>
        <v>grantSkinDecemberState2</v>
      </c>
      <c r="D20" s="484" t="str">
        <f>VLOOKUP($J20&amp;":", Catalog!$F$5:$BW127, COLUMNS(Catalog!$F$5:$BW127), FALSE)</f>
        <v>never</v>
      </c>
      <c r="E20" s="485">
        <f>VLOOKUP($J20&amp;":", Catalog!$F$5:$BX127, COLUMNS(Catalog!$F$5:$BX127), FALSE)</f>
        <v>0</v>
      </c>
      <c r="F20" s="484">
        <f>VLOOKUP($J20&amp;":", Catalog!$F$5:$BY127, COLUMNS(Catalog!$F$5:$BY127), FALSE)</f>
        <v>0</v>
      </c>
      <c r="G20" s="484" t="str">
        <f>VLOOKUP($J20, Catalog!$E$5:$BZ127, COLUMNS(Catalog!$E$5:$BZ127), FALSE)</f>
        <v>rewardIfAnyRequirementsMet</v>
      </c>
      <c r="H20" s="483" t="s">
        <v>315</v>
      </c>
      <c r="I20" s="483">
        <v>2</v>
      </c>
      <c r="J20" s="82" t="s">
        <v>427</v>
      </c>
      <c r="K20" s="486">
        <v>1</v>
      </c>
      <c r="L20" s="100" t="s">
        <v>279</v>
      </c>
      <c r="M20" s="100">
        <v>2</v>
      </c>
      <c r="N20" s="100" t="s">
        <v>280</v>
      </c>
      <c r="O20" s="86"/>
      <c r="P20" s="86"/>
      <c r="Q20" s="86"/>
      <c r="R20" s="100" t="str">
        <f t="shared" si="2"/>
        <v>never</v>
      </c>
      <c r="S20" s="487"/>
      <c r="T20" s="486"/>
      <c r="U20" s="488"/>
      <c r="V20" s="488"/>
      <c r="W20" s="488"/>
      <c r="X20" s="488"/>
      <c r="Y20" s="306"/>
      <c r="Z20" s="306"/>
      <c r="AA20" s="489"/>
      <c r="AB20" s="306" t="str">
        <f t="shared" si="3"/>
        <v>total_points</v>
      </c>
      <c r="AC20" s="490">
        <f t="shared" si="4"/>
        <v>0</v>
      </c>
      <c r="AD20" s="490">
        <f t="shared" si="5"/>
        <v>0</v>
      </c>
      <c r="AE20" s="306"/>
      <c r="AF20" s="332" t="str">
        <f t="shared" si="6"/>
        <v>skinDecember</v>
      </c>
      <c r="AG20" s="306"/>
      <c r="AH20" s="487"/>
      <c r="AI20" s="306"/>
      <c r="AJ20" s="306"/>
      <c r="AK20" s="306"/>
      <c r="AL20" s="306"/>
      <c r="AM20" s="306"/>
      <c r="AN20" s="491"/>
      <c r="AO20" s="306"/>
      <c r="AP20" s="306"/>
      <c r="AQ20" s="306"/>
      <c r="AR20" s="306"/>
      <c r="AS20" s="306"/>
      <c r="AT20" s="487"/>
      <c r="AU20" s="306"/>
      <c r="AV20" s="306"/>
      <c r="AW20" s="306"/>
      <c r="AX20" s="306"/>
      <c r="AY20" s="306"/>
      <c r="AZ20" s="491"/>
      <c r="BA20" s="306"/>
      <c r="BB20" s="306"/>
      <c r="BC20" s="487"/>
      <c r="BD20" s="306"/>
      <c r="BE20" s="306"/>
      <c r="BF20" s="492" t="str">
        <f ca="1">IFERROR(__xludf.DUMMYFUNCTION("IF(REGEXMATCH($G20, ""Any""), ""any"", IF(REGEXMATCH($G20, ""All""), ""all"", """"))"),"any")</f>
        <v>any</v>
      </c>
      <c r="BG20" s="491"/>
      <c r="BH20" s="306"/>
      <c r="BI20" s="306"/>
      <c r="BJ20" s="306"/>
      <c r="BK20" s="306"/>
      <c r="BL20" s="306"/>
      <c r="BM20" s="306"/>
      <c r="BN20" s="306"/>
      <c r="BO20" s="306"/>
      <c r="BP20" s="493"/>
      <c r="BQ20" s="306"/>
      <c r="BR20" s="306"/>
      <c r="BS20" s="494"/>
      <c r="BT20" s="487"/>
      <c r="BU20" s="306"/>
      <c r="BV20" s="306"/>
      <c r="BW20" s="306"/>
      <c r="BX20" s="306"/>
      <c r="BY20" s="306"/>
      <c r="BZ20" s="306"/>
      <c r="CA20" s="306"/>
      <c r="CB20" s="306"/>
      <c r="CC20" s="493"/>
      <c r="CD20" s="306"/>
      <c r="CE20" s="306"/>
      <c r="CF20" s="494"/>
      <c r="CG20" s="487"/>
      <c r="CH20" s="306"/>
      <c r="CI20" s="306"/>
      <c r="CJ20" s="306"/>
      <c r="CK20" s="306"/>
      <c r="CL20" s="306"/>
      <c r="CM20" s="306"/>
      <c r="CN20" s="306"/>
      <c r="CO20" s="306"/>
      <c r="CP20" s="306"/>
      <c r="CQ20" s="306"/>
      <c r="CR20" s="306"/>
      <c r="CS20" s="494"/>
      <c r="CT20" s="306"/>
      <c r="CU20" s="306"/>
      <c r="CV20" s="306"/>
      <c r="CW20" s="306"/>
      <c r="CX20" s="306"/>
      <c r="CY20" s="306"/>
      <c r="CZ20" s="306"/>
      <c r="DA20" s="306"/>
      <c r="DB20" s="306"/>
      <c r="DC20" s="493"/>
      <c r="DD20" s="306"/>
      <c r="DE20" s="306"/>
      <c r="DF20" s="494"/>
      <c r="DG20" s="306"/>
      <c r="DH20" s="306"/>
      <c r="DI20" s="306"/>
      <c r="DJ20" s="306"/>
      <c r="DK20" s="306"/>
      <c r="DL20" s="306"/>
      <c r="DM20" s="306"/>
      <c r="DN20" s="306"/>
      <c r="DO20" s="306"/>
      <c r="DP20" s="493"/>
      <c r="DQ20" s="306"/>
      <c r="DR20" s="306"/>
      <c r="DS20" s="489"/>
      <c r="DT20" s="495" t="s">
        <v>811</v>
      </c>
      <c r="DU20" s="306"/>
      <c r="DV20" s="306"/>
      <c r="DW20" s="306"/>
      <c r="DX20" s="306"/>
      <c r="DY20" s="306"/>
      <c r="DZ20" s="306"/>
      <c r="EA20" s="306"/>
      <c r="EB20" s="306"/>
      <c r="EC20" s="100" t="s">
        <v>2369</v>
      </c>
      <c r="ED20" s="496" t="s">
        <v>4818</v>
      </c>
      <c r="EE20" s="306"/>
      <c r="EF20" s="306"/>
      <c r="EG20" s="306"/>
      <c r="EH20" s="487"/>
      <c r="EI20" s="306"/>
      <c r="EJ20" s="306"/>
      <c r="EK20" s="306"/>
      <c r="EL20" s="306"/>
      <c r="EM20" s="306"/>
      <c r="EN20" s="306"/>
      <c r="EO20" s="306"/>
      <c r="EP20" s="306"/>
      <c r="EQ20" s="306"/>
      <c r="ER20" s="306"/>
      <c r="ES20" s="306"/>
      <c r="ET20" s="306"/>
      <c r="EU20" s="306"/>
      <c r="EV20" s="491"/>
      <c r="EW20" s="306"/>
      <c r="EX20" s="306"/>
      <c r="EY20" s="306"/>
      <c r="EZ20" s="306"/>
      <c r="FA20" s="306"/>
      <c r="FB20" s="306"/>
      <c r="FC20" s="306"/>
      <c r="FD20" s="306"/>
      <c r="FE20" s="306"/>
      <c r="FF20" s="306"/>
      <c r="FG20" s="306"/>
      <c r="FH20" s="306"/>
      <c r="FI20" s="306"/>
      <c r="FJ20" s="306"/>
      <c r="FK20" s="306"/>
      <c r="FL20" s="487"/>
      <c r="FM20" s="306"/>
      <c r="FN20" s="306"/>
      <c r="FO20" s="306"/>
      <c r="FP20" s="306"/>
      <c r="FQ20" s="306"/>
      <c r="FR20" s="306"/>
      <c r="FS20" s="306"/>
      <c r="FT20" s="306"/>
      <c r="FU20" s="306"/>
      <c r="FV20" s="306"/>
      <c r="FW20" s="306"/>
      <c r="FX20" s="306"/>
      <c r="FY20" s="306"/>
      <c r="FZ20" s="306"/>
      <c r="GA20" s="306"/>
      <c r="GB20" s="491"/>
      <c r="GC20" s="306"/>
      <c r="GD20" s="306"/>
      <c r="GE20" s="306"/>
      <c r="GF20" s="491"/>
      <c r="GG20" s="494"/>
      <c r="GH20" s="487"/>
      <c r="GI20" s="306"/>
      <c r="GJ20" s="491"/>
      <c r="GK20" s="306"/>
      <c r="GL20" s="306"/>
      <c r="GM20" s="497" t="str">
        <f t="shared" si="7"/>
        <v>:</v>
      </c>
      <c r="GN20" s="306"/>
      <c r="GO20" s="306"/>
      <c r="GP20" s="306"/>
    </row>
    <row r="21" spans="1:198" ht="30" x14ac:dyDescent="0.15">
      <c r="A21" s="498" t="str">
        <f>VLOOKUP($J21&amp;":", Catalog!$F$5:$BV127, COLUMNS(Catalog!$F$5:$BV127), FALSE)</f>
        <v>State 2: have missionStronghold with Tier=2</v>
      </c>
      <c r="B21" s="482" t="b">
        <f t="shared" ca="1" si="0"/>
        <v>0</v>
      </c>
      <c r="C21" s="483" t="str">
        <f t="shared" si="1"/>
        <v>grantLauncherStrongholdState2</v>
      </c>
      <c r="D21" s="484" t="str">
        <f>VLOOKUP($J21&amp;":", Catalog!$F$5:$BW127, COLUMNS(Catalog!$F$5:$BW127), FALSE)</f>
        <v>never</v>
      </c>
      <c r="E21" s="485">
        <f>VLOOKUP($J21&amp;":", Catalog!$F$5:$BX127, COLUMNS(Catalog!$F$5:$BX127), FALSE)</f>
        <v>0</v>
      </c>
      <c r="F21" s="484">
        <f>VLOOKUP($J21&amp;":", Catalog!$F$5:$BY127, COLUMNS(Catalog!$F$5:$BY127), FALSE)</f>
        <v>0</v>
      </c>
      <c r="G21" s="483" t="str">
        <f>VLOOKUP($J21, Catalog!$E$5:$BZ127, COLUMNS(Catalog!$E$5:$BZ127), FALSE)</f>
        <v>rewardIfAllRequirementsMet</v>
      </c>
      <c r="H21" s="483" t="s">
        <v>434</v>
      </c>
      <c r="I21" s="483">
        <v>2</v>
      </c>
      <c r="J21" s="306" t="s">
        <v>492</v>
      </c>
      <c r="K21" s="486">
        <v>1</v>
      </c>
      <c r="L21" s="100" t="s">
        <v>279</v>
      </c>
      <c r="M21" s="100">
        <v>2</v>
      </c>
      <c r="N21" s="100" t="s">
        <v>280</v>
      </c>
      <c r="O21" s="86"/>
      <c r="P21" s="86"/>
      <c r="Q21" s="86"/>
      <c r="R21" s="100" t="str">
        <f t="shared" si="2"/>
        <v>never</v>
      </c>
      <c r="S21" s="487"/>
      <c r="T21" s="486"/>
      <c r="U21" s="488"/>
      <c r="V21" s="488"/>
      <c r="W21" s="488"/>
      <c r="X21" s="488"/>
      <c r="Y21" s="306"/>
      <c r="Z21" s="306"/>
      <c r="AA21" s="489"/>
      <c r="AB21" s="306" t="str">
        <f t="shared" si="3"/>
        <v>total_points</v>
      </c>
      <c r="AC21" s="490">
        <f t="shared" si="4"/>
        <v>0</v>
      </c>
      <c r="AD21" s="490">
        <f t="shared" si="5"/>
        <v>0</v>
      </c>
      <c r="AE21" s="306"/>
      <c r="AF21" s="332" t="str">
        <f t="shared" si="6"/>
        <v>launcherStronghold</v>
      </c>
      <c r="AG21" s="306"/>
      <c r="AH21" s="487"/>
      <c r="AI21" s="306"/>
      <c r="AJ21" s="306"/>
      <c r="AK21" s="306"/>
      <c r="AL21" s="306"/>
      <c r="AM21" s="306"/>
      <c r="AN21" s="491"/>
      <c r="AO21" s="306"/>
      <c r="AP21" s="306"/>
      <c r="AQ21" s="306"/>
      <c r="AR21" s="306"/>
      <c r="AS21" s="306"/>
      <c r="AT21" s="487"/>
      <c r="AU21" s="306"/>
      <c r="AV21" s="306"/>
      <c r="AW21" s="306"/>
      <c r="AX21" s="306"/>
      <c r="AY21" s="306"/>
      <c r="AZ21" s="491"/>
      <c r="BA21" s="306"/>
      <c r="BB21" s="306"/>
      <c r="BC21" s="487"/>
      <c r="BD21" s="306"/>
      <c r="BE21" s="306"/>
      <c r="BF21" s="492" t="str">
        <f ca="1">IFERROR(__xludf.DUMMYFUNCTION("IF(REGEXMATCH($G21, ""Any""), ""any"", IF(REGEXMATCH($G21, ""All""), ""all"", """"))"),"all")</f>
        <v>all</v>
      </c>
      <c r="BG21" s="495" t="s">
        <v>1020</v>
      </c>
      <c r="BH21" s="306"/>
      <c r="BI21" s="100" t="s">
        <v>279</v>
      </c>
      <c r="BJ21" s="100">
        <v>2</v>
      </c>
      <c r="BK21" s="306"/>
      <c r="BL21" s="306"/>
      <c r="BM21" s="306"/>
      <c r="BN21" s="306"/>
      <c r="BO21" s="306"/>
      <c r="BP21" s="493"/>
      <c r="BQ21" s="306"/>
      <c r="BR21" s="306"/>
      <c r="BS21" s="494"/>
      <c r="BT21" s="487"/>
      <c r="BU21" s="306"/>
      <c r="BV21" s="306"/>
      <c r="BW21" s="306"/>
      <c r="BX21" s="306"/>
      <c r="BY21" s="306"/>
      <c r="BZ21" s="306"/>
      <c r="CA21" s="306"/>
      <c r="CB21" s="306"/>
      <c r="CC21" s="493"/>
      <c r="CD21" s="306"/>
      <c r="CE21" s="306"/>
      <c r="CF21" s="494"/>
      <c r="CG21" s="487"/>
      <c r="CH21" s="306"/>
      <c r="CI21" s="306"/>
      <c r="CJ21" s="306"/>
      <c r="CK21" s="306"/>
      <c r="CL21" s="306"/>
      <c r="CM21" s="306"/>
      <c r="CN21" s="306"/>
      <c r="CO21" s="306"/>
      <c r="CP21" s="306"/>
      <c r="CQ21" s="306"/>
      <c r="CR21" s="306"/>
      <c r="CS21" s="494"/>
      <c r="CT21" s="306"/>
      <c r="CU21" s="306"/>
      <c r="CV21" s="306"/>
      <c r="CW21" s="306"/>
      <c r="CX21" s="306"/>
      <c r="CY21" s="306"/>
      <c r="CZ21" s="306"/>
      <c r="DA21" s="306"/>
      <c r="DB21" s="306"/>
      <c r="DC21" s="493"/>
      <c r="DD21" s="306"/>
      <c r="DE21" s="306"/>
      <c r="DF21" s="494"/>
      <c r="DG21" s="306"/>
      <c r="DH21" s="306"/>
      <c r="DI21" s="306"/>
      <c r="DJ21" s="306"/>
      <c r="DK21" s="306"/>
      <c r="DL21" s="306"/>
      <c r="DM21" s="306"/>
      <c r="DN21" s="306"/>
      <c r="DO21" s="306"/>
      <c r="DP21" s="493"/>
      <c r="DQ21" s="306"/>
      <c r="DR21" s="306"/>
      <c r="DS21" s="489"/>
      <c r="DT21" s="306"/>
      <c r="DU21" s="306"/>
      <c r="DV21" s="306"/>
      <c r="DW21" s="306"/>
      <c r="DX21" s="306"/>
      <c r="DY21" s="306"/>
      <c r="DZ21" s="306"/>
      <c r="EA21" s="306"/>
      <c r="EB21" s="306"/>
      <c r="EC21" s="306"/>
      <c r="ED21" s="493"/>
      <c r="EE21" s="306"/>
      <c r="EF21" s="306"/>
      <c r="EG21" s="306"/>
      <c r="EH21" s="487"/>
      <c r="EI21" s="306"/>
      <c r="EJ21" s="306"/>
      <c r="EK21" s="306"/>
      <c r="EL21" s="306"/>
      <c r="EM21" s="306"/>
      <c r="EN21" s="306"/>
      <c r="EO21" s="306"/>
      <c r="EP21" s="306"/>
      <c r="EQ21" s="306"/>
      <c r="ER21" s="306"/>
      <c r="ES21" s="306"/>
      <c r="ET21" s="306"/>
      <c r="EU21" s="306"/>
      <c r="EV21" s="491"/>
      <c r="EW21" s="306"/>
      <c r="EX21" s="306"/>
      <c r="EY21" s="306"/>
      <c r="EZ21" s="306"/>
      <c r="FA21" s="306"/>
      <c r="FB21" s="306"/>
      <c r="FC21" s="306"/>
      <c r="FD21" s="306"/>
      <c r="FE21" s="306"/>
      <c r="FF21" s="306"/>
      <c r="FG21" s="306"/>
      <c r="FH21" s="306"/>
      <c r="FI21" s="306"/>
      <c r="FJ21" s="306"/>
      <c r="FK21" s="306"/>
      <c r="FL21" s="487"/>
      <c r="FM21" s="306"/>
      <c r="FN21" s="306"/>
      <c r="FO21" s="306"/>
      <c r="FP21" s="306"/>
      <c r="FQ21" s="306"/>
      <c r="FR21" s="306"/>
      <c r="FS21" s="306"/>
      <c r="FT21" s="306"/>
      <c r="FU21" s="306"/>
      <c r="FV21" s="306"/>
      <c r="FW21" s="306"/>
      <c r="FX21" s="306"/>
      <c r="FY21" s="306"/>
      <c r="FZ21" s="306"/>
      <c r="GA21" s="306"/>
      <c r="GB21" s="491"/>
      <c r="GC21" s="306"/>
      <c r="GD21" s="306"/>
      <c r="GE21" s="306"/>
      <c r="GF21" s="491"/>
      <c r="GG21" s="494"/>
      <c r="GH21" s="487"/>
      <c r="GI21" s="306"/>
      <c r="GJ21" s="491"/>
      <c r="GK21" s="306"/>
      <c r="GL21" s="306"/>
      <c r="GM21" s="497" t="str">
        <f t="shared" si="7"/>
        <v>:</v>
      </c>
      <c r="GN21" s="306"/>
      <c r="GO21" s="306"/>
      <c r="GP21" s="306"/>
    </row>
    <row r="22" spans="1:198" ht="30" x14ac:dyDescent="0.15">
      <c r="A22" s="498" t="str">
        <f>VLOOKUP($J22&amp;":", Catalog!$F$5:$BV127, COLUMNS(Catalog!$F$5:$BV127), FALSE)</f>
        <v>State 2: have missionNunchuck with Tier=2</v>
      </c>
      <c r="B22" s="482" t="b">
        <f t="shared" ca="1" si="0"/>
        <v>0</v>
      </c>
      <c r="C22" s="483" t="str">
        <f t="shared" si="1"/>
        <v>grantLauncherNunchuckState2</v>
      </c>
      <c r="D22" s="484" t="str">
        <f>VLOOKUP($J22&amp;":", Catalog!$F$5:$BW127, COLUMNS(Catalog!$F$5:$BW127), FALSE)</f>
        <v>never</v>
      </c>
      <c r="E22" s="485">
        <f>VLOOKUP($J22&amp;":", Catalog!$F$5:$BX127, COLUMNS(Catalog!$F$5:$BX127), FALSE)</f>
        <v>0</v>
      </c>
      <c r="F22" s="484">
        <f>VLOOKUP($J22&amp;":", Catalog!$F$5:$BY127, COLUMNS(Catalog!$F$5:$BY127), FALSE)</f>
        <v>0</v>
      </c>
      <c r="G22" s="483" t="str">
        <f>VLOOKUP($J22, Catalog!$E$5:$BZ127, COLUMNS(Catalog!$E$5:$BZ127), FALSE)</f>
        <v>rewardIfAllRequirementsMet</v>
      </c>
      <c r="H22" s="483" t="s">
        <v>434</v>
      </c>
      <c r="I22" s="483">
        <v>2</v>
      </c>
      <c r="J22" s="306" t="s">
        <v>508</v>
      </c>
      <c r="K22" s="486">
        <v>1</v>
      </c>
      <c r="L22" s="100" t="s">
        <v>279</v>
      </c>
      <c r="M22" s="100">
        <v>2</v>
      </c>
      <c r="N22" s="100" t="s">
        <v>280</v>
      </c>
      <c r="O22" s="86"/>
      <c r="P22" s="86"/>
      <c r="Q22" s="86"/>
      <c r="R22" s="100" t="str">
        <f t="shared" si="2"/>
        <v>never</v>
      </c>
      <c r="S22" s="487"/>
      <c r="T22" s="486"/>
      <c r="U22" s="488"/>
      <c r="V22" s="488"/>
      <c r="W22" s="488"/>
      <c r="X22" s="488"/>
      <c r="Y22" s="306"/>
      <c r="Z22" s="306"/>
      <c r="AA22" s="489"/>
      <c r="AB22" s="306" t="str">
        <f t="shared" si="3"/>
        <v>total_points</v>
      </c>
      <c r="AC22" s="490">
        <f t="shared" si="4"/>
        <v>0</v>
      </c>
      <c r="AD22" s="490">
        <f t="shared" si="5"/>
        <v>0</v>
      </c>
      <c r="AE22" s="306"/>
      <c r="AF22" s="332" t="str">
        <f t="shared" si="6"/>
        <v>launcherNunchuck</v>
      </c>
      <c r="AG22" s="306"/>
      <c r="AH22" s="487"/>
      <c r="AI22" s="306"/>
      <c r="AJ22" s="306"/>
      <c r="AK22" s="306"/>
      <c r="AL22" s="306"/>
      <c r="AM22" s="306"/>
      <c r="AN22" s="491"/>
      <c r="AO22" s="306"/>
      <c r="AP22" s="306"/>
      <c r="AQ22" s="306"/>
      <c r="AR22" s="306"/>
      <c r="AS22" s="306"/>
      <c r="AT22" s="487"/>
      <c r="AU22" s="306"/>
      <c r="AV22" s="306"/>
      <c r="AW22" s="306"/>
      <c r="AX22" s="306"/>
      <c r="AY22" s="306"/>
      <c r="AZ22" s="491"/>
      <c r="BA22" s="306"/>
      <c r="BB22" s="306"/>
      <c r="BC22" s="487"/>
      <c r="BD22" s="306"/>
      <c r="BE22" s="306"/>
      <c r="BF22" s="492" t="str">
        <f ca="1">IFERROR(__xludf.DUMMYFUNCTION("IF(REGEXMATCH($G22, ""Any""), ""any"", IF(REGEXMATCH($G22, ""All""), ""all"", """"))"),"all")</f>
        <v>all</v>
      </c>
      <c r="BG22" s="495" t="s">
        <v>1047</v>
      </c>
      <c r="BH22" s="306"/>
      <c r="BI22" s="100" t="s">
        <v>279</v>
      </c>
      <c r="BJ22" s="100">
        <v>2</v>
      </c>
      <c r="BK22" s="306"/>
      <c r="BL22" s="306"/>
      <c r="BM22" s="306"/>
      <c r="BN22" s="306"/>
      <c r="BO22" s="306"/>
      <c r="BP22" s="493"/>
      <c r="BQ22" s="306"/>
      <c r="BR22" s="306"/>
      <c r="BS22" s="494"/>
      <c r="BT22" s="487"/>
      <c r="BU22" s="306"/>
      <c r="BV22" s="306"/>
      <c r="BW22" s="306"/>
      <c r="BX22" s="306"/>
      <c r="BY22" s="306"/>
      <c r="BZ22" s="306"/>
      <c r="CA22" s="306"/>
      <c r="CB22" s="306"/>
      <c r="CC22" s="493"/>
      <c r="CD22" s="306"/>
      <c r="CE22" s="306"/>
      <c r="CF22" s="494"/>
      <c r="CG22" s="487"/>
      <c r="CH22" s="306"/>
      <c r="CI22" s="306"/>
      <c r="CJ22" s="306"/>
      <c r="CK22" s="306"/>
      <c r="CL22" s="306"/>
      <c r="CM22" s="306"/>
      <c r="CN22" s="306"/>
      <c r="CO22" s="306"/>
      <c r="CP22" s="306"/>
      <c r="CQ22" s="306"/>
      <c r="CR22" s="306"/>
      <c r="CS22" s="494"/>
      <c r="CT22" s="306"/>
      <c r="CU22" s="306"/>
      <c r="CV22" s="306"/>
      <c r="CW22" s="306"/>
      <c r="CX22" s="306"/>
      <c r="CY22" s="306"/>
      <c r="CZ22" s="306"/>
      <c r="DA22" s="306"/>
      <c r="DB22" s="306"/>
      <c r="DC22" s="493"/>
      <c r="DD22" s="306"/>
      <c r="DE22" s="306"/>
      <c r="DF22" s="494"/>
      <c r="DG22" s="306"/>
      <c r="DH22" s="306"/>
      <c r="DI22" s="306"/>
      <c r="DJ22" s="306"/>
      <c r="DK22" s="306"/>
      <c r="DL22" s="306"/>
      <c r="DM22" s="306"/>
      <c r="DN22" s="306"/>
      <c r="DO22" s="306"/>
      <c r="DP22" s="493"/>
      <c r="DQ22" s="306"/>
      <c r="DR22" s="306"/>
      <c r="DS22" s="489"/>
      <c r="DT22" s="306"/>
      <c r="DU22" s="306"/>
      <c r="DV22" s="306"/>
      <c r="DW22" s="306"/>
      <c r="DX22" s="306"/>
      <c r="DY22" s="306"/>
      <c r="DZ22" s="306"/>
      <c r="EA22" s="306"/>
      <c r="EB22" s="306"/>
      <c r="EC22" s="306"/>
      <c r="ED22" s="493"/>
      <c r="EE22" s="306"/>
      <c r="EF22" s="306"/>
      <c r="EG22" s="306"/>
      <c r="EH22" s="487"/>
      <c r="EI22" s="306"/>
      <c r="EJ22" s="306"/>
      <c r="EK22" s="306"/>
      <c r="EL22" s="306"/>
      <c r="EM22" s="306"/>
      <c r="EN22" s="306"/>
      <c r="EO22" s="306"/>
      <c r="EP22" s="306"/>
      <c r="EQ22" s="306"/>
      <c r="ER22" s="306"/>
      <c r="ES22" s="306"/>
      <c r="ET22" s="306"/>
      <c r="EU22" s="306"/>
      <c r="EV22" s="491"/>
      <c r="EW22" s="306"/>
      <c r="EX22" s="306"/>
      <c r="EY22" s="306"/>
      <c r="EZ22" s="306"/>
      <c r="FA22" s="306"/>
      <c r="FB22" s="306"/>
      <c r="FC22" s="306"/>
      <c r="FD22" s="306"/>
      <c r="FE22" s="306"/>
      <c r="FF22" s="306"/>
      <c r="FG22" s="306"/>
      <c r="FH22" s="306"/>
      <c r="FI22" s="306"/>
      <c r="FJ22" s="306"/>
      <c r="FK22" s="306"/>
      <c r="FL22" s="487"/>
      <c r="FM22" s="306"/>
      <c r="FN22" s="306"/>
      <c r="FO22" s="306"/>
      <c r="FP22" s="306"/>
      <c r="FQ22" s="306"/>
      <c r="FR22" s="306"/>
      <c r="FS22" s="306"/>
      <c r="FT22" s="306"/>
      <c r="FU22" s="306"/>
      <c r="FV22" s="306"/>
      <c r="FW22" s="306"/>
      <c r="FX22" s="306"/>
      <c r="FY22" s="306"/>
      <c r="FZ22" s="306"/>
      <c r="GA22" s="306"/>
      <c r="GB22" s="491"/>
      <c r="GC22" s="306"/>
      <c r="GD22" s="306"/>
      <c r="GE22" s="306"/>
      <c r="GF22" s="491"/>
      <c r="GG22" s="494"/>
      <c r="GH22" s="487"/>
      <c r="GI22" s="306"/>
      <c r="GJ22" s="491"/>
      <c r="GK22" s="306"/>
      <c r="GL22" s="306"/>
      <c r="GM22" s="497" t="str">
        <f t="shared" si="7"/>
        <v>:</v>
      </c>
      <c r="GN22" s="306"/>
      <c r="GO22" s="306"/>
      <c r="GP22" s="306"/>
    </row>
    <row r="23" spans="1:198" ht="30" x14ac:dyDescent="0.15">
      <c r="A23" s="498" t="str">
        <f>VLOOKUP($J23&amp;":", Catalog!$F$5:$BV127, COLUMNS(Catalog!$F$5:$BV127), FALSE)</f>
        <v>State 2: have missionJeanClawed with Tier=2</v>
      </c>
      <c r="B23" s="482" t="b">
        <f t="shared" ca="1" si="0"/>
        <v>0</v>
      </c>
      <c r="C23" s="483" t="str">
        <f t="shared" si="1"/>
        <v>grantLauncherJeanClawedState2</v>
      </c>
      <c r="D23" s="484" t="str">
        <f>VLOOKUP($J23&amp;":", Catalog!$F$5:$BW127, COLUMNS(Catalog!$F$5:$BW127), FALSE)</f>
        <v>never</v>
      </c>
      <c r="E23" s="485">
        <f>VLOOKUP($J23&amp;":", Catalog!$F$5:$BX127, COLUMNS(Catalog!$F$5:$BX127), FALSE)</f>
        <v>0</v>
      </c>
      <c r="F23" s="484">
        <f>VLOOKUP($J23&amp;":", Catalog!$F$5:$BY127, COLUMNS(Catalog!$F$5:$BY127), FALSE)</f>
        <v>0</v>
      </c>
      <c r="G23" s="483" t="str">
        <f>VLOOKUP($J23, Catalog!$E$5:$BZ127, COLUMNS(Catalog!$E$5:$BZ127), FALSE)</f>
        <v>rewardIfAllRequirementsMet</v>
      </c>
      <c r="H23" s="483" t="s">
        <v>434</v>
      </c>
      <c r="I23" s="483">
        <v>2</v>
      </c>
      <c r="J23" s="306" t="s">
        <v>522</v>
      </c>
      <c r="K23" s="486">
        <v>1</v>
      </c>
      <c r="L23" s="100" t="s">
        <v>279</v>
      </c>
      <c r="M23" s="100">
        <v>2</v>
      </c>
      <c r="N23" s="100" t="s">
        <v>280</v>
      </c>
      <c r="O23" s="86"/>
      <c r="P23" s="86"/>
      <c r="Q23" s="86"/>
      <c r="R23" s="100" t="str">
        <f t="shared" si="2"/>
        <v>never</v>
      </c>
      <c r="S23" s="487"/>
      <c r="T23" s="486"/>
      <c r="U23" s="488"/>
      <c r="V23" s="488"/>
      <c r="W23" s="488"/>
      <c r="X23" s="488"/>
      <c r="Y23" s="306"/>
      <c r="Z23" s="306"/>
      <c r="AA23" s="489"/>
      <c r="AB23" s="306" t="str">
        <f t="shared" si="3"/>
        <v>total_points</v>
      </c>
      <c r="AC23" s="490">
        <f t="shared" si="4"/>
        <v>0</v>
      </c>
      <c r="AD23" s="490">
        <f t="shared" si="5"/>
        <v>0</v>
      </c>
      <c r="AE23" s="306"/>
      <c r="AF23" s="332" t="str">
        <f t="shared" si="6"/>
        <v>launcherJeanClawed</v>
      </c>
      <c r="AG23" s="306"/>
      <c r="AH23" s="487"/>
      <c r="AI23" s="306"/>
      <c r="AJ23" s="306"/>
      <c r="AK23" s="306"/>
      <c r="AL23" s="306"/>
      <c r="AM23" s="306"/>
      <c r="AN23" s="491"/>
      <c r="AO23" s="306"/>
      <c r="AP23" s="306"/>
      <c r="AQ23" s="306"/>
      <c r="AR23" s="306"/>
      <c r="AS23" s="306"/>
      <c r="AT23" s="487"/>
      <c r="AU23" s="306"/>
      <c r="AV23" s="306"/>
      <c r="AW23" s="306"/>
      <c r="AX23" s="306"/>
      <c r="AY23" s="306"/>
      <c r="AZ23" s="491"/>
      <c r="BA23" s="306"/>
      <c r="BB23" s="306"/>
      <c r="BC23" s="487"/>
      <c r="BD23" s="306"/>
      <c r="BE23" s="306"/>
      <c r="BF23" s="492" t="str">
        <f ca="1">IFERROR(__xludf.DUMMYFUNCTION("IF(REGEXMATCH($G23, ""Any""), ""any"", IF(REGEXMATCH($G23, ""All""), ""all"", """"))"),"all")</f>
        <v>all</v>
      </c>
      <c r="BG23" s="495" t="s">
        <v>1101</v>
      </c>
      <c r="BH23" s="306"/>
      <c r="BI23" s="100" t="s">
        <v>279</v>
      </c>
      <c r="BJ23" s="100">
        <v>2</v>
      </c>
      <c r="BK23" s="306"/>
      <c r="BL23" s="306"/>
      <c r="BM23" s="306"/>
      <c r="BN23" s="306"/>
      <c r="BO23" s="306"/>
      <c r="BP23" s="493"/>
      <c r="BQ23" s="306"/>
      <c r="BR23" s="306"/>
      <c r="BS23" s="494"/>
      <c r="BT23" s="487"/>
      <c r="BU23" s="306"/>
      <c r="BV23" s="306"/>
      <c r="BW23" s="306"/>
      <c r="BX23" s="306"/>
      <c r="BY23" s="306"/>
      <c r="BZ23" s="306"/>
      <c r="CA23" s="306"/>
      <c r="CB23" s="306"/>
      <c r="CC23" s="493"/>
      <c r="CD23" s="306"/>
      <c r="CE23" s="306"/>
      <c r="CF23" s="494"/>
      <c r="CG23" s="487"/>
      <c r="CH23" s="306"/>
      <c r="CI23" s="306"/>
      <c r="CJ23" s="306"/>
      <c r="CK23" s="306"/>
      <c r="CL23" s="306"/>
      <c r="CM23" s="306"/>
      <c r="CN23" s="306"/>
      <c r="CO23" s="306"/>
      <c r="CP23" s="306"/>
      <c r="CQ23" s="306"/>
      <c r="CR23" s="306"/>
      <c r="CS23" s="494"/>
      <c r="CT23" s="306"/>
      <c r="CU23" s="306"/>
      <c r="CV23" s="306"/>
      <c r="CW23" s="306"/>
      <c r="CX23" s="306"/>
      <c r="CY23" s="306"/>
      <c r="CZ23" s="306"/>
      <c r="DA23" s="306"/>
      <c r="DB23" s="306"/>
      <c r="DC23" s="493"/>
      <c r="DD23" s="306"/>
      <c r="DE23" s="306"/>
      <c r="DF23" s="494"/>
      <c r="DG23" s="306"/>
      <c r="DH23" s="306"/>
      <c r="DI23" s="306"/>
      <c r="DJ23" s="306"/>
      <c r="DK23" s="306"/>
      <c r="DL23" s="306"/>
      <c r="DM23" s="306"/>
      <c r="DN23" s="306"/>
      <c r="DO23" s="306"/>
      <c r="DP23" s="493"/>
      <c r="DQ23" s="306"/>
      <c r="DR23" s="306"/>
      <c r="DS23" s="489"/>
      <c r="DT23" s="306"/>
      <c r="DU23" s="306"/>
      <c r="DV23" s="306"/>
      <c r="DW23" s="306"/>
      <c r="DX23" s="306"/>
      <c r="DY23" s="306"/>
      <c r="DZ23" s="306"/>
      <c r="EA23" s="306"/>
      <c r="EB23" s="306"/>
      <c r="EC23" s="306"/>
      <c r="ED23" s="493"/>
      <c r="EE23" s="306"/>
      <c r="EF23" s="306"/>
      <c r="EG23" s="306"/>
      <c r="EH23" s="487"/>
      <c r="EI23" s="306"/>
      <c r="EJ23" s="306"/>
      <c r="EK23" s="306"/>
      <c r="EL23" s="306"/>
      <c r="EM23" s="306"/>
      <c r="EN23" s="306"/>
      <c r="EO23" s="306"/>
      <c r="EP23" s="306"/>
      <c r="EQ23" s="306"/>
      <c r="ER23" s="306"/>
      <c r="ES23" s="306"/>
      <c r="ET23" s="306"/>
      <c r="EU23" s="306"/>
      <c r="EV23" s="491"/>
      <c r="EW23" s="306"/>
      <c r="EX23" s="306"/>
      <c r="EY23" s="306"/>
      <c r="EZ23" s="306"/>
      <c r="FA23" s="306"/>
      <c r="FB23" s="306"/>
      <c r="FC23" s="306"/>
      <c r="FD23" s="306"/>
      <c r="FE23" s="306"/>
      <c r="FF23" s="306"/>
      <c r="FG23" s="306"/>
      <c r="FH23" s="306"/>
      <c r="FI23" s="306"/>
      <c r="FJ23" s="306"/>
      <c r="FK23" s="306"/>
      <c r="FL23" s="487"/>
      <c r="FM23" s="306"/>
      <c r="FN23" s="306"/>
      <c r="FO23" s="306"/>
      <c r="FP23" s="306"/>
      <c r="FQ23" s="306"/>
      <c r="FR23" s="306"/>
      <c r="FS23" s="306"/>
      <c r="FT23" s="306"/>
      <c r="FU23" s="306"/>
      <c r="FV23" s="306"/>
      <c r="FW23" s="306"/>
      <c r="FX23" s="306"/>
      <c r="FY23" s="306"/>
      <c r="FZ23" s="306"/>
      <c r="GA23" s="306"/>
      <c r="GB23" s="491"/>
      <c r="GC23" s="306"/>
      <c r="GD23" s="306"/>
      <c r="GE23" s="306"/>
      <c r="GF23" s="491"/>
      <c r="GG23" s="494"/>
      <c r="GH23" s="487"/>
      <c r="GI23" s="306"/>
      <c r="GJ23" s="491"/>
      <c r="GK23" s="306"/>
      <c r="GL23" s="306"/>
      <c r="GM23" s="497" t="str">
        <f t="shared" si="7"/>
        <v>:</v>
      </c>
      <c r="GN23" s="306"/>
      <c r="GO23" s="306"/>
      <c r="GP23" s="306"/>
    </row>
    <row r="24" spans="1:198" ht="30" x14ac:dyDescent="0.15">
      <c r="A24" s="498" t="str">
        <f>VLOOKUP($J24&amp;":", Catalog!$F$5:$BV127, COLUMNS(Catalog!$F$5:$BV127), FALSE)</f>
        <v>State 2: have missionSvengeance with Tier=2</v>
      </c>
      <c r="B24" s="482" t="b">
        <f t="shared" ca="1" si="0"/>
        <v>0</v>
      </c>
      <c r="C24" s="483" t="str">
        <f t="shared" si="1"/>
        <v>grantLauncherSvengeanceState2</v>
      </c>
      <c r="D24" s="484" t="str">
        <f>VLOOKUP($J24&amp;":", Catalog!$F$5:$BW127, COLUMNS(Catalog!$F$5:$BW127), FALSE)</f>
        <v>never</v>
      </c>
      <c r="E24" s="485">
        <f>VLOOKUP($J24&amp;":", Catalog!$F$5:$BX127, COLUMNS(Catalog!$F$5:$BX127), FALSE)</f>
        <v>0</v>
      </c>
      <c r="F24" s="484">
        <f>VLOOKUP($J24&amp;":", Catalog!$F$5:$BY127, COLUMNS(Catalog!$F$5:$BY127), FALSE)</f>
        <v>0</v>
      </c>
      <c r="G24" s="483" t="str">
        <f>VLOOKUP($J24, Catalog!$E$5:$BZ127, COLUMNS(Catalog!$E$5:$BZ127), FALSE)</f>
        <v>rewardIfAllRequirementsMet</v>
      </c>
      <c r="H24" s="483" t="s">
        <v>434</v>
      </c>
      <c r="I24" s="483">
        <v>2</v>
      </c>
      <c r="J24" s="306" t="s">
        <v>537</v>
      </c>
      <c r="K24" s="486">
        <v>1</v>
      </c>
      <c r="L24" s="100" t="s">
        <v>279</v>
      </c>
      <c r="M24" s="100">
        <v>2</v>
      </c>
      <c r="N24" s="100" t="s">
        <v>280</v>
      </c>
      <c r="O24" s="86"/>
      <c r="P24" s="86"/>
      <c r="Q24" s="86"/>
      <c r="R24" s="100" t="str">
        <f t="shared" si="2"/>
        <v>never</v>
      </c>
      <c r="S24" s="487"/>
      <c r="T24" s="486"/>
      <c r="U24" s="488"/>
      <c r="V24" s="488"/>
      <c r="W24" s="488"/>
      <c r="X24" s="488"/>
      <c r="Y24" s="306"/>
      <c r="Z24" s="306"/>
      <c r="AA24" s="489"/>
      <c r="AB24" s="306" t="str">
        <f t="shared" si="3"/>
        <v>total_points</v>
      </c>
      <c r="AC24" s="490">
        <f t="shared" si="4"/>
        <v>0</v>
      </c>
      <c r="AD24" s="490">
        <f t="shared" si="5"/>
        <v>0</v>
      </c>
      <c r="AE24" s="306"/>
      <c r="AF24" s="332" t="str">
        <f t="shared" si="6"/>
        <v>launcherSvengeance</v>
      </c>
      <c r="AG24" s="306"/>
      <c r="AH24" s="487"/>
      <c r="AI24" s="306"/>
      <c r="AJ24" s="306"/>
      <c r="AK24" s="306"/>
      <c r="AL24" s="306"/>
      <c r="AM24" s="306"/>
      <c r="AN24" s="491"/>
      <c r="AO24" s="306"/>
      <c r="AP24" s="306"/>
      <c r="AQ24" s="306"/>
      <c r="AR24" s="306"/>
      <c r="AS24" s="306"/>
      <c r="AT24" s="487"/>
      <c r="AU24" s="306"/>
      <c r="AV24" s="306"/>
      <c r="AW24" s="306"/>
      <c r="AX24" s="306"/>
      <c r="AY24" s="306"/>
      <c r="AZ24" s="491"/>
      <c r="BA24" s="306"/>
      <c r="BB24" s="306"/>
      <c r="BC24" s="487"/>
      <c r="BD24" s="306"/>
      <c r="BE24" s="306"/>
      <c r="BF24" s="492" t="str">
        <f ca="1">IFERROR(__xludf.DUMMYFUNCTION("IF(REGEXMATCH($G24, ""Any""), ""any"", IF(REGEXMATCH($G24, ""All""), ""all"", """"))"),"all")</f>
        <v>all</v>
      </c>
      <c r="BG24" s="495" t="s">
        <v>1074</v>
      </c>
      <c r="BH24" s="306"/>
      <c r="BI24" s="100" t="s">
        <v>279</v>
      </c>
      <c r="BJ24" s="100">
        <v>2</v>
      </c>
      <c r="BK24" s="306"/>
      <c r="BL24" s="306"/>
      <c r="BM24" s="306"/>
      <c r="BN24" s="306"/>
      <c r="BO24" s="306"/>
      <c r="BP24" s="493"/>
      <c r="BQ24" s="306"/>
      <c r="BR24" s="306"/>
      <c r="BS24" s="494"/>
      <c r="BT24" s="487"/>
      <c r="BU24" s="306"/>
      <c r="BV24" s="306"/>
      <c r="BW24" s="306"/>
      <c r="BX24" s="306"/>
      <c r="BY24" s="306"/>
      <c r="BZ24" s="306"/>
      <c r="CA24" s="306"/>
      <c r="CB24" s="306"/>
      <c r="CC24" s="493"/>
      <c r="CD24" s="306"/>
      <c r="CE24" s="306"/>
      <c r="CF24" s="494"/>
      <c r="CG24" s="487"/>
      <c r="CH24" s="306"/>
      <c r="CI24" s="306"/>
      <c r="CJ24" s="306"/>
      <c r="CK24" s="306"/>
      <c r="CL24" s="306"/>
      <c r="CM24" s="306"/>
      <c r="CN24" s="306"/>
      <c r="CO24" s="306"/>
      <c r="CP24" s="306"/>
      <c r="CQ24" s="306"/>
      <c r="CR24" s="306"/>
      <c r="CS24" s="494"/>
      <c r="CT24" s="306"/>
      <c r="CU24" s="306"/>
      <c r="CV24" s="306"/>
      <c r="CW24" s="306"/>
      <c r="CX24" s="306"/>
      <c r="CY24" s="306"/>
      <c r="CZ24" s="306"/>
      <c r="DA24" s="306"/>
      <c r="DB24" s="306"/>
      <c r="DC24" s="493"/>
      <c r="DD24" s="306"/>
      <c r="DE24" s="306"/>
      <c r="DF24" s="494"/>
      <c r="DG24" s="306"/>
      <c r="DH24" s="306"/>
      <c r="DI24" s="306"/>
      <c r="DJ24" s="306"/>
      <c r="DK24" s="306"/>
      <c r="DL24" s="306"/>
      <c r="DM24" s="306"/>
      <c r="DN24" s="306"/>
      <c r="DO24" s="306"/>
      <c r="DP24" s="493"/>
      <c r="DQ24" s="306"/>
      <c r="DR24" s="306"/>
      <c r="DS24" s="489"/>
      <c r="DT24" s="306"/>
      <c r="DU24" s="306"/>
      <c r="DV24" s="306"/>
      <c r="DW24" s="306"/>
      <c r="DX24" s="306"/>
      <c r="DY24" s="306"/>
      <c r="DZ24" s="306"/>
      <c r="EA24" s="306"/>
      <c r="EB24" s="306"/>
      <c r="EC24" s="306"/>
      <c r="ED24" s="493"/>
      <c r="EE24" s="306"/>
      <c r="EF24" s="306"/>
      <c r="EG24" s="306"/>
      <c r="EH24" s="487"/>
      <c r="EI24" s="306"/>
      <c r="EJ24" s="306"/>
      <c r="EK24" s="306"/>
      <c r="EL24" s="306"/>
      <c r="EM24" s="306"/>
      <c r="EN24" s="306"/>
      <c r="EO24" s="306"/>
      <c r="EP24" s="306"/>
      <c r="EQ24" s="306"/>
      <c r="ER24" s="306"/>
      <c r="ES24" s="306"/>
      <c r="ET24" s="306"/>
      <c r="EU24" s="306"/>
      <c r="EV24" s="491"/>
      <c r="EW24" s="306"/>
      <c r="EX24" s="306"/>
      <c r="EY24" s="306"/>
      <c r="EZ24" s="306"/>
      <c r="FA24" s="306"/>
      <c r="FB24" s="306"/>
      <c r="FC24" s="306"/>
      <c r="FD24" s="306"/>
      <c r="FE24" s="306"/>
      <c r="FF24" s="306"/>
      <c r="FG24" s="306"/>
      <c r="FH24" s="306"/>
      <c r="FI24" s="306"/>
      <c r="FJ24" s="306"/>
      <c r="FK24" s="306"/>
      <c r="FL24" s="487"/>
      <c r="FM24" s="306"/>
      <c r="FN24" s="306"/>
      <c r="FO24" s="306"/>
      <c r="FP24" s="306"/>
      <c r="FQ24" s="306"/>
      <c r="FR24" s="306"/>
      <c r="FS24" s="306"/>
      <c r="FT24" s="306"/>
      <c r="FU24" s="306"/>
      <c r="FV24" s="306"/>
      <c r="FW24" s="306"/>
      <c r="FX24" s="306"/>
      <c r="FY24" s="306"/>
      <c r="FZ24" s="306"/>
      <c r="GA24" s="306"/>
      <c r="GB24" s="491"/>
      <c r="GC24" s="306"/>
      <c r="GD24" s="306"/>
      <c r="GE24" s="306"/>
      <c r="GF24" s="491"/>
      <c r="GG24" s="494"/>
      <c r="GH24" s="487"/>
      <c r="GI24" s="306"/>
      <c r="GJ24" s="491"/>
      <c r="GK24" s="306"/>
      <c r="GL24" s="306"/>
      <c r="GM24" s="497" t="str">
        <f t="shared" si="7"/>
        <v>:</v>
      </c>
      <c r="GN24" s="306"/>
      <c r="GO24" s="306"/>
      <c r="GP24" s="306"/>
    </row>
    <row r="25" spans="1:198" ht="30" x14ac:dyDescent="0.15">
      <c r="A25" s="498" t="str">
        <f>VLOOKUP($J25&amp;":", Catalog!$F$5:$BV127, COLUMNS(Catalog!$F$5:$BV127), FALSE)</f>
        <v>State 2: have missionBelle with Tier=2</v>
      </c>
      <c r="B25" s="482" t="b">
        <f t="shared" ca="1" si="0"/>
        <v>0</v>
      </c>
      <c r="C25" s="483" t="str">
        <f t="shared" si="1"/>
        <v>grantLauncherBelleState2</v>
      </c>
      <c r="D25" s="484" t="str">
        <f>VLOOKUP($J25&amp;":", Catalog!$F$5:$BW127, COLUMNS(Catalog!$F$5:$BW127), FALSE)</f>
        <v>never</v>
      </c>
      <c r="E25" s="485">
        <f>VLOOKUP($J25&amp;":", Catalog!$F$5:$BX127, COLUMNS(Catalog!$F$5:$BX127), FALSE)</f>
        <v>0</v>
      </c>
      <c r="F25" s="484">
        <f>VLOOKUP($J25&amp;":", Catalog!$F$5:$BY127, COLUMNS(Catalog!$F$5:$BY127), FALSE)</f>
        <v>0</v>
      </c>
      <c r="G25" s="483" t="str">
        <f>VLOOKUP($J25, Catalog!$E$5:$BZ127, COLUMNS(Catalog!$E$5:$BZ127), FALSE)</f>
        <v>rewardIfAllRequirementsMet</v>
      </c>
      <c r="H25" s="483" t="s">
        <v>434</v>
      </c>
      <c r="I25" s="483">
        <v>2</v>
      </c>
      <c r="J25" s="306" t="s">
        <v>554</v>
      </c>
      <c r="K25" s="486">
        <v>1</v>
      </c>
      <c r="L25" s="100" t="s">
        <v>279</v>
      </c>
      <c r="M25" s="100">
        <v>2</v>
      </c>
      <c r="N25" s="100" t="s">
        <v>280</v>
      </c>
      <c r="O25" s="86"/>
      <c r="P25" s="86"/>
      <c r="Q25" s="86"/>
      <c r="R25" s="100" t="str">
        <f t="shared" si="2"/>
        <v>never</v>
      </c>
      <c r="S25" s="487"/>
      <c r="T25" s="486"/>
      <c r="U25" s="488"/>
      <c r="V25" s="488"/>
      <c r="W25" s="488"/>
      <c r="X25" s="488"/>
      <c r="Y25" s="306"/>
      <c r="Z25" s="306"/>
      <c r="AA25" s="489"/>
      <c r="AB25" s="306" t="str">
        <f t="shared" si="3"/>
        <v>total_points</v>
      </c>
      <c r="AC25" s="490">
        <f t="shared" si="4"/>
        <v>0</v>
      </c>
      <c r="AD25" s="490">
        <f t="shared" si="5"/>
        <v>0</v>
      </c>
      <c r="AE25" s="306"/>
      <c r="AF25" s="332" t="str">
        <f t="shared" si="6"/>
        <v>launcherBelle</v>
      </c>
      <c r="AG25" s="306"/>
      <c r="AH25" s="487"/>
      <c r="AI25" s="306"/>
      <c r="AJ25" s="306"/>
      <c r="AK25" s="306"/>
      <c r="AL25" s="306"/>
      <c r="AM25" s="306"/>
      <c r="AN25" s="491"/>
      <c r="AO25" s="306"/>
      <c r="AP25" s="306"/>
      <c r="AQ25" s="306"/>
      <c r="AR25" s="306"/>
      <c r="AS25" s="306"/>
      <c r="AT25" s="487"/>
      <c r="AU25" s="306"/>
      <c r="AV25" s="306"/>
      <c r="AW25" s="306"/>
      <c r="AX25" s="306"/>
      <c r="AY25" s="306"/>
      <c r="AZ25" s="491"/>
      <c r="BA25" s="306"/>
      <c r="BB25" s="306"/>
      <c r="BC25" s="487"/>
      <c r="BD25" s="306"/>
      <c r="BE25" s="306"/>
      <c r="BF25" s="492" t="str">
        <f ca="1">IFERROR(__xludf.DUMMYFUNCTION("IF(REGEXMATCH($G25, ""Any""), ""any"", IF(REGEXMATCH($G25, ""All""), ""all"", """"))"),"all")</f>
        <v>all</v>
      </c>
      <c r="BG25" s="495" t="s">
        <v>993</v>
      </c>
      <c r="BH25" s="306"/>
      <c r="BI25" s="100" t="s">
        <v>279</v>
      </c>
      <c r="BJ25" s="100">
        <v>2</v>
      </c>
      <c r="BK25" s="306"/>
      <c r="BL25" s="306"/>
      <c r="BM25" s="306"/>
      <c r="BN25" s="306"/>
      <c r="BO25" s="306"/>
      <c r="BP25" s="493"/>
      <c r="BQ25" s="306"/>
      <c r="BR25" s="306"/>
      <c r="BS25" s="494"/>
      <c r="BT25" s="487"/>
      <c r="BU25" s="306"/>
      <c r="BV25" s="306"/>
      <c r="BW25" s="306"/>
      <c r="BX25" s="306"/>
      <c r="BY25" s="306"/>
      <c r="BZ25" s="306"/>
      <c r="CA25" s="306"/>
      <c r="CB25" s="306"/>
      <c r="CC25" s="493"/>
      <c r="CD25" s="306"/>
      <c r="CE25" s="306"/>
      <c r="CF25" s="494"/>
      <c r="CG25" s="487"/>
      <c r="CH25" s="306"/>
      <c r="CI25" s="306"/>
      <c r="CJ25" s="306"/>
      <c r="CK25" s="306"/>
      <c r="CL25" s="306"/>
      <c r="CM25" s="306"/>
      <c r="CN25" s="306"/>
      <c r="CO25" s="306"/>
      <c r="CP25" s="306"/>
      <c r="CQ25" s="306"/>
      <c r="CR25" s="306"/>
      <c r="CS25" s="494"/>
      <c r="CT25" s="306"/>
      <c r="CU25" s="306"/>
      <c r="CV25" s="306"/>
      <c r="CW25" s="306"/>
      <c r="CX25" s="306"/>
      <c r="CY25" s="306"/>
      <c r="CZ25" s="306"/>
      <c r="DA25" s="306"/>
      <c r="DB25" s="306"/>
      <c r="DC25" s="493"/>
      <c r="DD25" s="306"/>
      <c r="DE25" s="306"/>
      <c r="DF25" s="494"/>
      <c r="DG25" s="306"/>
      <c r="DH25" s="306"/>
      <c r="DI25" s="306"/>
      <c r="DJ25" s="306"/>
      <c r="DK25" s="306"/>
      <c r="DL25" s="306"/>
      <c r="DM25" s="306"/>
      <c r="DN25" s="306"/>
      <c r="DO25" s="306"/>
      <c r="DP25" s="493"/>
      <c r="DQ25" s="306"/>
      <c r="DR25" s="306"/>
      <c r="DS25" s="489"/>
      <c r="DT25" s="306"/>
      <c r="DU25" s="306"/>
      <c r="DV25" s="306"/>
      <c r="DW25" s="306"/>
      <c r="DX25" s="306"/>
      <c r="DY25" s="306"/>
      <c r="DZ25" s="306"/>
      <c r="EA25" s="306"/>
      <c r="EB25" s="306"/>
      <c r="EC25" s="306"/>
      <c r="ED25" s="493"/>
      <c r="EE25" s="306"/>
      <c r="EF25" s="306"/>
      <c r="EG25" s="306"/>
      <c r="EH25" s="487"/>
      <c r="EI25" s="306"/>
      <c r="EJ25" s="306"/>
      <c r="EK25" s="306"/>
      <c r="EL25" s="306"/>
      <c r="EM25" s="306"/>
      <c r="EN25" s="306"/>
      <c r="EO25" s="306"/>
      <c r="EP25" s="306"/>
      <c r="EQ25" s="306"/>
      <c r="ER25" s="306"/>
      <c r="ES25" s="306"/>
      <c r="ET25" s="306"/>
      <c r="EU25" s="306"/>
      <c r="EV25" s="491"/>
      <c r="EW25" s="306"/>
      <c r="EX25" s="306"/>
      <c r="EY25" s="306"/>
      <c r="EZ25" s="306"/>
      <c r="FA25" s="306"/>
      <c r="FB25" s="306"/>
      <c r="FC25" s="306"/>
      <c r="FD25" s="306"/>
      <c r="FE25" s="306"/>
      <c r="FF25" s="306"/>
      <c r="FG25" s="306"/>
      <c r="FH25" s="306"/>
      <c r="FI25" s="306"/>
      <c r="FJ25" s="306"/>
      <c r="FK25" s="306"/>
      <c r="FL25" s="487"/>
      <c r="FM25" s="306"/>
      <c r="FN25" s="306"/>
      <c r="FO25" s="306"/>
      <c r="FP25" s="306"/>
      <c r="FQ25" s="306"/>
      <c r="FR25" s="306"/>
      <c r="FS25" s="306"/>
      <c r="FT25" s="306"/>
      <c r="FU25" s="306"/>
      <c r="FV25" s="306"/>
      <c r="FW25" s="306"/>
      <c r="FX25" s="306"/>
      <c r="FY25" s="306"/>
      <c r="FZ25" s="306"/>
      <c r="GA25" s="306"/>
      <c r="GB25" s="491"/>
      <c r="GC25" s="306"/>
      <c r="GD25" s="306"/>
      <c r="GE25" s="306"/>
      <c r="GF25" s="491"/>
      <c r="GG25" s="494"/>
      <c r="GH25" s="487"/>
      <c r="GI25" s="306"/>
      <c r="GJ25" s="491"/>
      <c r="GK25" s="306"/>
      <c r="GL25" s="306"/>
      <c r="GM25" s="497" t="str">
        <f t="shared" si="7"/>
        <v>:</v>
      </c>
      <c r="GN25" s="306"/>
      <c r="GO25" s="306"/>
      <c r="GP25" s="306"/>
    </row>
    <row r="26" spans="1:198" ht="30" x14ac:dyDescent="0.15">
      <c r="A26" s="481" t="str">
        <f>VLOOKUP($J26&amp;":", Catalog!$F$5:$BV127, COLUMNS(Catalog!$F$5:$BV127), FALSE)</f>
        <v>State 2: has missionElMacho with Tier=2</v>
      </c>
      <c r="B26" s="482" t="b">
        <f t="shared" ca="1" si="0"/>
        <v>0</v>
      </c>
      <c r="C26" s="483" t="str">
        <f t="shared" si="1"/>
        <v>grantUltimateForceState2</v>
      </c>
      <c r="D26" s="484" t="str">
        <f>VLOOKUP($J26&amp;":", Catalog!$F$5:$BW127, COLUMNS(Catalog!$F$5:$BW127), FALSE)</f>
        <v>never</v>
      </c>
      <c r="E26" s="485">
        <f>VLOOKUP($J26&amp;":", Catalog!$F$5:$BX127, COLUMNS(Catalog!$F$5:$BX127), FALSE)</f>
        <v>0</v>
      </c>
      <c r="F26" s="484">
        <f>VLOOKUP($J26&amp;":", Catalog!$F$5:$BY127, COLUMNS(Catalog!$F$5:$BY127), FALSE)</f>
        <v>0</v>
      </c>
      <c r="G26" s="484" t="str">
        <f>VLOOKUP($J26, Catalog!$E$5:$BZ127, COLUMNS(Catalog!$E$5:$BZ127), FALSE)</f>
        <v>rewardIfAllRequirementsMet</v>
      </c>
      <c r="H26" s="483" t="s">
        <v>570</v>
      </c>
      <c r="I26" s="483">
        <v>2</v>
      </c>
      <c r="J26" s="306" t="s">
        <v>578</v>
      </c>
      <c r="K26" s="486">
        <v>1</v>
      </c>
      <c r="L26" s="100" t="s">
        <v>279</v>
      </c>
      <c r="M26" s="100">
        <v>2</v>
      </c>
      <c r="N26" s="100" t="s">
        <v>280</v>
      </c>
      <c r="O26" s="86"/>
      <c r="P26" s="86"/>
      <c r="Q26" s="86"/>
      <c r="R26" s="100" t="str">
        <f t="shared" si="2"/>
        <v>never</v>
      </c>
      <c r="S26" s="487"/>
      <c r="T26" s="486"/>
      <c r="U26" s="488"/>
      <c r="V26" s="488"/>
      <c r="W26" s="488"/>
      <c r="X26" s="488"/>
      <c r="Y26" s="306"/>
      <c r="Z26" s="306"/>
      <c r="AA26" s="489"/>
      <c r="AB26" s="306" t="str">
        <f t="shared" si="3"/>
        <v>total_points</v>
      </c>
      <c r="AC26" s="490">
        <f t="shared" si="4"/>
        <v>0</v>
      </c>
      <c r="AD26" s="490">
        <f t="shared" si="5"/>
        <v>0</v>
      </c>
      <c r="AE26" s="306"/>
      <c r="AF26" s="332" t="str">
        <f t="shared" si="6"/>
        <v>ultimateForce</v>
      </c>
      <c r="AG26" s="306"/>
      <c r="AH26" s="487"/>
      <c r="AI26" s="306"/>
      <c r="AJ26" s="306"/>
      <c r="AK26" s="306"/>
      <c r="AL26" s="306"/>
      <c r="AM26" s="306"/>
      <c r="AN26" s="491"/>
      <c r="AO26" s="306"/>
      <c r="AP26" s="306"/>
      <c r="AQ26" s="306"/>
      <c r="AR26" s="306"/>
      <c r="AS26" s="306"/>
      <c r="AT26" s="487"/>
      <c r="AU26" s="306"/>
      <c r="AV26" s="306"/>
      <c r="AW26" s="306"/>
      <c r="AX26" s="306"/>
      <c r="AY26" s="306"/>
      <c r="AZ26" s="491"/>
      <c r="BA26" s="306"/>
      <c r="BB26" s="306"/>
      <c r="BC26" s="487"/>
      <c r="BD26" s="306"/>
      <c r="BE26" s="306"/>
      <c r="BF26" s="492" t="str">
        <f ca="1">IFERROR(__xludf.DUMMYFUNCTION("IF(REGEXMATCH($G26, ""Any""), ""any"", IF(REGEXMATCH($G26, ""All""), ""all"", """"))"),"all")</f>
        <v>all</v>
      </c>
      <c r="BG26" s="499" t="s">
        <v>939</v>
      </c>
      <c r="BH26" s="306"/>
      <c r="BI26" s="100" t="s">
        <v>279</v>
      </c>
      <c r="BJ26" s="100">
        <v>2</v>
      </c>
      <c r="BK26" s="306"/>
      <c r="BL26" s="306"/>
      <c r="BM26" s="306"/>
      <c r="BN26" s="306"/>
      <c r="BO26" s="306"/>
      <c r="BP26" s="493"/>
      <c r="BQ26" s="306"/>
      <c r="BR26" s="306"/>
      <c r="BS26" s="494"/>
      <c r="BT26" s="487"/>
      <c r="BU26" s="306"/>
      <c r="BV26" s="306"/>
      <c r="BW26" s="306"/>
      <c r="BX26" s="306"/>
      <c r="BY26" s="306"/>
      <c r="BZ26" s="306"/>
      <c r="CA26" s="306"/>
      <c r="CB26" s="306"/>
      <c r="CC26" s="493"/>
      <c r="CD26" s="306"/>
      <c r="CE26" s="306"/>
      <c r="CF26" s="494"/>
      <c r="CG26" s="487"/>
      <c r="CH26" s="306"/>
      <c r="CI26" s="306"/>
      <c r="CJ26" s="306"/>
      <c r="CK26" s="306"/>
      <c r="CL26" s="306"/>
      <c r="CM26" s="306"/>
      <c r="CN26" s="306"/>
      <c r="CO26" s="306"/>
      <c r="CP26" s="306"/>
      <c r="CQ26" s="306"/>
      <c r="CR26" s="306"/>
      <c r="CS26" s="494"/>
      <c r="CT26" s="306"/>
      <c r="CU26" s="306"/>
      <c r="CV26" s="306"/>
      <c r="CW26" s="306"/>
      <c r="CX26" s="306"/>
      <c r="CY26" s="306"/>
      <c r="CZ26" s="306"/>
      <c r="DA26" s="306"/>
      <c r="DB26" s="306"/>
      <c r="DC26" s="493"/>
      <c r="DD26" s="306"/>
      <c r="DE26" s="306"/>
      <c r="DF26" s="494"/>
      <c r="DG26" s="306"/>
      <c r="DH26" s="306"/>
      <c r="DI26" s="306"/>
      <c r="DJ26" s="306"/>
      <c r="DK26" s="306"/>
      <c r="DL26" s="306"/>
      <c r="DM26" s="306"/>
      <c r="DN26" s="306"/>
      <c r="DO26" s="306"/>
      <c r="DP26" s="493"/>
      <c r="DQ26" s="306"/>
      <c r="DR26" s="306"/>
      <c r="DS26" s="489"/>
      <c r="DT26" s="306"/>
      <c r="DU26" s="306"/>
      <c r="DV26" s="306"/>
      <c r="DW26" s="306"/>
      <c r="DX26" s="306"/>
      <c r="DY26" s="306"/>
      <c r="DZ26" s="306"/>
      <c r="EA26" s="306"/>
      <c r="EB26" s="306"/>
      <c r="EC26" s="306"/>
      <c r="ED26" s="493"/>
      <c r="EE26" s="306"/>
      <c r="EF26" s="306"/>
      <c r="EG26" s="306"/>
      <c r="EH26" s="487"/>
      <c r="EI26" s="306"/>
      <c r="EJ26" s="306"/>
      <c r="EK26" s="306"/>
      <c r="EL26" s="306"/>
      <c r="EM26" s="306"/>
      <c r="EN26" s="306"/>
      <c r="EO26" s="306"/>
      <c r="EP26" s="306"/>
      <c r="EQ26" s="306"/>
      <c r="ER26" s="306"/>
      <c r="ES26" s="306"/>
      <c r="ET26" s="306"/>
      <c r="EU26" s="306"/>
      <c r="EV26" s="491"/>
      <c r="EW26" s="306"/>
      <c r="EX26" s="306"/>
      <c r="EY26" s="306"/>
      <c r="EZ26" s="306"/>
      <c r="FA26" s="306"/>
      <c r="FB26" s="306"/>
      <c r="FC26" s="306"/>
      <c r="FD26" s="306"/>
      <c r="FE26" s="306"/>
      <c r="FF26" s="306"/>
      <c r="FG26" s="306"/>
      <c r="FH26" s="306"/>
      <c r="FI26" s="306"/>
      <c r="FJ26" s="306"/>
      <c r="FK26" s="306"/>
      <c r="FL26" s="487"/>
      <c r="FM26" s="306"/>
      <c r="FN26" s="306"/>
      <c r="FO26" s="306"/>
      <c r="FP26" s="306"/>
      <c r="FQ26" s="306"/>
      <c r="FR26" s="306"/>
      <c r="FS26" s="306"/>
      <c r="FT26" s="306"/>
      <c r="FU26" s="306"/>
      <c r="FV26" s="306"/>
      <c r="FW26" s="306"/>
      <c r="FX26" s="306"/>
      <c r="FY26" s="306"/>
      <c r="FZ26" s="306"/>
      <c r="GA26" s="306"/>
      <c r="GB26" s="491"/>
      <c r="GC26" s="306"/>
      <c r="GD26" s="306"/>
      <c r="GE26" s="306"/>
      <c r="GF26" s="491"/>
      <c r="GG26" s="494"/>
      <c r="GH26" s="487"/>
      <c r="GI26" s="306"/>
      <c r="GJ26" s="491"/>
      <c r="GK26" s="306"/>
      <c r="GL26" s="306"/>
      <c r="GM26" s="497" t="str">
        <f t="shared" si="7"/>
        <v>:</v>
      </c>
      <c r="GN26" s="306"/>
      <c r="GO26" s="306"/>
      <c r="GP26" s="306"/>
    </row>
    <row r="27" spans="1:198" ht="30" x14ac:dyDescent="0.15">
      <c r="A27" s="481" t="str">
        <f>VLOOKUP($J27&amp;":", Catalog!$F$5:$BV127, COLUMNS(Catalog!$F$5:$BV127), FALSE)</f>
        <v>State 2: has missionScarlet with Tier=2</v>
      </c>
      <c r="B27" s="482" t="b">
        <f t="shared" ca="1" si="0"/>
        <v>0</v>
      </c>
      <c r="C27" s="483" t="str">
        <f t="shared" si="1"/>
        <v>grantUltimateFireState2</v>
      </c>
      <c r="D27" s="484" t="str">
        <f>VLOOKUP($J27&amp;":", Catalog!$F$5:$BW127, COLUMNS(Catalog!$F$5:$BW127), FALSE)</f>
        <v>never</v>
      </c>
      <c r="E27" s="485">
        <f>VLOOKUP($J27&amp;":", Catalog!$F$5:$BX127, COLUMNS(Catalog!$F$5:$BX127), FALSE)</f>
        <v>0</v>
      </c>
      <c r="F27" s="484">
        <f>VLOOKUP($J27&amp;":", Catalog!$F$5:$BY127, COLUMNS(Catalog!$F$5:$BY127), FALSE)</f>
        <v>0</v>
      </c>
      <c r="G27" s="484" t="str">
        <f>VLOOKUP($J27, Catalog!$E$5:$BZ127, COLUMNS(Catalog!$E$5:$BZ127), FALSE)</f>
        <v>rewardIfAllRequirementsMet</v>
      </c>
      <c r="H27" s="483" t="s">
        <v>570</v>
      </c>
      <c r="I27" s="483">
        <v>2</v>
      </c>
      <c r="J27" s="306" t="s">
        <v>587</v>
      </c>
      <c r="K27" s="486">
        <v>1</v>
      </c>
      <c r="L27" s="100" t="s">
        <v>279</v>
      </c>
      <c r="M27" s="100">
        <v>2</v>
      </c>
      <c r="N27" s="100" t="s">
        <v>280</v>
      </c>
      <c r="O27" s="86"/>
      <c r="P27" s="86"/>
      <c r="Q27" s="86"/>
      <c r="R27" s="100" t="str">
        <f t="shared" si="2"/>
        <v>never</v>
      </c>
      <c r="S27" s="487"/>
      <c r="T27" s="486"/>
      <c r="U27" s="488"/>
      <c r="V27" s="488"/>
      <c r="W27" s="488"/>
      <c r="X27" s="488"/>
      <c r="Y27" s="306"/>
      <c r="Z27" s="306"/>
      <c r="AA27" s="489"/>
      <c r="AB27" s="306" t="str">
        <f t="shared" si="3"/>
        <v>total_points</v>
      </c>
      <c r="AC27" s="490">
        <f t="shared" si="4"/>
        <v>0</v>
      </c>
      <c r="AD27" s="490">
        <f t="shared" si="5"/>
        <v>0</v>
      </c>
      <c r="AE27" s="306"/>
      <c r="AF27" s="332" t="str">
        <f t="shared" si="6"/>
        <v>ultimateFire</v>
      </c>
      <c r="AG27" s="306"/>
      <c r="AH27" s="487"/>
      <c r="AI27" s="306"/>
      <c r="AJ27" s="306"/>
      <c r="AK27" s="306"/>
      <c r="AL27" s="306"/>
      <c r="AM27" s="306"/>
      <c r="AN27" s="491"/>
      <c r="AO27" s="306"/>
      <c r="AP27" s="306"/>
      <c r="AQ27" s="306"/>
      <c r="AR27" s="306"/>
      <c r="AS27" s="306"/>
      <c r="AT27" s="487"/>
      <c r="AU27" s="306"/>
      <c r="AV27" s="306"/>
      <c r="AW27" s="306"/>
      <c r="AX27" s="306"/>
      <c r="AY27" s="306"/>
      <c r="AZ27" s="491"/>
      <c r="BA27" s="306"/>
      <c r="BB27" s="306"/>
      <c r="BC27" s="487"/>
      <c r="BD27" s="306"/>
      <c r="BE27" s="306"/>
      <c r="BF27" s="492" t="str">
        <f ca="1">IFERROR(__xludf.DUMMYFUNCTION("IF(REGEXMATCH($G27, ""Any""), ""any"", IF(REGEXMATCH($G27, ""All""), ""all"", """"))"),"all")</f>
        <v>all</v>
      </c>
      <c r="BG27" s="499" t="s">
        <v>909</v>
      </c>
      <c r="BH27" s="306"/>
      <c r="BI27" s="100" t="s">
        <v>279</v>
      </c>
      <c r="BJ27" s="100">
        <v>2</v>
      </c>
      <c r="BK27" s="306"/>
      <c r="BL27" s="306"/>
      <c r="BM27" s="306"/>
      <c r="BN27" s="306"/>
      <c r="BO27" s="306"/>
      <c r="BP27" s="493"/>
      <c r="BQ27" s="306"/>
      <c r="BR27" s="306"/>
      <c r="BS27" s="494"/>
      <c r="BT27" s="487"/>
      <c r="BU27" s="306"/>
      <c r="BV27" s="306"/>
      <c r="BW27" s="306"/>
      <c r="BX27" s="306"/>
      <c r="BY27" s="306"/>
      <c r="BZ27" s="306"/>
      <c r="CA27" s="306"/>
      <c r="CB27" s="306"/>
      <c r="CC27" s="493"/>
      <c r="CD27" s="306"/>
      <c r="CE27" s="306"/>
      <c r="CF27" s="494"/>
      <c r="CG27" s="487"/>
      <c r="CH27" s="306"/>
      <c r="CI27" s="306"/>
      <c r="CJ27" s="306"/>
      <c r="CK27" s="306"/>
      <c r="CL27" s="306"/>
      <c r="CM27" s="306"/>
      <c r="CN27" s="306"/>
      <c r="CO27" s="306"/>
      <c r="CP27" s="306"/>
      <c r="CQ27" s="306"/>
      <c r="CR27" s="306"/>
      <c r="CS27" s="494"/>
      <c r="CT27" s="306"/>
      <c r="CU27" s="306"/>
      <c r="CV27" s="306"/>
      <c r="CW27" s="306"/>
      <c r="CX27" s="306"/>
      <c r="CY27" s="306"/>
      <c r="CZ27" s="306"/>
      <c r="DA27" s="306"/>
      <c r="DB27" s="306"/>
      <c r="DC27" s="493"/>
      <c r="DD27" s="306"/>
      <c r="DE27" s="306"/>
      <c r="DF27" s="494"/>
      <c r="DG27" s="306"/>
      <c r="DH27" s="306"/>
      <c r="DI27" s="306"/>
      <c r="DJ27" s="306"/>
      <c r="DK27" s="306"/>
      <c r="DL27" s="306"/>
      <c r="DM27" s="306"/>
      <c r="DN27" s="306"/>
      <c r="DO27" s="306"/>
      <c r="DP27" s="493"/>
      <c r="DQ27" s="306"/>
      <c r="DR27" s="306"/>
      <c r="DS27" s="489"/>
      <c r="DT27" s="306"/>
      <c r="DU27" s="306"/>
      <c r="DV27" s="306"/>
      <c r="DW27" s="306"/>
      <c r="DX27" s="306"/>
      <c r="DY27" s="306"/>
      <c r="DZ27" s="306"/>
      <c r="EA27" s="306"/>
      <c r="EB27" s="306"/>
      <c r="EC27" s="306"/>
      <c r="ED27" s="493"/>
      <c r="EE27" s="306"/>
      <c r="EF27" s="306"/>
      <c r="EG27" s="306"/>
      <c r="EH27" s="487"/>
      <c r="EI27" s="306"/>
      <c r="EJ27" s="306"/>
      <c r="EK27" s="306"/>
      <c r="EL27" s="306"/>
      <c r="EM27" s="306"/>
      <c r="EN27" s="306"/>
      <c r="EO27" s="306"/>
      <c r="EP27" s="306"/>
      <c r="EQ27" s="306"/>
      <c r="ER27" s="306"/>
      <c r="ES27" s="306"/>
      <c r="ET27" s="306"/>
      <c r="EU27" s="306"/>
      <c r="EV27" s="491"/>
      <c r="EW27" s="306"/>
      <c r="EX27" s="306"/>
      <c r="EY27" s="306"/>
      <c r="EZ27" s="306"/>
      <c r="FA27" s="306"/>
      <c r="FB27" s="306"/>
      <c r="FC27" s="306"/>
      <c r="FD27" s="306"/>
      <c r="FE27" s="306"/>
      <c r="FF27" s="306"/>
      <c r="FG27" s="306"/>
      <c r="FH27" s="306"/>
      <c r="FI27" s="306"/>
      <c r="FJ27" s="306"/>
      <c r="FK27" s="306"/>
      <c r="FL27" s="487"/>
      <c r="FM27" s="306"/>
      <c r="FN27" s="306"/>
      <c r="FO27" s="306"/>
      <c r="FP27" s="306"/>
      <c r="FQ27" s="306"/>
      <c r="FR27" s="306"/>
      <c r="FS27" s="306"/>
      <c r="FT27" s="306"/>
      <c r="FU27" s="306"/>
      <c r="FV27" s="306"/>
      <c r="FW27" s="306"/>
      <c r="FX27" s="306"/>
      <c r="FY27" s="306"/>
      <c r="FZ27" s="306"/>
      <c r="GA27" s="306"/>
      <c r="GB27" s="491"/>
      <c r="GC27" s="306"/>
      <c r="GD27" s="306"/>
      <c r="GE27" s="306"/>
      <c r="GF27" s="491"/>
      <c r="GG27" s="494"/>
      <c r="GH27" s="487"/>
      <c r="GI27" s="306"/>
      <c r="GJ27" s="491"/>
      <c r="GK27" s="306"/>
      <c r="GL27" s="306"/>
      <c r="GM27" s="497" t="str">
        <f t="shared" si="7"/>
        <v>:</v>
      </c>
      <c r="GN27" s="306"/>
      <c r="GO27" s="306"/>
      <c r="GP27" s="306"/>
    </row>
    <row r="28" spans="1:198" ht="30" x14ac:dyDescent="0.15">
      <c r="A28" s="481" t="str">
        <f>VLOOKUP($J28&amp;":", Catalog!$F$5:$BV127, COLUMNS(Catalog!$F$5:$BV127), FALSE)</f>
        <v>State 2: has missionVector with Tier=2</v>
      </c>
      <c r="B28" s="482" t="b">
        <f t="shared" ca="1" si="0"/>
        <v>0</v>
      </c>
      <c r="C28" s="483" t="str">
        <f t="shared" si="1"/>
        <v>grantUltimateFreezeState2</v>
      </c>
      <c r="D28" s="484" t="str">
        <f>VLOOKUP($J28&amp;":", Catalog!$F$5:$BW127, COLUMNS(Catalog!$F$5:$BW127), FALSE)</f>
        <v>never</v>
      </c>
      <c r="E28" s="485">
        <f>VLOOKUP($J28&amp;":", Catalog!$F$5:$BX127, COLUMNS(Catalog!$F$5:$BX127), FALSE)</f>
        <v>0</v>
      </c>
      <c r="F28" s="484">
        <f>VLOOKUP($J28&amp;":", Catalog!$F$5:$BY127, COLUMNS(Catalog!$F$5:$BY127), FALSE)</f>
        <v>0</v>
      </c>
      <c r="G28" s="484" t="str">
        <f>VLOOKUP($J28, Catalog!$E$5:$BZ127, COLUMNS(Catalog!$E$5:$BZ127), FALSE)</f>
        <v>rewardIfAllRequirementsMet</v>
      </c>
      <c r="H28" s="483" t="s">
        <v>570</v>
      </c>
      <c r="I28" s="483">
        <v>2</v>
      </c>
      <c r="J28" s="306" t="s">
        <v>596</v>
      </c>
      <c r="K28" s="486">
        <v>1</v>
      </c>
      <c r="L28" s="100" t="s">
        <v>279</v>
      </c>
      <c r="M28" s="100">
        <v>2</v>
      </c>
      <c r="N28" s="100" t="s">
        <v>280</v>
      </c>
      <c r="O28" s="86"/>
      <c r="P28" s="86"/>
      <c r="Q28" s="86"/>
      <c r="R28" s="100" t="str">
        <f t="shared" si="2"/>
        <v>never</v>
      </c>
      <c r="S28" s="487"/>
      <c r="T28" s="486"/>
      <c r="U28" s="488"/>
      <c r="V28" s="488"/>
      <c r="W28" s="488"/>
      <c r="X28" s="488"/>
      <c r="Y28" s="306"/>
      <c r="Z28" s="306"/>
      <c r="AA28" s="489"/>
      <c r="AB28" s="306" t="str">
        <f t="shared" si="3"/>
        <v>total_points</v>
      </c>
      <c r="AC28" s="490">
        <f t="shared" si="4"/>
        <v>0</v>
      </c>
      <c r="AD28" s="490">
        <f t="shared" si="5"/>
        <v>0</v>
      </c>
      <c r="AE28" s="306"/>
      <c r="AF28" s="332" t="str">
        <f t="shared" si="6"/>
        <v>ultimateFreeze</v>
      </c>
      <c r="AG28" s="306"/>
      <c r="AH28" s="487"/>
      <c r="AI28" s="306"/>
      <c r="AJ28" s="306"/>
      <c r="AK28" s="306"/>
      <c r="AL28" s="306"/>
      <c r="AM28" s="306"/>
      <c r="AN28" s="491"/>
      <c r="AO28" s="306"/>
      <c r="AP28" s="306"/>
      <c r="AQ28" s="306"/>
      <c r="AR28" s="306"/>
      <c r="AS28" s="306"/>
      <c r="AT28" s="487"/>
      <c r="AU28" s="306"/>
      <c r="AV28" s="306"/>
      <c r="AW28" s="306"/>
      <c r="AX28" s="306"/>
      <c r="AY28" s="306"/>
      <c r="AZ28" s="491"/>
      <c r="BA28" s="306"/>
      <c r="BB28" s="306"/>
      <c r="BC28" s="487"/>
      <c r="BD28" s="306"/>
      <c r="BE28" s="306"/>
      <c r="BF28" s="492" t="str">
        <f ca="1">IFERROR(__xludf.DUMMYFUNCTION("IF(REGEXMATCH($G28, ""Any""), ""any"", IF(REGEXMATCH($G28, ""All""), ""all"", """"))"),"all")</f>
        <v>all</v>
      </c>
      <c r="BG28" s="499" t="s">
        <v>852</v>
      </c>
      <c r="BH28" s="306"/>
      <c r="BI28" s="100" t="s">
        <v>279</v>
      </c>
      <c r="BJ28" s="100">
        <v>2</v>
      </c>
      <c r="BK28" s="306"/>
      <c r="BL28" s="306"/>
      <c r="BM28" s="306"/>
      <c r="BN28" s="306"/>
      <c r="BO28" s="306"/>
      <c r="BP28" s="493"/>
      <c r="BQ28" s="306"/>
      <c r="BR28" s="306"/>
      <c r="BS28" s="494"/>
      <c r="BT28" s="487"/>
      <c r="BU28" s="306"/>
      <c r="BV28" s="306"/>
      <c r="BW28" s="306"/>
      <c r="BX28" s="306"/>
      <c r="BY28" s="306"/>
      <c r="BZ28" s="306"/>
      <c r="CA28" s="306"/>
      <c r="CB28" s="306"/>
      <c r="CC28" s="493"/>
      <c r="CD28" s="306"/>
      <c r="CE28" s="306"/>
      <c r="CF28" s="494"/>
      <c r="CG28" s="487"/>
      <c r="CH28" s="306"/>
      <c r="CI28" s="306"/>
      <c r="CJ28" s="306"/>
      <c r="CK28" s="306"/>
      <c r="CL28" s="306"/>
      <c r="CM28" s="306"/>
      <c r="CN28" s="306"/>
      <c r="CO28" s="306"/>
      <c r="CP28" s="306"/>
      <c r="CQ28" s="306"/>
      <c r="CR28" s="306"/>
      <c r="CS28" s="494"/>
      <c r="CT28" s="306"/>
      <c r="CU28" s="306"/>
      <c r="CV28" s="306"/>
      <c r="CW28" s="306"/>
      <c r="CX28" s="306"/>
      <c r="CY28" s="306"/>
      <c r="CZ28" s="306"/>
      <c r="DA28" s="306"/>
      <c r="DB28" s="306"/>
      <c r="DC28" s="493"/>
      <c r="DD28" s="306"/>
      <c r="DE28" s="306"/>
      <c r="DF28" s="494"/>
      <c r="DG28" s="306"/>
      <c r="DH28" s="306"/>
      <c r="DI28" s="306"/>
      <c r="DJ28" s="306"/>
      <c r="DK28" s="306"/>
      <c r="DL28" s="306"/>
      <c r="DM28" s="306"/>
      <c r="DN28" s="306"/>
      <c r="DO28" s="306"/>
      <c r="DP28" s="493"/>
      <c r="DQ28" s="306"/>
      <c r="DR28" s="306"/>
      <c r="DS28" s="489"/>
      <c r="DT28" s="306"/>
      <c r="DU28" s="306"/>
      <c r="DV28" s="306"/>
      <c r="DW28" s="306"/>
      <c r="DX28" s="306"/>
      <c r="DY28" s="306"/>
      <c r="DZ28" s="306"/>
      <c r="EA28" s="306"/>
      <c r="EB28" s="306"/>
      <c r="EC28" s="306"/>
      <c r="ED28" s="493"/>
      <c r="EE28" s="306"/>
      <c r="EF28" s="306"/>
      <c r="EG28" s="306"/>
      <c r="EH28" s="487"/>
      <c r="EI28" s="306"/>
      <c r="EJ28" s="306"/>
      <c r="EK28" s="306"/>
      <c r="EL28" s="306"/>
      <c r="EM28" s="306"/>
      <c r="EN28" s="306"/>
      <c r="EO28" s="306"/>
      <c r="EP28" s="306"/>
      <c r="EQ28" s="306"/>
      <c r="ER28" s="306"/>
      <c r="ES28" s="306"/>
      <c r="ET28" s="306"/>
      <c r="EU28" s="306"/>
      <c r="EV28" s="491"/>
      <c r="EW28" s="306"/>
      <c r="EX28" s="306"/>
      <c r="EY28" s="306"/>
      <c r="EZ28" s="306"/>
      <c r="FA28" s="306"/>
      <c r="FB28" s="306"/>
      <c r="FC28" s="306"/>
      <c r="FD28" s="306"/>
      <c r="FE28" s="306"/>
      <c r="FF28" s="306"/>
      <c r="FG28" s="306"/>
      <c r="FH28" s="306"/>
      <c r="FI28" s="306"/>
      <c r="FJ28" s="306"/>
      <c r="FK28" s="306"/>
      <c r="FL28" s="487"/>
      <c r="FM28" s="306"/>
      <c r="FN28" s="306"/>
      <c r="FO28" s="306"/>
      <c r="FP28" s="306"/>
      <c r="FQ28" s="306"/>
      <c r="FR28" s="306"/>
      <c r="FS28" s="306"/>
      <c r="FT28" s="306"/>
      <c r="FU28" s="306"/>
      <c r="FV28" s="306"/>
      <c r="FW28" s="306"/>
      <c r="FX28" s="306"/>
      <c r="FY28" s="306"/>
      <c r="FZ28" s="306"/>
      <c r="GA28" s="306"/>
      <c r="GB28" s="491"/>
      <c r="GC28" s="306"/>
      <c r="GD28" s="306"/>
      <c r="GE28" s="306"/>
      <c r="GF28" s="491"/>
      <c r="GG28" s="494"/>
      <c r="GH28" s="487"/>
      <c r="GI28" s="306"/>
      <c r="GJ28" s="491"/>
      <c r="GK28" s="306"/>
      <c r="GL28" s="306"/>
      <c r="GM28" s="497" t="str">
        <f t="shared" si="7"/>
        <v>:</v>
      </c>
      <c r="GN28" s="306"/>
      <c r="GO28" s="306"/>
      <c r="GP28" s="306"/>
    </row>
    <row r="29" spans="1:198" ht="30" x14ac:dyDescent="0.15">
      <c r="A29" s="481" t="str">
        <f>VLOOKUP($J29&amp;":", Catalog!$F$5:$BV127, COLUMNS(Catalog!$F$5:$BV127), FALSE)</f>
        <v>State 2: has missionBratt with Tier=2</v>
      </c>
      <c r="B29" s="482" t="b">
        <f t="shared" ca="1" si="0"/>
        <v>0</v>
      </c>
      <c r="C29" s="483" t="str">
        <f t="shared" si="1"/>
        <v>grantUltimateLightningState2</v>
      </c>
      <c r="D29" s="484" t="str">
        <f>VLOOKUP($J29&amp;":", Catalog!$F$5:$BW127, COLUMNS(Catalog!$F$5:$BW127), FALSE)</f>
        <v>never</v>
      </c>
      <c r="E29" s="485">
        <f>VLOOKUP($J29&amp;":", Catalog!$F$5:$BX127, COLUMNS(Catalog!$F$5:$BX127), FALSE)</f>
        <v>0</v>
      </c>
      <c r="F29" s="484">
        <f>VLOOKUP($J29&amp;":", Catalog!$F$5:$BY127, COLUMNS(Catalog!$F$5:$BY127), FALSE)</f>
        <v>0</v>
      </c>
      <c r="G29" s="484" t="str">
        <f>VLOOKUP($J29, Catalog!$E$5:$BZ127, COLUMNS(Catalog!$E$5:$BZ127), FALSE)</f>
        <v>rewardIfAllRequirementsMet</v>
      </c>
      <c r="H29" s="483" t="s">
        <v>570</v>
      </c>
      <c r="I29" s="483">
        <v>2</v>
      </c>
      <c r="J29" s="306" t="s">
        <v>605</v>
      </c>
      <c r="K29" s="486">
        <v>1</v>
      </c>
      <c r="L29" s="100" t="s">
        <v>279</v>
      </c>
      <c r="M29" s="100">
        <v>2</v>
      </c>
      <c r="N29" s="100" t="s">
        <v>280</v>
      </c>
      <c r="O29" s="86"/>
      <c r="P29" s="86"/>
      <c r="Q29" s="86"/>
      <c r="R29" s="100" t="str">
        <f t="shared" si="2"/>
        <v>never</v>
      </c>
      <c r="S29" s="487"/>
      <c r="T29" s="486"/>
      <c r="U29" s="488"/>
      <c r="V29" s="488"/>
      <c r="W29" s="488"/>
      <c r="X29" s="488"/>
      <c r="Y29" s="306"/>
      <c r="Z29" s="306"/>
      <c r="AA29" s="489"/>
      <c r="AB29" s="306" t="str">
        <f t="shared" si="3"/>
        <v>total_points</v>
      </c>
      <c r="AC29" s="490">
        <f t="shared" si="4"/>
        <v>0</v>
      </c>
      <c r="AD29" s="490">
        <f t="shared" si="5"/>
        <v>0</v>
      </c>
      <c r="AE29" s="306"/>
      <c r="AF29" s="332" t="str">
        <f t="shared" si="6"/>
        <v>ultimateLightning</v>
      </c>
      <c r="AG29" s="306"/>
      <c r="AH29" s="487"/>
      <c r="AI29" s="306"/>
      <c r="AJ29" s="306"/>
      <c r="AK29" s="306"/>
      <c r="AL29" s="306"/>
      <c r="AM29" s="306"/>
      <c r="AN29" s="491"/>
      <c r="AO29" s="306"/>
      <c r="AP29" s="306"/>
      <c r="AQ29" s="306"/>
      <c r="AR29" s="306"/>
      <c r="AS29" s="306"/>
      <c r="AT29" s="487"/>
      <c r="AU29" s="306"/>
      <c r="AV29" s="306"/>
      <c r="AW29" s="306"/>
      <c r="AX29" s="306"/>
      <c r="AY29" s="306"/>
      <c r="AZ29" s="491"/>
      <c r="BA29" s="306"/>
      <c r="BB29" s="306"/>
      <c r="BC29" s="487"/>
      <c r="BD29" s="306"/>
      <c r="BE29" s="306"/>
      <c r="BF29" s="492" t="str">
        <f ca="1">IFERROR(__xludf.DUMMYFUNCTION("IF(REGEXMATCH($G29, ""Any""), ""any"", IF(REGEXMATCH($G29, ""All""), ""all"", """"))"),"all")</f>
        <v>all</v>
      </c>
      <c r="BG29" s="499" t="s">
        <v>963</v>
      </c>
      <c r="BH29" s="306"/>
      <c r="BI29" s="100" t="s">
        <v>279</v>
      </c>
      <c r="BJ29" s="100">
        <v>2</v>
      </c>
      <c r="BK29" s="306"/>
      <c r="BL29" s="306"/>
      <c r="BM29" s="306"/>
      <c r="BN29" s="306"/>
      <c r="BO29" s="306"/>
      <c r="BP29" s="493"/>
      <c r="BQ29" s="306"/>
      <c r="BR29" s="306"/>
      <c r="BS29" s="494"/>
      <c r="BT29" s="487"/>
      <c r="BU29" s="306"/>
      <c r="BV29" s="306"/>
      <c r="BW29" s="306"/>
      <c r="BX29" s="306"/>
      <c r="BY29" s="306"/>
      <c r="BZ29" s="306"/>
      <c r="CA29" s="306"/>
      <c r="CB29" s="306"/>
      <c r="CC29" s="493"/>
      <c r="CD29" s="306"/>
      <c r="CE29" s="306"/>
      <c r="CF29" s="494"/>
      <c r="CG29" s="487"/>
      <c r="CH29" s="306"/>
      <c r="CI29" s="306"/>
      <c r="CJ29" s="306"/>
      <c r="CK29" s="306"/>
      <c r="CL29" s="306"/>
      <c r="CM29" s="306"/>
      <c r="CN29" s="306"/>
      <c r="CO29" s="306"/>
      <c r="CP29" s="306"/>
      <c r="CQ29" s="306"/>
      <c r="CR29" s="306"/>
      <c r="CS29" s="494"/>
      <c r="CT29" s="306"/>
      <c r="CU29" s="306"/>
      <c r="CV29" s="306"/>
      <c r="CW29" s="306"/>
      <c r="CX29" s="306"/>
      <c r="CY29" s="306"/>
      <c r="CZ29" s="306"/>
      <c r="DA29" s="306"/>
      <c r="DB29" s="306"/>
      <c r="DC29" s="493"/>
      <c r="DD29" s="306"/>
      <c r="DE29" s="306"/>
      <c r="DF29" s="494"/>
      <c r="DG29" s="306"/>
      <c r="DH29" s="306"/>
      <c r="DI29" s="306"/>
      <c r="DJ29" s="306"/>
      <c r="DK29" s="306"/>
      <c r="DL29" s="306"/>
      <c r="DM29" s="306"/>
      <c r="DN29" s="306"/>
      <c r="DO29" s="306"/>
      <c r="DP29" s="493"/>
      <c r="DQ29" s="306"/>
      <c r="DR29" s="306"/>
      <c r="DS29" s="489"/>
      <c r="DT29" s="306"/>
      <c r="DU29" s="306"/>
      <c r="DV29" s="306"/>
      <c r="DW29" s="306"/>
      <c r="DX29" s="306"/>
      <c r="DY29" s="306"/>
      <c r="DZ29" s="306"/>
      <c r="EA29" s="306"/>
      <c r="EB29" s="306"/>
      <c r="EC29" s="306"/>
      <c r="ED29" s="493"/>
      <c r="EE29" s="306"/>
      <c r="EF29" s="306"/>
      <c r="EG29" s="306"/>
      <c r="EH29" s="487"/>
      <c r="EI29" s="306"/>
      <c r="EJ29" s="306"/>
      <c r="EK29" s="306"/>
      <c r="EL29" s="306"/>
      <c r="EM29" s="306"/>
      <c r="EN29" s="306"/>
      <c r="EO29" s="306"/>
      <c r="EP29" s="306"/>
      <c r="EQ29" s="306"/>
      <c r="ER29" s="306"/>
      <c r="ES29" s="306"/>
      <c r="ET29" s="306"/>
      <c r="EU29" s="306"/>
      <c r="EV29" s="491"/>
      <c r="EW29" s="306"/>
      <c r="EX29" s="306"/>
      <c r="EY29" s="306"/>
      <c r="EZ29" s="306"/>
      <c r="FA29" s="306"/>
      <c r="FB29" s="306"/>
      <c r="FC29" s="306"/>
      <c r="FD29" s="306"/>
      <c r="FE29" s="306"/>
      <c r="FF29" s="306"/>
      <c r="FG29" s="306"/>
      <c r="FH29" s="306"/>
      <c r="FI29" s="306"/>
      <c r="FJ29" s="306"/>
      <c r="FK29" s="306"/>
      <c r="FL29" s="487"/>
      <c r="FM29" s="306"/>
      <c r="FN29" s="306"/>
      <c r="FO29" s="306"/>
      <c r="FP29" s="306"/>
      <c r="FQ29" s="306"/>
      <c r="FR29" s="306"/>
      <c r="FS29" s="306"/>
      <c r="FT29" s="306"/>
      <c r="FU29" s="306"/>
      <c r="FV29" s="306"/>
      <c r="FW29" s="306"/>
      <c r="FX29" s="306"/>
      <c r="FY29" s="306"/>
      <c r="FZ29" s="306"/>
      <c r="GA29" s="306"/>
      <c r="GB29" s="491"/>
      <c r="GC29" s="306"/>
      <c r="GD29" s="306"/>
      <c r="GE29" s="306"/>
      <c r="GF29" s="491"/>
      <c r="GG29" s="494"/>
      <c r="GH29" s="487"/>
      <c r="GI29" s="306"/>
      <c r="GJ29" s="491"/>
      <c r="GK29" s="306"/>
      <c r="GL29" s="306"/>
      <c r="GM29" s="497" t="str">
        <f t="shared" si="7"/>
        <v>:</v>
      </c>
      <c r="GN29" s="306"/>
      <c r="GO29" s="306"/>
      <c r="GP29" s="306"/>
    </row>
    <row r="30" spans="1:198" ht="45" x14ac:dyDescent="0.15">
      <c r="A30" s="500" t="str">
        <f>VLOOKUP($J30&amp;":", Catalog!$F$5:$BV127, COLUMNS(Catalog!$F$5:$BV127), FALSE)</f>
        <v>State 2: playerLevel &gt;=14</v>
      </c>
      <c r="B30" s="482" t="b">
        <f t="shared" ca="1" si="0"/>
        <v>0</v>
      </c>
      <c r="C30" s="483" t="str">
        <f t="shared" si="1"/>
        <v>grantPerkSpreadLightningState2</v>
      </c>
      <c r="D30" s="484" t="str">
        <f>VLOOKUP($J30&amp;":", Catalog!$F$5:$BW127, COLUMNS(Catalog!$F$5:$BW127), FALSE)</f>
        <v>never</v>
      </c>
      <c r="E30" s="485">
        <f>VLOOKUP($J30&amp;":", Catalog!$F$5:$BX127, COLUMNS(Catalog!$F$5:$BX127), FALSE)</f>
        <v>0</v>
      </c>
      <c r="F30" s="484">
        <f>VLOOKUP($J30&amp;":", Catalog!$F$5:$BY127, COLUMNS(Catalog!$F$5:$BY127), FALSE)</f>
        <v>0</v>
      </c>
      <c r="G30" s="501" t="str">
        <f>VLOOKUP($J30, Catalog!$E$5:$BZ127, COLUMNS(Catalog!$E$5:$BZ127), FALSE)</f>
        <v>rewardIfAllRequirementsMet</v>
      </c>
      <c r="H30" s="483" t="s">
        <v>625</v>
      </c>
      <c r="I30" s="483">
        <v>2</v>
      </c>
      <c r="J30" s="332" t="s">
        <v>736</v>
      </c>
      <c r="K30" s="486">
        <v>1</v>
      </c>
      <c r="L30" s="100" t="s">
        <v>279</v>
      </c>
      <c r="M30" s="100">
        <v>2</v>
      </c>
      <c r="N30" s="100" t="s">
        <v>280</v>
      </c>
      <c r="O30" s="86"/>
      <c r="P30" s="86"/>
      <c r="Q30" s="86"/>
      <c r="R30" s="100" t="str">
        <f t="shared" si="2"/>
        <v>never</v>
      </c>
      <c r="S30" s="487"/>
      <c r="T30" s="486"/>
      <c r="U30" s="488"/>
      <c r="V30" s="488"/>
      <c r="W30" s="488"/>
      <c r="X30" s="488"/>
      <c r="Y30" s="306"/>
      <c r="Z30" s="306"/>
      <c r="AA30" s="489"/>
      <c r="AB30" s="306" t="str">
        <f t="shared" si="3"/>
        <v>total_points</v>
      </c>
      <c r="AC30" s="490">
        <f t="shared" si="4"/>
        <v>0</v>
      </c>
      <c r="AD30" s="490">
        <f t="shared" si="5"/>
        <v>0</v>
      </c>
      <c r="AE30" s="306"/>
      <c r="AF30" s="332" t="str">
        <f t="shared" si="6"/>
        <v>perkSpreadLightning</v>
      </c>
      <c r="AG30" s="306"/>
      <c r="AH30" s="487"/>
      <c r="AI30" s="306"/>
      <c r="AJ30" s="306"/>
      <c r="AK30" s="306"/>
      <c r="AL30" s="306"/>
      <c r="AM30" s="306"/>
      <c r="AN30" s="491"/>
      <c r="AO30" s="306"/>
      <c r="AP30" s="306"/>
      <c r="AQ30" s="306"/>
      <c r="AR30" s="306"/>
      <c r="AS30" s="306"/>
      <c r="AT30" s="487"/>
      <c r="AU30" s="306"/>
      <c r="AV30" s="306"/>
      <c r="AW30" s="306"/>
      <c r="AX30" s="306"/>
      <c r="AY30" s="306"/>
      <c r="AZ30" s="491"/>
      <c r="BA30" s="306"/>
      <c r="BB30" s="306"/>
      <c r="BC30" s="487"/>
      <c r="BD30" s="306"/>
      <c r="BE30" s="306"/>
      <c r="BF30" s="492" t="str">
        <f ca="1">IFERROR(__xludf.DUMMYFUNCTION("IF(REGEXMATCH($G30, ""Any""), ""any"", IF(REGEXMATCH($G30, ""All""), ""all"", """"))"),"all")</f>
        <v>all</v>
      </c>
      <c r="BG30" s="491"/>
      <c r="BH30" s="306"/>
      <c r="BI30" s="306"/>
      <c r="BJ30" s="306"/>
      <c r="BK30" s="306"/>
      <c r="BL30" s="306"/>
      <c r="BM30" s="306"/>
      <c r="BN30" s="306"/>
      <c r="BO30" s="306"/>
      <c r="BP30" s="493"/>
      <c r="BQ30" s="306"/>
      <c r="BR30" s="306"/>
      <c r="BS30" s="494"/>
      <c r="BT30" s="487"/>
      <c r="BU30" s="306"/>
      <c r="BV30" s="306"/>
      <c r="BW30" s="306"/>
      <c r="BX30" s="306"/>
      <c r="BY30" s="306"/>
      <c r="BZ30" s="306"/>
      <c r="CA30" s="306"/>
      <c r="CB30" s="306"/>
      <c r="CC30" s="493"/>
      <c r="CD30" s="306"/>
      <c r="CE30" s="306"/>
      <c r="CF30" s="494"/>
      <c r="CG30" s="487"/>
      <c r="CH30" s="306"/>
      <c r="CI30" s="306"/>
      <c r="CJ30" s="306"/>
      <c r="CK30" s="306"/>
      <c r="CL30" s="306"/>
      <c r="CM30" s="306"/>
      <c r="CN30" s="306"/>
      <c r="CO30" s="306"/>
      <c r="CP30" s="306"/>
      <c r="CQ30" s="306"/>
      <c r="CR30" s="306"/>
      <c r="CS30" s="494"/>
      <c r="CT30" s="306"/>
      <c r="CU30" s="306"/>
      <c r="CV30" s="306"/>
      <c r="CW30" s="306"/>
      <c r="CX30" s="306"/>
      <c r="CY30" s="306"/>
      <c r="CZ30" s="306"/>
      <c r="DA30" s="306"/>
      <c r="DB30" s="306"/>
      <c r="DC30" s="493"/>
      <c r="DD30" s="306"/>
      <c r="DE30" s="306"/>
      <c r="DF30" s="494"/>
      <c r="DG30" s="306"/>
      <c r="DH30" s="306"/>
      <c r="DI30" s="306"/>
      <c r="DJ30" s="306"/>
      <c r="DK30" s="306"/>
      <c r="DL30" s="306"/>
      <c r="DM30" s="306"/>
      <c r="DN30" s="306"/>
      <c r="DO30" s="306"/>
      <c r="DP30" s="493"/>
      <c r="DQ30" s="306"/>
      <c r="DR30" s="306"/>
      <c r="DS30" s="489"/>
      <c r="DT30" s="306"/>
      <c r="DU30" s="306"/>
      <c r="DV30" s="306"/>
      <c r="DW30" s="306"/>
      <c r="DX30" s="306"/>
      <c r="DY30" s="306"/>
      <c r="DZ30" s="306"/>
      <c r="EA30" s="306"/>
      <c r="EB30" s="306"/>
      <c r="EC30" s="306"/>
      <c r="ED30" s="493"/>
      <c r="EE30" s="306"/>
      <c r="EF30" s="306"/>
      <c r="EG30" s="306"/>
      <c r="EH30" s="487"/>
      <c r="EI30" s="306"/>
      <c r="EJ30" s="306"/>
      <c r="EK30" s="306"/>
      <c r="EL30" s="306"/>
      <c r="EM30" s="306"/>
      <c r="EN30" s="306"/>
      <c r="EO30" s="306"/>
      <c r="EP30" s="306"/>
      <c r="EQ30" s="306"/>
      <c r="ER30" s="306"/>
      <c r="ES30" s="306"/>
      <c r="ET30" s="306"/>
      <c r="EU30" s="306"/>
      <c r="EV30" s="491"/>
      <c r="EW30" s="306"/>
      <c r="EX30" s="306"/>
      <c r="EY30" s="306"/>
      <c r="EZ30" s="306"/>
      <c r="FA30" s="306"/>
      <c r="FB30" s="306"/>
      <c r="FC30" s="306"/>
      <c r="FD30" s="306"/>
      <c r="FE30" s="306"/>
      <c r="FF30" s="306"/>
      <c r="FG30" s="306"/>
      <c r="FH30" s="306"/>
      <c r="FI30" s="306"/>
      <c r="FJ30" s="306"/>
      <c r="FK30" s="306"/>
      <c r="FL30" s="487"/>
      <c r="FM30" s="306"/>
      <c r="FN30" s="306"/>
      <c r="FO30" s="306"/>
      <c r="FP30" s="306"/>
      <c r="FQ30" s="306"/>
      <c r="FR30" s="306"/>
      <c r="FS30" s="306"/>
      <c r="FT30" s="306"/>
      <c r="FU30" s="306"/>
      <c r="FV30" s="306"/>
      <c r="FW30" s="306"/>
      <c r="FX30" s="306"/>
      <c r="FY30" s="306"/>
      <c r="FZ30" s="306"/>
      <c r="GA30" s="306"/>
      <c r="GB30" s="491"/>
      <c r="GC30" s="306"/>
      <c r="GD30" s="306"/>
      <c r="GE30" s="306"/>
      <c r="GF30" s="491"/>
      <c r="GG30" s="494"/>
      <c r="GH30" s="487"/>
      <c r="GI30" s="306"/>
      <c r="GJ30" s="499" t="s">
        <v>4379</v>
      </c>
      <c r="GK30" s="100">
        <v>14</v>
      </c>
      <c r="GL30" s="100" t="s">
        <v>4819</v>
      </c>
      <c r="GM30" s="497" t="str">
        <f t="shared" si="7"/>
        <v>levels.total_points.level:14</v>
      </c>
      <c r="GN30" s="306"/>
      <c r="GO30" s="306"/>
      <c r="GP30" s="306"/>
    </row>
    <row r="31" spans="1:198" ht="45" x14ac:dyDescent="0.15">
      <c r="A31" s="500" t="str">
        <f>VLOOKUP($J31&amp;":", Catalog!$F$5:$BV127, COLUMNS(Catalog!$F$5:$BV127), FALSE)</f>
        <v>State 2: playerLevel &gt;=11</v>
      </c>
      <c r="B31" s="482" t="b">
        <f t="shared" ca="1" si="0"/>
        <v>0</v>
      </c>
      <c r="C31" s="483" t="str">
        <f t="shared" si="1"/>
        <v>grantPerkSpreadForceState2</v>
      </c>
      <c r="D31" s="484" t="str">
        <f>VLOOKUP($J31&amp;":", Catalog!$F$5:$BW127, COLUMNS(Catalog!$F$5:$BW127), FALSE)</f>
        <v>never</v>
      </c>
      <c r="E31" s="485">
        <f>VLOOKUP($J31&amp;":", Catalog!$F$5:$BX127, COLUMNS(Catalog!$F$5:$BX127), FALSE)</f>
        <v>0</v>
      </c>
      <c r="F31" s="484">
        <f>VLOOKUP($J31&amp;":", Catalog!$F$5:$BY127, COLUMNS(Catalog!$F$5:$BY127), FALSE)</f>
        <v>0</v>
      </c>
      <c r="G31" s="501" t="str">
        <f>VLOOKUP($J31, Catalog!$E$5:$BZ127, COLUMNS(Catalog!$E$5:$BZ127), FALSE)</f>
        <v>rewardIfAllRequirementsMet</v>
      </c>
      <c r="H31" s="483" t="s">
        <v>625</v>
      </c>
      <c r="I31" s="483">
        <v>2</v>
      </c>
      <c r="J31" s="332" t="s">
        <v>714</v>
      </c>
      <c r="K31" s="486">
        <v>1</v>
      </c>
      <c r="L31" s="100" t="s">
        <v>279</v>
      </c>
      <c r="M31" s="100">
        <v>2</v>
      </c>
      <c r="N31" s="100" t="s">
        <v>280</v>
      </c>
      <c r="O31" s="86"/>
      <c r="P31" s="86"/>
      <c r="Q31" s="86"/>
      <c r="R31" s="100" t="str">
        <f t="shared" si="2"/>
        <v>never</v>
      </c>
      <c r="S31" s="487"/>
      <c r="T31" s="486"/>
      <c r="U31" s="488"/>
      <c r="V31" s="488"/>
      <c r="W31" s="488"/>
      <c r="X31" s="488"/>
      <c r="Y31" s="306"/>
      <c r="Z31" s="306"/>
      <c r="AA31" s="489"/>
      <c r="AB31" s="306" t="str">
        <f t="shared" si="3"/>
        <v>total_points</v>
      </c>
      <c r="AC31" s="490">
        <f t="shared" si="4"/>
        <v>0</v>
      </c>
      <c r="AD31" s="490">
        <f t="shared" si="5"/>
        <v>0</v>
      </c>
      <c r="AE31" s="306"/>
      <c r="AF31" s="332" t="str">
        <f t="shared" si="6"/>
        <v>perkSpreadForce</v>
      </c>
      <c r="AG31" s="306"/>
      <c r="AH31" s="487"/>
      <c r="AI31" s="306"/>
      <c r="AJ31" s="306"/>
      <c r="AK31" s="306"/>
      <c r="AL31" s="306"/>
      <c r="AM31" s="306"/>
      <c r="AN31" s="491"/>
      <c r="AO31" s="306"/>
      <c r="AP31" s="306"/>
      <c r="AQ31" s="306"/>
      <c r="AR31" s="306"/>
      <c r="AS31" s="306"/>
      <c r="AT31" s="487"/>
      <c r="AU31" s="306"/>
      <c r="AV31" s="306"/>
      <c r="AW31" s="306"/>
      <c r="AX31" s="306"/>
      <c r="AY31" s="306"/>
      <c r="AZ31" s="491"/>
      <c r="BA31" s="306"/>
      <c r="BB31" s="306"/>
      <c r="BC31" s="487"/>
      <c r="BD31" s="306"/>
      <c r="BE31" s="306"/>
      <c r="BF31" s="492" t="str">
        <f ca="1">IFERROR(__xludf.DUMMYFUNCTION("IF(REGEXMATCH($G31, ""Any""), ""any"", IF(REGEXMATCH($G31, ""All""), ""all"", """"))"),"all")</f>
        <v>all</v>
      </c>
      <c r="BG31" s="491"/>
      <c r="BH31" s="306"/>
      <c r="BI31" s="306"/>
      <c r="BJ31" s="306"/>
      <c r="BK31" s="306"/>
      <c r="BL31" s="306"/>
      <c r="BM31" s="306"/>
      <c r="BN31" s="306"/>
      <c r="BO31" s="306"/>
      <c r="BP31" s="493"/>
      <c r="BQ31" s="306"/>
      <c r="BR31" s="306"/>
      <c r="BS31" s="494"/>
      <c r="BT31" s="487"/>
      <c r="BU31" s="306"/>
      <c r="BV31" s="306"/>
      <c r="BW31" s="306"/>
      <c r="BX31" s="306"/>
      <c r="BY31" s="306"/>
      <c r="BZ31" s="306"/>
      <c r="CA31" s="306"/>
      <c r="CB31" s="306"/>
      <c r="CC31" s="493"/>
      <c r="CD31" s="306"/>
      <c r="CE31" s="306"/>
      <c r="CF31" s="494"/>
      <c r="CG31" s="487"/>
      <c r="CH31" s="306"/>
      <c r="CI31" s="306"/>
      <c r="CJ31" s="306"/>
      <c r="CK31" s="306"/>
      <c r="CL31" s="306"/>
      <c r="CM31" s="306"/>
      <c r="CN31" s="306"/>
      <c r="CO31" s="306"/>
      <c r="CP31" s="306"/>
      <c r="CQ31" s="306"/>
      <c r="CR31" s="306"/>
      <c r="CS31" s="494"/>
      <c r="CT31" s="306"/>
      <c r="CU31" s="306"/>
      <c r="CV31" s="306"/>
      <c r="CW31" s="306"/>
      <c r="CX31" s="306"/>
      <c r="CY31" s="306"/>
      <c r="CZ31" s="306"/>
      <c r="DA31" s="306"/>
      <c r="DB31" s="306"/>
      <c r="DC31" s="493"/>
      <c r="DD31" s="306"/>
      <c r="DE31" s="306"/>
      <c r="DF31" s="494"/>
      <c r="DG31" s="306"/>
      <c r="DH31" s="306"/>
      <c r="DI31" s="306"/>
      <c r="DJ31" s="306"/>
      <c r="DK31" s="306"/>
      <c r="DL31" s="306"/>
      <c r="DM31" s="306"/>
      <c r="DN31" s="306"/>
      <c r="DO31" s="306"/>
      <c r="DP31" s="493"/>
      <c r="DQ31" s="306"/>
      <c r="DR31" s="306"/>
      <c r="DS31" s="489"/>
      <c r="DT31" s="306"/>
      <c r="DU31" s="306"/>
      <c r="DV31" s="306"/>
      <c r="DW31" s="306"/>
      <c r="DX31" s="306"/>
      <c r="DY31" s="306"/>
      <c r="DZ31" s="306"/>
      <c r="EA31" s="306"/>
      <c r="EB31" s="306"/>
      <c r="EC31" s="306"/>
      <c r="ED31" s="493"/>
      <c r="EE31" s="306"/>
      <c r="EF31" s="306"/>
      <c r="EG31" s="306"/>
      <c r="EH31" s="487"/>
      <c r="EI31" s="306"/>
      <c r="EJ31" s="306"/>
      <c r="EK31" s="306"/>
      <c r="EL31" s="306"/>
      <c r="EM31" s="306"/>
      <c r="EN31" s="306"/>
      <c r="EO31" s="306"/>
      <c r="EP31" s="306"/>
      <c r="EQ31" s="306"/>
      <c r="ER31" s="306"/>
      <c r="ES31" s="306"/>
      <c r="ET31" s="306"/>
      <c r="EU31" s="306"/>
      <c r="EV31" s="491"/>
      <c r="EW31" s="306"/>
      <c r="EX31" s="306"/>
      <c r="EY31" s="306"/>
      <c r="EZ31" s="306"/>
      <c r="FA31" s="306"/>
      <c r="FB31" s="306"/>
      <c r="FC31" s="306"/>
      <c r="FD31" s="306"/>
      <c r="FE31" s="306"/>
      <c r="FF31" s="306"/>
      <c r="FG31" s="306"/>
      <c r="FH31" s="306"/>
      <c r="FI31" s="306"/>
      <c r="FJ31" s="306"/>
      <c r="FK31" s="306"/>
      <c r="FL31" s="487"/>
      <c r="FM31" s="306"/>
      <c r="FN31" s="306"/>
      <c r="FO31" s="306"/>
      <c r="FP31" s="306"/>
      <c r="FQ31" s="306"/>
      <c r="FR31" s="306"/>
      <c r="FS31" s="306"/>
      <c r="FT31" s="306"/>
      <c r="FU31" s="306"/>
      <c r="FV31" s="306"/>
      <c r="FW31" s="306"/>
      <c r="FX31" s="306"/>
      <c r="FY31" s="306"/>
      <c r="FZ31" s="306"/>
      <c r="GA31" s="306"/>
      <c r="GB31" s="491"/>
      <c r="GC31" s="306"/>
      <c r="GD31" s="306"/>
      <c r="GE31" s="306"/>
      <c r="GF31" s="491"/>
      <c r="GG31" s="494"/>
      <c r="GH31" s="487"/>
      <c r="GI31" s="306"/>
      <c r="GJ31" s="499" t="s">
        <v>4379</v>
      </c>
      <c r="GK31" s="100">
        <v>11</v>
      </c>
      <c r="GL31" s="100" t="s">
        <v>4819</v>
      </c>
      <c r="GM31" s="497" t="str">
        <f t="shared" si="7"/>
        <v>levels.total_points.level:11</v>
      </c>
      <c r="GN31" s="306"/>
      <c r="GO31" s="306"/>
      <c r="GP31" s="306"/>
    </row>
    <row r="32" spans="1:198" ht="45" x14ac:dyDescent="0.15">
      <c r="A32" s="500" t="str">
        <f>VLOOKUP($J32&amp;":", Catalog!$F$5:$BV127, COLUMNS(Catalog!$F$5:$BV127), FALSE)</f>
        <v>State 2: playerLevel &gt;=13</v>
      </c>
      <c r="B32" s="482" t="b">
        <f t="shared" ca="1" si="0"/>
        <v>0</v>
      </c>
      <c r="C32" s="483" t="str">
        <f t="shared" si="1"/>
        <v>grantPerkSpreadFreezeState2</v>
      </c>
      <c r="D32" s="484" t="str">
        <f>VLOOKUP($J32&amp;":", Catalog!$F$5:$BW127, COLUMNS(Catalog!$F$5:$BW127), FALSE)</f>
        <v>never</v>
      </c>
      <c r="E32" s="485">
        <f>VLOOKUP($J32&amp;":", Catalog!$F$5:$BX127, COLUMNS(Catalog!$F$5:$BX127), FALSE)</f>
        <v>0</v>
      </c>
      <c r="F32" s="484">
        <f>VLOOKUP($J32&amp;":", Catalog!$F$5:$BY127, COLUMNS(Catalog!$F$5:$BY127), FALSE)</f>
        <v>0</v>
      </c>
      <c r="G32" s="501" t="str">
        <f>VLOOKUP($J32, Catalog!$E$5:$BZ127, COLUMNS(Catalog!$E$5:$BZ127), FALSE)</f>
        <v>rewardIfAllRequirementsMet</v>
      </c>
      <c r="H32" s="483" t="s">
        <v>625</v>
      </c>
      <c r="I32" s="483">
        <v>2</v>
      </c>
      <c r="J32" s="332" t="s">
        <v>729</v>
      </c>
      <c r="K32" s="486">
        <v>1</v>
      </c>
      <c r="L32" s="100" t="s">
        <v>279</v>
      </c>
      <c r="M32" s="100">
        <v>2</v>
      </c>
      <c r="N32" s="100" t="s">
        <v>280</v>
      </c>
      <c r="O32" s="86"/>
      <c r="P32" s="86"/>
      <c r="Q32" s="86"/>
      <c r="R32" s="100" t="str">
        <f t="shared" si="2"/>
        <v>never</v>
      </c>
      <c r="S32" s="487"/>
      <c r="T32" s="486"/>
      <c r="U32" s="488"/>
      <c r="V32" s="488"/>
      <c r="W32" s="488"/>
      <c r="X32" s="488"/>
      <c r="Y32" s="306"/>
      <c r="Z32" s="306"/>
      <c r="AA32" s="489"/>
      <c r="AB32" s="306" t="str">
        <f t="shared" si="3"/>
        <v>total_points</v>
      </c>
      <c r="AC32" s="490">
        <f t="shared" si="4"/>
        <v>0</v>
      </c>
      <c r="AD32" s="490">
        <f t="shared" si="5"/>
        <v>0</v>
      </c>
      <c r="AE32" s="306"/>
      <c r="AF32" s="332" t="str">
        <f t="shared" si="6"/>
        <v>perkSpreadFreeze</v>
      </c>
      <c r="AG32" s="306"/>
      <c r="AH32" s="487"/>
      <c r="AI32" s="306"/>
      <c r="AJ32" s="306"/>
      <c r="AK32" s="306"/>
      <c r="AL32" s="306"/>
      <c r="AM32" s="306"/>
      <c r="AN32" s="491"/>
      <c r="AO32" s="306"/>
      <c r="AP32" s="306"/>
      <c r="AQ32" s="306"/>
      <c r="AR32" s="306"/>
      <c r="AS32" s="306"/>
      <c r="AT32" s="487"/>
      <c r="AU32" s="306"/>
      <c r="AV32" s="306"/>
      <c r="AW32" s="306"/>
      <c r="AX32" s="306"/>
      <c r="AY32" s="306"/>
      <c r="AZ32" s="491"/>
      <c r="BA32" s="306"/>
      <c r="BB32" s="306"/>
      <c r="BC32" s="487"/>
      <c r="BD32" s="306"/>
      <c r="BE32" s="306"/>
      <c r="BF32" s="492" t="str">
        <f ca="1">IFERROR(__xludf.DUMMYFUNCTION("IF(REGEXMATCH($G32, ""Any""), ""any"", IF(REGEXMATCH($G32, ""All""), ""all"", """"))"),"all")</f>
        <v>all</v>
      </c>
      <c r="BG32" s="491"/>
      <c r="BH32" s="306"/>
      <c r="BI32" s="306"/>
      <c r="BJ32" s="306"/>
      <c r="BK32" s="306"/>
      <c r="BL32" s="306"/>
      <c r="BM32" s="306"/>
      <c r="BN32" s="306"/>
      <c r="BO32" s="306"/>
      <c r="BP32" s="493"/>
      <c r="BQ32" s="306"/>
      <c r="BR32" s="306"/>
      <c r="BS32" s="494"/>
      <c r="BT32" s="487"/>
      <c r="BU32" s="306"/>
      <c r="BV32" s="306"/>
      <c r="BW32" s="306"/>
      <c r="BX32" s="306"/>
      <c r="BY32" s="306"/>
      <c r="BZ32" s="306"/>
      <c r="CA32" s="306"/>
      <c r="CB32" s="306"/>
      <c r="CC32" s="493"/>
      <c r="CD32" s="306"/>
      <c r="CE32" s="306"/>
      <c r="CF32" s="494"/>
      <c r="CG32" s="487"/>
      <c r="CH32" s="306"/>
      <c r="CI32" s="306"/>
      <c r="CJ32" s="306"/>
      <c r="CK32" s="306"/>
      <c r="CL32" s="306"/>
      <c r="CM32" s="306"/>
      <c r="CN32" s="306"/>
      <c r="CO32" s="306"/>
      <c r="CP32" s="306"/>
      <c r="CQ32" s="306"/>
      <c r="CR32" s="306"/>
      <c r="CS32" s="494"/>
      <c r="CT32" s="306"/>
      <c r="CU32" s="306"/>
      <c r="CV32" s="306"/>
      <c r="CW32" s="306"/>
      <c r="CX32" s="306"/>
      <c r="CY32" s="306"/>
      <c r="CZ32" s="306"/>
      <c r="DA32" s="306"/>
      <c r="DB32" s="306"/>
      <c r="DC32" s="493"/>
      <c r="DD32" s="306"/>
      <c r="DE32" s="306"/>
      <c r="DF32" s="494"/>
      <c r="DG32" s="306"/>
      <c r="DH32" s="306"/>
      <c r="DI32" s="306"/>
      <c r="DJ32" s="306"/>
      <c r="DK32" s="306"/>
      <c r="DL32" s="306"/>
      <c r="DM32" s="306"/>
      <c r="DN32" s="306"/>
      <c r="DO32" s="306"/>
      <c r="DP32" s="493"/>
      <c r="DQ32" s="306"/>
      <c r="DR32" s="306"/>
      <c r="DS32" s="489"/>
      <c r="DT32" s="306"/>
      <c r="DU32" s="306"/>
      <c r="DV32" s="306"/>
      <c r="DW32" s="306"/>
      <c r="DX32" s="306"/>
      <c r="DY32" s="306"/>
      <c r="DZ32" s="306"/>
      <c r="EA32" s="306"/>
      <c r="EB32" s="306"/>
      <c r="EC32" s="306"/>
      <c r="ED32" s="493"/>
      <c r="EE32" s="306"/>
      <c r="EF32" s="306"/>
      <c r="EG32" s="306"/>
      <c r="EH32" s="487"/>
      <c r="EI32" s="306"/>
      <c r="EJ32" s="306"/>
      <c r="EK32" s="306"/>
      <c r="EL32" s="306"/>
      <c r="EM32" s="306"/>
      <c r="EN32" s="306"/>
      <c r="EO32" s="306"/>
      <c r="EP32" s="306"/>
      <c r="EQ32" s="306"/>
      <c r="ER32" s="306"/>
      <c r="ES32" s="306"/>
      <c r="ET32" s="306"/>
      <c r="EU32" s="306"/>
      <c r="EV32" s="491"/>
      <c r="EW32" s="306"/>
      <c r="EX32" s="306"/>
      <c r="EY32" s="306"/>
      <c r="EZ32" s="306"/>
      <c r="FA32" s="306"/>
      <c r="FB32" s="306"/>
      <c r="FC32" s="306"/>
      <c r="FD32" s="306"/>
      <c r="FE32" s="306"/>
      <c r="FF32" s="306"/>
      <c r="FG32" s="306"/>
      <c r="FH32" s="306"/>
      <c r="FI32" s="306"/>
      <c r="FJ32" s="306"/>
      <c r="FK32" s="306"/>
      <c r="FL32" s="487"/>
      <c r="FM32" s="306"/>
      <c r="FN32" s="306"/>
      <c r="FO32" s="306"/>
      <c r="FP32" s="306"/>
      <c r="FQ32" s="306"/>
      <c r="FR32" s="306"/>
      <c r="FS32" s="306"/>
      <c r="FT32" s="306"/>
      <c r="FU32" s="306"/>
      <c r="FV32" s="306"/>
      <c r="FW32" s="306"/>
      <c r="FX32" s="306"/>
      <c r="FY32" s="306"/>
      <c r="FZ32" s="306"/>
      <c r="GA32" s="306"/>
      <c r="GB32" s="491"/>
      <c r="GC32" s="306"/>
      <c r="GD32" s="306"/>
      <c r="GE32" s="306"/>
      <c r="GF32" s="491"/>
      <c r="GG32" s="494"/>
      <c r="GH32" s="487"/>
      <c r="GI32" s="306"/>
      <c r="GJ32" s="499" t="s">
        <v>4379</v>
      </c>
      <c r="GK32" s="100">
        <v>13</v>
      </c>
      <c r="GL32" s="100" t="s">
        <v>4819</v>
      </c>
      <c r="GM32" s="497" t="str">
        <f t="shared" si="7"/>
        <v>levels.total_points.level:13</v>
      </c>
      <c r="GN32" s="306"/>
      <c r="GO32" s="306"/>
      <c r="GP32" s="306"/>
    </row>
    <row r="33" spans="1:198" ht="45" x14ac:dyDescent="0.15">
      <c r="A33" s="500" t="str">
        <f>VLOOKUP($J33&amp;":", Catalog!$F$5:$BV127, COLUMNS(Catalog!$F$5:$BV127), FALSE)</f>
        <v>State 2: playerLevel &gt;=12</v>
      </c>
      <c r="B33" s="482" t="b">
        <f t="shared" ca="1" si="0"/>
        <v>0</v>
      </c>
      <c r="C33" s="483" t="str">
        <f t="shared" si="1"/>
        <v>grantPerkSpreadFireState2</v>
      </c>
      <c r="D33" s="484" t="str">
        <f>VLOOKUP($J33&amp;":", Catalog!$F$5:$BW127, COLUMNS(Catalog!$F$5:$BW127), FALSE)</f>
        <v>never</v>
      </c>
      <c r="E33" s="485">
        <f>VLOOKUP($J33&amp;":", Catalog!$F$5:$BX127, COLUMNS(Catalog!$F$5:$BX127), FALSE)</f>
        <v>0</v>
      </c>
      <c r="F33" s="484">
        <f>VLOOKUP($J33&amp;":", Catalog!$F$5:$BY127, COLUMNS(Catalog!$F$5:$BY127), FALSE)</f>
        <v>0</v>
      </c>
      <c r="G33" s="501" t="str">
        <f>VLOOKUP($J33, Catalog!$E$5:$BZ127, COLUMNS(Catalog!$E$5:$BZ127), FALSE)</f>
        <v>rewardIfAllRequirementsMet</v>
      </c>
      <c r="H33" s="483" t="s">
        <v>625</v>
      </c>
      <c r="I33" s="483">
        <v>2</v>
      </c>
      <c r="J33" s="332" t="s">
        <v>722</v>
      </c>
      <c r="K33" s="486">
        <v>1</v>
      </c>
      <c r="L33" s="100" t="s">
        <v>279</v>
      </c>
      <c r="M33" s="100">
        <v>2</v>
      </c>
      <c r="N33" s="100" t="s">
        <v>280</v>
      </c>
      <c r="O33" s="86"/>
      <c r="P33" s="86"/>
      <c r="Q33" s="86"/>
      <c r="R33" s="100" t="str">
        <f t="shared" si="2"/>
        <v>never</v>
      </c>
      <c r="S33" s="487"/>
      <c r="T33" s="486"/>
      <c r="U33" s="488"/>
      <c r="V33" s="488"/>
      <c r="W33" s="488"/>
      <c r="X33" s="488"/>
      <c r="Y33" s="306"/>
      <c r="Z33" s="306"/>
      <c r="AA33" s="489"/>
      <c r="AB33" s="306" t="str">
        <f t="shared" si="3"/>
        <v>total_points</v>
      </c>
      <c r="AC33" s="490">
        <f t="shared" si="4"/>
        <v>0</v>
      </c>
      <c r="AD33" s="490">
        <f t="shared" si="5"/>
        <v>0</v>
      </c>
      <c r="AE33" s="306"/>
      <c r="AF33" s="332" t="str">
        <f t="shared" si="6"/>
        <v>perkSpreadFire</v>
      </c>
      <c r="AG33" s="306"/>
      <c r="AH33" s="487"/>
      <c r="AI33" s="306"/>
      <c r="AJ33" s="306"/>
      <c r="AK33" s="306"/>
      <c r="AL33" s="306"/>
      <c r="AM33" s="306"/>
      <c r="AN33" s="491"/>
      <c r="AO33" s="306"/>
      <c r="AP33" s="306"/>
      <c r="AQ33" s="306"/>
      <c r="AR33" s="306"/>
      <c r="AS33" s="306"/>
      <c r="AT33" s="487"/>
      <c r="AU33" s="306"/>
      <c r="AV33" s="306"/>
      <c r="AW33" s="306"/>
      <c r="AX33" s="306"/>
      <c r="AY33" s="306"/>
      <c r="AZ33" s="491"/>
      <c r="BA33" s="306"/>
      <c r="BB33" s="306"/>
      <c r="BC33" s="487"/>
      <c r="BD33" s="306"/>
      <c r="BE33" s="306"/>
      <c r="BF33" s="492" t="str">
        <f ca="1">IFERROR(__xludf.DUMMYFUNCTION("IF(REGEXMATCH($G33, ""Any""), ""any"", IF(REGEXMATCH($G33, ""All""), ""all"", """"))"),"all")</f>
        <v>all</v>
      </c>
      <c r="BG33" s="491"/>
      <c r="BH33" s="306"/>
      <c r="BI33" s="306"/>
      <c r="BJ33" s="306"/>
      <c r="BK33" s="306"/>
      <c r="BL33" s="306"/>
      <c r="BM33" s="306"/>
      <c r="BN33" s="306"/>
      <c r="BO33" s="306"/>
      <c r="BP33" s="493"/>
      <c r="BQ33" s="306"/>
      <c r="BR33" s="306"/>
      <c r="BS33" s="494"/>
      <c r="BT33" s="487"/>
      <c r="BU33" s="306"/>
      <c r="BV33" s="306"/>
      <c r="BW33" s="306"/>
      <c r="BX33" s="306"/>
      <c r="BY33" s="306"/>
      <c r="BZ33" s="306"/>
      <c r="CA33" s="306"/>
      <c r="CB33" s="306"/>
      <c r="CC33" s="493"/>
      <c r="CD33" s="306"/>
      <c r="CE33" s="306"/>
      <c r="CF33" s="494"/>
      <c r="CG33" s="487"/>
      <c r="CH33" s="306"/>
      <c r="CI33" s="306"/>
      <c r="CJ33" s="306"/>
      <c r="CK33" s="306"/>
      <c r="CL33" s="306"/>
      <c r="CM33" s="306"/>
      <c r="CN33" s="306"/>
      <c r="CO33" s="306"/>
      <c r="CP33" s="306"/>
      <c r="CQ33" s="306"/>
      <c r="CR33" s="306"/>
      <c r="CS33" s="494"/>
      <c r="CT33" s="306"/>
      <c r="CU33" s="306"/>
      <c r="CV33" s="306"/>
      <c r="CW33" s="306"/>
      <c r="CX33" s="306"/>
      <c r="CY33" s="306"/>
      <c r="CZ33" s="306"/>
      <c r="DA33" s="306"/>
      <c r="DB33" s="306"/>
      <c r="DC33" s="493"/>
      <c r="DD33" s="306"/>
      <c r="DE33" s="306"/>
      <c r="DF33" s="494"/>
      <c r="DG33" s="306"/>
      <c r="DH33" s="306"/>
      <c r="DI33" s="306"/>
      <c r="DJ33" s="306"/>
      <c r="DK33" s="306"/>
      <c r="DL33" s="306"/>
      <c r="DM33" s="306"/>
      <c r="DN33" s="306"/>
      <c r="DO33" s="306"/>
      <c r="DP33" s="493"/>
      <c r="DQ33" s="306"/>
      <c r="DR33" s="306"/>
      <c r="DS33" s="489"/>
      <c r="DT33" s="306"/>
      <c r="DU33" s="306"/>
      <c r="DV33" s="306"/>
      <c r="DW33" s="306"/>
      <c r="DX33" s="306"/>
      <c r="DY33" s="306"/>
      <c r="DZ33" s="306"/>
      <c r="EA33" s="306"/>
      <c r="EB33" s="306"/>
      <c r="EC33" s="306"/>
      <c r="ED33" s="493"/>
      <c r="EE33" s="306"/>
      <c r="EF33" s="306"/>
      <c r="EG33" s="306"/>
      <c r="EH33" s="487"/>
      <c r="EI33" s="306"/>
      <c r="EJ33" s="306"/>
      <c r="EK33" s="306"/>
      <c r="EL33" s="306"/>
      <c r="EM33" s="306"/>
      <c r="EN33" s="306"/>
      <c r="EO33" s="306"/>
      <c r="EP33" s="306"/>
      <c r="EQ33" s="306"/>
      <c r="ER33" s="306"/>
      <c r="ES33" s="306"/>
      <c r="ET33" s="306"/>
      <c r="EU33" s="306"/>
      <c r="EV33" s="491"/>
      <c r="EW33" s="306"/>
      <c r="EX33" s="306"/>
      <c r="EY33" s="306"/>
      <c r="EZ33" s="306"/>
      <c r="FA33" s="306"/>
      <c r="FB33" s="306"/>
      <c r="FC33" s="306"/>
      <c r="FD33" s="306"/>
      <c r="FE33" s="306"/>
      <c r="FF33" s="306"/>
      <c r="FG33" s="306"/>
      <c r="FH33" s="306"/>
      <c r="FI33" s="306"/>
      <c r="FJ33" s="306"/>
      <c r="FK33" s="306"/>
      <c r="FL33" s="487"/>
      <c r="FM33" s="306"/>
      <c r="FN33" s="306"/>
      <c r="FO33" s="306"/>
      <c r="FP33" s="306"/>
      <c r="FQ33" s="306"/>
      <c r="FR33" s="306"/>
      <c r="FS33" s="306"/>
      <c r="FT33" s="306"/>
      <c r="FU33" s="306"/>
      <c r="FV33" s="306"/>
      <c r="FW33" s="306"/>
      <c r="FX33" s="306"/>
      <c r="FY33" s="306"/>
      <c r="FZ33" s="306"/>
      <c r="GA33" s="306"/>
      <c r="GB33" s="491"/>
      <c r="GC33" s="306"/>
      <c r="GD33" s="306"/>
      <c r="GE33" s="306"/>
      <c r="GF33" s="491"/>
      <c r="GG33" s="494"/>
      <c r="GH33" s="487"/>
      <c r="GI33" s="306"/>
      <c r="GJ33" s="499" t="s">
        <v>4379</v>
      </c>
      <c r="GK33" s="100">
        <v>12</v>
      </c>
      <c r="GL33" s="100" t="s">
        <v>4819</v>
      </c>
      <c r="GM33" s="497" t="str">
        <f t="shared" si="7"/>
        <v>levels.total_points.level:12</v>
      </c>
      <c r="GN33" s="306"/>
      <c r="GO33" s="306"/>
      <c r="GP33" s="306"/>
    </row>
    <row r="34" spans="1:198" ht="45" x14ac:dyDescent="0.15">
      <c r="A34" s="500" t="str">
        <f>VLOOKUP($J34&amp;":", Catalog!$F$5:$BV127, COLUMNS(Catalog!$F$5:$BV127), FALSE)</f>
        <v>State 2: playerLevel &gt;=6</v>
      </c>
      <c r="B34" s="482" t="b">
        <f t="shared" ca="1" si="0"/>
        <v>0</v>
      </c>
      <c r="C34" s="483" t="str">
        <f t="shared" si="1"/>
        <v>grantPerkDamageForceState2</v>
      </c>
      <c r="D34" s="484" t="str">
        <f>VLOOKUP($J34&amp;":", Catalog!$F$5:$BW127, COLUMNS(Catalog!$F$5:$BW127), FALSE)</f>
        <v>never</v>
      </c>
      <c r="E34" s="485">
        <f>VLOOKUP($J34&amp;":", Catalog!$F$5:$BX127, COLUMNS(Catalog!$F$5:$BX127), FALSE)</f>
        <v>0</v>
      </c>
      <c r="F34" s="484">
        <f>VLOOKUP($J34&amp;":", Catalog!$F$5:$BY127, COLUMNS(Catalog!$F$5:$BY127), FALSE)</f>
        <v>0</v>
      </c>
      <c r="G34" s="501" t="str">
        <f>VLOOKUP($J34, Catalog!$E$5:$BZ127, COLUMNS(Catalog!$E$5:$BZ127), FALSE)</f>
        <v>rewardIfAllRequirementsMet</v>
      </c>
      <c r="H34" s="483" t="s">
        <v>625</v>
      </c>
      <c r="I34" s="483">
        <v>2</v>
      </c>
      <c r="J34" s="306" t="s">
        <v>680</v>
      </c>
      <c r="K34" s="486">
        <v>1</v>
      </c>
      <c r="L34" s="100" t="s">
        <v>279</v>
      </c>
      <c r="M34" s="100">
        <v>2</v>
      </c>
      <c r="N34" s="100" t="s">
        <v>280</v>
      </c>
      <c r="O34" s="86"/>
      <c r="P34" s="86"/>
      <c r="Q34" s="86"/>
      <c r="R34" s="100" t="str">
        <f t="shared" si="2"/>
        <v>never</v>
      </c>
      <c r="S34" s="487"/>
      <c r="T34" s="486"/>
      <c r="U34" s="488"/>
      <c r="V34" s="488"/>
      <c r="W34" s="488"/>
      <c r="X34" s="488"/>
      <c r="Y34" s="306"/>
      <c r="Z34" s="306"/>
      <c r="AA34" s="489"/>
      <c r="AB34" s="306" t="str">
        <f t="shared" si="3"/>
        <v>total_points</v>
      </c>
      <c r="AC34" s="490">
        <f t="shared" si="4"/>
        <v>0</v>
      </c>
      <c r="AD34" s="490">
        <f t="shared" si="5"/>
        <v>0</v>
      </c>
      <c r="AE34" s="306"/>
      <c r="AF34" s="332" t="str">
        <f t="shared" si="6"/>
        <v>perkDamageForce</v>
      </c>
      <c r="AG34" s="306"/>
      <c r="AH34" s="487"/>
      <c r="AI34" s="306"/>
      <c r="AJ34" s="306"/>
      <c r="AK34" s="306"/>
      <c r="AL34" s="306"/>
      <c r="AM34" s="306"/>
      <c r="AN34" s="491"/>
      <c r="AO34" s="306"/>
      <c r="AP34" s="306"/>
      <c r="AQ34" s="306"/>
      <c r="AR34" s="306"/>
      <c r="AS34" s="306"/>
      <c r="AT34" s="487"/>
      <c r="AU34" s="306"/>
      <c r="AV34" s="306"/>
      <c r="AW34" s="306"/>
      <c r="AX34" s="306"/>
      <c r="AY34" s="306"/>
      <c r="AZ34" s="491"/>
      <c r="BA34" s="306"/>
      <c r="BB34" s="306"/>
      <c r="BC34" s="487"/>
      <c r="BD34" s="306"/>
      <c r="BE34" s="306"/>
      <c r="BF34" s="492" t="str">
        <f ca="1">IFERROR(__xludf.DUMMYFUNCTION("IF(REGEXMATCH($G34, ""Any""), ""any"", IF(REGEXMATCH($G34, ""All""), ""all"", """"))"),"all")</f>
        <v>all</v>
      </c>
      <c r="BG34" s="491"/>
      <c r="BH34" s="306"/>
      <c r="BI34" s="306"/>
      <c r="BJ34" s="306"/>
      <c r="BK34" s="306"/>
      <c r="BL34" s="306"/>
      <c r="BM34" s="306"/>
      <c r="BN34" s="306"/>
      <c r="BO34" s="306"/>
      <c r="BP34" s="493"/>
      <c r="BQ34" s="306"/>
      <c r="BR34" s="306"/>
      <c r="BS34" s="494"/>
      <c r="BT34" s="487"/>
      <c r="BU34" s="306"/>
      <c r="BV34" s="306"/>
      <c r="BW34" s="306"/>
      <c r="BX34" s="306"/>
      <c r="BY34" s="306"/>
      <c r="BZ34" s="306"/>
      <c r="CA34" s="306"/>
      <c r="CB34" s="306"/>
      <c r="CC34" s="493"/>
      <c r="CD34" s="306"/>
      <c r="CE34" s="306"/>
      <c r="CF34" s="494"/>
      <c r="CG34" s="487"/>
      <c r="CH34" s="306"/>
      <c r="CI34" s="306"/>
      <c r="CJ34" s="306"/>
      <c r="CK34" s="306"/>
      <c r="CL34" s="306"/>
      <c r="CM34" s="306"/>
      <c r="CN34" s="306"/>
      <c r="CO34" s="306"/>
      <c r="CP34" s="306"/>
      <c r="CQ34" s="306"/>
      <c r="CR34" s="306"/>
      <c r="CS34" s="494"/>
      <c r="CT34" s="306"/>
      <c r="CU34" s="306"/>
      <c r="CV34" s="306"/>
      <c r="CW34" s="306"/>
      <c r="CX34" s="306"/>
      <c r="CY34" s="306"/>
      <c r="CZ34" s="306"/>
      <c r="DA34" s="306"/>
      <c r="DB34" s="306"/>
      <c r="DC34" s="493"/>
      <c r="DD34" s="306"/>
      <c r="DE34" s="306"/>
      <c r="DF34" s="494"/>
      <c r="DG34" s="306"/>
      <c r="DH34" s="306"/>
      <c r="DI34" s="306"/>
      <c r="DJ34" s="306"/>
      <c r="DK34" s="306"/>
      <c r="DL34" s="306"/>
      <c r="DM34" s="306"/>
      <c r="DN34" s="306"/>
      <c r="DO34" s="306"/>
      <c r="DP34" s="493"/>
      <c r="DQ34" s="306"/>
      <c r="DR34" s="306"/>
      <c r="DS34" s="489"/>
      <c r="DT34" s="306"/>
      <c r="DU34" s="306"/>
      <c r="DV34" s="306"/>
      <c r="DW34" s="306"/>
      <c r="DX34" s="306"/>
      <c r="DY34" s="306"/>
      <c r="DZ34" s="306"/>
      <c r="EA34" s="306"/>
      <c r="EB34" s="306"/>
      <c r="EC34" s="306"/>
      <c r="ED34" s="493"/>
      <c r="EE34" s="306"/>
      <c r="EF34" s="306"/>
      <c r="EG34" s="306"/>
      <c r="EH34" s="487"/>
      <c r="EI34" s="306"/>
      <c r="EJ34" s="306"/>
      <c r="EK34" s="306"/>
      <c r="EL34" s="306"/>
      <c r="EM34" s="306"/>
      <c r="EN34" s="306"/>
      <c r="EO34" s="306"/>
      <c r="EP34" s="306"/>
      <c r="EQ34" s="306"/>
      <c r="ER34" s="306"/>
      <c r="ES34" s="306"/>
      <c r="ET34" s="306"/>
      <c r="EU34" s="306"/>
      <c r="EV34" s="491"/>
      <c r="EW34" s="306"/>
      <c r="EX34" s="306"/>
      <c r="EY34" s="306"/>
      <c r="EZ34" s="306"/>
      <c r="FA34" s="306"/>
      <c r="FB34" s="306"/>
      <c r="FC34" s="306"/>
      <c r="FD34" s="306"/>
      <c r="FE34" s="306"/>
      <c r="FF34" s="306"/>
      <c r="FG34" s="306"/>
      <c r="FH34" s="306"/>
      <c r="FI34" s="306"/>
      <c r="FJ34" s="306"/>
      <c r="FK34" s="306"/>
      <c r="FL34" s="487"/>
      <c r="FM34" s="306"/>
      <c r="FN34" s="306"/>
      <c r="FO34" s="306"/>
      <c r="FP34" s="306"/>
      <c r="FQ34" s="306"/>
      <c r="FR34" s="306"/>
      <c r="FS34" s="306"/>
      <c r="FT34" s="306"/>
      <c r="FU34" s="306"/>
      <c r="FV34" s="306"/>
      <c r="FW34" s="306"/>
      <c r="FX34" s="306"/>
      <c r="FY34" s="306"/>
      <c r="FZ34" s="306"/>
      <c r="GA34" s="306"/>
      <c r="GB34" s="491"/>
      <c r="GC34" s="306"/>
      <c r="GD34" s="306"/>
      <c r="GE34" s="306"/>
      <c r="GF34" s="491"/>
      <c r="GG34" s="494"/>
      <c r="GH34" s="487"/>
      <c r="GI34" s="306"/>
      <c r="GJ34" s="499" t="s">
        <v>4379</v>
      </c>
      <c r="GK34" s="100">
        <v>6</v>
      </c>
      <c r="GL34" s="100" t="s">
        <v>4819</v>
      </c>
      <c r="GM34" s="497" t="str">
        <f t="shared" si="7"/>
        <v>levels.total_points.level:6</v>
      </c>
      <c r="GN34" s="306"/>
      <c r="GO34" s="306"/>
      <c r="GP34" s="306"/>
    </row>
    <row r="35" spans="1:198" ht="45" x14ac:dyDescent="0.15">
      <c r="A35" s="500" t="str">
        <f>VLOOKUP($J35&amp;":", Catalog!$F$5:$BV127, COLUMNS(Catalog!$F$5:$BV127), FALSE)</f>
        <v>State 2: playerLevel &gt;=7</v>
      </c>
      <c r="B35" s="482" t="b">
        <f t="shared" ca="1" si="0"/>
        <v>0</v>
      </c>
      <c r="C35" s="483" t="str">
        <f t="shared" si="1"/>
        <v>grantPerkDamageFireState2</v>
      </c>
      <c r="D35" s="484" t="str">
        <f>VLOOKUP($J35&amp;":", Catalog!$F$5:$BW127, COLUMNS(Catalog!$F$5:$BW127), FALSE)</f>
        <v>never</v>
      </c>
      <c r="E35" s="485">
        <f>VLOOKUP($J35&amp;":", Catalog!$F$5:$BX127, COLUMNS(Catalog!$F$5:$BX127), FALSE)</f>
        <v>0</v>
      </c>
      <c r="F35" s="484">
        <f>VLOOKUP($J35&amp;":", Catalog!$F$5:$BY127, COLUMNS(Catalog!$F$5:$BY127), FALSE)</f>
        <v>0</v>
      </c>
      <c r="G35" s="501" t="str">
        <f>VLOOKUP($J35, Catalog!$E$5:$BZ127, COLUMNS(Catalog!$E$5:$BZ127), FALSE)</f>
        <v>rewardIfAllRequirementsMet</v>
      </c>
      <c r="H35" s="483" t="s">
        <v>625</v>
      </c>
      <c r="I35" s="483">
        <v>2</v>
      </c>
      <c r="J35" s="306" t="s">
        <v>688</v>
      </c>
      <c r="K35" s="486">
        <v>1</v>
      </c>
      <c r="L35" s="100" t="s">
        <v>279</v>
      </c>
      <c r="M35" s="100">
        <v>2</v>
      </c>
      <c r="N35" s="100" t="s">
        <v>280</v>
      </c>
      <c r="O35" s="86"/>
      <c r="P35" s="86"/>
      <c r="Q35" s="86"/>
      <c r="R35" s="100" t="str">
        <f t="shared" si="2"/>
        <v>never</v>
      </c>
      <c r="S35" s="487"/>
      <c r="T35" s="486"/>
      <c r="U35" s="488"/>
      <c r="V35" s="488"/>
      <c r="W35" s="488"/>
      <c r="X35" s="488"/>
      <c r="Y35" s="306"/>
      <c r="Z35" s="306"/>
      <c r="AA35" s="489"/>
      <c r="AB35" s="306" t="str">
        <f t="shared" si="3"/>
        <v>total_points</v>
      </c>
      <c r="AC35" s="490">
        <f t="shared" si="4"/>
        <v>0</v>
      </c>
      <c r="AD35" s="490">
        <f t="shared" si="5"/>
        <v>0</v>
      </c>
      <c r="AE35" s="306"/>
      <c r="AF35" s="332" t="str">
        <f t="shared" si="6"/>
        <v>perkDamageFire</v>
      </c>
      <c r="AG35" s="306"/>
      <c r="AH35" s="487"/>
      <c r="AI35" s="306"/>
      <c r="AJ35" s="306"/>
      <c r="AK35" s="306"/>
      <c r="AL35" s="306"/>
      <c r="AM35" s="306"/>
      <c r="AN35" s="491"/>
      <c r="AO35" s="306"/>
      <c r="AP35" s="306"/>
      <c r="AQ35" s="306"/>
      <c r="AR35" s="306"/>
      <c r="AS35" s="306"/>
      <c r="AT35" s="487"/>
      <c r="AU35" s="306"/>
      <c r="AV35" s="306"/>
      <c r="AW35" s="306"/>
      <c r="AX35" s="306"/>
      <c r="AY35" s="306"/>
      <c r="AZ35" s="491"/>
      <c r="BA35" s="306"/>
      <c r="BB35" s="306"/>
      <c r="BC35" s="487"/>
      <c r="BD35" s="306"/>
      <c r="BE35" s="306"/>
      <c r="BF35" s="492" t="str">
        <f ca="1">IFERROR(__xludf.DUMMYFUNCTION("IF(REGEXMATCH($G35, ""Any""), ""any"", IF(REGEXMATCH($G35, ""All""), ""all"", """"))"),"all")</f>
        <v>all</v>
      </c>
      <c r="BG35" s="491"/>
      <c r="BH35" s="306"/>
      <c r="BI35" s="306"/>
      <c r="BJ35" s="306"/>
      <c r="BK35" s="306"/>
      <c r="BL35" s="306"/>
      <c r="BM35" s="306"/>
      <c r="BN35" s="306"/>
      <c r="BO35" s="306"/>
      <c r="BP35" s="493"/>
      <c r="BQ35" s="306"/>
      <c r="BR35" s="306"/>
      <c r="BS35" s="494"/>
      <c r="BT35" s="487"/>
      <c r="BU35" s="306"/>
      <c r="BV35" s="306"/>
      <c r="BW35" s="306"/>
      <c r="BX35" s="306"/>
      <c r="BY35" s="306"/>
      <c r="BZ35" s="306"/>
      <c r="CA35" s="306"/>
      <c r="CB35" s="306"/>
      <c r="CC35" s="493"/>
      <c r="CD35" s="306"/>
      <c r="CE35" s="306"/>
      <c r="CF35" s="494"/>
      <c r="CG35" s="487"/>
      <c r="CH35" s="306"/>
      <c r="CI35" s="306"/>
      <c r="CJ35" s="306"/>
      <c r="CK35" s="306"/>
      <c r="CL35" s="306"/>
      <c r="CM35" s="306"/>
      <c r="CN35" s="306"/>
      <c r="CO35" s="306"/>
      <c r="CP35" s="306"/>
      <c r="CQ35" s="306"/>
      <c r="CR35" s="306"/>
      <c r="CS35" s="494"/>
      <c r="CT35" s="306"/>
      <c r="CU35" s="306"/>
      <c r="CV35" s="306"/>
      <c r="CW35" s="306"/>
      <c r="CX35" s="306"/>
      <c r="CY35" s="306"/>
      <c r="CZ35" s="306"/>
      <c r="DA35" s="306"/>
      <c r="DB35" s="306"/>
      <c r="DC35" s="493"/>
      <c r="DD35" s="306"/>
      <c r="DE35" s="306"/>
      <c r="DF35" s="494"/>
      <c r="DG35" s="306"/>
      <c r="DH35" s="306"/>
      <c r="DI35" s="306"/>
      <c r="DJ35" s="306"/>
      <c r="DK35" s="306"/>
      <c r="DL35" s="306"/>
      <c r="DM35" s="306"/>
      <c r="DN35" s="306"/>
      <c r="DO35" s="306"/>
      <c r="DP35" s="493"/>
      <c r="DQ35" s="306"/>
      <c r="DR35" s="306"/>
      <c r="DS35" s="489"/>
      <c r="DT35" s="306"/>
      <c r="DU35" s="306"/>
      <c r="DV35" s="306"/>
      <c r="DW35" s="306"/>
      <c r="DX35" s="306"/>
      <c r="DY35" s="306"/>
      <c r="DZ35" s="306"/>
      <c r="EA35" s="306"/>
      <c r="EB35" s="306"/>
      <c r="EC35" s="306"/>
      <c r="ED35" s="493"/>
      <c r="EE35" s="306"/>
      <c r="EF35" s="306"/>
      <c r="EG35" s="306"/>
      <c r="EH35" s="487"/>
      <c r="EI35" s="306"/>
      <c r="EJ35" s="306"/>
      <c r="EK35" s="306"/>
      <c r="EL35" s="306"/>
      <c r="EM35" s="306"/>
      <c r="EN35" s="306"/>
      <c r="EO35" s="306"/>
      <c r="EP35" s="306"/>
      <c r="EQ35" s="306"/>
      <c r="ER35" s="306"/>
      <c r="ES35" s="306"/>
      <c r="ET35" s="306"/>
      <c r="EU35" s="306"/>
      <c r="EV35" s="491"/>
      <c r="EW35" s="306"/>
      <c r="EX35" s="306"/>
      <c r="EY35" s="306"/>
      <c r="EZ35" s="306"/>
      <c r="FA35" s="306"/>
      <c r="FB35" s="306"/>
      <c r="FC35" s="306"/>
      <c r="FD35" s="306"/>
      <c r="FE35" s="306"/>
      <c r="FF35" s="306"/>
      <c r="FG35" s="306"/>
      <c r="FH35" s="306"/>
      <c r="FI35" s="306"/>
      <c r="FJ35" s="306"/>
      <c r="FK35" s="306"/>
      <c r="FL35" s="487"/>
      <c r="FM35" s="306"/>
      <c r="FN35" s="306"/>
      <c r="FO35" s="306"/>
      <c r="FP35" s="306"/>
      <c r="FQ35" s="306"/>
      <c r="FR35" s="306"/>
      <c r="FS35" s="306"/>
      <c r="FT35" s="306"/>
      <c r="FU35" s="306"/>
      <c r="FV35" s="306"/>
      <c r="FW35" s="306"/>
      <c r="FX35" s="306"/>
      <c r="FY35" s="306"/>
      <c r="FZ35" s="306"/>
      <c r="GA35" s="306"/>
      <c r="GB35" s="491"/>
      <c r="GC35" s="306"/>
      <c r="GD35" s="306"/>
      <c r="GE35" s="306"/>
      <c r="GF35" s="491"/>
      <c r="GG35" s="494"/>
      <c r="GH35" s="487"/>
      <c r="GI35" s="306"/>
      <c r="GJ35" s="499" t="s">
        <v>4379</v>
      </c>
      <c r="GK35" s="100">
        <v>7</v>
      </c>
      <c r="GL35" s="100" t="s">
        <v>4819</v>
      </c>
      <c r="GM35" s="497" t="str">
        <f t="shared" si="7"/>
        <v>levels.total_points.level:7</v>
      </c>
      <c r="GN35" s="306"/>
      <c r="GO35" s="306"/>
      <c r="GP35" s="306"/>
    </row>
    <row r="36" spans="1:198" ht="45" x14ac:dyDescent="0.15">
      <c r="A36" s="500" t="str">
        <f>VLOOKUP($J36&amp;":", Catalog!$F$5:$BV127, COLUMNS(Catalog!$F$5:$BV127), FALSE)</f>
        <v>State 2: playerLevel &gt;=8</v>
      </c>
      <c r="B36" s="482" t="b">
        <f t="shared" ca="1" si="0"/>
        <v>0</v>
      </c>
      <c r="C36" s="483" t="str">
        <f t="shared" si="1"/>
        <v>grantPerkDamageFreezeState2</v>
      </c>
      <c r="D36" s="484" t="str">
        <f>VLOOKUP($J36&amp;":", Catalog!$F$5:$BW127, COLUMNS(Catalog!$F$5:$BW127), FALSE)</f>
        <v>never</v>
      </c>
      <c r="E36" s="485">
        <f>VLOOKUP($J36&amp;":", Catalog!$F$5:$BX127, COLUMNS(Catalog!$F$5:$BX127), FALSE)</f>
        <v>0</v>
      </c>
      <c r="F36" s="484">
        <f>VLOOKUP($J36&amp;":", Catalog!$F$5:$BY127, COLUMNS(Catalog!$F$5:$BY127), FALSE)</f>
        <v>0</v>
      </c>
      <c r="G36" s="501" t="str">
        <f>VLOOKUP($J36, Catalog!$E$5:$BZ127, COLUMNS(Catalog!$E$5:$BZ127), FALSE)</f>
        <v>rewardIfAllRequirementsMet</v>
      </c>
      <c r="H36" s="483" t="s">
        <v>625</v>
      </c>
      <c r="I36" s="483">
        <v>2</v>
      </c>
      <c r="J36" s="306" t="s">
        <v>695</v>
      </c>
      <c r="K36" s="486">
        <v>1</v>
      </c>
      <c r="L36" s="100" t="s">
        <v>279</v>
      </c>
      <c r="M36" s="100">
        <v>2</v>
      </c>
      <c r="N36" s="100" t="s">
        <v>280</v>
      </c>
      <c r="O36" s="86"/>
      <c r="P36" s="86"/>
      <c r="Q36" s="86"/>
      <c r="R36" s="100" t="str">
        <f t="shared" si="2"/>
        <v>never</v>
      </c>
      <c r="S36" s="487"/>
      <c r="T36" s="486"/>
      <c r="U36" s="488"/>
      <c r="V36" s="488"/>
      <c r="W36" s="488"/>
      <c r="X36" s="488"/>
      <c r="Y36" s="306"/>
      <c r="Z36" s="306"/>
      <c r="AA36" s="489"/>
      <c r="AB36" s="306" t="str">
        <f t="shared" si="3"/>
        <v>total_points</v>
      </c>
      <c r="AC36" s="490">
        <f t="shared" si="4"/>
        <v>0</v>
      </c>
      <c r="AD36" s="490">
        <f t="shared" si="5"/>
        <v>0</v>
      </c>
      <c r="AE36" s="306"/>
      <c r="AF36" s="332" t="str">
        <f t="shared" si="6"/>
        <v>perkDamageFreeze</v>
      </c>
      <c r="AG36" s="306"/>
      <c r="AH36" s="487"/>
      <c r="AI36" s="306"/>
      <c r="AJ36" s="306"/>
      <c r="AK36" s="306"/>
      <c r="AL36" s="306"/>
      <c r="AM36" s="306"/>
      <c r="AN36" s="491"/>
      <c r="AO36" s="306"/>
      <c r="AP36" s="306"/>
      <c r="AQ36" s="306"/>
      <c r="AR36" s="306"/>
      <c r="AS36" s="306"/>
      <c r="AT36" s="487"/>
      <c r="AU36" s="306"/>
      <c r="AV36" s="306"/>
      <c r="AW36" s="306"/>
      <c r="AX36" s="306"/>
      <c r="AY36" s="306"/>
      <c r="AZ36" s="491"/>
      <c r="BA36" s="306"/>
      <c r="BB36" s="306"/>
      <c r="BC36" s="487"/>
      <c r="BD36" s="306"/>
      <c r="BE36" s="306"/>
      <c r="BF36" s="492" t="str">
        <f ca="1">IFERROR(__xludf.DUMMYFUNCTION("IF(REGEXMATCH($G36, ""Any""), ""any"", IF(REGEXMATCH($G36, ""All""), ""all"", """"))"),"all")</f>
        <v>all</v>
      </c>
      <c r="BG36" s="491"/>
      <c r="BH36" s="306"/>
      <c r="BI36" s="306"/>
      <c r="BJ36" s="306"/>
      <c r="BK36" s="306"/>
      <c r="BL36" s="306"/>
      <c r="BM36" s="306"/>
      <c r="BN36" s="306"/>
      <c r="BO36" s="306"/>
      <c r="BP36" s="493"/>
      <c r="BQ36" s="306"/>
      <c r="BR36" s="306"/>
      <c r="BS36" s="494"/>
      <c r="BT36" s="487"/>
      <c r="BU36" s="306"/>
      <c r="BV36" s="306"/>
      <c r="BW36" s="306"/>
      <c r="BX36" s="306"/>
      <c r="BY36" s="306"/>
      <c r="BZ36" s="306"/>
      <c r="CA36" s="306"/>
      <c r="CB36" s="306"/>
      <c r="CC36" s="493"/>
      <c r="CD36" s="306"/>
      <c r="CE36" s="306"/>
      <c r="CF36" s="494"/>
      <c r="CG36" s="487"/>
      <c r="CH36" s="306"/>
      <c r="CI36" s="306"/>
      <c r="CJ36" s="306"/>
      <c r="CK36" s="306"/>
      <c r="CL36" s="306"/>
      <c r="CM36" s="306"/>
      <c r="CN36" s="306"/>
      <c r="CO36" s="306"/>
      <c r="CP36" s="306"/>
      <c r="CQ36" s="306"/>
      <c r="CR36" s="306"/>
      <c r="CS36" s="494"/>
      <c r="CT36" s="306"/>
      <c r="CU36" s="306"/>
      <c r="CV36" s="306"/>
      <c r="CW36" s="306"/>
      <c r="CX36" s="306"/>
      <c r="CY36" s="306"/>
      <c r="CZ36" s="306"/>
      <c r="DA36" s="306"/>
      <c r="DB36" s="306"/>
      <c r="DC36" s="493"/>
      <c r="DD36" s="306"/>
      <c r="DE36" s="306"/>
      <c r="DF36" s="494"/>
      <c r="DG36" s="306"/>
      <c r="DH36" s="306"/>
      <c r="DI36" s="306"/>
      <c r="DJ36" s="306"/>
      <c r="DK36" s="306"/>
      <c r="DL36" s="306"/>
      <c r="DM36" s="306"/>
      <c r="DN36" s="306"/>
      <c r="DO36" s="306"/>
      <c r="DP36" s="493"/>
      <c r="DQ36" s="306"/>
      <c r="DR36" s="306"/>
      <c r="DS36" s="489"/>
      <c r="DT36" s="306"/>
      <c r="DU36" s="306"/>
      <c r="DV36" s="306"/>
      <c r="DW36" s="306"/>
      <c r="DX36" s="306"/>
      <c r="DY36" s="306"/>
      <c r="DZ36" s="306"/>
      <c r="EA36" s="306"/>
      <c r="EB36" s="306"/>
      <c r="EC36" s="306"/>
      <c r="ED36" s="493"/>
      <c r="EE36" s="306"/>
      <c r="EF36" s="306"/>
      <c r="EG36" s="306"/>
      <c r="EH36" s="487"/>
      <c r="EI36" s="306"/>
      <c r="EJ36" s="306"/>
      <c r="EK36" s="306"/>
      <c r="EL36" s="306"/>
      <c r="EM36" s="306"/>
      <c r="EN36" s="306"/>
      <c r="EO36" s="306"/>
      <c r="EP36" s="306"/>
      <c r="EQ36" s="306"/>
      <c r="ER36" s="306"/>
      <c r="ES36" s="306"/>
      <c r="ET36" s="306"/>
      <c r="EU36" s="306"/>
      <c r="EV36" s="491"/>
      <c r="EW36" s="306"/>
      <c r="EX36" s="306"/>
      <c r="EY36" s="306"/>
      <c r="EZ36" s="306"/>
      <c r="FA36" s="306"/>
      <c r="FB36" s="306"/>
      <c r="FC36" s="306"/>
      <c r="FD36" s="306"/>
      <c r="FE36" s="306"/>
      <c r="FF36" s="306"/>
      <c r="FG36" s="306"/>
      <c r="FH36" s="306"/>
      <c r="FI36" s="306"/>
      <c r="FJ36" s="306"/>
      <c r="FK36" s="306"/>
      <c r="FL36" s="487"/>
      <c r="FM36" s="306"/>
      <c r="FN36" s="306"/>
      <c r="FO36" s="306"/>
      <c r="FP36" s="306"/>
      <c r="FQ36" s="306"/>
      <c r="FR36" s="306"/>
      <c r="FS36" s="306"/>
      <c r="FT36" s="306"/>
      <c r="FU36" s="306"/>
      <c r="FV36" s="306"/>
      <c r="FW36" s="306"/>
      <c r="FX36" s="306"/>
      <c r="FY36" s="306"/>
      <c r="FZ36" s="306"/>
      <c r="GA36" s="306"/>
      <c r="GB36" s="491"/>
      <c r="GC36" s="306"/>
      <c r="GD36" s="306"/>
      <c r="GE36" s="306"/>
      <c r="GF36" s="491"/>
      <c r="GG36" s="494"/>
      <c r="GH36" s="487"/>
      <c r="GI36" s="306"/>
      <c r="GJ36" s="499" t="s">
        <v>4379</v>
      </c>
      <c r="GK36" s="100">
        <v>8</v>
      </c>
      <c r="GL36" s="100" t="s">
        <v>4819</v>
      </c>
      <c r="GM36" s="497" t="str">
        <f t="shared" si="7"/>
        <v>levels.total_points.level:8</v>
      </c>
      <c r="GN36" s="306"/>
      <c r="GO36" s="306"/>
      <c r="GP36" s="306"/>
    </row>
    <row r="37" spans="1:198" ht="45" x14ac:dyDescent="0.15">
      <c r="A37" s="500" t="str">
        <f>VLOOKUP($J37&amp;":", Catalog!$F$5:$BV127, COLUMNS(Catalog!$F$5:$BV127), FALSE)</f>
        <v>State 2: playerLevel &gt;=9</v>
      </c>
      <c r="B37" s="482" t="b">
        <f t="shared" ca="1" si="0"/>
        <v>0</v>
      </c>
      <c r="C37" s="483" t="str">
        <f t="shared" si="1"/>
        <v>grantPerkDamageLightningState2</v>
      </c>
      <c r="D37" s="484" t="str">
        <f>VLOOKUP($J37&amp;":", Catalog!$F$5:$BW127, COLUMNS(Catalog!$F$5:$BW127), FALSE)</f>
        <v>never</v>
      </c>
      <c r="E37" s="485">
        <f>VLOOKUP($J37&amp;":", Catalog!$F$5:$BX127, COLUMNS(Catalog!$F$5:$BX127), FALSE)</f>
        <v>0</v>
      </c>
      <c r="F37" s="484">
        <f>VLOOKUP($J37&amp;":", Catalog!$F$5:$BY127, COLUMNS(Catalog!$F$5:$BY127), FALSE)</f>
        <v>0</v>
      </c>
      <c r="G37" s="501" t="str">
        <f>VLOOKUP($J37, Catalog!$E$5:$BZ127, COLUMNS(Catalog!$E$5:$BZ127), FALSE)</f>
        <v>rewardIfAllRequirementsMet</v>
      </c>
      <c r="H37" s="483" t="s">
        <v>625</v>
      </c>
      <c r="I37" s="483">
        <v>2</v>
      </c>
      <c r="J37" s="306" t="s">
        <v>707</v>
      </c>
      <c r="K37" s="486">
        <v>1</v>
      </c>
      <c r="L37" s="100" t="s">
        <v>279</v>
      </c>
      <c r="M37" s="100">
        <v>2</v>
      </c>
      <c r="N37" s="100" t="s">
        <v>280</v>
      </c>
      <c r="O37" s="86"/>
      <c r="P37" s="86"/>
      <c r="Q37" s="86"/>
      <c r="R37" s="100" t="str">
        <f t="shared" si="2"/>
        <v>never</v>
      </c>
      <c r="S37" s="487"/>
      <c r="T37" s="486"/>
      <c r="U37" s="488"/>
      <c r="V37" s="488"/>
      <c r="W37" s="488"/>
      <c r="X37" s="488"/>
      <c r="Y37" s="306"/>
      <c r="Z37" s="306"/>
      <c r="AA37" s="489"/>
      <c r="AB37" s="306" t="str">
        <f t="shared" si="3"/>
        <v>total_points</v>
      </c>
      <c r="AC37" s="490">
        <f t="shared" si="4"/>
        <v>0</v>
      </c>
      <c r="AD37" s="490">
        <f t="shared" si="5"/>
        <v>0</v>
      </c>
      <c r="AE37" s="306"/>
      <c r="AF37" s="332" t="str">
        <f t="shared" si="6"/>
        <v>perkDamageLightning</v>
      </c>
      <c r="AG37" s="306"/>
      <c r="AH37" s="487"/>
      <c r="AI37" s="306"/>
      <c r="AJ37" s="306"/>
      <c r="AK37" s="306"/>
      <c r="AL37" s="306"/>
      <c r="AM37" s="306"/>
      <c r="AN37" s="491"/>
      <c r="AO37" s="306"/>
      <c r="AP37" s="306"/>
      <c r="AQ37" s="306"/>
      <c r="AR37" s="306"/>
      <c r="AS37" s="306"/>
      <c r="AT37" s="487"/>
      <c r="AU37" s="306"/>
      <c r="AV37" s="306"/>
      <c r="AW37" s="306"/>
      <c r="AX37" s="306"/>
      <c r="AY37" s="306"/>
      <c r="AZ37" s="491"/>
      <c r="BA37" s="306"/>
      <c r="BB37" s="306"/>
      <c r="BC37" s="487"/>
      <c r="BD37" s="306"/>
      <c r="BE37" s="306"/>
      <c r="BF37" s="492" t="str">
        <f ca="1">IFERROR(__xludf.DUMMYFUNCTION("IF(REGEXMATCH($G37, ""Any""), ""any"", IF(REGEXMATCH($G37, ""All""), ""all"", """"))"),"all")</f>
        <v>all</v>
      </c>
      <c r="BG37" s="491"/>
      <c r="BH37" s="306"/>
      <c r="BI37" s="306"/>
      <c r="BJ37" s="306"/>
      <c r="BK37" s="306"/>
      <c r="BL37" s="306"/>
      <c r="BM37" s="306"/>
      <c r="BN37" s="306"/>
      <c r="BO37" s="306"/>
      <c r="BP37" s="493"/>
      <c r="BQ37" s="306"/>
      <c r="BR37" s="306"/>
      <c r="BS37" s="494"/>
      <c r="BT37" s="487"/>
      <c r="BU37" s="306"/>
      <c r="BV37" s="306"/>
      <c r="BW37" s="306"/>
      <c r="BX37" s="306"/>
      <c r="BY37" s="306"/>
      <c r="BZ37" s="306"/>
      <c r="CA37" s="306"/>
      <c r="CB37" s="306"/>
      <c r="CC37" s="493"/>
      <c r="CD37" s="306"/>
      <c r="CE37" s="306"/>
      <c r="CF37" s="494"/>
      <c r="CG37" s="487"/>
      <c r="CH37" s="306"/>
      <c r="CI37" s="306"/>
      <c r="CJ37" s="306"/>
      <c r="CK37" s="306"/>
      <c r="CL37" s="306"/>
      <c r="CM37" s="306"/>
      <c r="CN37" s="306"/>
      <c r="CO37" s="306"/>
      <c r="CP37" s="306"/>
      <c r="CQ37" s="306"/>
      <c r="CR37" s="306"/>
      <c r="CS37" s="494"/>
      <c r="CT37" s="306"/>
      <c r="CU37" s="306"/>
      <c r="CV37" s="306"/>
      <c r="CW37" s="306"/>
      <c r="CX37" s="306"/>
      <c r="CY37" s="306"/>
      <c r="CZ37" s="306"/>
      <c r="DA37" s="306"/>
      <c r="DB37" s="306"/>
      <c r="DC37" s="493"/>
      <c r="DD37" s="306"/>
      <c r="DE37" s="306"/>
      <c r="DF37" s="494"/>
      <c r="DG37" s="306"/>
      <c r="DH37" s="306"/>
      <c r="DI37" s="306"/>
      <c r="DJ37" s="306"/>
      <c r="DK37" s="306"/>
      <c r="DL37" s="306"/>
      <c r="DM37" s="306"/>
      <c r="DN37" s="306"/>
      <c r="DO37" s="306"/>
      <c r="DP37" s="493"/>
      <c r="DQ37" s="306"/>
      <c r="DR37" s="306"/>
      <c r="DS37" s="489"/>
      <c r="DT37" s="306"/>
      <c r="DU37" s="306"/>
      <c r="DV37" s="306"/>
      <c r="DW37" s="306"/>
      <c r="DX37" s="306"/>
      <c r="DY37" s="306"/>
      <c r="DZ37" s="306"/>
      <c r="EA37" s="306"/>
      <c r="EB37" s="306"/>
      <c r="EC37" s="306"/>
      <c r="ED37" s="493"/>
      <c r="EE37" s="306"/>
      <c r="EF37" s="306"/>
      <c r="EG37" s="306"/>
      <c r="EH37" s="487"/>
      <c r="EI37" s="306"/>
      <c r="EJ37" s="306"/>
      <c r="EK37" s="306"/>
      <c r="EL37" s="306"/>
      <c r="EM37" s="306"/>
      <c r="EN37" s="306"/>
      <c r="EO37" s="306"/>
      <c r="EP37" s="306"/>
      <c r="EQ37" s="306"/>
      <c r="ER37" s="306"/>
      <c r="ES37" s="306"/>
      <c r="ET37" s="306"/>
      <c r="EU37" s="306"/>
      <c r="EV37" s="491"/>
      <c r="EW37" s="306"/>
      <c r="EX37" s="306"/>
      <c r="EY37" s="306"/>
      <c r="EZ37" s="306"/>
      <c r="FA37" s="306"/>
      <c r="FB37" s="306"/>
      <c r="FC37" s="306"/>
      <c r="FD37" s="306"/>
      <c r="FE37" s="306"/>
      <c r="FF37" s="306"/>
      <c r="FG37" s="306"/>
      <c r="FH37" s="306"/>
      <c r="FI37" s="306"/>
      <c r="FJ37" s="306"/>
      <c r="FK37" s="306"/>
      <c r="FL37" s="487"/>
      <c r="FM37" s="306"/>
      <c r="FN37" s="306"/>
      <c r="FO37" s="306"/>
      <c r="FP37" s="306"/>
      <c r="FQ37" s="306"/>
      <c r="FR37" s="306"/>
      <c r="FS37" s="306"/>
      <c r="FT37" s="306"/>
      <c r="FU37" s="306"/>
      <c r="FV37" s="306"/>
      <c r="FW37" s="306"/>
      <c r="FX37" s="306"/>
      <c r="FY37" s="306"/>
      <c r="FZ37" s="306"/>
      <c r="GA37" s="306"/>
      <c r="GB37" s="491"/>
      <c r="GC37" s="306"/>
      <c r="GD37" s="306"/>
      <c r="GE37" s="306"/>
      <c r="GF37" s="491"/>
      <c r="GG37" s="494"/>
      <c r="GH37" s="487"/>
      <c r="GI37" s="306"/>
      <c r="GJ37" s="499" t="s">
        <v>4379</v>
      </c>
      <c r="GK37" s="100">
        <v>9</v>
      </c>
      <c r="GL37" s="100" t="s">
        <v>4819</v>
      </c>
      <c r="GM37" s="497" t="str">
        <f t="shared" si="7"/>
        <v>levels.total_points.level:9</v>
      </c>
      <c r="GN37" s="306"/>
      <c r="GO37" s="306"/>
      <c r="GP37" s="306"/>
    </row>
    <row r="38" spans="1:198" ht="45" x14ac:dyDescent="0.15">
      <c r="A38" s="500" t="str">
        <f>VLOOKUP($J38&amp;":", Catalog!$F$5:$BV127, COLUMNS(Catalog!$F$5:$BV127), FALSE)</f>
        <v>State 2: playerLevel &gt;=1</v>
      </c>
      <c r="B38" s="482" t="b">
        <f t="shared" ca="1" si="0"/>
        <v>0</v>
      </c>
      <c r="C38" s="483" t="str">
        <f t="shared" si="1"/>
        <v>grantPerkMultiForceState2</v>
      </c>
      <c r="D38" s="484" t="str">
        <f>VLOOKUP($J38&amp;":", Catalog!$F$5:$BW127, COLUMNS(Catalog!$F$5:$BW127), FALSE)</f>
        <v>never</v>
      </c>
      <c r="E38" s="485">
        <f>VLOOKUP($J38&amp;":", Catalog!$F$5:$BX127, COLUMNS(Catalog!$F$5:$BX127), FALSE)</f>
        <v>0</v>
      </c>
      <c r="F38" s="484">
        <f>VLOOKUP($J38&amp;":", Catalog!$F$5:$BY127, COLUMNS(Catalog!$F$5:$BY127), FALSE)</f>
        <v>0</v>
      </c>
      <c r="G38" s="501" t="str">
        <f>VLOOKUP($J38, Catalog!$E$5:$BZ127, COLUMNS(Catalog!$E$5:$BZ127), FALSE)</f>
        <v>rewardIfAllRequirementsMet</v>
      </c>
      <c r="H38" s="483" t="s">
        <v>625</v>
      </c>
      <c r="I38" s="483">
        <v>2</v>
      </c>
      <c r="J38" s="306" t="s">
        <v>656</v>
      </c>
      <c r="K38" s="486">
        <v>1</v>
      </c>
      <c r="L38" s="100" t="s">
        <v>279</v>
      </c>
      <c r="M38" s="100">
        <v>2</v>
      </c>
      <c r="N38" s="100" t="s">
        <v>280</v>
      </c>
      <c r="O38" s="86"/>
      <c r="P38" s="86"/>
      <c r="Q38" s="86"/>
      <c r="R38" s="100" t="str">
        <f t="shared" si="2"/>
        <v>never</v>
      </c>
      <c r="S38" s="487"/>
      <c r="T38" s="486"/>
      <c r="U38" s="488"/>
      <c r="V38" s="488"/>
      <c r="W38" s="488"/>
      <c r="X38" s="488"/>
      <c r="Y38" s="306"/>
      <c r="Z38" s="306"/>
      <c r="AA38" s="489"/>
      <c r="AB38" s="306" t="str">
        <f t="shared" si="3"/>
        <v>total_points</v>
      </c>
      <c r="AC38" s="490">
        <f t="shared" si="4"/>
        <v>0</v>
      </c>
      <c r="AD38" s="490">
        <f t="shared" si="5"/>
        <v>0</v>
      </c>
      <c r="AE38" s="306"/>
      <c r="AF38" s="332" t="str">
        <f t="shared" si="6"/>
        <v>perkMultiForce</v>
      </c>
      <c r="AG38" s="306"/>
      <c r="AH38" s="487"/>
      <c r="AI38" s="306"/>
      <c r="AJ38" s="306"/>
      <c r="AK38" s="306"/>
      <c r="AL38" s="306"/>
      <c r="AM38" s="306"/>
      <c r="AN38" s="491"/>
      <c r="AO38" s="306"/>
      <c r="AP38" s="306"/>
      <c r="AQ38" s="306"/>
      <c r="AR38" s="306"/>
      <c r="AS38" s="306"/>
      <c r="AT38" s="487"/>
      <c r="AU38" s="306"/>
      <c r="AV38" s="306"/>
      <c r="AW38" s="306"/>
      <c r="AX38" s="306"/>
      <c r="AY38" s="306"/>
      <c r="AZ38" s="491"/>
      <c r="BA38" s="306"/>
      <c r="BB38" s="306"/>
      <c r="BC38" s="487"/>
      <c r="BD38" s="306"/>
      <c r="BE38" s="306"/>
      <c r="BF38" s="492" t="str">
        <f ca="1">IFERROR(__xludf.DUMMYFUNCTION("IF(REGEXMATCH($G38, ""Any""), ""any"", IF(REGEXMATCH($G38, ""All""), ""all"", """"))"),"all")</f>
        <v>all</v>
      </c>
      <c r="BG38" s="491"/>
      <c r="BH38" s="306"/>
      <c r="BI38" s="306"/>
      <c r="BJ38" s="306"/>
      <c r="BK38" s="306"/>
      <c r="BL38" s="306"/>
      <c r="BM38" s="306"/>
      <c r="BN38" s="306"/>
      <c r="BO38" s="306"/>
      <c r="BP38" s="493"/>
      <c r="BQ38" s="306"/>
      <c r="BR38" s="306"/>
      <c r="BS38" s="494"/>
      <c r="BT38" s="487"/>
      <c r="BU38" s="306"/>
      <c r="BV38" s="306"/>
      <c r="BW38" s="306"/>
      <c r="BX38" s="306"/>
      <c r="BY38" s="306"/>
      <c r="BZ38" s="306"/>
      <c r="CA38" s="306"/>
      <c r="CB38" s="306"/>
      <c r="CC38" s="493"/>
      <c r="CD38" s="306"/>
      <c r="CE38" s="306"/>
      <c r="CF38" s="494"/>
      <c r="CG38" s="487"/>
      <c r="CH38" s="306"/>
      <c r="CI38" s="306"/>
      <c r="CJ38" s="306"/>
      <c r="CK38" s="306"/>
      <c r="CL38" s="306"/>
      <c r="CM38" s="306"/>
      <c r="CN38" s="306"/>
      <c r="CO38" s="306"/>
      <c r="CP38" s="306"/>
      <c r="CQ38" s="306"/>
      <c r="CR38" s="306"/>
      <c r="CS38" s="494"/>
      <c r="CT38" s="306"/>
      <c r="CU38" s="306"/>
      <c r="CV38" s="306"/>
      <c r="CW38" s="306"/>
      <c r="CX38" s="306"/>
      <c r="CY38" s="306"/>
      <c r="CZ38" s="306"/>
      <c r="DA38" s="306"/>
      <c r="DB38" s="306"/>
      <c r="DC38" s="493"/>
      <c r="DD38" s="306"/>
      <c r="DE38" s="306"/>
      <c r="DF38" s="494"/>
      <c r="DG38" s="306"/>
      <c r="DH38" s="306"/>
      <c r="DI38" s="306"/>
      <c r="DJ38" s="306"/>
      <c r="DK38" s="306"/>
      <c r="DL38" s="306"/>
      <c r="DM38" s="306"/>
      <c r="DN38" s="306"/>
      <c r="DO38" s="306"/>
      <c r="DP38" s="493"/>
      <c r="DQ38" s="306"/>
      <c r="DR38" s="306"/>
      <c r="DS38" s="489"/>
      <c r="DT38" s="306"/>
      <c r="DU38" s="306"/>
      <c r="DV38" s="306"/>
      <c r="DW38" s="306"/>
      <c r="DX38" s="306"/>
      <c r="DY38" s="306"/>
      <c r="DZ38" s="306"/>
      <c r="EA38" s="306"/>
      <c r="EB38" s="306"/>
      <c r="EC38" s="306"/>
      <c r="ED38" s="493"/>
      <c r="EE38" s="306"/>
      <c r="EF38" s="306"/>
      <c r="EG38" s="306"/>
      <c r="EH38" s="487"/>
      <c r="EI38" s="306"/>
      <c r="EJ38" s="306"/>
      <c r="EK38" s="306"/>
      <c r="EL38" s="306"/>
      <c r="EM38" s="306"/>
      <c r="EN38" s="306"/>
      <c r="EO38" s="306"/>
      <c r="EP38" s="306"/>
      <c r="EQ38" s="306"/>
      <c r="ER38" s="306"/>
      <c r="ES38" s="306"/>
      <c r="ET38" s="306"/>
      <c r="EU38" s="306"/>
      <c r="EV38" s="491"/>
      <c r="EW38" s="306"/>
      <c r="EX38" s="306"/>
      <c r="EY38" s="306"/>
      <c r="EZ38" s="306"/>
      <c r="FA38" s="306"/>
      <c r="FB38" s="306"/>
      <c r="FC38" s="306"/>
      <c r="FD38" s="306"/>
      <c r="FE38" s="306"/>
      <c r="FF38" s="306"/>
      <c r="FG38" s="306"/>
      <c r="FH38" s="306"/>
      <c r="FI38" s="306"/>
      <c r="FJ38" s="306"/>
      <c r="FK38" s="306"/>
      <c r="FL38" s="487"/>
      <c r="FM38" s="306"/>
      <c r="FN38" s="306"/>
      <c r="FO38" s="306"/>
      <c r="FP38" s="306"/>
      <c r="FQ38" s="306"/>
      <c r="FR38" s="306"/>
      <c r="FS38" s="306"/>
      <c r="FT38" s="306"/>
      <c r="FU38" s="306"/>
      <c r="FV38" s="306"/>
      <c r="FW38" s="306"/>
      <c r="FX38" s="306"/>
      <c r="FY38" s="306"/>
      <c r="FZ38" s="306"/>
      <c r="GA38" s="306"/>
      <c r="GB38" s="491"/>
      <c r="GC38" s="306"/>
      <c r="GD38" s="306"/>
      <c r="GE38" s="306"/>
      <c r="GF38" s="491"/>
      <c r="GG38" s="494"/>
      <c r="GH38" s="487"/>
      <c r="GI38" s="306"/>
      <c r="GJ38" s="499" t="s">
        <v>4379</v>
      </c>
      <c r="GK38" s="100">
        <v>1</v>
      </c>
      <c r="GL38" s="100" t="s">
        <v>4819</v>
      </c>
      <c r="GM38" s="497" t="str">
        <f t="shared" si="7"/>
        <v>levels.total_points.level:1</v>
      </c>
      <c r="GN38" s="306"/>
      <c r="GO38" s="306"/>
      <c r="GP38" s="306"/>
    </row>
    <row r="39" spans="1:198" ht="45" x14ac:dyDescent="0.15">
      <c r="A39" s="500" t="str">
        <f>VLOOKUP($J39&amp;":", Catalog!$F$5:$BV127, COLUMNS(Catalog!$F$5:$BV127), FALSE)</f>
        <v>State 2: playerLevel &gt;=2</v>
      </c>
      <c r="B39" s="482" t="b">
        <f t="shared" ca="1" si="0"/>
        <v>0</v>
      </c>
      <c r="C39" s="483" t="str">
        <f t="shared" si="1"/>
        <v>grantPerkMultiFireState2</v>
      </c>
      <c r="D39" s="484" t="str">
        <f>VLOOKUP($J39&amp;":", Catalog!$F$5:$BW127, COLUMNS(Catalog!$F$5:$BW127), FALSE)</f>
        <v>never</v>
      </c>
      <c r="E39" s="485">
        <f>VLOOKUP($J39&amp;":", Catalog!$F$5:$BX127, COLUMNS(Catalog!$F$5:$BX127), FALSE)</f>
        <v>0</v>
      </c>
      <c r="F39" s="484">
        <f>VLOOKUP($J39&amp;":", Catalog!$F$5:$BY127, COLUMNS(Catalog!$F$5:$BY127), FALSE)</f>
        <v>0</v>
      </c>
      <c r="G39" s="501" t="str">
        <f>VLOOKUP($J39, Catalog!$E$5:$BZ127, COLUMNS(Catalog!$E$5:$BZ127), FALSE)</f>
        <v>rewardIfAllRequirementsMet</v>
      </c>
      <c r="H39" s="483" t="s">
        <v>625</v>
      </c>
      <c r="I39" s="483">
        <v>2</v>
      </c>
      <c r="J39" s="306" t="s">
        <v>672</v>
      </c>
      <c r="K39" s="486">
        <v>1</v>
      </c>
      <c r="L39" s="100" t="s">
        <v>279</v>
      </c>
      <c r="M39" s="100">
        <v>2</v>
      </c>
      <c r="N39" s="100" t="s">
        <v>280</v>
      </c>
      <c r="O39" s="86"/>
      <c r="P39" s="86"/>
      <c r="Q39" s="86"/>
      <c r="R39" s="100" t="str">
        <f t="shared" si="2"/>
        <v>never</v>
      </c>
      <c r="S39" s="487"/>
      <c r="T39" s="486"/>
      <c r="U39" s="488"/>
      <c r="V39" s="488"/>
      <c r="W39" s="488"/>
      <c r="X39" s="488"/>
      <c r="Y39" s="306"/>
      <c r="Z39" s="306"/>
      <c r="AA39" s="489"/>
      <c r="AB39" s="306" t="str">
        <f t="shared" si="3"/>
        <v>total_points</v>
      </c>
      <c r="AC39" s="490">
        <f t="shared" si="4"/>
        <v>0</v>
      </c>
      <c r="AD39" s="490">
        <f t="shared" si="5"/>
        <v>0</v>
      </c>
      <c r="AE39" s="306"/>
      <c r="AF39" s="332" t="str">
        <f t="shared" si="6"/>
        <v>perkMultiFire</v>
      </c>
      <c r="AG39" s="306"/>
      <c r="AH39" s="487"/>
      <c r="AI39" s="306"/>
      <c r="AJ39" s="306"/>
      <c r="AK39" s="306"/>
      <c r="AL39" s="306"/>
      <c r="AM39" s="306"/>
      <c r="AN39" s="491"/>
      <c r="AO39" s="306"/>
      <c r="AP39" s="306"/>
      <c r="AQ39" s="306"/>
      <c r="AR39" s="306"/>
      <c r="AS39" s="306"/>
      <c r="AT39" s="487"/>
      <c r="AU39" s="306"/>
      <c r="AV39" s="306"/>
      <c r="AW39" s="306"/>
      <c r="AX39" s="306"/>
      <c r="AY39" s="306"/>
      <c r="AZ39" s="491"/>
      <c r="BA39" s="306"/>
      <c r="BB39" s="306"/>
      <c r="BC39" s="487"/>
      <c r="BD39" s="306"/>
      <c r="BE39" s="306"/>
      <c r="BF39" s="492" t="str">
        <f ca="1">IFERROR(__xludf.DUMMYFUNCTION("IF(REGEXMATCH($G39, ""Any""), ""any"", IF(REGEXMATCH($G39, ""All""), ""all"", """"))"),"all")</f>
        <v>all</v>
      </c>
      <c r="BG39" s="491"/>
      <c r="BH39" s="306"/>
      <c r="BI39" s="306"/>
      <c r="BJ39" s="306"/>
      <c r="BK39" s="306"/>
      <c r="BL39" s="306"/>
      <c r="BM39" s="306"/>
      <c r="BN39" s="306"/>
      <c r="BO39" s="306"/>
      <c r="BP39" s="493"/>
      <c r="BQ39" s="306"/>
      <c r="BR39" s="306"/>
      <c r="BS39" s="494"/>
      <c r="BT39" s="487"/>
      <c r="BU39" s="306"/>
      <c r="BV39" s="306"/>
      <c r="BW39" s="306"/>
      <c r="BX39" s="306"/>
      <c r="BY39" s="306"/>
      <c r="BZ39" s="306"/>
      <c r="CA39" s="306"/>
      <c r="CB39" s="306"/>
      <c r="CC39" s="493"/>
      <c r="CD39" s="306"/>
      <c r="CE39" s="306"/>
      <c r="CF39" s="494"/>
      <c r="CG39" s="487"/>
      <c r="CH39" s="306"/>
      <c r="CI39" s="306"/>
      <c r="CJ39" s="306"/>
      <c r="CK39" s="306"/>
      <c r="CL39" s="306"/>
      <c r="CM39" s="306"/>
      <c r="CN39" s="306"/>
      <c r="CO39" s="306"/>
      <c r="CP39" s="306"/>
      <c r="CQ39" s="306"/>
      <c r="CR39" s="306"/>
      <c r="CS39" s="494"/>
      <c r="CT39" s="306"/>
      <c r="CU39" s="306"/>
      <c r="CV39" s="306"/>
      <c r="CW39" s="306"/>
      <c r="CX39" s="306"/>
      <c r="CY39" s="306"/>
      <c r="CZ39" s="306"/>
      <c r="DA39" s="306"/>
      <c r="DB39" s="306"/>
      <c r="DC39" s="493"/>
      <c r="DD39" s="306"/>
      <c r="DE39" s="306"/>
      <c r="DF39" s="494"/>
      <c r="DG39" s="306"/>
      <c r="DH39" s="306"/>
      <c r="DI39" s="306"/>
      <c r="DJ39" s="306"/>
      <c r="DK39" s="306"/>
      <c r="DL39" s="306"/>
      <c r="DM39" s="306"/>
      <c r="DN39" s="306"/>
      <c r="DO39" s="306"/>
      <c r="DP39" s="493"/>
      <c r="DQ39" s="306"/>
      <c r="DR39" s="306"/>
      <c r="DS39" s="489"/>
      <c r="DT39" s="306"/>
      <c r="DU39" s="306"/>
      <c r="DV39" s="306"/>
      <c r="DW39" s="306"/>
      <c r="DX39" s="306"/>
      <c r="DY39" s="306"/>
      <c r="DZ39" s="306"/>
      <c r="EA39" s="306"/>
      <c r="EB39" s="306"/>
      <c r="EC39" s="306"/>
      <c r="ED39" s="493"/>
      <c r="EE39" s="306"/>
      <c r="EF39" s="306"/>
      <c r="EG39" s="306"/>
      <c r="EH39" s="487"/>
      <c r="EI39" s="306"/>
      <c r="EJ39" s="306"/>
      <c r="EK39" s="306"/>
      <c r="EL39" s="306"/>
      <c r="EM39" s="306"/>
      <c r="EN39" s="306"/>
      <c r="EO39" s="306"/>
      <c r="EP39" s="306"/>
      <c r="EQ39" s="306"/>
      <c r="ER39" s="306"/>
      <c r="ES39" s="306"/>
      <c r="ET39" s="306"/>
      <c r="EU39" s="306"/>
      <c r="EV39" s="491"/>
      <c r="EW39" s="306"/>
      <c r="EX39" s="306"/>
      <c r="EY39" s="306"/>
      <c r="EZ39" s="306"/>
      <c r="FA39" s="306"/>
      <c r="FB39" s="306"/>
      <c r="FC39" s="306"/>
      <c r="FD39" s="306"/>
      <c r="FE39" s="306"/>
      <c r="FF39" s="306"/>
      <c r="FG39" s="306"/>
      <c r="FH39" s="306"/>
      <c r="FI39" s="306"/>
      <c r="FJ39" s="306"/>
      <c r="FK39" s="306"/>
      <c r="FL39" s="487"/>
      <c r="FM39" s="306"/>
      <c r="FN39" s="306"/>
      <c r="FO39" s="306"/>
      <c r="FP39" s="306"/>
      <c r="FQ39" s="306"/>
      <c r="FR39" s="306"/>
      <c r="FS39" s="306"/>
      <c r="FT39" s="306"/>
      <c r="FU39" s="306"/>
      <c r="FV39" s="306"/>
      <c r="FW39" s="306"/>
      <c r="FX39" s="306"/>
      <c r="FY39" s="306"/>
      <c r="FZ39" s="306"/>
      <c r="GA39" s="306"/>
      <c r="GB39" s="491"/>
      <c r="GC39" s="306"/>
      <c r="GD39" s="306"/>
      <c r="GE39" s="306"/>
      <c r="GF39" s="491"/>
      <c r="GG39" s="494"/>
      <c r="GH39" s="487"/>
      <c r="GI39" s="306"/>
      <c r="GJ39" s="499" t="s">
        <v>4379</v>
      </c>
      <c r="GK39" s="100">
        <v>2</v>
      </c>
      <c r="GL39" s="100" t="s">
        <v>4819</v>
      </c>
      <c r="GM39" s="497" t="str">
        <f t="shared" si="7"/>
        <v>levels.total_points.level:2</v>
      </c>
      <c r="GN39" s="306"/>
      <c r="GO39" s="306"/>
      <c r="GP39" s="306"/>
    </row>
    <row r="40" spans="1:198" ht="45" x14ac:dyDescent="0.15">
      <c r="A40" s="500" t="str">
        <f>VLOOKUP($J40&amp;":", Catalog!$F$5:$BV127, COLUMNS(Catalog!$F$5:$BV127), FALSE)</f>
        <v>State 2: playerLevel &gt;=3</v>
      </c>
      <c r="B40" s="482" t="b">
        <f t="shared" ca="1" si="0"/>
        <v>0</v>
      </c>
      <c r="C40" s="483" t="str">
        <f t="shared" si="1"/>
        <v>grantPerkMultiFreezeState2</v>
      </c>
      <c r="D40" s="484" t="str">
        <f>VLOOKUP($J40&amp;":", Catalog!$F$5:$BW127, COLUMNS(Catalog!$F$5:$BW127), FALSE)</f>
        <v>never</v>
      </c>
      <c r="E40" s="485">
        <f>VLOOKUP($J40&amp;":", Catalog!$F$5:$BX127, COLUMNS(Catalog!$F$5:$BX127), FALSE)</f>
        <v>0</v>
      </c>
      <c r="F40" s="484">
        <f>VLOOKUP($J40&amp;":", Catalog!$F$5:$BY127, COLUMNS(Catalog!$F$5:$BY127), FALSE)</f>
        <v>0</v>
      </c>
      <c r="G40" s="501" t="str">
        <f>VLOOKUP($J40, Catalog!$E$5:$BZ127, COLUMNS(Catalog!$E$5:$BZ127), FALSE)</f>
        <v>rewardIfAllRequirementsMet</v>
      </c>
      <c r="H40" s="483" t="s">
        <v>625</v>
      </c>
      <c r="I40" s="483">
        <v>2</v>
      </c>
      <c r="J40" s="306" t="s">
        <v>664</v>
      </c>
      <c r="K40" s="486">
        <v>1</v>
      </c>
      <c r="L40" s="100" t="s">
        <v>279</v>
      </c>
      <c r="M40" s="100">
        <v>2</v>
      </c>
      <c r="N40" s="100" t="s">
        <v>280</v>
      </c>
      <c r="O40" s="86"/>
      <c r="P40" s="86"/>
      <c r="Q40" s="86"/>
      <c r="R40" s="100" t="str">
        <f t="shared" si="2"/>
        <v>never</v>
      </c>
      <c r="S40" s="487"/>
      <c r="T40" s="486"/>
      <c r="U40" s="488"/>
      <c r="V40" s="488"/>
      <c r="W40" s="488"/>
      <c r="X40" s="488"/>
      <c r="Y40" s="306"/>
      <c r="Z40" s="306"/>
      <c r="AA40" s="489"/>
      <c r="AB40" s="306" t="str">
        <f t="shared" si="3"/>
        <v>total_points</v>
      </c>
      <c r="AC40" s="490">
        <f t="shared" si="4"/>
        <v>0</v>
      </c>
      <c r="AD40" s="490">
        <f t="shared" si="5"/>
        <v>0</v>
      </c>
      <c r="AE40" s="306"/>
      <c r="AF40" s="332" t="str">
        <f t="shared" si="6"/>
        <v>perkMultiFreeze</v>
      </c>
      <c r="AG40" s="306"/>
      <c r="AH40" s="487"/>
      <c r="AI40" s="306"/>
      <c r="AJ40" s="306"/>
      <c r="AK40" s="306"/>
      <c r="AL40" s="306"/>
      <c r="AM40" s="306"/>
      <c r="AN40" s="491"/>
      <c r="AO40" s="306"/>
      <c r="AP40" s="306"/>
      <c r="AQ40" s="306"/>
      <c r="AR40" s="306"/>
      <c r="AS40" s="306"/>
      <c r="AT40" s="487"/>
      <c r="AU40" s="306"/>
      <c r="AV40" s="306"/>
      <c r="AW40" s="306"/>
      <c r="AX40" s="306"/>
      <c r="AY40" s="306"/>
      <c r="AZ40" s="491"/>
      <c r="BA40" s="306"/>
      <c r="BB40" s="306"/>
      <c r="BC40" s="487"/>
      <c r="BD40" s="306"/>
      <c r="BE40" s="306"/>
      <c r="BF40" s="492" t="str">
        <f ca="1">IFERROR(__xludf.DUMMYFUNCTION("IF(REGEXMATCH($G40, ""Any""), ""any"", IF(REGEXMATCH($G40, ""All""), ""all"", """"))"),"all")</f>
        <v>all</v>
      </c>
      <c r="BG40" s="491"/>
      <c r="BH40" s="306"/>
      <c r="BI40" s="306"/>
      <c r="BJ40" s="306"/>
      <c r="BK40" s="306"/>
      <c r="BL40" s="306"/>
      <c r="BM40" s="306"/>
      <c r="BN40" s="306"/>
      <c r="BO40" s="306"/>
      <c r="BP40" s="493"/>
      <c r="BQ40" s="306"/>
      <c r="BR40" s="306"/>
      <c r="BS40" s="494"/>
      <c r="BT40" s="487"/>
      <c r="BU40" s="306"/>
      <c r="BV40" s="306"/>
      <c r="BW40" s="306"/>
      <c r="BX40" s="306"/>
      <c r="BY40" s="306"/>
      <c r="BZ40" s="306"/>
      <c r="CA40" s="306"/>
      <c r="CB40" s="306"/>
      <c r="CC40" s="493"/>
      <c r="CD40" s="306"/>
      <c r="CE40" s="306"/>
      <c r="CF40" s="494"/>
      <c r="CG40" s="487"/>
      <c r="CH40" s="306"/>
      <c r="CI40" s="306"/>
      <c r="CJ40" s="306"/>
      <c r="CK40" s="306"/>
      <c r="CL40" s="306"/>
      <c r="CM40" s="306"/>
      <c r="CN40" s="306"/>
      <c r="CO40" s="306"/>
      <c r="CP40" s="306"/>
      <c r="CQ40" s="306"/>
      <c r="CR40" s="306"/>
      <c r="CS40" s="494"/>
      <c r="CT40" s="306"/>
      <c r="CU40" s="306"/>
      <c r="CV40" s="306"/>
      <c r="CW40" s="306"/>
      <c r="CX40" s="306"/>
      <c r="CY40" s="306"/>
      <c r="CZ40" s="306"/>
      <c r="DA40" s="306"/>
      <c r="DB40" s="306"/>
      <c r="DC40" s="493"/>
      <c r="DD40" s="306"/>
      <c r="DE40" s="306"/>
      <c r="DF40" s="494"/>
      <c r="DG40" s="306"/>
      <c r="DH40" s="306"/>
      <c r="DI40" s="306"/>
      <c r="DJ40" s="306"/>
      <c r="DK40" s="306"/>
      <c r="DL40" s="306"/>
      <c r="DM40" s="306"/>
      <c r="DN40" s="306"/>
      <c r="DO40" s="306"/>
      <c r="DP40" s="493"/>
      <c r="DQ40" s="306"/>
      <c r="DR40" s="306"/>
      <c r="DS40" s="489"/>
      <c r="DT40" s="306"/>
      <c r="DU40" s="306"/>
      <c r="DV40" s="306"/>
      <c r="DW40" s="306"/>
      <c r="DX40" s="306"/>
      <c r="DY40" s="306"/>
      <c r="DZ40" s="306"/>
      <c r="EA40" s="306"/>
      <c r="EB40" s="306"/>
      <c r="EC40" s="306"/>
      <c r="ED40" s="493"/>
      <c r="EE40" s="306"/>
      <c r="EF40" s="306"/>
      <c r="EG40" s="306"/>
      <c r="EH40" s="487"/>
      <c r="EI40" s="306"/>
      <c r="EJ40" s="306"/>
      <c r="EK40" s="306"/>
      <c r="EL40" s="306"/>
      <c r="EM40" s="306"/>
      <c r="EN40" s="306"/>
      <c r="EO40" s="306"/>
      <c r="EP40" s="306"/>
      <c r="EQ40" s="306"/>
      <c r="ER40" s="306"/>
      <c r="ES40" s="306"/>
      <c r="ET40" s="306"/>
      <c r="EU40" s="306"/>
      <c r="EV40" s="491"/>
      <c r="EW40" s="306"/>
      <c r="EX40" s="306"/>
      <c r="EY40" s="306"/>
      <c r="EZ40" s="306"/>
      <c r="FA40" s="306"/>
      <c r="FB40" s="306"/>
      <c r="FC40" s="306"/>
      <c r="FD40" s="306"/>
      <c r="FE40" s="306"/>
      <c r="FF40" s="306"/>
      <c r="FG40" s="306"/>
      <c r="FH40" s="306"/>
      <c r="FI40" s="306"/>
      <c r="FJ40" s="306"/>
      <c r="FK40" s="306"/>
      <c r="FL40" s="487"/>
      <c r="FM40" s="306"/>
      <c r="FN40" s="306"/>
      <c r="FO40" s="306"/>
      <c r="FP40" s="306"/>
      <c r="FQ40" s="306"/>
      <c r="FR40" s="306"/>
      <c r="FS40" s="306"/>
      <c r="FT40" s="306"/>
      <c r="FU40" s="306"/>
      <c r="FV40" s="306"/>
      <c r="FW40" s="306"/>
      <c r="FX40" s="306"/>
      <c r="FY40" s="306"/>
      <c r="FZ40" s="306"/>
      <c r="GA40" s="306"/>
      <c r="GB40" s="491"/>
      <c r="GC40" s="306"/>
      <c r="GD40" s="306"/>
      <c r="GE40" s="306"/>
      <c r="GF40" s="491"/>
      <c r="GG40" s="494"/>
      <c r="GH40" s="487"/>
      <c r="GI40" s="306"/>
      <c r="GJ40" s="499" t="s">
        <v>4379</v>
      </c>
      <c r="GK40" s="100">
        <v>3</v>
      </c>
      <c r="GL40" s="100" t="s">
        <v>4819</v>
      </c>
      <c r="GM40" s="497" t="str">
        <f t="shared" si="7"/>
        <v>levels.total_points.level:3</v>
      </c>
      <c r="GN40" s="306"/>
      <c r="GO40" s="306"/>
      <c r="GP40" s="306"/>
    </row>
    <row r="41" spans="1:198" ht="45" x14ac:dyDescent="0.15">
      <c r="A41" s="500" t="str">
        <f>VLOOKUP($J41&amp;":", Catalog!$F$5:$BV127, COLUMNS(Catalog!$F$5:$BV127), FALSE)</f>
        <v>State 2: playerLevel &gt;=4</v>
      </c>
      <c r="B41" s="482" t="b">
        <f t="shared" ca="1" si="0"/>
        <v>0</v>
      </c>
      <c r="C41" s="483" t="str">
        <f t="shared" si="1"/>
        <v>grantPerkMultiLightningState2</v>
      </c>
      <c r="D41" s="484" t="str">
        <f>VLOOKUP($J41&amp;":", Catalog!$F$5:$BW127, COLUMNS(Catalog!$F$5:$BW127), FALSE)</f>
        <v>never</v>
      </c>
      <c r="E41" s="485">
        <f>VLOOKUP($J41&amp;":", Catalog!$F$5:$BX127, COLUMNS(Catalog!$F$5:$BX127), FALSE)</f>
        <v>0</v>
      </c>
      <c r="F41" s="484">
        <f>VLOOKUP($J41&amp;":", Catalog!$F$5:$BY127, COLUMNS(Catalog!$F$5:$BY127), FALSE)</f>
        <v>0</v>
      </c>
      <c r="G41" s="501" t="str">
        <f>VLOOKUP($J41, Catalog!$E$5:$BZ127, COLUMNS(Catalog!$E$5:$BZ127), FALSE)</f>
        <v>rewardIfAllRequirementsMet</v>
      </c>
      <c r="H41" s="483" t="s">
        <v>625</v>
      </c>
      <c r="I41" s="483">
        <v>2</v>
      </c>
      <c r="J41" s="306" t="s">
        <v>639</v>
      </c>
      <c r="K41" s="486">
        <v>1</v>
      </c>
      <c r="L41" s="100" t="s">
        <v>279</v>
      </c>
      <c r="M41" s="100">
        <v>2</v>
      </c>
      <c r="N41" s="100" t="s">
        <v>280</v>
      </c>
      <c r="O41" s="86"/>
      <c r="P41" s="86"/>
      <c r="Q41" s="86"/>
      <c r="R41" s="100" t="str">
        <f t="shared" si="2"/>
        <v>never</v>
      </c>
      <c r="S41" s="487"/>
      <c r="T41" s="486"/>
      <c r="U41" s="488"/>
      <c r="V41" s="488"/>
      <c r="W41" s="488"/>
      <c r="X41" s="488"/>
      <c r="Y41" s="306"/>
      <c r="Z41" s="306"/>
      <c r="AA41" s="489"/>
      <c r="AB41" s="306" t="str">
        <f t="shared" si="3"/>
        <v>total_points</v>
      </c>
      <c r="AC41" s="490">
        <f t="shared" si="4"/>
        <v>0</v>
      </c>
      <c r="AD41" s="490">
        <f t="shared" si="5"/>
        <v>0</v>
      </c>
      <c r="AE41" s="306"/>
      <c r="AF41" s="332" t="str">
        <f t="shared" si="6"/>
        <v>perkMultiLightning</v>
      </c>
      <c r="AG41" s="306"/>
      <c r="AH41" s="487"/>
      <c r="AI41" s="306"/>
      <c r="AJ41" s="306"/>
      <c r="AK41" s="306"/>
      <c r="AL41" s="306"/>
      <c r="AM41" s="306"/>
      <c r="AN41" s="491"/>
      <c r="AO41" s="306"/>
      <c r="AP41" s="306"/>
      <c r="AQ41" s="306"/>
      <c r="AR41" s="306"/>
      <c r="AS41" s="306"/>
      <c r="AT41" s="487"/>
      <c r="AU41" s="306"/>
      <c r="AV41" s="306"/>
      <c r="AW41" s="306"/>
      <c r="AX41" s="306"/>
      <c r="AY41" s="306"/>
      <c r="AZ41" s="491"/>
      <c r="BA41" s="306"/>
      <c r="BB41" s="306"/>
      <c r="BC41" s="487"/>
      <c r="BD41" s="306"/>
      <c r="BE41" s="306"/>
      <c r="BF41" s="492" t="str">
        <f ca="1">IFERROR(__xludf.DUMMYFUNCTION("IF(REGEXMATCH($G41, ""Any""), ""any"", IF(REGEXMATCH($G41, ""All""), ""all"", """"))"),"all")</f>
        <v>all</v>
      </c>
      <c r="BG41" s="491"/>
      <c r="BH41" s="306"/>
      <c r="BI41" s="306"/>
      <c r="BJ41" s="306"/>
      <c r="BK41" s="306"/>
      <c r="BL41" s="306"/>
      <c r="BM41" s="306"/>
      <c r="BN41" s="306"/>
      <c r="BO41" s="306"/>
      <c r="BP41" s="493"/>
      <c r="BQ41" s="306"/>
      <c r="BR41" s="306"/>
      <c r="BS41" s="494"/>
      <c r="BT41" s="487"/>
      <c r="BU41" s="306"/>
      <c r="BV41" s="306"/>
      <c r="BW41" s="306"/>
      <c r="BX41" s="306"/>
      <c r="BY41" s="306"/>
      <c r="BZ41" s="306"/>
      <c r="CA41" s="306"/>
      <c r="CB41" s="306"/>
      <c r="CC41" s="493"/>
      <c r="CD41" s="306"/>
      <c r="CE41" s="306"/>
      <c r="CF41" s="494"/>
      <c r="CG41" s="487"/>
      <c r="CH41" s="306"/>
      <c r="CI41" s="306"/>
      <c r="CJ41" s="306"/>
      <c r="CK41" s="306"/>
      <c r="CL41" s="306"/>
      <c r="CM41" s="306"/>
      <c r="CN41" s="306"/>
      <c r="CO41" s="306"/>
      <c r="CP41" s="306"/>
      <c r="CQ41" s="306"/>
      <c r="CR41" s="306"/>
      <c r="CS41" s="494"/>
      <c r="CT41" s="306"/>
      <c r="CU41" s="306"/>
      <c r="CV41" s="306"/>
      <c r="CW41" s="306"/>
      <c r="CX41" s="306"/>
      <c r="CY41" s="306"/>
      <c r="CZ41" s="306"/>
      <c r="DA41" s="306"/>
      <c r="DB41" s="306"/>
      <c r="DC41" s="493"/>
      <c r="DD41" s="306"/>
      <c r="DE41" s="306"/>
      <c r="DF41" s="494"/>
      <c r="DG41" s="306"/>
      <c r="DH41" s="306"/>
      <c r="DI41" s="306"/>
      <c r="DJ41" s="306"/>
      <c r="DK41" s="306"/>
      <c r="DL41" s="306"/>
      <c r="DM41" s="306"/>
      <c r="DN41" s="306"/>
      <c r="DO41" s="306"/>
      <c r="DP41" s="493"/>
      <c r="DQ41" s="306"/>
      <c r="DR41" s="306"/>
      <c r="DS41" s="489"/>
      <c r="DT41" s="306"/>
      <c r="DU41" s="306"/>
      <c r="DV41" s="306"/>
      <c r="DW41" s="306"/>
      <c r="DX41" s="306"/>
      <c r="DY41" s="306"/>
      <c r="DZ41" s="306"/>
      <c r="EA41" s="306"/>
      <c r="EB41" s="306"/>
      <c r="EC41" s="306"/>
      <c r="ED41" s="493"/>
      <c r="EE41" s="306"/>
      <c r="EF41" s="306"/>
      <c r="EG41" s="306"/>
      <c r="EH41" s="487"/>
      <c r="EI41" s="306"/>
      <c r="EJ41" s="306"/>
      <c r="EK41" s="306"/>
      <c r="EL41" s="306"/>
      <c r="EM41" s="306"/>
      <c r="EN41" s="306"/>
      <c r="EO41" s="306"/>
      <c r="EP41" s="306"/>
      <c r="EQ41" s="306"/>
      <c r="ER41" s="306"/>
      <c r="ES41" s="306"/>
      <c r="ET41" s="306"/>
      <c r="EU41" s="306"/>
      <c r="EV41" s="491"/>
      <c r="EW41" s="306"/>
      <c r="EX41" s="306"/>
      <c r="EY41" s="306"/>
      <c r="EZ41" s="306"/>
      <c r="FA41" s="306"/>
      <c r="FB41" s="306"/>
      <c r="FC41" s="306"/>
      <c r="FD41" s="306"/>
      <c r="FE41" s="306"/>
      <c r="FF41" s="306"/>
      <c r="FG41" s="306"/>
      <c r="FH41" s="306"/>
      <c r="FI41" s="306"/>
      <c r="FJ41" s="306"/>
      <c r="FK41" s="306"/>
      <c r="FL41" s="487"/>
      <c r="FM41" s="306"/>
      <c r="FN41" s="306"/>
      <c r="FO41" s="306"/>
      <c r="FP41" s="306"/>
      <c r="FQ41" s="306"/>
      <c r="FR41" s="306"/>
      <c r="FS41" s="306"/>
      <c r="FT41" s="306"/>
      <c r="FU41" s="306"/>
      <c r="FV41" s="306"/>
      <c r="FW41" s="306"/>
      <c r="FX41" s="306"/>
      <c r="FY41" s="306"/>
      <c r="FZ41" s="306"/>
      <c r="GA41" s="306"/>
      <c r="GB41" s="491"/>
      <c r="GC41" s="306"/>
      <c r="GD41" s="306"/>
      <c r="GE41" s="306"/>
      <c r="GF41" s="491"/>
      <c r="GG41" s="494"/>
      <c r="GH41" s="487"/>
      <c r="GI41" s="306"/>
      <c r="GJ41" s="499" t="s">
        <v>4379</v>
      </c>
      <c r="GK41" s="100">
        <v>4</v>
      </c>
      <c r="GL41" s="100" t="s">
        <v>4819</v>
      </c>
      <c r="GM41" s="497" t="str">
        <f t="shared" si="7"/>
        <v>levels.total_points.level:4</v>
      </c>
      <c r="GN41" s="306"/>
      <c r="GO41" s="306"/>
      <c r="GP41" s="306"/>
    </row>
    <row r="42" spans="1:198" ht="45" x14ac:dyDescent="0.15">
      <c r="A42" s="500" t="str">
        <f>VLOOKUP($J42&amp;":", Catalog!$F$5:$BV127, COLUMNS(Catalog!$F$5:$BV127), FALSE)</f>
        <v>State 2: playerLevel &gt;=16</v>
      </c>
      <c r="B42" s="482" t="b">
        <f t="shared" ca="1" si="0"/>
        <v>0</v>
      </c>
      <c r="C42" s="483" t="str">
        <f t="shared" si="1"/>
        <v>grantPerkLauncherDamageState2</v>
      </c>
      <c r="D42" s="484" t="str">
        <f>VLOOKUP($J42&amp;":", Catalog!$F$5:$BW127, COLUMNS(Catalog!$F$5:$BW127), FALSE)</f>
        <v>never</v>
      </c>
      <c r="E42" s="485">
        <f>VLOOKUP($J42&amp;":", Catalog!$F$5:$BX127, COLUMNS(Catalog!$F$5:$BX127), FALSE)</f>
        <v>0</v>
      </c>
      <c r="F42" s="484">
        <f>VLOOKUP($J42&amp;":", Catalog!$F$5:$BY127, COLUMNS(Catalog!$F$5:$BY127), FALSE)</f>
        <v>0</v>
      </c>
      <c r="G42" s="501" t="str">
        <f>VLOOKUP($J42, Catalog!$E$5:$BZ127, COLUMNS(Catalog!$E$5:$BZ127), FALSE)</f>
        <v>rewardIfAllRequirementsMet</v>
      </c>
      <c r="H42" s="483" t="s">
        <v>625</v>
      </c>
      <c r="I42" s="483">
        <v>2</v>
      </c>
      <c r="J42" s="306" t="s">
        <v>743</v>
      </c>
      <c r="K42" s="486">
        <v>1</v>
      </c>
      <c r="L42" s="100" t="s">
        <v>279</v>
      </c>
      <c r="M42" s="100">
        <v>2</v>
      </c>
      <c r="N42" s="100" t="s">
        <v>280</v>
      </c>
      <c r="O42" s="86"/>
      <c r="P42" s="86"/>
      <c r="Q42" s="86"/>
      <c r="R42" s="100" t="str">
        <f t="shared" si="2"/>
        <v>never</v>
      </c>
      <c r="S42" s="487"/>
      <c r="T42" s="486"/>
      <c r="U42" s="488"/>
      <c r="V42" s="488"/>
      <c r="W42" s="488"/>
      <c r="X42" s="488"/>
      <c r="Y42" s="306"/>
      <c r="Z42" s="306"/>
      <c r="AA42" s="489"/>
      <c r="AB42" s="306" t="str">
        <f t="shared" si="3"/>
        <v>total_points</v>
      </c>
      <c r="AC42" s="490">
        <f t="shared" si="4"/>
        <v>0</v>
      </c>
      <c r="AD42" s="490">
        <f t="shared" si="5"/>
        <v>0</v>
      </c>
      <c r="AE42" s="306"/>
      <c r="AF42" s="332" t="str">
        <f t="shared" si="6"/>
        <v>perkLauncherDamage</v>
      </c>
      <c r="AG42" s="306"/>
      <c r="AH42" s="487"/>
      <c r="AI42" s="306"/>
      <c r="AJ42" s="306"/>
      <c r="AK42" s="306"/>
      <c r="AL42" s="306"/>
      <c r="AM42" s="306"/>
      <c r="AN42" s="491"/>
      <c r="AO42" s="306"/>
      <c r="AP42" s="306"/>
      <c r="AQ42" s="306"/>
      <c r="AR42" s="306"/>
      <c r="AS42" s="306"/>
      <c r="AT42" s="487"/>
      <c r="AU42" s="306"/>
      <c r="AV42" s="306"/>
      <c r="AW42" s="306"/>
      <c r="AX42" s="306"/>
      <c r="AY42" s="306"/>
      <c r="AZ42" s="491"/>
      <c r="BA42" s="306"/>
      <c r="BB42" s="306"/>
      <c r="BC42" s="487"/>
      <c r="BD42" s="306"/>
      <c r="BE42" s="306"/>
      <c r="BF42" s="492" t="str">
        <f ca="1">IFERROR(__xludf.DUMMYFUNCTION("IF(REGEXMATCH($G42, ""Any""), ""any"", IF(REGEXMATCH($G42, ""All""), ""all"", """"))"),"all")</f>
        <v>all</v>
      </c>
      <c r="BG42" s="491"/>
      <c r="BH42" s="306"/>
      <c r="BI42" s="306"/>
      <c r="BJ42" s="306"/>
      <c r="BK42" s="306"/>
      <c r="BL42" s="306"/>
      <c r="BM42" s="306"/>
      <c r="BN42" s="306"/>
      <c r="BO42" s="306"/>
      <c r="BP42" s="493"/>
      <c r="BQ42" s="306"/>
      <c r="BR42" s="306"/>
      <c r="BS42" s="494"/>
      <c r="BT42" s="487"/>
      <c r="BU42" s="306"/>
      <c r="BV42" s="306"/>
      <c r="BW42" s="306"/>
      <c r="BX42" s="306"/>
      <c r="BY42" s="306"/>
      <c r="BZ42" s="306"/>
      <c r="CA42" s="306"/>
      <c r="CB42" s="306"/>
      <c r="CC42" s="493"/>
      <c r="CD42" s="306"/>
      <c r="CE42" s="306"/>
      <c r="CF42" s="494"/>
      <c r="CG42" s="487"/>
      <c r="CH42" s="306"/>
      <c r="CI42" s="306"/>
      <c r="CJ42" s="306"/>
      <c r="CK42" s="306"/>
      <c r="CL42" s="306"/>
      <c r="CM42" s="306"/>
      <c r="CN42" s="306"/>
      <c r="CO42" s="306"/>
      <c r="CP42" s="306"/>
      <c r="CQ42" s="306"/>
      <c r="CR42" s="306"/>
      <c r="CS42" s="494"/>
      <c r="CT42" s="306"/>
      <c r="CU42" s="306"/>
      <c r="CV42" s="306"/>
      <c r="CW42" s="306"/>
      <c r="CX42" s="306"/>
      <c r="CY42" s="306"/>
      <c r="CZ42" s="306"/>
      <c r="DA42" s="306"/>
      <c r="DB42" s="306"/>
      <c r="DC42" s="493"/>
      <c r="DD42" s="306"/>
      <c r="DE42" s="306"/>
      <c r="DF42" s="494"/>
      <c r="DG42" s="306"/>
      <c r="DH42" s="306"/>
      <c r="DI42" s="306"/>
      <c r="DJ42" s="306"/>
      <c r="DK42" s="306"/>
      <c r="DL42" s="306"/>
      <c r="DM42" s="306"/>
      <c r="DN42" s="306"/>
      <c r="DO42" s="306"/>
      <c r="DP42" s="493"/>
      <c r="DQ42" s="306"/>
      <c r="DR42" s="306"/>
      <c r="DS42" s="489"/>
      <c r="DT42" s="306"/>
      <c r="DU42" s="306"/>
      <c r="DV42" s="306"/>
      <c r="DW42" s="306"/>
      <c r="DX42" s="306"/>
      <c r="DY42" s="306"/>
      <c r="DZ42" s="306"/>
      <c r="EA42" s="306"/>
      <c r="EB42" s="306"/>
      <c r="EC42" s="306"/>
      <c r="ED42" s="493"/>
      <c r="EE42" s="306"/>
      <c r="EF42" s="306"/>
      <c r="EG42" s="306"/>
      <c r="EH42" s="487"/>
      <c r="EI42" s="306"/>
      <c r="EJ42" s="306"/>
      <c r="EK42" s="306"/>
      <c r="EL42" s="306"/>
      <c r="EM42" s="306"/>
      <c r="EN42" s="306"/>
      <c r="EO42" s="306"/>
      <c r="EP42" s="306"/>
      <c r="EQ42" s="306"/>
      <c r="ER42" s="306"/>
      <c r="ES42" s="306"/>
      <c r="ET42" s="306"/>
      <c r="EU42" s="306"/>
      <c r="EV42" s="491"/>
      <c r="EW42" s="306"/>
      <c r="EX42" s="306"/>
      <c r="EY42" s="306"/>
      <c r="EZ42" s="306"/>
      <c r="FA42" s="306"/>
      <c r="FB42" s="306"/>
      <c r="FC42" s="306"/>
      <c r="FD42" s="306"/>
      <c r="FE42" s="306"/>
      <c r="FF42" s="306"/>
      <c r="FG42" s="306"/>
      <c r="FH42" s="306"/>
      <c r="FI42" s="306"/>
      <c r="FJ42" s="306"/>
      <c r="FK42" s="306"/>
      <c r="FL42" s="487"/>
      <c r="FM42" s="306"/>
      <c r="FN42" s="306"/>
      <c r="FO42" s="306"/>
      <c r="FP42" s="306"/>
      <c r="FQ42" s="306"/>
      <c r="FR42" s="306"/>
      <c r="FS42" s="306"/>
      <c r="FT42" s="306"/>
      <c r="FU42" s="306"/>
      <c r="FV42" s="306"/>
      <c r="FW42" s="306"/>
      <c r="FX42" s="306"/>
      <c r="FY42" s="306"/>
      <c r="FZ42" s="306"/>
      <c r="GA42" s="306"/>
      <c r="GB42" s="491"/>
      <c r="GC42" s="306"/>
      <c r="GD42" s="306"/>
      <c r="GE42" s="306"/>
      <c r="GF42" s="491"/>
      <c r="GG42" s="494"/>
      <c r="GH42" s="487"/>
      <c r="GI42" s="306"/>
      <c r="GJ42" s="499" t="s">
        <v>4379</v>
      </c>
      <c r="GK42" s="100">
        <v>16</v>
      </c>
      <c r="GL42" s="100" t="s">
        <v>4819</v>
      </c>
      <c r="GM42" s="497" t="str">
        <f t="shared" si="7"/>
        <v>levels.total_points.level:16</v>
      </c>
      <c r="GN42" s="306"/>
      <c r="GO42" s="306"/>
      <c r="GP42" s="306"/>
    </row>
    <row r="43" spans="1:198" ht="45" x14ac:dyDescent="0.15">
      <c r="A43" s="500" t="str">
        <f>VLOOKUP($J43&amp;":", Catalog!$F$5:$BV127, COLUMNS(Catalog!$F$5:$BV127), FALSE)</f>
        <v>State 2: playerLevel &gt;=17</v>
      </c>
      <c r="B43" s="482" t="b">
        <f t="shared" ca="1" si="0"/>
        <v>0</v>
      </c>
      <c r="C43" s="483" t="str">
        <f t="shared" si="1"/>
        <v>grantPerkLauncherAmmoState2</v>
      </c>
      <c r="D43" s="484" t="str">
        <f>VLOOKUP($J43&amp;":", Catalog!$F$5:$BW127, COLUMNS(Catalog!$F$5:$BW127), FALSE)</f>
        <v>never</v>
      </c>
      <c r="E43" s="485">
        <f>VLOOKUP($J43&amp;":", Catalog!$F$5:$BX127, COLUMNS(Catalog!$F$5:$BX127), FALSE)</f>
        <v>0</v>
      </c>
      <c r="F43" s="484">
        <f>VLOOKUP($J43&amp;":", Catalog!$F$5:$BY127, COLUMNS(Catalog!$F$5:$BY127), FALSE)</f>
        <v>0</v>
      </c>
      <c r="G43" s="501" t="str">
        <f>VLOOKUP($J43, Catalog!$E$5:$BZ127, COLUMNS(Catalog!$E$5:$BZ127), FALSE)</f>
        <v>rewardIfAllRequirementsMet</v>
      </c>
      <c r="H43" s="483" t="s">
        <v>625</v>
      </c>
      <c r="I43" s="483">
        <v>2</v>
      </c>
      <c r="J43" s="306" t="s">
        <v>757</v>
      </c>
      <c r="K43" s="486">
        <v>1</v>
      </c>
      <c r="L43" s="100" t="s">
        <v>279</v>
      </c>
      <c r="M43" s="100">
        <v>2</v>
      </c>
      <c r="N43" s="100" t="s">
        <v>280</v>
      </c>
      <c r="O43" s="86"/>
      <c r="P43" s="86"/>
      <c r="Q43" s="86"/>
      <c r="R43" s="100" t="str">
        <f t="shared" si="2"/>
        <v>never</v>
      </c>
      <c r="S43" s="487"/>
      <c r="T43" s="486"/>
      <c r="U43" s="488"/>
      <c r="V43" s="488"/>
      <c r="W43" s="488"/>
      <c r="X43" s="488"/>
      <c r="Y43" s="306"/>
      <c r="Z43" s="306"/>
      <c r="AA43" s="489"/>
      <c r="AB43" s="306" t="str">
        <f t="shared" si="3"/>
        <v>total_points</v>
      </c>
      <c r="AC43" s="490">
        <f t="shared" si="4"/>
        <v>0</v>
      </c>
      <c r="AD43" s="490">
        <f t="shared" si="5"/>
        <v>0</v>
      </c>
      <c r="AE43" s="306"/>
      <c r="AF43" s="332" t="str">
        <f t="shared" si="6"/>
        <v>perkLauncherAmmo</v>
      </c>
      <c r="AG43" s="306"/>
      <c r="AH43" s="487"/>
      <c r="AI43" s="306"/>
      <c r="AJ43" s="306"/>
      <c r="AK43" s="306"/>
      <c r="AL43" s="306"/>
      <c r="AM43" s="306"/>
      <c r="AN43" s="491"/>
      <c r="AO43" s="306"/>
      <c r="AP43" s="306"/>
      <c r="AQ43" s="306"/>
      <c r="AR43" s="306"/>
      <c r="AS43" s="306"/>
      <c r="AT43" s="487"/>
      <c r="AU43" s="306"/>
      <c r="AV43" s="306"/>
      <c r="AW43" s="306"/>
      <c r="AX43" s="306"/>
      <c r="AY43" s="306"/>
      <c r="AZ43" s="491"/>
      <c r="BA43" s="306"/>
      <c r="BB43" s="306"/>
      <c r="BC43" s="487"/>
      <c r="BD43" s="306"/>
      <c r="BE43" s="306"/>
      <c r="BF43" s="492" t="str">
        <f ca="1">IFERROR(__xludf.DUMMYFUNCTION("IF(REGEXMATCH($G43, ""Any""), ""any"", IF(REGEXMATCH($G43, ""All""), ""all"", """"))"),"all")</f>
        <v>all</v>
      </c>
      <c r="BG43" s="491"/>
      <c r="BH43" s="306"/>
      <c r="BI43" s="306"/>
      <c r="BJ43" s="306"/>
      <c r="BK43" s="306"/>
      <c r="BL43" s="306"/>
      <c r="BM43" s="306"/>
      <c r="BN43" s="306"/>
      <c r="BO43" s="306"/>
      <c r="BP43" s="493"/>
      <c r="BQ43" s="306"/>
      <c r="BR43" s="306"/>
      <c r="BS43" s="494"/>
      <c r="BT43" s="487"/>
      <c r="BU43" s="306"/>
      <c r="BV43" s="306"/>
      <c r="BW43" s="306"/>
      <c r="BX43" s="306"/>
      <c r="BY43" s="306"/>
      <c r="BZ43" s="306"/>
      <c r="CA43" s="306"/>
      <c r="CB43" s="306"/>
      <c r="CC43" s="493"/>
      <c r="CD43" s="306"/>
      <c r="CE43" s="306"/>
      <c r="CF43" s="494"/>
      <c r="CG43" s="487"/>
      <c r="CH43" s="306"/>
      <c r="CI43" s="306"/>
      <c r="CJ43" s="306"/>
      <c r="CK43" s="306"/>
      <c r="CL43" s="306"/>
      <c r="CM43" s="306"/>
      <c r="CN43" s="306"/>
      <c r="CO43" s="306"/>
      <c r="CP43" s="306"/>
      <c r="CQ43" s="306"/>
      <c r="CR43" s="306"/>
      <c r="CS43" s="494"/>
      <c r="CT43" s="306"/>
      <c r="CU43" s="306"/>
      <c r="CV43" s="306"/>
      <c r="CW43" s="306"/>
      <c r="CX43" s="306"/>
      <c r="CY43" s="306"/>
      <c r="CZ43" s="306"/>
      <c r="DA43" s="306"/>
      <c r="DB43" s="306"/>
      <c r="DC43" s="493"/>
      <c r="DD43" s="306"/>
      <c r="DE43" s="306"/>
      <c r="DF43" s="494"/>
      <c r="DG43" s="306"/>
      <c r="DH43" s="306"/>
      <c r="DI43" s="306"/>
      <c r="DJ43" s="306"/>
      <c r="DK43" s="306"/>
      <c r="DL43" s="306"/>
      <c r="DM43" s="306"/>
      <c r="DN43" s="306"/>
      <c r="DO43" s="306"/>
      <c r="DP43" s="493"/>
      <c r="DQ43" s="306"/>
      <c r="DR43" s="306"/>
      <c r="DS43" s="489"/>
      <c r="DT43" s="306"/>
      <c r="DU43" s="306"/>
      <c r="DV43" s="306"/>
      <c r="DW43" s="306"/>
      <c r="DX43" s="306"/>
      <c r="DY43" s="306"/>
      <c r="DZ43" s="306"/>
      <c r="EA43" s="306"/>
      <c r="EB43" s="306"/>
      <c r="EC43" s="306"/>
      <c r="ED43" s="493"/>
      <c r="EE43" s="306"/>
      <c r="EF43" s="306"/>
      <c r="EG43" s="306"/>
      <c r="EH43" s="487"/>
      <c r="EI43" s="306"/>
      <c r="EJ43" s="306"/>
      <c r="EK43" s="306"/>
      <c r="EL43" s="306"/>
      <c r="EM43" s="306"/>
      <c r="EN43" s="306"/>
      <c r="EO43" s="306"/>
      <c r="EP43" s="306"/>
      <c r="EQ43" s="306"/>
      <c r="ER43" s="306"/>
      <c r="ES43" s="306"/>
      <c r="ET43" s="306"/>
      <c r="EU43" s="306"/>
      <c r="EV43" s="491"/>
      <c r="EW43" s="306"/>
      <c r="EX43" s="306"/>
      <c r="EY43" s="306"/>
      <c r="EZ43" s="306"/>
      <c r="FA43" s="306"/>
      <c r="FB43" s="306"/>
      <c r="FC43" s="306"/>
      <c r="FD43" s="306"/>
      <c r="FE43" s="306"/>
      <c r="FF43" s="306"/>
      <c r="FG43" s="306"/>
      <c r="FH43" s="306"/>
      <c r="FI43" s="306"/>
      <c r="FJ43" s="306"/>
      <c r="FK43" s="306"/>
      <c r="FL43" s="487"/>
      <c r="FM43" s="306"/>
      <c r="FN43" s="306"/>
      <c r="FO43" s="306"/>
      <c r="FP43" s="306"/>
      <c r="FQ43" s="306"/>
      <c r="FR43" s="306"/>
      <c r="FS43" s="306"/>
      <c r="FT43" s="306"/>
      <c r="FU43" s="306"/>
      <c r="FV43" s="306"/>
      <c r="FW43" s="306"/>
      <c r="FX43" s="306"/>
      <c r="FY43" s="306"/>
      <c r="FZ43" s="306"/>
      <c r="GA43" s="306"/>
      <c r="GB43" s="491"/>
      <c r="GC43" s="306"/>
      <c r="GD43" s="306"/>
      <c r="GE43" s="306"/>
      <c r="GF43" s="491"/>
      <c r="GG43" s="494"/>
      <c r="GH43" s="487"/>
      <c r="GI43" s="306"/>
      <c r="GJ43" s="499" t="s">
        <v>4379</v>
      </c>
      <c r="GK43" s="100">
        <v>17</v>
      </c>
      <c r="GL43" s="100" t="s">
        <v>4819</v>
      </c>
      <c r="GM43" s="497" t="str">
        <f t="shared" si="7"/>
        <v>levels.total_points.level:17</v>
      </c>
      <c r="GN43" s="306"/>
      <c r="GO43" s="306"/>
      <c r="GP43" s="306"/>
    </row>
    <row r="44" spans="1:198" ht="45" x14ac:dyDescent="0.15">
      <c r="A44" s="500" t="str">
        <f>VLOOKUP($J44&amp;":", Catalog!$F$5:$BV127, COLUMNS(Catalog!$F$5:$BV127), FALSE)</f>
        <v>State 2: playerLevel &gt;=18</v>
      </c>
      <c r="B44" s="482" t="b">
        <f t="shared" ca="1" si="0"/>
        <v>0</v>
      </c>
      <c r="C44" s="483" t="str">
        <f t="shared" si="1"/>
        <v>grantPerkUltimateAmmoState2</v>
      </c>
      <c r="D44" s="484" t="str">
        <f>VLOOKUP($J44&amp;":", Catalog!$F$5:$BW127, COLUMNS(Catalog!$F$5:$BW127), FALSE)</f>
        <v>never</v>
      </c>
      <c r="E44" s="485">
        <f>VLOOKUP($J44&amp;":", Catalog!$F$5:$BX127, COLUMNS(Catalog!$F$5:$BX127), FALSE)</f>
        <v>0</v>
      </c>
      <c r="F44" s="484">
        <f>VLOOKUP($J44&amp;":", Catalog!$F$5:$BY127, COLUMNS(Catalog!$F$5:$BY127), FALSE)</f>
        <v>0</v>
      </c>
      <c r="G44" s="501" t="str">
        <f>VLOOKUP($J44, Catalog!$E$5:$BZ127, COLUMNS(Catalog!$E$5:$BZ127), FALSE)</f>
        <v>rewardIfAllRequirementsMet</v>
      </c>
      <c r="H44" s="483" t="s">
        <v>625</v>
      </c>
      <c r="I44" s="483">
        <v>2</v>
      </c>
      <c r="J44" s="306" t="s">
        <v>765</v>
      </c>
      <c r="K44" s="486">
        <v>1</v>
      </c>
      <c r="L44" s="100" t="s">
        <v>279</v>
      </c>
      <c r="M44" s="100">
        <v>2</v>
      </c>
      <c r="N44" s="100" t="s">
        <v>280</v>
      </c>
      <c r="O44" s="86"/>
      <c r="P44" s="86"/>
      <c r="Q44" s="86"/>
      <c r="R44" s="100" t="str">
        <f t="shared" si="2"/>
        <v>never</v>
      </c>
      <c r="S44" s="487"/>
      <c r="T44" s="486"/>
      <c r="U44" s="488"/>
      <c r="V44" s="488"/>
      <c r="W44" s="488"/>
      <c r="X44" s="488"/>
      <c r="Y44" s="306"/>
      <c r="Z44" s="306"/>
      <c r="AA44" s="489"/>
      <c r="AB44" s="306" t="str">
        <f t="shared" si="3"/>
        <v>total_points</v>
      </c>
      <c r="AC44" s="490">
        <f t="shared" si="4"/>
        <v>0</v>
      </c>
      <c r="AD44" s="490">
        <f t="shared" si="5"/>
        <v>0</v>
      </c>
      <c r="AE44" s="306"/>
      <c r="AF44" s="332" t="str">
        <f t="shared" si="6"/>
        <v>perkUltimateAmmo</v>
      </c>
      <c r="AG44" s="306"/>
      <c r="AH44" s="487"/>
      <c r="AI44" s="306"/>
      <c r="AJ44" s="306"/>
      <c r="AK44" s="306"/>
      <c r="AL44" s="306"/>
      <c r="AM44" s="306"/>
      <c r="AN44" s="491"/>
      <c r="AO44" s="306"/>
      <c r="AP44" s="306"/>
      <c r="AQ44" s="306"/>
      <c r="AR44" s="306"/>
      <c r="AS44" s="306"/>
      <c r="AT44" s="487"/>
      <c r="AU44" s="306"/>
      <c r="AV44" s="306"/>
      <c r="AW44" s="306"/>
      <c r="AX44" s="306"/>
      <c r="AY44" s="306"/>
      <c r="AZ44" s="491"/>
      <c r="BA44" s="306"/>
      <c r="BB44" s="306"/>
      <c r="BC44" s="487"/>
      <c r="BD44" s="306"/>
      <c r="BE44" s="306"/>
      <c r="BF44" s="492" t="str">
        <f ca="1">IFERROR(__xludf.DUMMYFUNCTION("IF(REGEXMATCH($G44, ""Any""), ""any"", IF(REGEXMATCH($G44, ""All""), ""all"", """"))"),"all")</f>
        <v>all</v>
      </c>
      <c r="BG44" s="491"/>
      <c r="BH44" s="306"/>
      <c r="BI44" s="306"/>
      <c r="BJ44" s="306"/>
      <c r="BK44" s="306"/>
      <c r="BL44" s="306"/>
      <c r="BM44" s="306"/>
      <c r="BN44" s="306"/>
      <c r="BO44" s="306"/>
      <c r="BP44" s="493"/>
      <c r="BQ44" s="306"/>
      <c r="BR44" s="306"/>
      <c r="BS44" s="494"/>
      <c r="BT44" s="487"/>
      <c r="BU44" s="306"/>
      <c r="BV44" s="306"/>
      <c r="BW44" s="306"/>
      <c r="BX44" s="306"/>
      <c r="BY44" s="306"/>
      <c r="BZ44" s="306"/>
      <c r="CA44" s="306"/>
      <c r="CB44" s="306"/>
      <c r="CC44" s="493"/>
      <c r="CD44" s="306"/>
      <c r="CE44" s="306"/>
      <c r="CF44" s="494"/>
      <c r="CG44" s="487"/>
      <c r="CH44" s="306"/>
      <c r="CI44" s="306"/>
      <c r="CJ44" s="306"/>
      <c r="CK44" s="306"/>
      <c r="CL44" s="306"/>
      <c r="CM44" s="306"/>
      <c r="CN44" s="306"/>
      <c r="CO44" s="306"/>
      <c r="CP44" s="306"/>
      <c r="CQ44" s="306"/>
      <c r="CR44" s="306"/>
      <c r="CS44" s="494"/>
      <c r="CT44" s="306"/>
      <c r="CU44" s="306"/>
      <c r="CV44" s="306"/>
      <c r="CW44" s="306"/>
      <c r="CX44" s="306"/>
      <c r="CY44" s="306"/>
      <c r="CZ44" s="306"/>
      <c r="DA44" s="306"/>
      <c r="DB44" s="306"/>
      <c r="DC44" s="493"/>
      <c r="DD44" s="306"/>
      <c r="DE44" s="306"/>
      <c r="DF44" s="494"/>
      <c r="DG44" s="306"/>
      <c r="DH44" s="306"/>
      <c r="DI44" s="306"/>
      <c r="DJ44" s="306"/>
      <c r="DK44" s="306"/>
      <c r="DL44" s="306"/>
      <c r="DM44" s="306"/>
      <c r="DN44" s="306"/>
      <c r="DO44" s="306"/>
      <c r="DP44" s="493"/>
      <c r="DQ44" s="306"/>
      <c r="DR44" s="306"/>
      <c r="DS44" s="489"/>
      <c r="DT44" s="306"/>
      <c r="DU44" s="306"/>
      <c r="DV44" s="306"/>
      <c r="DW44" s="306"/>
      <c r="DX44" s="306"/>
      <c r="DY44" s="306"/>
      <c r="DZ44" s="306"/>
      <c r="EA44" s="306"/>
      <c r="EB44" s="306"/>
      <c r="EC44" s="306"/>
      <c r="ED44" s="493"/>
      <c r="EE44" s="306"/>
      <c r="EF44" s="306"/>
      <c r="EG44" s="306"/>
      <c r="EH44" s="487"/>
      <c r="EI44" s="306"/>
      <c r="EJ44" s="306"/>
      <c r="EK44" s="306"/>
      <c r="EL44" s="306"/>
      <c r="EM44" s="306"/>
      <c r="EN44" s="306"/>
      <c r="EO44" s="306"/>
      <c r="EP44" s="306"/>
      <c r="EQ44" s="306"/>
      <c r="ER44" s="306"/>
      <c r="ES44" s="306"/>
      <c r="ET44" s="306"/>
      <c r="EU44" s="306"/>
      <c r="EV44" s="491"/>
      <c r="EW44" s="306"/>
      <c r="EX44" s="306"/>
      <c r="EY44" s="306"/>
      <c r="EZ44" s="306"/>
      <c r="FA44" s="306"/>
      <c r="FB44" s="306"/>
      <c r="FC44" s="306"/>
      <c r="FD44" s="306"/>
      <c r="FE44" s="306"/>
      <c r="FF44" s="306"/>
      <c r="FG44" s="306"/>
      <c r="FH44" s="306"/>
      <c r="FI44" s="306"/>
      <c r="FJ44" s="306"/>
      <c r="FK44" s="306"/>
      <c r="FL44" s="487"/>
      <c r="FM44" s="306"/>
      <c r="FN44" s="306"/>
      <c r="FO44" s="306"/>
      <c r="FP44" s="306"/>
      <c r="FQ44" s="306"/>
      <c r="FR44" s="306"/>
      <c r="FS44" s="306"/>
      <c r="FT44" s="306"/>
      <c r="FU44" s="306"/>
      <c r="FV44" s="306"/>
      <c r="FW44" s="306"/>
      <c r="FX44" s="306"/>
      <c r="FY44" s="306"/>
      <c r="FZ44" s="306"/>
      <c r="GA44" s="306"/>
      <c r="GB44" s="491"/>
      <c r="GC44" s="306"/>
      <c r="GD44" s="306"/>
      <c r="GE44" s="306"/>
      <c r="GF44" s="491"/>
      <c r="GG44" s="494"/>
      <c r="GH44" s="487"/>
      <c r="GI44" s="306"/>
      <c r="GJ44" s="499" t="s">
        <v>4379</v>
      </c>
      <c r="GK44" s="100">
        <v>18</v>
      </c>
      <c r="GL44" s="100" t="s">
        <v>4819</v>
      </c>
      <c r="GM44" s="497" t="str">
        <f t="shared" si="7"/>
        <v>levels.total_points.level:18</v>
      </c>
      <c r="GN44" s="306"/>
      <c r="GO44" s="306"/>
      <c r="GP44" s="306"/>
    </row>
    <row r="45" spans="1:198" ht="45" x14ac:dyDescent="0.15">
      <c r="A45" s="500" t="str">
        <f>VLOOKUP($J45&amp;":", Catalog!$F$5:$BV127, COLUMNS(Catalog!$F$5:$BV127), FALSE)</f>
        <v>State 2: playerLevel &gt;=19</v>
      </c>
      <c r="B45" s="482" t="b">
        <f t="shared" ca="1" si="0"/>
        <v>0</v>
      </c>
      <c r="C45" s="483" t="str">
        <f t="shared" si="1"/>
        <v>grantPerkUltimateChargerState2</v>
      </c>
      <c r="D45" s="484" t="str">
        <f>VLOOKUP($J45&amp;":", Catalog!$F$5:$BW127, COLUMNS(Catalog!$F$5:$BW127), FALSE)</f>
        <v>never</v>
      </c>
      <c r="E45" s="485">
        <f>VLOOKUP($J45&amp;":", Catalog!$F$5:$BX127, COLUMNS(Catalog!$F$5:$BX127), FALSE)</f>
        <v>0</v>
      </c>
      <c r="F45" s="484">
        <f>VLOOKUP($J45&amp;":", Catalog!$F$5:$BY127, COLUMNS(Catalog!$F$5:$BY127), FALSE)</f>
        <v>0</v>
      </c>
      <c r="G45" s="501" t="str">
        <f>VLOOKUP($J45, Catalog!$E$5:$BZ127, COLUMNS(Catalog!$E$5:$BZ127), FALSE)</f>
        <v>rewardIfAllRequirementsMet</v>
      </c>
      <c r="H45" s="483" t="s">
        <v>625</v>
      </c>
      <c r="I45" s="483">
        <v>2</v>
      </c>
      <c r="J45" s="306" t="s">
        <v>773</v>
      </c>
      <c r="K45" s="486">
        <v>1</v>
      </c>
      <c r="L45" s="100" t="s">
        <v>279</v>
      </c>
      <c r="M45" s="100">
        <v>2</v>
      </c>
      <c r="N45" s="100" t="s">
        <v>280</v>
      </c>
      <c r="O45" s="86"/>
      <c r="P45" s="86"/>
      <c r="Q45" s="86"/>
      <c r="R45" s="100" t="str">
        <f t="shared" si="2"/>
        <v>never</v>
      </c>
      <c r="S45" s="487"/>
      <c r="T45" s="486"/>
      <c r="U45" s="488"/>
      <c r="V45" s="488"/>
      <c r="W45" s="488"/>
      <c r="X45" s="488"/>
      <c r="Y45" s="306"/>
      <c r="Z45" s="306"/>
      <c r="AA45" s="489"/>
      <c r="AB45" s="306" t="str">
        <f t="shared" si="3"/>
        <v>total_points</v>
      </c>
      <c r="AC45" s="490">
        <f t="shared" si="4"/>
        <v>0</v>
      </c>
      <c r="AD45" s="490">
        <f t="shared" si="5"/>
        <v>0</v>
      </c>
      <c r="AE45" s="306"/>
      <c r="AF45" s="332" t="str">
        <f t="shared" si="6"/>
        <v>perkUltimateCharger</v>
      </c>
      <c r="AG45" s="306"/>
      <c r="AH45" s="487"/>
      <c r="AI45" s="306"/>
      <c r="AJ45" s="306"/>
      <c r="AK45" s="306"/>
      <c r="AL45" s="306"/>
      <c r="AM45" s="306"/>
      <c r="AN45" s="491"/>
      <c r="AO45" s="306"/>
      <c r="AP45" s="306"/>
      <c r="AQ45" s="306"/>
      <c r="AR45" s="306"/>
      <c r="AS45" s="306"/>
      <c r="AT45" s="487"/>
      <c r="AU45" s="306"/>
      <c r="AV45" s="306"/>
      <c r="AW45" s="306"/>
      <c r="AX45" s="306"/>
      <c r="AY45" s="306"/>
      <c r="AZ45" s="491"/>
      <c r="BA45" s="306"/>
      <c r="BB45" s="306"/>
      <c r="BC45" s="487"/>
      <c r="BD45" s="306"/>
      <c r="BE45" s="306"/>
      <c r="BF45" s="492" t="str">
        <f ca="1">IFERROR(__xludf.DUMMYFUNCTION("IF(REGEXMATCH($G45, ""Any""), ""any"", IF(REGEXMATCH($G45, ""All""), ""all"", """"))"),"all")</f>
        <v>all</v>
      </c>
      <c r="BG45" s="491"/>
      <c r="BH45" s="306"/>
      <c r="BI45" s="306"/>
      <c r="BJ45" s="306"/>
      <c r="BK45" s="306"/>
      <c r="BL45" s="306"/>
      <c r="BM45" s="306"/>
      <c r="BN45" s="306"/>
      <c r="BO45" s="306"/>
      <c r="BP45" s="493"/>
      <c r="BQ45" s="306"/>
      <c r="BR45" s="306"/>
      <c r="BS45" s="494"/>
      <c r="BT45" s="487"/>
      <c r="BU45" s="306"/>
      <c r="BV45" s="306"/>
      <c r="BW45" s="306"/>
      <c r="BX45" s="306"/>
      <c r="BY45" s="306"/>
      <c r="BZ45" s="306"/>
      <c r="CA45" s="306"/>
      <c r="CB45" s="306"/>
      <c r="CC45" s="493"/>
      <c r="CD45" s="306"/>
      <c r="CE45" s="306"/>
      <c r="CF45" s="494"/>
      <c r="CG45" s="487"/>
      <c r="CH45" s="306"/>
      <c r="CI45" s="306"/>
      <c r="CJ45" s="306"/>
      <c r="CK45" s="306"/>
      <c r="CL45" s="306"/>
      <c r="CM45" s="306"/>
      <c r="CN45" s="306"/>
      <c r="CO45" s="306"/>
      <c r="CP45" s="306"/>
      <c r="CQ45" s="306"/>
      <c r="CR45" s="306"/>
      <c r="CS45" s="494"/>
      <c r="CT45" s="306"/>
      <c r="CU45" s="306"/>
      <c r="CV45" s="306"/>
      <c r="CW45" s="306"/>
      <c r="CX45" s="306"/>
      <c r="CY45" s="306"/>
      <c r="CZ45" s="306"/>
      <c r="DA45" s="306"/>
      <c r="DB45" s="306"/>
      <c r="DC45" s="493"/>
      <c r="DD45" s="306"/>
      <c r="DE45" s="306"/>
      <c r="DF45" s="494"/>
      <c r="DG45" s="306"/>
      <c r="DH45" s="306"/>
      <c r="DI45" s="306"/>
      <c r="DJ45" s="306"/>
      <c r="DK45" s="306"/>
      <c r="DL45" s="306"/>
      <c r="DM45" s="306"/>
      <c r="DN45" s="306"/>
      <c r="DO45" s="306"/>
      <c r="DP45" s="493"/>
      <c r="DQ45" s="306"/>
      <c r="DR45" s="306"/>
      <c r="DS45" s="489"/>
      <c r="DT45" s="306"/>
      <c r="DU45" s="306"/>
      <c r="DV45" s="306"/>
      <c r="DW45" s="306"/>
      <c r="DX45" s="306"/>
      <c r="DY45" s="306"/>
      <c r="DZ45" s="306"/>
      <c r="EA45" s="306"/>
      <c r="EB45" s="306"/>
      <c r="EC45" s="306"/>
      <c r="ED45" s="493"/>
      <c r="EE45" s="306"/>
      <c r="EF45" s="306"/>
      <c r="EG45" s="306"/>
      <c r="EH45" s="487"/>
      <c r="EI45" s="306"/>
      <c r="EJ45" s="306"/>
      <c r="EK45" s="306"/>
      <c r="EL45" s="306"/>
      <c r="EM45" s="306"/>
      <c r="EN45" s="306"/>
      <c r="EO45" s="306"/>
      <c r="EP45" s="306"/>
      <c r="EQ45" s="306"/>
      <c r="ER45" s="306"/>
      <c r="ES45" s="306"/>
      <c r="ET45" s="306"/>
      <c r="EU45" s="306"/>
      <c r="EV45" s="491"/>
      <c r="EW45" s="306"/>
      <c r="EX45" s="306"/>
      <c r="EY45" s="306"/>
      <c r="EZ45" s="306"/>
      <c r="FA45" s="306"/>
      <c r="FB45" s="306"/>
      <c r="FC45" s="306"/>
      <c r="FD45" s="306"/>
      <c r="FE45" s="306"/>
      <c r="FF45" s="306"/>
      <c r="FG45" s="306"/>
      <c r="FH45" s="306"/>
      <c r="FI45" s="306"/>
      <c r="FJ45" s="306"/>
      <c r="FK45" s="306"/>
      <c r="FL45" s="487"/>
      <c r="FM45" s="306"/>
      <c r="FN45" s="306"/>
      <c r="FO45" s="306"/>
      <c r="FP45" s="306"/>
      <c r="FQ45" s="306"/>
      <c r="FR45" s="306"/>
      <c r="FS45" s="306"/>
      <c r="FT45" s="306"/>
      <c r="FU45" s="306"/>
      <c r="FV45" s="306"/>
      <c r="FW45" s="306"/>
      <c r="FX45" s="306"/>
      <c r="FY45" s="306"/>
      <c r="FZ45" s="306"/>
      <c r="GA45" s="306"/>
      <c r="GB45" s="491"/>
      <c r="GC45" s="306"/>
      <c r="GD45" s="306"/>
      <c r="GE45" s="306"/>
      <c r="GF45" s="491"/>
      <c r="GG45" s="494"/>
      <c r="GH45" s="487"/>
      <c r="GI45" s="306"/>
      <c r="GJ45" s="499" t="s">
        <v>4379</v>
      </c>
      <c r="GK45" s="100">
        <v>19</v>
      </c>
      <c r="GL45" s="100" t="s">
        <v>4819</v>
      </c>
      <c r="GM45" s="497" t="str">
        <f t="shared" si="7"/>
        <v>levels.total_points.level:19</v>
      </c>
      <c r="GN45" s="306"/>
      <c r="GO45" s="306"/>
      <c r="GP45" s="306"/>
    </row>
    <row r="46" spans="1:198" ht="30" x14ac:dyDescent="0.15">
      <c r="A46" s="481" t="str">
        <f>VLOOKUP($J46&amp;":", Catalog!$F$5:$BV127, COLUMNS(Catalog!$F$5:$BV127), FALSE)</f>
        <v>State 2: have actionSyncBlaster</v>
      </c>
      <c r="B46" s="482" t="b">
        <f t="shared" ca="1" si="0"/>
        <v>0</v>
      </c>
      <c r="C46" s="483" t="str">
        <f t="shared" si="1"/>
        <v>grantAchievementPlaySyncBlasterState2</v>
      </c>
      <c r="D46" s="484" t="str">
        <f>VLOOKUP($J46&amp;":", Catalog!$F$5:$BW127, COLUMNS(Catalog!$F$5:$BW127), FALSE)</f>
        <v>never</v>
      </c>
      <c r="E46" s="485">
        <f>VLOOKUP($J46&amp;":", Catalog!$F$5:$BX127, COLUMNS(Catalog!$F$5:$BX127), FALSE)</f>
        <v>0</v>
      </c>
      <c r="F46" s="484">
        <f>VLOOKUP($J46&amp;":", Catalog!$F$5:$BY127, COLUMNS(Catalog!$F$5:$BY127), FALSE)</f>
        <v>0</v>
      </c>
      <c r="G46" s="484" t="str">
        <f>VLOOKUP($J46, Catalog!$E$5:$BZ127, COLUMNS(Catalog!$E$5:$BZ127), FALSE)</f>
        <v>rewardIfAllRequirementsMet</v>
      </c>
      <c r="H46" s="483" t="s">
        <v>808</v>
      </c>
      <c r="I46" s="483">
        <v>2</v>
      </c>
      <c r="J46" s="306" t="s">
        <v>834</v>
      </c>
      <c r="K46" s="486">
        <v>1</v>
      </c>
      <c r="L46" s="100" t="s">
        <v>279</v>
      </c>
      <c r="M46" s="100">
        <v>2</v>
      </c>
      <c r="N46" s="100" t="s">
        <v>280</v>
      </c>
      <c r="O46" s="86"/>
      <c r="P46" s="86"/>
      <c r="Q46" s="86"/>
      <c r="R46" s="100" t="str">
        <f t="shared" si="2"/>
        <v>never</v>
      </c>
      <c r="S46" s="487"/>
      <c r="T46" s="486"/>
      <c r="U46" s="488"/>
      <c r="V46" s="488"/>
      <c r="W46" s="488"/>
      <c r="X46" s="488"/>
      <c r="Y46" s="306"/>
      <c r="Z46" s="306"/>
      <c r="AA46" s="489"/>
      <c r="AB46" s="306" t="str">
        <f t="shared" si="3"/>
        <v>total_points</v>
      </c>
      <c r="AC46" s="490">
        <f t="shared" si="4"/>
        <v>0</v>
      </c>
      <c r="AD46" s="490">
        <f t="shared" si="5"/>
        <v>0</v>
      </c>
      <c r="AE46" s="306"/>
      <c r="AF46" s="332" t="str">
        <f t="shared" si="6"/>
        <v>achievementPlaySyncBlaster</v>
      </c>
      <c r="AG46" s="306"/>
      <c r="AH46" s="487"/>
      <c r="AI46" s="306"/>
      <c r="AJ46" s="306"/>
      <c r="AK46" s="306"/>
      <c r="AL46" s="306"/>
      <c r="AM46" s="306"/>
      <c r="AN46" s="491"/>
      <c r="AO46" s="306"/>
      <c r="AP46" s="306"/>
      <c r="AQ46" s="306"/>
      <c r="AR46" s="306"/>
      <c r="AS46" s="306"/>
      <c r="AT46" s="487"/>
      <c r="AU46" s="306"/>
      <c r="AV46" s="306"/>
      <c r="AW46" s="306"/>
      <c r="AX46" s="306"/>
      <c r="AY46" s="306"/>
      <c r="AZ46" s="491"/>
      <c r="BA46" s="306"/>
      <c r="BB46" s="306"/>
      <c r="BC46" s="487"/>
      <c r="BD46" s="306"/>
      <c r="BE46" s="306"/>
      <c r="BF46" s="492" t="str">
        <f ca="1">IFERROR(__xludf.DUMMYFUNCTION("IF(REGEXMATCH($G46, ""Any""), ""any"", IF(REGEXMATCH($G46, ""All""), ""all"", """"))"),"all")</f>
        <v>all</v>
      </c>
      <c r="BG46" s="499" t="s">
        <v>812</v>
      </c>
      <c r="BH46" s="306"/>
      <c r="BI46" s="306"/>
      <c r="BJ46" s="306"/>
      <c r="BK46" s="306"/>
      <c r="BL46" s="306"/>
      <c r="BM46" s="306"/>
      <c r="BN46" s="306"/>
      <c r="BO46" s="306"/>
      <c r="BP46" s="493"/>
      <c r="BQ46" s="306"/>
      <c r="BR46" s="306"/>
      <c r="BS46" s="494"/>
      <c r="BT46" s="487"/>
      <c r="BU46" s="306"/>
      <c r="BV46" s="306"/>
      <c r="BW46" s="306"/>
      <c r="BX46" s="306"/>
      <c r="BY46" s="306"/>
      <c r="BZ46" s="306"/>
      <c r="CA46" s="306"/>
      <c r="CB46" s="306"/>
      <c r="CC46" s="493"/>
      <c r="CD46" s="306"/>
      <c r="CE46" s="306"/>
      <c r="CF46" s="494"/>
      <c r="CG46" s="487"/>
      <c r="CH46" s="306"/>
      <c r="CI46" s="306"/>
      <c r="CJ46" s="306"/>
      <c r="CK46" s="306"/>
      <c r="CL46" s="306"/>
      <c r="CM46" s="306"/>
      <c r="CN46" s="306"/>
      <c r="CO46" s="306"/>
      <c r="CP46" s="306"/>
      <c r="CQ46" s="306"/>
      <c r="CR46" s="306"/>
      <c r="CS46" s="494"/>
      <c r="CT46" s="306"/>
      <c r="CU46" s="306"/>
      <c r="CV46" s="306"/>
      <c r="CW46" s="306"/>
      <c r="CX46" s="306"/>
      <c r="CY46" s="306"/>
      <c r="CZ46" s="306"/>
      <c r="DA46" s="306"/>
      <c r="DB46" s="306"/>
      <c r="DC46" s="493"/>
      <c r="DD46" s="306"/>
      <c r="DE46" s="306"/>
      <c r="DF46" s="494"/>
      <c r="DG46" s="306"/>
      <c r="DH46" s="306"/>
      <c r="DI46" s="306"/>
      <c r="DJ46" s="306"/>
      <c r="DK46" s="306"/>
      <c r="DL46" s="306"/>
      <c r="DM46" s="306"/>
      <c r="DN46" s="306"/>
      <c r="DO46" s="306"/>
      <c r="DP46" s="493"/>
      <c r="DQ46" s="306"/>
      <c r="DR46" s="306"/>
      <c r="DS46" s="489"/>
      <c r="DT46" s="306"/>
      <c r="DU46" s="306"/>
      <c r="DV46" s="306"/>
      <c r="DW46" s="306"/>
      <c r="DX46" s="306"/>
      <c r="DY46" s="306"/>
      <c r="DZ46" s="306"/>
      <c r="EA46" s="306"/>
      <c r="EB46" s="306"/>
      <c r="EC46" s="306"/>
      <c r="ED46" s="493"/>
      <c r="EE46" s="306"/>
      <c r="EF46" s="306"/>
      <c r="EG46" s="306"/>
      <c r="EH46" s="487"/>
      <c r="EI46" s="306"/>
      <c r="EJ46" s="306"/>
      <c r="EK46" s="306"/>
      <c r="EL46" s="306"/>
      <c r="EM46" s="306"/>
      <c r="EN46" s="306"/>
      <c r="EO46" s="306"/>
      <c r="EP46" s="306"/>
      <c r="EQ46" s="306"/>
      <c r="ER46" s="306"/>
      <c r="ES46" s="306"/>
      <c r="ET46" s="306"/>
      <c r="EU46" s="306"/>
      <c r="EV46" s="491"/>
      <c r="EW46" s="306"/>
      <c r="EX46" s="306"/>
      <c r="EY46" s="306"/>
      <c r="EZ46" s="306"/>
      <c r="FA46" s="306"/>
      <c r="FB46" s="306"/>
      <c r="FC46" s="306"/>
      <c r="FD46" s="306"/>
      <c r="FE46" s="306"/>
      <c r="FF46" s="306"/>
      <c r="FG46" s="306"/>
      <c r="FH46" s="306"/>
      <c r="FI46" s="306"/>
      <c r="FJ46" s="306"/>
      <c r="FK46" s="306"/>
      <c r="FL46" s="487"/>
      <c r="FM46" s="306"/>
      <c r="FN46" s="306"/>
      <c r="FO46" s="306"/>
      <c r="FP46" s="306"/>
      <c r="FQ46" s="306"/>
      <c r="FR46" s="306"/>
      <c r="FS46" s="306"/>
      <c r="FT46" s="306"/>
      <c r="FU46" s="306"/>
      <c r="FV46" s="306"/>
      <c r="FW46" s="306"/>
      <c r="FX46" s="306"/>
      <c r="FY46" s="306"/>
      <c r="FZ46" s="306"/>
      <c r="GA46" s="306"/>
      <c r="GB46" s="491"/>
      <c r="GC46" s="306"/>
      <c r="GD46" s="306"/>
      <c r="GE46" s="306"/>
      <c r="GF46" s="491"/>
      <c r="GG46" s="494"/>
      <c r="GH46" s="487"/>
      <c r="GI46" s="306"/>
      <c r="GJ46" s="491"/>
      <c r="GK46" s="306"/>
      <c r="GL46" s="306"/>
      <c r="GM46" s="497" t="str">
        <f t="shared" si="7"/>
        <v>:</v>
      </c>
      <c r="GN46" s="306"/>
      <c r="GO46" s="306"/>
      <c r="GP46" s="306"/>
    </row>
    <row r="47" spans="1:198" ht="30" x14ac:dyDescent="0.15">
      <c r="A47" s="481" t="str">
        <f>VLOOKUP($J47&amp;":", Catalog!$F$5:$BV127, COLUMNS(Catalog!$F$5:$BV127), FALSE)</f>
        <v>State 2: have missionVector with Tier=2</v>
      </c>
      <c r="B47" s="482" t="b">
        <f t="shared" ca="1" si="0"/>
        <v>0</v>
      </c>
      <c r="C47" s="483" t="str">
        <f t="shared" si="1"/>
        <v>grantAchievementMissionVectorState2</v>
      </c>
      <c r="D47" s="484" t="str">
        <f>VLOOKUP($J47&amp;":", Catalog!$F$5:$BW127, COLUMNS(Catalog!$F$5:$BW127), FALSE)</f>
        <v>never</v>
      </c>
      <c r="E47" s="485">
        <f>VLOOKUP($J47&amp;":", Catalog!$F$5:$BX127, COLUMNS(Catalog!$F$5:$BX127), FALSE)</f>
        <v>0</v>
      </c>
      <c r="F47" s="484">
        <f>VLOOKUP($J47&amp;":", Catalog!$F$5:$BY127, COLUMNS(Catalog!$F$5:$BY127), FALSE)</f>
        <v>0</v>
      </c>
      <c r="G47" s="484" t="str">
        <f>VLOOKUP($J47, Catalog!$E$5:$BZ127, COLUMNS(Catalog!$E$5:$BZ127), FALSE)</f>
        <v>rewardIfAllRequirementsMet</v>
      </c>
      <c r="H47" s="483" t="s">
        <v>808</v>
      </c>
      <c r="I47" s="483">
        <v>2</v>
      </c>
      <c r="J47" s="306" t="s">
        <v>870</v>
      </c>
      <c r="K47" s="486">
        <v>1</v>
      </c>
      <c r="L47" s="100" t="s">
        <v>279</v>
      </c>
      <c r="M47" s="100">
        <v>2</v>
      </c>
      <c r="N47" s="100" t="s">
        <v>280</v>
      </c>
      <c r="O47" s="86"/>
      <c r="P47" s="86"/>
      <c r="Q47" s="86"/>
      <c r="R47" s="100" t="str">
        <f t="shared" si="2"/>
        <v>never</v>
      </c>
      <c r="S47" s="487"/>
      <c r="T47" s="486"/>
      <c r="U47" s="488"/>
      <c r="V47" s="488"/>
      <c r="W47" s="488"/>
      <c r="X47" s="488"/>
      <c r="Y47" s="306"/>
      <c r="Z47" s="306"/>
      <c r="AA47" s="489"/>
      <c r="AB47" s="306" t="str">
        <f t="shared" si="3"/>
        <v>total_points</v>
      </c>
      <c r="AC47" s="490">
        <f t="shared" si="4"/>
        <v>0</v>
      </c>
      <c r="AD47" s="490">
        <f t="shared" si="5"/>
        <v>0</v>
      </c>
      <c r="AE47" s="306"/>
      <c r="AF47" s="332" t="str">
        <f t="shared" si="6"/>
        <v>achievementMissionVector</v>
      </c>
      <c r="AG47" s="306"/>
      <c r="AH47" s="487"/>
      <c r="AI47" s="306"/>
      <c r="AJ47" s="306"/>
      <c r="AK47" s="306"/>
      <c r="AL47" s="306"/>
      <c r="AM47" s="306"/>
      <c r="AN47" s="491"/>
      <c r="AO47" s="306"/>
      <c r="AP47" s="306"/>
      <c r="AQ47" s="306"/>
      <c r="AR47" s="306"/>
      <c r="AS47" s="306"/>
      <c r="AT47" s="487"/>
      <c r="AU47" s="306"/>
      <c r="AV47" s="306"/>
      <c r="AW47" s="306"/>
      <c r="AX47" s="306"/>
      <c r="AY47" s="306"/>
      <c r="AZ47" s="491"/>
      <c r="BA47" s="306"/>
      <c r="BB47" s="306"/>
      <c r="BC47" s="487"/>
      <c r="BD47" s="306"/>
      <c r="BE47" s="306"/>
      <c r="BF47" s="492" t="str">
        <f ca="1">IFERROR(__xludf.DUMMYFUNCTION("IF(REGEXMATCH($G47, ""Any""), ""any"", IF(REGEXMATCH($G47, ""All""), ""all"", """"))"),"all")</f>
        <v>all</v>
      </c>
      <c r="BG47" s="499" t="s">
        <v>852</v>
      </c>
      <c r="BH47" s="306"/>
      <c r="BI47" s="100" t="s">
        <v>279</v>
      </c>
      <c r="BJ47" s="100">
        <v>2</v>
      </c>
      <c r="BK47" s="306"/>
      <c r="BL47" s="306"/>
      <c r="BM47" s="306"/>
      <c r="BN47" s="306"/>
      <c r="BO47" s="306"/>
      <c r="BP47" s="493"/>
      <c r="BQ47" s="306"/>
      <c r="BR47" s="306"/>
      <c r="BS47" s="494"/>
      <c r="BT47" s="487"/>
      <c r="BU47" s="306"/>
      <c r="BV47" s="306"/>
      <c r="BW47" s="306"/>
      <c r="BX47" s="306"/>
      <c r="BY47" s="306"/>
      <c r="BZ47" s="306"/>
      <c r="CA47" s="306"/>
      <c r="CB47" s="306"/>
      <c r="CC47" s="493"/>
      <c r="CD47" s="306"/>
      <c r="CE47" s="306"/>
      <c r="CF47" s="494"/>
      <c r="CG47" s="487"/>
      <c r="CH47" s="306"/>
      <c r="CI47" s="306"/>
      <c r="CJ47" s="306"/>
      <c r="CK47" s="306"/>
      <c r="CL47" s="306"/>
      <c r="CM47" s="306"/>
      <c r="CN47" s="306"/>
      <c r="CO47" s="306"/>
      <c r="CP47" s="306"/>
      <c r="CQ47" s="306"/>
      <c r="CR47" s="306"/>
      <c r="CS47" s="494"/>
      <c r="CT47" s="306"/>
      <c r="CU47" s="306"/>
      <c r="CV47" s="306"/>
      <c r="CW47" s="306"/>
      <c r="CX47" s="306"/>
      <c r="CY47" s="306"/>
      <c r="CZ47" s="306"/>
      <c r="DA47" s="306"/>
      <c r="DB47" s="306"/>
      <c r="DC47" s="493"/>
      <c r="DD47" s="306"/>
      <c r="DE47" s="306"/>
      <c r="DF47" s="494"/>
      <c r="DG47" s="306"/>
      <c r="DH47" s="306"/>
      <c r="DI47" s="306"/>
      <c r="DJ47" s="306"/>
      <c r="DK47" s="306"/>
      <c r="DL47" s="306"/>
      <c r="DM47" s="306"/>
      <c r="DN47" s="306"/>
      <c r="DO47" s="306"/>
      <c r="DP47" s="493"/>
      <c r="DQ47" s="306"/>
      <c r="DR47" s="306"/>
      <c r="DS47" s="489"/>
      <c r="DT47" s="306"/>
      <c r="DU47" s="306"/>
      <c r="DV47" s="306"/>
      <c r="DW47" s="306"/>
      <c r="DX47" s="306"/>
      <c r="DY47" s="306"/>
      <c r="DZ47" s="306"/>
      <c r="EA47" s="306"/>
      <c r="EB47" s="306"/>
      <c r="EC47" s="306"/>
      <c r="ED47" s="493"/>
      <c r="EE47" s="306"/>
      <c r="EF47" s="306"/>
      <c r="EG47" s="306"/>
      <c r="EH47" s="487"/>
      <c r="EI47" s="306"/>
      <c r="EJ47" s="306"/>
      <c r="EK47" s="306"/>
      <c r="EL47" s="306"/>
      <c r="EM47" s="306"/>
      <c r="EN47" s="306"/>
      <c r="EO47" s="306"/>
      <c r="EP47" s="306"/>
      <c r="EQ47" s="306"/>
      <c r="ER47" s="306"/>
      <c r="ES47" s="306"/>
      <c r="ET47" s="306"/>
      <c r="EU47" s="306"/>
      <c r="EV47" s="491"/>
      <c r="EW47" s="306"/>
      <c r="EX47" s="306"/>
      <c r="EY47" s="306"/>
      <c r="EZ47" s="306"/>
      <c r="FA47" s="306"/>
      <c r="FB47" s="306"/>
      <c r="FC47" s="306"/>
      <c r="FD47" s="306"/>
      <c r="FE47" s="306"/>
      <c r="FF47" s="306"/>
      <c r="FG47" s="306"/>
      <c r="FH47" s="306"/>
      <c r="FI47" s="306"/>
      <c r="FJ47" s="306"/>
      <c r="FK47" s="306"/>
      <c r="FL47" s="487"/>
      <c r="FM47" s="306"/>
      <c r="FN47" s="306"/>
      <c r="FO47" s="306"/>
      <c r="FP47" s="306"/>
      <c r="FQ47" s="306"/>
      <c r="FR47" s="306"/>
      <c r="FS47" s="306"/>
      <c r="FT47" s="306"/>
      <c r="FU47" s="306"/>
      <c r="FV47" s="306"/>
      <c r="FW47" s="306"/>
      <c r="FX47" s="306"/>
      <c r="FY47" s="306"/>
      <c r="FZ47" s="306"/>
      <c r="GA47" s="306"/>
      <c r="GB47" s="491"/>
      <c r="GC47" s="306"/>
      <c r="GD47" s="306"/>
      <c r="GE47" s="306"/>
      <c r="GF47" s="491"/>
      <c r="GG47" s="494"/>
      <c r="GH47" s="487"/>
      <c r="GI47" s="306"/>
      <c r="GJ47" s="491"/>
      <c r="GK47" s="306"/>
      <c r="GL47" s="306"/>
      <c r="GM47" s="497" t="str">
        <f t="shared" si="7"/>
        <v>:</v>
      </c>
      <c r="GN47" s="306"/>
      <c r="GO47" s="306"/>
      <c r="GP47" s="306"/>
    </row>
    <row r="48" spans="1:198" ht="45" x14ac:dyDescent="0.15">
      <c r="A48" s="481" t="str">
        <f>VLOOKUP($J48&amp;":", Catalog!$F$5:$BV127, COLUMNS(Catalog!$F$5:$BV127), FALSE)</f>
        <v>State 2: have missionVector with Tier=2, OR have playerLevel&gt;=4</v>
      </c>
      <c r="B48" s="482" t="b">
        <f t="shared" ca="1" si="0"/>
        <v>0</v>
      </c>
      <c r="C48" s="483" t="str">
        <f t="shared" si="1"/>
        <v>grantActionMissionScarletUnlock</v>
      </c>
      <c r="D48" s="484" t="str">
        <f>VLOOKUP($J48&amp;":", Catalog!$F$5:$BW127, COLUMNS(Catalog!$F$5:$BW127), FALSE)</f>
        <v>always</v>
      </c>
      <c r="E48" s="485">
        <f>VLOOKUP($J48&amp;":", Catalog!$F$5:$BX127, COLUMNS(Catalog!$F$5:$BX127), FALSE)</f>
        <v>0</v>
      </c>
      <c r="F48" s="484">
        <f>VLOOKUP($J48&amp;":", Catalog!$F$5:$BY127, COLUMNS(Catalog!$F$5:$BY127), FALSE)</f>
        <v>0</v>
      </c>
      <c r="G48" s="484" t="str">
        <f>VLOOKUP($J48, Catalog!$E$5:$BZ127, COLUMNS(Catalog!$E$5:$BZ127), FALSE)</f>
        <v>rewardIfAnyRequirementsMet</v>
      </c>
      <c r="H48" s="483" t="s">
        <v>811</v>
      </c>
      <c r="I48" s="483"/>
      <c r="J48" s="306" t="s">
        <v>903</v>
      </c>
      <c r="K48" s="486">
        <v>1</v>
      </c>
      <c r="L48" s="100" t="s">
        <v>279</v>
      </c>
      <c r="M48" s="100">
        <v>2</v>
      </c>
      <c r="N48" s="100" t="s">
        <v>280</v>
      </c>
      <c r="O48" s="86"/>
      <c r="P48" s="86"/>
      <c r="Q48" s="86"/>
      <c r="R48" s="100" t="str">
        <f t="shared" si="2"/>
        <v>always</v>
      </c>
      <c r="S48" s="487"/>
      <c r="T48" s="486"/>
      <c r="U48" s="488"/>
      <c r="V48" s="488"/>
      <c r="W48" s="488"/>
      <c r="X48" s="488"/>
      <c r="Y48" s="306"/>
      <c r="Z48" s="306"/>
      <c r="AA48" s="489"/>
      <c r="AB48" s="306" t="str">
        <f t="shared" si="3"/>
        <v>total_points</v>
      </c>
      <c r="AC48" s="490">
        <f t="shared" si="4"/>
        <v>0</v>
      </c>
      <c r="AD48" s="490">
        <f t="shared" si="5"/>
        <v>0</v>
      </c>
      <c r="AE48" s="306"/>
      <c r="AF48" s="332" t="str">
        <f t="shared" si="6"/>
        <v>actionMissionScarletUnlock</v>
      </c>
      <c r="AG48" s="306"/>
      <c r="AH48" s="487"/>
      <c r="AI48" s="306"/>
      <c r="AJ48" s="306"/>
      <c r="AK48" s="306"/>
      <c r="AL48" s="306"/>
      <c r="AM48" s="306"/>
      <c r="AN48" s="491"/>
      <c r="AO48" s="306"/>
      <c r="AP48" s="306"/>
      <c r="AQ48" s="306"/>
      <c r="AR48" s="306"/>
      <c r="AS48" s="306"/>
      <c r="AT48" s="487"/>
      <c r="AU48" s="306"/>
      <c r="AV48" s="306"/>
      <c r="AW48" s="306"/>
      <c r="AX48" s="306"/>
      <c r="AY48" s="306"/>
      <c r="AZ48" s="491"/>
      <c r="BA48" s="306"/>
      <c r="BB48" s="306"/>
      <c r="BC48" s="487"/>
      <c r="BD48" s="306"/>
      <c r="BE48" s="306"/>
      <c r="BF48" s="492" t="str">
        <f ca="1">IFERROR(__xludf.DUMMYFUNCTION("IF(REGEXMATCH($G48, ""Any""), ""any"", IF(REGEXMATCH($G48, ""All""), ""all"", """"))"),"any")</f>
        <v>any</v>
      </c>
      <c r="BG48" s="499" t="s">
        <v>852</v>
      </c>
      <c r="BH48" s="306"/>
      <c r="BI48" s="100" t="s">
        <v>279</v>
      </c>
      <c r="BJ48" s="100">
        <v>2</v>
      </c>
      <c r="BK48" s="306"/>
      <c r="BL48" s="306"/>
      <c r="BM48" s="306"/>
      <c r="BN48" s="306"/>
      <c r="BO48" s="306"/>
      <c r="BP48" s="493"/>
      <c r="BQ48" s="306"/>
      <c r="BR48" s="306"/>
      <c r="BS48" s="494"/>
      <c r="BT48" s="487"/>
      <c r="BU48" s="306"/>
      <c r="BV48" s="306"/>
      <c r="BW48" s="306"/>
      <c r="BX48" s="306"/>
      <c r="BY48" s="306"/>
      <c r="BZ48" s="306"/>
      <c r="CA48" s="306"/>
      <c r="CB48" s="306"/>
      <c r="CC48" s="493"/>
      <c r="CD48" s="306"/>
      <c r="CE48" s="306"/>
      <c r="CF48" s="494"/>
      <c r="CG48" s="487"/>
      <c r="CH48" s="306"/>
      <c r="CI48" s="306"/>
      <c r="CJ48" s="306"/>
      <c r="CK48" s="306"/>
      <c r="CL48" s="306"/>
      <c r="CM48" s="306"/>
      <c r="CN48" s="306"/>
      <c r="CO48" s="306"/>
      <c r="CP48" s="306"/>
      <c r="CQ48" s="306"/>
      <c r="CR48" s="306"/>
      <c r="CS48" s="494"/>
      <c r="CT48" s="306"/>
      <c r="CU48" s="306"/>
      <c r="CV48" s="306"/>
      <c r="CW48" s="306"/>
      <c r="CX48" s="306"/>
      <c r="CY48" s="306"/>
      <c r="CZ48" s="306"/>
      <c r="DA48" s="306"/>
      <c r="DB48" s="306"/>
      <c r="DC48" s="493"/>
      <c r="DD48" s="306"/>
      <c r="DE48" s="306"/>
      <c r="DF48" s="494"/>
      <c r="DG48" s="306"/>
      <c r="DH48" s="306"/>
      <c r="DI48" s="306"/>
      <c r="DJ48" s="306"/>
      <c r="DK48" s="306"/>
      <c r="DL48" s="306"/>
      <c r="DM48" s="306"/>
      <c r="DN48" s="306"/>
      <c r="DO48" s="306"/>
      <c r="DP48" s="493"/>
      <c r="DQ48" s="306"/>
      <c r="DR48" s="306"/>
      <c r="DS48" s="489"/>
      <c r="DT48" s="306"/>
      <c r="DU48" s="306"/>
      <c r="DV48" s="306"/>
      <c r="DW48" s="306"/>
      <c r="DX48" s="306"/>
      <c r="DY48" s="306"/>
      <c r="DZ48" s="306"/>
      <c r="EA48" s="306"/>
      <c r="EB48" s="306"/>
      <c r="EC48" s="306"/>
      <c r="ED48" s="493"/>
      <c r="EE48" s="306"/>
      <c r="EF48" s="306"/>
      <c r="EG48" s="306"/>
      <c r="EH48" s="487"/>
      <c r="EI48" s="306"/>
      <c r="EJ48" s="306"/>
      <c r="EK48" s="306"/>
      <c r="EL48" s="306"/>
      <c r="EM48" s="306"/>
      <c r="EN48" s="306"/>
      <c r="EO48" s="306"/>
      <c r="EP48" s="306"/>
      <c r="EQ48" s="306"/>
      <c r="ER48" s="306"/>
      <c r="ES48" s="306"/>
      <c r="ET48" s="306"/>
      <c r="EU48" s="306"/>
      <c r="EV48" s="491"/>
      <c r="EW48" s="306"/>
      <c r="EX48" s="306"/>
      <c r="EY48" s="306"/>
      <c r="EZ48" s="306"/>
      <c r="FA48" s="306"/>
      <c r="FB48" s="306"/>
      <c r="FC48" s="306"/>
      <c r="FD48" s="306"/>
      <c r="FE48" s="306"/>
      <c r="FF48" s="306"/>
      <c r="FG48" s="306"/>
      <c r="FH48" s="306"/>
      <c r="FI48" s="306"/>
      <c r="FJ48" s="306"/>
      <c r="FK48" s="306"/>
      <c r="FL48" s="487"/>
      <c r="FM48" s="306"/>
      <c r="FN48" s="306"/>
      <c r="FO48" s="306"/>
      <c r="FP48" s="306"/>
      <c r="FQ48" s="306"/>
      <c r="FR48" s="306"/>
      <c r="FS48" s="306"/>
      <c r="FT48" s="306"/>
      <c r="FU48" s="306"/>
      <c r="FV48" s="306"/>
      <c r="FW48" s="306"/>
      <c r="FX48" s="306"/>
      <c r="FY48" s="306"/>
      <c r="FZ48" s="306"/>
      <c r="GA48" s="306"/>
      <c r="GB48" s="491"/>
      <c r="GC48" s="306"/>
      <c r="GD48" s="306"/>
      <c r="GE48" s="306"/>
      <c r="GF48" s="491"/>
      <c r="GG48" s="494"/>
      <c r="GH48" s="487"/>
      <c r="GI48" s="306"/>
      <c r="GJ48" s="502" t="s">
        <v>4379</v>
      </c>
      <c r="GK48" s="332">
        <v>4</v>
      </c>
      <c r="GL48" s="100" t="s">
        <v>4819</v>
      </c>
      <c r="GM48" s="497" t="str">
        <f t="shared" si="7"/>
        <v>levels.total_points.level:4</v>
      </c>
      <c r="GN48" s="306"/>
      <c r="GO48" s="306"/>
      <c r="GP48" s="306"/>
    </row>
    <row r="49" spans="1:198" ht="105" x14ac:dyDescent="0.15">
      <c r="A49" s="481" t="str">
        <f>VLOOKUP($J49&amp;":", Catalog!$F$5:$BV127, COLUMNS(Catalog!$F$5:$BV127), FALSE)</f>
        <v>State 1: have actionMissionScarletUnlock.
State 2: have actionMissionScarletAttempt with elemental destroys &gt;= 20 (single game) AND CLEAR playerData.activeQuest</v>
      </c>
      <c r="B49" s="482" t="b">
        <f t="shared" ca="1" si="0"/>
        <v>0</v>
      </c>
      <c r="C49" s="483" t="str">
        <f t="shared" si="1"/>
        <v>grantMissionScarletState1</v>
      </c>
      <c r="D49" s="484" t="str">
        <f>VLOOKUP($J49&amp;":", Catalog!$F$5:$BW127, COLUMNS(Catalog!$F$5:$BW127), FALSE)</f>
        <v>always</v>
      </c>
      <c r="E49" s="485">
        <f>VLOOKUP($J49&amp;":", Catalog!$F$5:$BX127, COLUMNS(Catalog!$F$5:$BX127), FALSE)</f>
        <v>0</v>
      </c>
      <c r="F49" s="484">
        <f>VLOOKUP($J49&amp;":", Catalog!$F$5:$BY127, COLUMNS(Catalog!$F$5:$BY127), FALSE)</f>
        <v>0</v>
      </c>
      <c r="G49" s="484" t="str">
        <f>VLOOKUP($J49, Catalog!$E$5:$BZ127, COLUMNS(Catalog!$E$5:$BZ127), FALSE)</f>
        <v>rewardIfAllRequirementsMet</v>
      </c>
      <c r="H49" s="483" t="s">
        <v>851</v>
      </c>
      <c r="I49" s="483">
        <v>1</v>
      </c>
      <c r="J49" s="306" t="s">
        <v>909</v>
      </c>
      <c r="K49" s="486">
        <v>1</v>
      </c>
      <c r="L49" s="100" t="s">
        <v>279</v>
      </c>
      <c r="M49" s="332">
        <v>1</v>
      </c>
      <c r="N49" s="100" t="s">
        <v>280</v>
      </c>
      <c r="O49" s="86"/>
      <c r="P49" s="86"/>
      <c r="Q49" s="86"/>
      <c r="R49" s="100" t="str">
        <f t="shared" si="2"/>
        <v>always</v>
      </c>
      <c r="S49" s="487"/>
      <c r="T49" s="486"/>
      <c r="U49" s="488"/>
      <c r="V49" s="488"/>
      <c r="W49" s="488"/>
      <c r="X49" s="488"/>
      <c r="Y49" s="306"/>
      <c r="Z49" s="306"/>
      <c r="AA49" s="489"/>
      <c r="AB49" s="306" t="str">
        <f t="shared" si="3"/>
        <v>total_points</v>
      </c>
      <c r="AC49" s="490">
        <f t="shared" si="4"/>
        <v>0</v>
      </c>
      <c r="AD49" s="490">
        <f t="shared" si="5"/>
        <v>0</v>
      </c>
      <c r="AE49" s="306"/>
      <c r="AF49" s="332" t="str">
        <f t="shared" si="6"/>
        <v>missionScarlet</v>
      </c>
      <c r="AG49" s="306"/>
      <c r="AH49" s="487"/>
      <c r="AI49" s="306"/>
      <c r="AJ49" s="306"/>
      <c r="AK49" s="306"/>
      <c r="AL49" s="306"/>
      <c r="AM49" s="306"/>
      <c r="AN49" s="491"/>
      <c r="AO49" s="306"/>
      <c r="AP49" s="306"/>
      <c r="AQ49" s="306"/>
      <c r="AR49" s="306"/>
      <c r="AS49" s="306"/>
      <c r="AT49" s="487"/>
      <c r="AU49" s="306"/>
      <c r="AV49" s="306"/>
      <c r="AW49" s="306"/>
      <c r="AX49" s="306"/>
      <c r="AY49" s="306"/>
      <c r="AZ49" s="491"/>
      <c r="BA49" s="306"/>
      <c r="BB49" s="306"/>
      <c r="BC49" s="487"/>
      <c r="BD49" s="306"/>
      <c r="BE49" s="306"/>
      <c r="BF49" s="492" t="str">
        <f ca="1">IFERROR(__xludf.DUMMYFUNCTION("IF(REGEXMATCH($G49, ""Any""), ""any"", IF(REGEXMATCH($G49, ""All""), ""all"", """"))"),"all")</f>
        <v>all</v>
      </c>
      <c r="BG49" s="499" t="s">
        <v>903</v>
      </c>
      <c r="BH49" s="306"/>
      <c r="BI49" s="306"/>
      <c r="BJ49" s="306"/>
      <c r="BK49" s="306"/>
      <c r="BL49" s="306"/>
      <c r="BM49" s="306"/>
      <c r="BN49" s="306"/>
      <c r="BO49" s="306"/>
      <c r="BP49" s="493"/>
      <c r="BQ49" s="306"/>
      <c r="BR49" s="306"/>
      <c r="BS49" s="494"/>
      <c r="BT49" s="487"/>
      <c r="BU49" s="306"/>
      <c r="BV49" s="306"/>
      <c r="BW49" s="306"/>
      <c r="BX49" s="306"/>
      <c r="BY49" s="306"/>
      <c r="BZ49" s="306"/>
      <c r="CA49" s="306"/>
      <c r="CB49" s="306"/>
      <c r="CC49" s="493"/>
      <c r="CD49" s="306"/>
      <c r="CE49" s="306"/>
      <c r="CF49" s="494"/>
      <c r="CG49" s="487"/>
      <c r="CH49" s="306"/>
      <c r="CI49" s="306"/>
      <c r="CJ49" s="306"/>
      <c r="CK49" s="306"/>
      <c r="CL49" s="306"/>
      <c r="CM49" s="306"/>
      <c r="CN49" s="306"/>
      <c r="CO49" s="306"/>
      <c r="CP49" s="306"/>
      <c r="CQ49" s="306"/>
      <c r="CR49" s="306"/>
      <c r="CS49" s="494"/>
      <c r="CT49" s="306"/>
      <c r="CU49" s="306"/>
      <c r="CV49" s="306"/>
      <c r="CW49" s="306"/>
      <c r="CX49" s="306"/>
      <c r="CY49" s="306"/>
      <c r="CZ49" s="306"/>
      <c r="DA49" s="306"/>
      <c r="DB49" s="306"/>
      <c r="DC49" s="493"/>
      <c r="DD49" s="306"/>
      <c r="DE49" s="306"/>
      <c r="DF49" s="494"/>
      <c r="DG49" s="306"/>
      <c r="DH49" s="306"/>
      <c r="DI49" s="306"/>
      <c r="DJ49" s="306"/>
      <c r="DK49" s="306"/>
      <c r="DL49" s="306"/>
      <c r="DM49" s="306"/>
      <c r="DN49" s="306"/>
      <c r="DO49" s="306"/>
      <c r="DP49" s="493"/>
      <c r="DQ49" s="306"/>
      <c r="DR49" s="306"/>
      <c r="DS49" s="489"/>
      <c r="DT49" s="306"/>
      <c r="DU49" s="306"/>
      <c r="DV49" s="306"/>
      <c r="DW49" s="306"/>
      <c r="DX49" s="306"/>
      <c r="DY49" s="306"/>
      <c r="DZ49" s="306"/>
      <c r="EA49" s="306"/>
      <c r="EB49" s="306"/>
      <c r="EC49" s="306"/>
      <c r="ED49" s="493"/>
      <c r="EE49" s="306"/>
      <c r="EF49" s="306"/>
      <c r="EG49" s="306"/>
      <c r="EH49" s="487"/>
      <c r="EI49" s="306"/>
      <c r="EJ49" s="306"/>
      <c r="EK49" s="306"/>
      <c r="EL49" s="306"/>
      <c r="EM49" s="306"/>
      <c r="EN49" s="306"/>
      <c r="EO49" s="306"/>
      <c r="EP49" s="306"/>
      <c r="EQ49" s="306"/>
      <c r="ER49" s="306"/>
      <c r="ES49" s="306"/>
      <c r="ET49" s="306"/>
      <c r="EU49" s="306"/>
      <c r="EV49" s="491"/>
      <c r="EW49" s="306"/>
      <c r="EX49" s="306"/>
      <c r="EY49" s="306"/>
      <c r="EZ49" s="306"/>
      <c r="FA49" s="306"/>
      <c r="FB49" s="306"/>
      <c r="FC49" s="306"/>
      <c r="FD49" s="306"/>
      <c r="FE49" s="306"/>
      <c r="FF49" s="306"/>
      <c r="FG49" s="306"/>
      <c r="FH49" s="306"/>
      <c r="FI49" s="306"/>
      <c r="FJ49" s="306"/>
      <c r="FK49" s="306"/>
      <c r="FL49" s="487"/>
      <c r="FM49" s="306"/>
      <c r="FN49" s="306"/>
      <c r="FO49" s="306"/>
      <c r="FP49" s="306"/>
      <c r="FQ49" s="306"/>
      <c r="FR49" s="306"/>
      <c r="FS49" s="306"/>
      <c r="FT49" s="306"/>
      <c r="FU49" s="306"/>
      <c r="FV49" s="306"/>
      <c r="FW49" s="306"/>
      <c r="FX49" s="306"/>
      <c r="FY49" s="306"/>
      <c r="FZ49" s="306"/>
      <c r="GA49" s="306"/>
      <c r="GB49" s="491"/>
      <c r="GC49" s="306"/>
      <c r="GD49" s="306"/>
      <c r="GE49" s="306"/>
      <c r="GF49" s="491"/>
      <c r="GG49" s="494"/>
      <c r="GH49" s="487"/>
      <c r="GI49" s="306"/>
      <c r="GJ49" s="491"/>
      <c r="GK49" s="306"/>
      <c r="GL49" s="306"/>
      <c r="GM49" s="497" t="str">
        <f t="shared" si="7"/>
        <v>:</v>
      </c>
      <c r="GN49" s="306"/>
      <c r="GO49" s="306"/>
      <c r="GP49" s="306"/>
    </row>
    <row r="50" spans="1:198" ht="105" x14ac:dyDescent="0.15">
      <c r="A50" s="481" t="str">
        <f>VLOOKUP($J50&amp;":", Catalog!$F$5:$BV127, COLUMNS(Catalog!$F$5:$BV127), FALSE)</f>
        <v>State 1: have actionMissionScarletUnlock.
State 2: have actionMissionScarletAttempt with elemental destroys &gt;= 20 (single game) AND CLEAR playerData.activeQuest</v>
      </c>
      <c r="B50" s="482" t="b">
        <f t="shared" ca="1" si="0"/>
        <v>0</v>
      </c>
      <c r="C50" s="483" t="str">
        <f t="shared" si="1"/>
        <v>grantMissionScarletState2</v>
      </c>
      <c r="D50" s="484" t="str">
        <f>VLOOKUP($J50&amp;":", Catalog!$F$5:$BW127, COLUMNS(Catalog!$F$5:$BW127), FALSE)</f>
        <v>always</v>
      </c>
      <c r="E50" s="485">
        <f>VLOOKUP($J50&amp;":", Catalog!$F$5:$BX127, COLUMNS(Catalog!$F$5:$BX127), FALSE)</f>
        <v>0</v>
      </c>
      <c r="F50" s="484">
        <f>VLOOKUP($J50&amp;":", Catalog!$F$5:$BY127, COLUMNS(Catalog!$F$5:$BY127), FALSE)</f>
        <v>0</v>
      </c>
      <c r="G50" s="484" t="str">
        <f>VLOOKUP($J50, Catalog!$E$5:$BZ127, COLUMNS(Catalog!$E$5:$BZ127), FALSE)</f>
        <v>rewardIfAllRequirementsMet</v>
      </c>
      <c r="H50" s="483" t="s">
        <v>851</v>
      </c>
      <c r="I50" s="483">
        <v>2</v>
      </c>
      <c r="J50" s="306" t="s">
        <v>909</v>
      </c>
      <c r="K50" s="486"/>
      <c r="L50" s="100" t="s">
        <v>279</v>
      </c>
      <c r="M50" s="332">
        <v>2</v>
      </c>
      <c r="N50" s="100" t="s">
        <v>280</v>
      </c>
      <c r="O50" s="86"/>
      <c r="P50" s="86"/>
      <c r="Q50" s="86"/>
      <c r="R50" s="100" t="str">
        <f t="shared" si="2"/>
        <v>always</v>
      </c>
      <c r="S50" s="487"/>
      <c r="T50" s="486"/>
      <c r="U50" s="488"/>
      <c r="V50" s="488"/>
      <c r="W50" s="488"/>
      <c r="X50" s="488"/>
      <c r="Y50" s="306"/>
      <c r="Z50" s="306"/>
      <c r="AA50" s="489"/>
      <c r="AB50" s="306" t="str">
        <f t="shared" si="3"/>
        <v>total_points</v>
      </c>
      <c r="AC50" s="490">
        <f t="shared" si="4"/>
        <v>0</v>
      </c>
      <c r="AD50" s="490">
        <f t="shared" si="5"/>
        <v>0</v>
      </c>
      <c r="AE50" s="306"/>
      <c r="AF50" s="332" t="str">
        <f t="shared" si="6"/>
        <v>missionScarlet</v>
      </c>
      <c r="AG50" s="306"/>
      <c r="AH50" s="487"/>
      <c r="AI50" s="306"/>
      <c r="AJ50" s="306"/>
      <c r="AK50" s="306"/>
      <c r="AL50" s="306"/>
      <c r="AM50" s="306"/>
      <c r="AN50" s="491"/>
      <c r="AO50" s="306"/>
      <c r="AP50" s="306"/>
      <c r="AQ50" s="306"/>
      <c r="AR50" s="306"/>
      <c r="AS50" s="306"/>
      <c r="AT50" s="487"/>
      <c r="AU50" s="306"/>
      <c r="AV50" s="306"/>
      <c r="AW50" s="306"/>
      <c r="AX50" s="306"/>
      <c r="AY50" s="306"/>
      <c r="AZ50" s="503" t="s">
        <v>4820</v>
      </c>
      <c r="BA50" s="332" t="s">
        <v>4821</v>
      </c>
      <c r="BB50" s="332" t="s">
        <v>4822</v>
      </c>
      <c r="BF50" s="492" t="str">
        <f ca="1">IFERROR(__xludf.DUMMYFUNCTION("IF(REGEXMATCH($G50, ""Any""), ""any"", IF(REGEXMATCH($G50, ""All""), ""all"", """"))"),"all")</f>
        <v>all</v>
      </c>
      <c r="BG50" s="499" t="s">
        <v>907</v>
      </c>
      <c r="BH50" s="306"/>
      <c r="BI50" s="332" t="s">
        <v>2838</v>
      </c>
      <c r="BJ50" s="332">
        <v>20</v>
      </c>
      <c r="BK50" s="332" t="s">
        <v>4819</v>
      </c>
      <c r="BL50" s="306"/>
      <c r="BM50" s="306"/>
      <c r="BN50" s="306"/>
      <c r="BO50" s="306"/>
      <c r="BP50" s="493"/>
      <c r="BQ50" s="306"/>
      <c r="BR50" s="306"/>
      <c r="BS50" s="494"/>
      <c r="BT50" s="487"/>
      <c r="BU50" s="306"/>
      <c r="BV50" s="306"/>
      <c r="BW50" s="306"/>
      <c r="BX50" s="306"/>
      <c r="BY50" s="306"/>
      <c r="BZ50" s="306"/>
      <c r="CA50" s="306"/>
      <c r="CB50" s="306"/>
      <c r="CC50" s="493"/>
      <c r="CD50" s="306"/>
      <c r="CE50" s="306"/>
      <c r="CF50" s="494"/>
      <c r="CG50" s="487"/>
      <c r="CH50" s="306"/>
      <c r="CI50" s="306"/>
      <c r="CJ50" s="306"/>
      <c r="CK50" s="306"/>
      <c r="CL50" s="306"/>
      <c r="CM50" s="306"/>
      <c r="CN50" s="306"/>
      <c r="CO50" s="306"/>
      <c r="CP50" s="306"/>
      <c r="CQ50" s="306"/>
      <c r="CR50" s="306"/>
      <c r="CS50" s="494"/>
      <c r="CT50" s="306"/>
      <c r="CU50" s="306"/>
      <c r="CV50" s="306"/>
      <c r="CW50" s="306"/>
      <c r="CX50" s="306"/>
      <c r="CY50" s="306"/>
      <c r="CZ50" s="306"/>
      <c r="DA50" s="306"/>
      <c r="DB50" s="306"/>
      <c r="DC50" s="493"/>
      <c r="DD50" s="306"/>
      <c r="DE50" s="306"/>
      <c r="DF50" s="494"/>
      <c r="DG50" s="306"/>
      <c r="DH50" s="306"/>
      <c r="DI50" s="306"/>
      <c r="DJ50" s="306"/>
      <c r="DK50" s="306"/>
      <c r="DL50" s="306"/>
      <c r="DM50" s="306"/>
      <c r="DN50" s="306"/>
      <c r="DO50" s="306"/>
      <c r="DP50" s="493"/>
      <c r="DQ50" s="306"/>
      <c r="DR50" s="306"/>
      <c r="DS50" s="489"/>
      <c r="DT50" s="306"/>
      <c r="DU50" s="306"/>
      <c r="DV50" s="306"/>
      <c r="DW50" s="306"/>
      <c r="DX50" s="306"/>
      <c r="DY50" s="306"/>
      <c r="DZ50" s="306"/>
      <c r="EA50" s="306"/>
      <c r="EB50" s="306"/>
      <c r="EC50" s="306"/>
      <c r="ED50" s="493"/>
      <c r="EE50" s="306"/>
      <c r="EF50" s="306"/>
      <c r="EG50" s="306"/>
      <c r="EH50" s="487"/>
      <c r="EI50" s="306"/>
      <c r="EJ50" s="306"/>
      <c r="EK50" s="306"/>
      <c r="EL50" s="306"/>
      <c r="EM50" s="306"/>
      <c r="EN50" s="306"/>
      <c r="EO50" s="306"/>
      <c r="EP50" s="306"/>
      <c r="EQ50" s="306"/>
      <c r="ER50" s="306"/>
      <c r="ES50" s="306"/>
      <c r="ET50" s="306"/>
      <c r="EU50" s="306"/>
      <c r="EV50" s="491"/>
      <c r="EW50" s="306"/>
      <c r="EX50" s="306"/>
      <c r="EY50" s="306"/>
      <c r="EZ50" s="306"/>
      <c r="FA50" s="306"/>
      <c r="FB50" s="306"/>
      <c r="FC50" s="306"/>
      <c r="FD50" s="306"/>
      <c r="FE50" s="306"/>
      <c r="FF50" s="306"/>
      <c r="FG50" s="306"/>
      <c r="FH50" s="306"/>
      <c r="FI50" s="306"/>
      <c r="FJ50" s="306"/>
      <c r="FK50" s="306"/>
      <c r="FL50" s="487"/>
      <c r="FM50" s="306"/>
      <c r="FN50" s="306"/>
      <c r="FO50" s="306"/>
      <c r="FP50" s="306"/>
      <c r="FQ50" s="306"/>
      <c r="FR50" s="306"/>
      <c r="FS50" s="306"/>
      <c r="FT50" s="306"/>
      <c r="FU50" s="306"/>
      <c r="FV50" s="306"/>
      <c r="FW50" s="306"/>
      <c r="FX50" s="306"/>
      <c r="FY50" s="306"/>
      <c r="FZ50" s="306"/>
      <c r="GA50" s="306"/>
      <c r="GB50" s="491"/>
      <c r="GC50" s="306"/>
      <c r="GD50" s="306"/>
      <c r="GE50" s="306"/>
      <c r="GF50" s="491"/>
      <c r="GG50" s="494"/>
      <c r="GH50" s="487"/>
      <c r="GI50" s="306"/>
      <c r="GJ50" s="499"/>
      <c r="GK50" s="306"/>
      <c r="GL50" s="306"/>
      <c r="GM50" s="497"/>
      <c r="GN50" s="306"/>
      <c r="GO50" s="306"/>
      <c r="GP50" s="306"/>
    </row>
    <row r="51" spans="1:198" ht="30" x14ac:dyDescent="0.15">
      <c r="A51" s="498" t="str">
        <f>VLOOKUP($J51&amp;":", Catalog!$F$5:$BV127, COLUMNS(Catalog!$F$5:$BV127), FALSE)</f>
        <v>State 2: has missionScarlet with Tier=2</v>
      </c>
      <c r="B51" s="482" t="b">
        <f t="shared" ca="1" si="0"/>
        <v>0</v>
      </c>
      <c r="C51" s="483" t="str">
        <f t="shared" si="1"/>
        <v>grantAchievementMissionScarletState2</v>
      </c>
      <c r="D51" s="484" t="str">
        <f>VLOOKUP($J51&amp;":", Catalog!$F$5:$BW127, COLUMNS(Catalog!$F$5:$BW127), FALSE)</f>
        <v>never</v>
      </c>
      <c r="E51" s="485">
        <f>VLOOKUP($J51&amp;":", Catalog!$F$5:$BX127, COLUMNS(Catalog!$F$5:$BX127), FALSE)</f>
        <v>0</v>
      </c>
      <c r="F51" s="484">
        <f>VLOOKUP($J51&amp;":", Catalog!$F$5:$BY127, COLUMNS(Catalog!$F$5:$BY127), FALSE)</f>
        <v>0</v>
      </c>
      <c r="G51" s="484" t="str">
        <f>VLOOKUP($J51, Catalog!$E$5:$BZ127, COLUMNS(Catalog!$E$5:$BZ127), FALSE)</f>
        <v>rewardIfAllRequirementsMet</v>
      </c>
      <c r="H51" s="483" t="s">
        <v>808</v>
      </c>
      <c r="I51" s="483">
        <v>2</v>
      </c>
      <c r="J51" s="306" t="s">
        <v>923</v>
      </c>
      <c r="K51" s="486">
        <v>1</v>
      </c>
      <c r="L51" s="100" t="s">
        <v>279</v>
      </c>
      <c r="M51" s="332">
        <v>2</v>
      </c>
      <c r="N51" s="100" t="s">
        <v>280</v>
      </c>
      <c r="O51" s="86"/>
      <c r="P51" s="86"/>
      <c r="Q51" s="86"/>
      <c r="R51" s="100" t="str">
        <f t="shared" si="2"/>
        <v>never</v>
      </c>
      <c r="S51" s="487"/>
      <c r="T51" s="486"/>
      <c r="U51" s="488"/>
      <c r="V51" s="488"/>
      <c r="W51" s="488"/>
      <c r="X51" s="488"/>
      <c r="Y51" s="306"/>
      <c r="Z51" s="306"/>
      <c r="AA51" s="489"/>
      <c r="AB51" s="306" t="str">
        <f t="shared" si="3"/>
        <v>total_points</v>
      </c>
      <c r="AC51" s="490">
        <f t="shared" si="4"/>
        <v>0</v>
      </c>
      <c r="AD51" s="490">
        <f t="shared" si="5"/>
        <v>0</v>
      </c>
      <c r="AE51" s="306"/>
      <c r="AF51" s="332" t="str">
        <f t="shared" si="6"/>
        <v>achievementMissionScarlet</v>
      </c>
      <c r="AG51" s="306"/>
      <c r="AH51" s="487"/>
      <c r="AI51" s="306"/>
      <c r="AJ51" s="306"/>
      <c r="AK51" s="306"/>
      <c r="AL51" s="306"/>
      <c r="AM51" s="306"/>
      <c r="AN51" s="491"/>
      <c r="AO51" s="306"/>
      <c r="AP51" s="306"/>
      <c r="AQ51" s="306"/>
      <c r="AR51" s="306"/>
      <c r="AS51" s="306"/>
      <c r="AT51" s="487"/>
      <c r="AU51" s="306"/>
      <c r="AV51" s="306"/>
      <c r="AW51" s="306"/>
      <c r="AX51" s="306"/>
      <c r="AY51" s="306"/>
      <c r="AZ51" s="487"/>
      <c r="BA51" s="306"/>
      <c r="BB51" s="306"/>
      <c r="BF51" s="492" t="str">
        <f ca="1">IFERROR(__xludf.DUMMYFUNCTION("IF(REGEXMATCH($G51, ""Any""), ""any"", IF(REGEXMATCH($G51, ""All""), ""all"", """"))"),"all")</f>
        <v>all</v>
      </c>
      <c r="BG51" s="499" t="s">
        <v>909</v>
      </c>
      <c r="BH51" s="306"/>
      <c r="BI51" s="100" t="s">
        <v>279</v>
      </c>
      <c r="BJ51" s="100">
        <v>2</v>
      </c>
      <c r="BK51" s="306"/>
      <c r="BL51" s="306"/>
      <c r="BM51" s="306"/>
      <c r="BN51" s="306"/>
      <c r="BO51" s="306"/>
      <c r="BP51" s="493"/>
      <c r="BQ51" s="306"/>
      <c r="BR51" s="306"/>
      <c r="BS51" s="494"/>
      <c r="BT51" s="487"/>
      <c r="BU51" s="306"/>
      <c r="BV51" s="306"/>
      <c r="BW51" s="306"/>
      <c r="BX51" s="306"/>
      <c r="BY51" s="306"/>
      <c r="BZ51" s="306"/>
      <c r="CA51" s="306"/>
      <c r="CB51" s="306"/>
      <c r="CC51" s="493"/>
      <c r="CD51" s="306"/>
      <c r="CE51" s="306"/>
      <c r="CF51" s="494"/>
      <c r="CG51" s="487"/>
      <c r="CH51" s="306"/>
      <c r="CI51" s="306"/>
      <c r="CJ51" s="306"/>
      <c r="CK51" s="306"/>
      <c r="CL51" s="306"/>
      <c r="CM51" s="306"/>
      <c r="CN51" s="306"/>
      <c r="CO51" s="306"/>
      <c r="CP51" s="306"/>
      <c r="CQ51" s="306"/>
      <c r="CR51" s="306"/>
      <c r="CS51" s="494"/>
      <c r="CT51" s="306"/>
      <c r="CU51" s="306"/>
      <c r="CV51" s="306"/>
      <c r="CW51" s="306"/>
      <c r="CX51" s="306"/>
      <c r="CY51" s="306"/>
      <c r="CZ51" s="306"/>
      <c r="DA51" s="306"/>
      <c r="DB51" s="306"/>
      <c r="DC51" s="493"/>
      <c r="DD51" s="306"/>
      <c r="DE51" s="306"/>
      <c r="DF51" s="494"/>
      <c r="DG51" s="306"/>
      <c r="DH51" s="306"/>
      <c r="DI51" s="306"/>
      <c r="DJ51" s="306"/>
      <c r="DK51" s="306"/>
      <c r="DL51" s="306"/>
      <c r="DM51" s="306"/>
      <c r="DN51" s="306"/>
      <c r="DO51" s="306"/>
      <c r="DP51" s="493"/>
      <c r="DQ51" s="306"/>
      <c r="DR51" s="306"/>
      <c r="DS51" s="489"/>
      <c r="DT51" s="306"/>
      <c r="DU51" s="306"/>
      <c r="DV51" s="306"/>
      <c r="DW51" s="306"/>
      <c r="DX51" s="306"/>
      <c r="DY51" s="306"/>
      <c r="DZ51" s="306"/>
      <c r="EA51" s="306"/>
      <c r="EB51" s="306"/>
      <c r="EC51" s="306"/>
      <c r="ED51" s="493"/>
      <c r="EE51" s="306"/>
      <c r="EF51" s="306"/>
      <c r="EG51" s="306"/>
      <c r="EH51" s="487"/>
      <c r="EI51" s="306"/>
      <c r="EJ51" s="306"/>
      <c r="EK51" s="306"/>
      <c r="EL51" s="306"/>
      <c r="EM51" s="306"/>
      <c r="EN51" s="306"/>
      <c r="EO51" s="306"/>
      <c r="EP51" s="306"/>
      <c r="EQ51" s="306"/>
      <c r="ER51" s="306"/>
      <c r="ES51" s="306"/>
      <c r="ET51" s="306"/>
      <c r="EU51" s="306"/>
      <c r="EV51" s="491"/>
      <c r="EW51" s="306"/>
      <c r="EX51" s="306"/>
      <c r="EY51" s="306"/>
      <c r="EZ51" s="306"/>
      <c r="FA51" s="306"/>
      <c r="FB51" s="306"/>
      <c r="FC51" s="306"/>
      <c r="FD51" s="306"/>
      <c r="FE51" s="306"/>
      <c r="FF51" s="306"/>
      <c r="FG51" s="306"/>
      <c r="FH51" s="306"/>
      <c r="FI51" s="306"/>
      <c r="FJ51" s="306"/>
      <c r="FK51" s="306"/>
      <c r="FL51" s="487"/>
      <c r="FM51" s="306"/>
      <c r="FN51" s="306"/>
      <c r="FO51" s="306"/>
      <c r="FP51" s="306"/>
      <c r="FQ51" s="306"/>
      <c r="FR51" s="306"/>
      <c r="FS51" s="306"/>
      <c r="FT51" s="306"/>
      <c r="FU51" s="306"/>
      <c r="FV51" s="306"/>
      <c r="FW51" s="306"/>
      <c r="FX51" s="306"/>
      <c r="FY51" s="306"/>
      <c r="FZ51" s="306"/>
      <c r="GA51" s="306"/>
      <c r="GB51" s="491"/>
      <c r="GC51" s="306"/>
      <c r="GD51" s="306"/>
      <c r="GE51" s="306"/>
      <c r="GF51" s="491"/>
      <c r="GG51" s="494"/>
      <c r="GH51" s="487"/>
      <c r="GI51" s="306"/>
      <c r="GJ51" s="491"/>
      <c r="GK51" s="306"/>
      <c r="GL51" s="306"/>
      <c r="GM51" s="497" t="str">
        <f t="shared" ref="GM51:GM53" si="8">$GJ51&amp;":"&amp;$GK51</f>
        <v>:</v>
      </c>
      <c r="GN51" s="306"/>
      <c r="GO51" s="306"/>
      <c r="GP51" s="306"/>
    </row>
    <row r="52" spans="1:198" ht="45" x14ac:dyDescent="0.15">
      <c r="A52" s="481" t="str">
        <f>VLOOKUP($J52&amp;":", Catalog!$F$5:$BV127, COLUMNS(Catalog!$F$5:$BV127), FALSE)</f>
        <v>State 2: has missionScarlet with Tier=2, OR playerLevel&gt;=7</v>
      </c>
      <c r="B52" s="482" t="b">
        <f t="shared" ca="1" si="0"/>
        <v>0</v>
      </c>
      <c r="C52" s="483" t="str">
        <f t="shared" si="1"/>
        <v>grantActionMissionElMachoUnlock</v>
      </c>
      <c r="D52" s="484" t="str">
        <f>VLOOKUP($J52&amp;":", Catalog!$F$5:$BW127, COLUMNS(Catalog!$F$5:$BW127), FALSE)</f>
        <v>always</v>
      </c>
      <c r="E52" s="485">
        <f>VLOOKUP($J52&amp;":", Catalog!$F$5:$BX127, COLUMNS(Catalog!$F$5:$BX127), FALSE)</f>
        <v>0</v>
      </c>
      <c r="F52" s="484">
        <f>VLOOKUP($J52&amp;":", Catalog!$F$5:$BY127, COLUMNS(Catalog!$F$5:$BY127), FALSE)</f>
        <v>0</v>
      </c>
      <c r="G52" s="484" t="str">
        <f>VLOOKUP($J52, Catalog!$E$5:$BZ127, COLUMNS(Catalog!$E$5:$BZ127), FALSE)</f>
        <v>rewardIfAnyRequirementsMet</v>
      </c>
      <c r="H52" s="483" t="s">
        <v>811</v>
      </c>
      <c r="I52" s="483"/>
      <c r="J52" s="306" t="s">
        <v>934</v>
      </c>
      <c r="K52" s="486">
        <v>1</v>
      </c>
      <c r="L52" s="100" t="s">
        <v>279</v>
      </c>
      <c r="M52" s="332">
        <v>2</v>
      </c>
      <c r="N52" s="100" t="s">
        <v>280</v>
      </c>
      <c r="O52" s="86"/>
      <c r="P52" s="86"/>
      <c r="Q52" s="86"/>
      <c r="R52" s="100" t="str">
        <f t="shared" si="2"/>
        <v>always</v>
      </c>
      <c r="S52" s="487"/>
      <c r="T52" s="486"/>
      <c r="U52" s="488"/>
      <c r="V52" s="488"/>
      <c r="W52" s="488"/>
      <c r="X52" s="488"/>
      <c r="Y52" s="306"/>
      <c r="Z52" s="306"/>
      <c r="AA52" s="489"/>
      <c r="AB52" s="306" t="str">
        <f t="shared" si="3"/>
        <v>total_points</v>
      </c>
      <c r="AC52" s="490">
        <f t="shared" si="4"/>
        <v>0</v>
      </c>
      <c r="AD52" s="490">
        <f t="shared" si="5"/>
        <v>0</v>
      </c>
      <c r="AE52" s="306"/>
      <c r="AF52" s="332" t="str">
        <f t="shared" si="6"/>
        <v>actionMissionElMachoUnlock</v>
      </c>
      <c r="AG52" s="306"/>
      <c r="AH52" s="487"/>
      <c r="AI52" s="306"/>
      <c r="AJ52" s="306"/>
      <c r="AK52" s="306"/>
      <c r="AL52" s="306"/>
      <c r="AM52" s="306"/>
      <c r="AN52" s="491"/>
      <c r="AO52" s="306"/>
      <c r="AP52" s="306"/>
      <c r="AQ52" s="306"/>
      <c r="AR52" s="306"/>
      <c r="AS52" s="306"/>
      <c r="AT52" s="487"/>
      <c r="AU52" s="306"/>
      <c r="AV52" s="306"/>
      <c r="AW52" s="306"/>
      <c r="AX52" s="306"/>
      <c r="AY52" s="306"/>
      <c r="AZ52" s="487"/>
      <c r="BA52" s="306"/>
      <c r="BB52" s="306"/>
      <c r="BF52" s="492" t="str">
        <f ca="1">IFERROR(__xludf.DUMMYFUNCTION("IF(REGEXMATCH($G52, ""Any""), ""any"", IF(REGEXMATCH($G52, ""All""), ""all"", """"))"),"any")</f>
        <v>any</v>
      </c>
      <c r="BG52" s="499" t="s">
        <v>909</v>
      </c>
      <c r="BH52" s="306"/>
      <c r="BI52" s="100" t="s">
        <v>279</v>
      </c>
      <c r="BJ52" s="100">
        <v>2</v>
      </c>
      <c r="BK52" s="306"/>
      <c r="BL52" s="306"/>
      <c r="BM52" s="306"/>
      <c r="BN52" s="306"/>
      <c r="BO52" s="306"/>
      <c r="BP52" s="493"/>
      <c r="BQ52" s="306"/>
      <c r="BR52" s="306"/>
      <c r="BS52" s="494"/>
      <c r="BT52" s="487"/>
      <c r="BU52" s="306"/>
      <c r="BV52" s="306"/>
      <c r="BW52" s="306"/>
      <c r="BX52" s="306"/>
      <c r="BY52" s="306"/>
      <c r="BZ52" s="306"/>
      <c r="CA52" s="306"/>
      <c r="CB52" s="306"/>
      <c r="CC52" s="493"/>
      <c r="CD52" s="306"/>
      <c r="CE52" s="306"/>
      <c r="CF52" s="494"/>
      <c r="CG52" s="487"/>
      <c r="CH52" s="306"/>
      <c r="CI52" s="306"/>
      <c r="CJ52" s="306"/>
      <c r="CK52" s="306"/>
      <c r="CL52" s="306"/>
      <c r="CM52" s="306"/>
      <c r="CN52" s="306"/>
      <c r="CO52" s="306"/>
      <c r="CP52" s="306"/>
      <c r="CQ52" s="306"/>
      <c r="CR52" s="306"/>
      <c r="CS52" s="494"/>
      <c r="CT52" s="306"/>
      <c r="CU52" s="306"/>
      <c r="CV52" s="306"/>
      <c r="CW52" s="306"/>
      <c r="CX52" s="306"/>
      <c r="CY52" s="306"/>
      <c r="CZ52" s="306"/>
      <c r="DA52" s="306"/>
      <c r="DB52" s="306"/>
      <c r="DC52" s="493"/>
      <c r="DD52" s="306"/>
      <c r="DE52" s="306"/>
      <c r="DF52" s="494"/>
      <c r="DG52" s="306"/>
      <c r="DH52" s="306"/>
      <c r="DI52" s="306"/>
      <c r="DJ52" s="306"/>
      <c r="DK52" s="306"/>
      <c r="DL52" s="306"/>
      <c r="DM52" s="306"/>
      <c r="DN52" s="306"/>
      <c r="DO52" s="306"/>
      <c r="DP52" s="493"/>
      <c r="DQ52" s="306"/>
      <c r="DR52" s="306"/>
      <c r="DS52" s="489"/>
      <c r="DT52" s="306"/>
      <c r="DU52" s="306"/>
      <c r="DV52" s="306"/>
      <c r="DW52" s="306"/>
      <c r="DX52" s="306"/>
      <c r="DY52" s="306"/>
      <c r="DZ52" s="306"/>
      <c r="EA52" s="306"/>
      <c r="EB52" s="306"/>
      <c r="EC52" s="306"/>
      <c r="ED52" s="493"/>
      <c r="EE52" s="306"/>
      <c r="EF52" s="306"/>
      <c r="EG52" s="306"/>
      <c r="EH52" s="487"/>
      <c r="EI52" s="306"/>
      <c r="EJ52" s="306"/>
      <c r="EK52" s="306"/>
      <c r="EL52" s="306"/>
      <c r="EM52" s="306"/>
      <c r="EN52" s="306"/>
      <c r="EO52" s="306"/>
      <c r="EP52" s="306"/>
      <c r="EQ52" s="306"/>
      <c r="ER52" s="306"/>
      <c r="ES52" s="306"/>
      <c r="ET52" s="306"/>
      <c r="EU52" s="306"/>
      <c r="EV52" s="491"/>
      <c r="EW52" s="306"/>
      <c r="EX52" s="306"/>
      <c r="EY52" s="306"/>
      <c r="EZ52" s="306"/>
      <c r="FA52" s="306"/>
      <c r="FB52" s="306"/>
      <c r="FC52" s="306"/>
      <c r="FD52" s="306"/>
      <c r="FE52" s="306"/>
      <c r="FF52" s="306"/>
      <c r="FG52" s="306"/>
      <c r="FH52" s="306"/>
      <c r="FI52" s="306"/>
      <c r="FJ52" s="306"/>
      <c r="FK52" s="306"/>
      <c r="FL52" s="487"/>
      <c r="FM52" s="306"/>
      <c r="FN52" s="306"/>
      <c r="FO52" s="306"/>
      <c r="FP52" s="306"/>
      <c r="FQ52" s="306"/>
      <c r="FR52" s="306"/>
      <c r="FS52" s="306"/>
      <c r="FT52" s="306"/>
      <c r="FU52" s="306"/>
      <c r="FV52" s="306"/>
      <c r="FW52" s="306"/>
      <c r="FX52" s="306"/>
      <c r="FY52" s="306"/>
      <c r="FZ52" s="306"/>
      <c r="GA52" s="306"/>
      <c r="GB52" s="491"/>
      <c r="GC52" s="306"/>
      <c r="GD52" s="306"/>
      <c r="GE52" s="306"/>
      <c r="GF52" s="491"/>
      <c r="GG52" s="494"/>
      <c r="GH52" s="487"/>
      <c r="GI52" s="306"/>
      <c r="GJ52" s="502" t="s">
        <v>4379</v>
      </c>
      <c r="GK52" s="332">
        <v>7</v>
      </c>
      <c r="GL52" s="100" t="s">
        <v>4819</v>
      </c>
      <c r="GM52" s="497" t="str">
        <f t="shared" si="8"/>
        <v>levels.total_points.level:7</v>
      </c>
      <c r="GN52" s="306"/>
      <c r="GO52" s="306"/>
      <c r="GP52" s="306"/>
    </row>
    <row r="53" spans="1:198" ht="105" x14ac:dyDescent="0.15">
      <c r="A53" s="481" t="str">
        <f>VLOOKUP($J53&amp;":", Catalog!$F$5:$BV127, COLUMNS(Catalog!$F$5:$BV127), FALSE)</f>
        <v>State 1: have actionMissionElMachoUnlock.
State 2: have actionMissionElMachoAttempt with total score &gt;= 100,000 (single game) AND CLEAR playerData.activeQuest</v>
      </c>
      <c r="B53" s="482" t="b">
        <f t="shared" ca="1" si="0"/>
        <v>0</v>
      </c>
      <c r="C53" s="483" t="str">
        <f t="shared" si="1"/>
        <v>grantMissionElMachoState1</v>
      </c>
      <c r="D53" s="484" t="str">
        <f>VLOOKUP($J53&amp;":", Catalog!$F$5:$BW127, COLUMNS(Catalog!$F$5:$BW127), FALSE)</f>
        <v>always</v>
      </c>
      <c r="E53" s="485">
        <f>VLOOKUP($J53&amp;":", Catalog!$F$5:$BX127, COLUMNS(Catalog!$F$5:$BX127), FALSE)</f>
        <v>0</v>
      </c>
      <c r="F53" s="484">
        <f>VLOOKUP($J53&amp;":", Catalog!$F$5:$BY127, COLUMNS(Catalog!$F$5:$BY127), FALSE)</f>
        <v>0</v>
      </c>
      <c r="G53" s="484" t="str">
        <f>VLOOKUP($J53, Catalog!$E$5:$BZ127, COLUMNS(Catalog!$E$5:$BZ127), FALSE)</f>
        <v>rewardIfAllRequirementsMet</v>
      </c>
      <c r="H53" s="483" t="s">
        <v>851</v>
      </c>
      <c r="I53" s="483">
        <v>1</v>
      </c>
      <c r="J53" s="306" t="s">
        <v>939</v>
      </c>
      <c r="K53" s="486">
        <v>1</v>
      </c>
      <c r="L53" s="100" t="s">
        <v>279</v>
      </c>
      <c r="M53" s="332">
        <v>1</v>
      </c>
      <c r="N53" s="100" t="s">
        <v>280</v>
      </c>
      <c r="O53" s="86"/>
      <c r="P53" s="86"/>
      <c r="Q53" s="86"/>
      <c r="R53" s="100" t="str">
        <f t="shared" si="2"/>
        <v>always</v>
      </c>
      <c r="S53" s="487"/>
      <c r="T53" s="486"/>
      <c r="U53" s="488"/>
      <c r="V53" s="488"/>
      <c r="W53" s="488"/>
      <c r="X53" s="488"/>
      <c r="Y53" s="306"/>
      <c r="Z53" s="306"/>
      <c r="AA53" s="489"/>
      <c r="AB53" s="306" t="str">
        <f t="shared" si="3"/>
        <v>total_points</v>
      </c>
      <c r="AC53" s="490">
        <f t="shared" si="4"/>
        <v>0</v>
      </c>
      <c r="AD53" s="490">
        <f t="shared" si="5"/>
        <v>0</v>
      </c>
      <c r="AE53" s="306"/>
      <c r="AF53" s="332" t="str">
        <f t="shared" si="6"/>
        <v>missionElMacho</v>
      </c>
      <c r="AG53" s="306"/>
      <c r="AH53" s="487"/>
      <c r="AI53" s="306"/>
      <c r="AJ53" s="306"/>
      <c r="AK53" s="306"/>
      <c r="AL53" s="306"/>
      <c r="AM53" s="306"/>
      <c r="AN53" s="491"/>
      <c r="AO53" s="306"/>
      <c r="AP53" s="306"/>
      <c r="AQ53" s="306"/>
      <c r="AR53" s="306"/>
      <c r="AS53" s="306"/>
      <c r="AT53" s="487"/>
      <c r="AU53" s="306"/>
      <c r="AV53" s="306"/>
      <c r="AW53" s="306"/>
      <c r="AX53" s="306"/>
      <c r="AY53" s="306"/>
      <c r="AZ53" s="487"/>
      <c r="BA53" s="306"/>
      <c r="BB53" s="306"/>
      <c r="BF53" s="492" t="str">
        <f ca="1">IFERROR(__xludf.DUMMYFUNCTION("IF(REGEXMATCH($G53, ""Any""), ""any"", IF(REGEXMATCH($G53, ""All""), ""all"", """"))"),"all")</f>
        <v>all</v>
      </c>
      <c r="BG53" s="499" t="s">
        <v>934</v>
      </c>
      <c r="BH53" s="306"/>
      <c r="BI53" s="306"/>
      <c r="BJ53" s="306"/>
      <c r="BK53" s="306"/>
      <c r="BL53" s="306"/>
      <c r="BM53" s="306"/>
      <c r="BN53" s="306"/>
      <c r="BO53" s="306"/>
      <c r="BP53" s="493"/>
      <c r="BQ53" s="306"/>
      <c r="BR53" s="306"/>
      <c r="BS53" s="494"/>
      <c r="BT53" s="487"/>
      <c r="BU53" s="306"/>
      <c r="BV53" s="306"/>
      <c r="BW53" s="306"/>
      <c r="BX53" s="306"/>
      <c r="BY53" s="306"/>
      <c r="BZ53" s="306"/>
      <c r="CA53" s="306"/>
      <c r="CB53" s="306"/>
      <c r="CC53" s="493"/>
      <c r="CD53" s="306"/>
      <c r="CE53" s="306"/>
      <c r="CF53" s="494"/>
      <c r="CG53" s="487"/>
      <c r="CH53" s="306"/>
      <c r="CI53" s="306"/>
      <c r="CJ53" s="306"/>
      <c r="CK53" s="306"/>
      <c r="CL53" s="306"/>
      <c r="CM53" s="306"/>
      <c r="CN53" s="306"/>
      <c r="CO53" s="306"/>
      <c r="CP53" s="306"/>
      <c r="CQ53" s="306"/>
      <c r="CR53" s="306"/>
      <c r="CS53" s="494"/>
      <c r="CT53" s="306"/>
      <c r="CU53" s="306"/>
      <c r="CV53" s="306"/>
      <c r="CW53" s="306"/>
      <c r="CX53" s="306"/>
      <c r="CY53" s="306"/>
      <c r="CZ53" s="306"/>
      <c r="DA53" s="306"/>
      <c r="DB53" s="306"/>
      <c r="DC53" s="493"/>
      <c r="DD53" s="306"/>
      <c r="DE53" s="306"/>
      <c r="DF53" s="494"/>
      <c r="DG53" s="306"/>
      <c r="DH53" s="306"/>
      <c r="DI53" s="306"/>
      <c r="DJ53" s="306"/>
      <c r="DK53" s="306"/>
      <c r="DL53" s="306"/>
      <c r="DM53" s="306"/>
      <c r="DN53" s="306"/>
      <c r="DO53" s="306"/>
      <c r="DP53" s="493"/>
      <c r="DQ53" s="306"/>
      <c r="DR53" s="306"/>
      <c r="DS53" s="489"/>
      <c r="DT53" s="306"/>
      <c r="DU53" s="306"/>
      <c r="DV53" s="306"/>
      <c r="DW53" s="306"/>
      <c r="DX53" s="306"/>
      <c r="DY53" s="306"/>
      <c r="DZ53" s="306"/>
      <c r="EA53" s="306"/>
      <c r="EB53" s="306"/>
      <c r="EC53" s="306"/>
      <c r="ED53" s="493"/>
      <c r="EE53" s="306"/>
      <c r="EF53" s="306"/>
      <c r="EG53" s="306"/>
      <c r="EH53" s="487"/>
      <c r="EI53" s="306"/>
      <c r="EJ53" s="306"/>
      <c r="EK53" s="306"/>
      <c r="EL53" s="306"/>
      <c r="EM53" s="306"/>
      <c r="EN53" s="306"/>
      <c r="EO53" s="306"/>
      <c r="EP53" s="306"/>
      <c r="EQ53" s="306"/>
      <c r="ER53" s="306"/>
      <c r="ES53" s="306"/>
      <c r="ET53" s="306"/>
      <c r="EU53" s="306"/>
      <c r="EV53" s="491"/>
      <c r="EW53" s="306"/>
      <c r="EX53" s="306"/>
      <c r="EY53" s="306"/>
      <c r="EZ53" s="306"/>
      <c r="FA53" s="306"/>
      <c r="FB53" s="306"/>
      <c r="FC53" s="306"/>
      <c r="FD53" s="306"/>
      <c r="FE53" s="306"/>
      <c r="FF53" s="306"/>
      <c r="FG53" s="306"/>
      <c r="FH53" s="306"/>
      <c r="FI53" s="306"/>
      <c r="FJ53" s="306"/>
      <c r="FK53" s="306"/>
      <c r="FL53" s="487"/>
      <c r="FM53" s="306"/>
      <c r="FN53" s="306"/>
      <c r="FO53" s="306"/>
      <c r="FP53" s="306"/>
      <c r="FQ53" s="306"/>
      <c r="FR53" s="306"/>
      <c r="FS53" s="306"/>
      <c r="FT53" s="306"/>
      <c r="FU53" s="306"/>
      <c r="FV53" s="306"/>
      <c r="FW53" s="306"/>
      <c r="FX53" s="306"/>
      <c r="FY53" s="306"/>
      <c r="FZ53" s="306"/>
      <c r="GA53" s="306"/>
      <c r="GB53" s="491"/>
      <c r="GC53" s="306"/>
      <c r="GD53" s="306"/>
      <c r="GE53" s="306"/>
      <c r="GF53" s="491"/>
      <c r="GG53" s="494"/>
      <c r="GH53" s="487"/>
      <c r="GI53" s="306"/>
      <c r="GJ53" s="491"/>
      <c r="GK53" s="306"/>
      <c r="GL53" s="306"/>
      <c r="GM53" s="497" t="str">
        <f t="shared" si="8"/>
        <v>:</v>
      </c>
      <c r="GN53" s="306"/>
      <c r="GO53" s="306"/>
      <c r="GP53" s="306"/>
    </row>
    <row r="54" spans="1:198" ht="105" x14ac:dyDescent="0.15">
      <c r="A54" s="481" t="str">
        <f>VLOOKUP($J54&amp;":", Catalog!$F$5:$BV127, COLUMNS(Catalog!$F$5:$BV127), FALSE)</f>
        <v>State 1: have actionMissionElMachoUnlock.
State 2: have actionMissionElMachoAttempt with total score &gt;= 100,000 (single game) AND CLEAR playerData.activeQuest</v>
      </c>
      <c r="B54" s="482" t="b">
        <f t="shared" ca="1" si="0"/>
        <v>0</v>
      </c>
      <c r="C54" s="483" t="str">
        <f t="shared" si="1"/>
        <v>grantMissionElMachoState2</v>
      </c>
      <c r="D54" s="484" t="str">
        <f>VLOOKUP($J54&amp;":", Catalog!$F$5:$BW127, COLUMNS(Catalog!$F$5:$BW127), FALSE)</f>
        <v>always</v>
      </c>
      <c r="E54" s="485">
        <f>VLOOKUP($J54&amp;":", Catalog!$F$5:$BX127, COLUMNS(Catalog!$F$5:$BX127), FALSE)</f>
        <v>0</v>
      </c>
      <c r="F54" s="484">
        <f>VLOOKUP($J54&amp;":", Catalog!$F$5:$BY127, COLUMNS(Catalog!$F$5:$BY127), FALSE)</f>
        <v>0</v>
      </c>
      <c r="G54" s="484" t="str">
        <f>VLOOKUP($J54, Catalog!$E$5:$BZ127, COLUMNS(Catalog!$E$5:$BZ127), FALSE)</f>
        <v>rewardIfAllRequirementsMet</v>
      </c>
      <c r="H54" s="483" t="s">
        <v>851</v>
      </c>
      <c r="I54" s="483">
        <v>2</v>
      </c>
      <c r="J54" s="306" t="s">
        <v>939</v>
      </c>
      <c r="K54" s="486"/>
      <c r="L54" s="100" t="s">
        <v>279</v>
      </c>
      <c r="M54" s="332">
        <v>2</v>
      </c>
      <c r="N54" s="100" t="s">
        <v>280</v>
      </c>
      <c r="O54" s="86"/>
      <c r="P54" s="86"/>
      <c r="Q54" s="86"/>
      <c r="R54" s="100" t="str">
        <f t="shared" si="2"/>
        <v>always</v>
      </c>
      <c r="S54" s="487"/>
      <c r="T54" s="486"/>
      <c r="U54" s="488"/>
      <c r="V54" s="488"/>
      <c r="W54" s="488"/>
      <c r="X54" s="488"/>
      <c r="Y54" s="306"/>
      <c r="Z54" s="306"/>
      <c r="AA54" s="489"/>
      <c r="AB54" s="306" t="str">
        <f t="shared" si="3"/>
        <v>total_points</v>
      </c>
      <c r="AC54" s="490">
        <f t="shared" si="4"/>
        <v>0</v>
      </c>
      <c r="AD54" s="490">
        <f t="shared" si="5"/>
        <v>0</v>
      </c>
      <c r="AE54" s="306"/>
      <c r="AF54" s="332" t="str">
        <f t="shared" si="6"/>
        <v>missionElMacho</v>
      </c>
      <c r="AG54" s="306"/>
      <c r="AH54" s="487"/>
      <c r="AI54" s="306"/>
      <c r="AJ54" s="306"/>
      <c r="AK54" s="306"/>
      <c r="AL54" s="306"/>
      <c r="AM54" s="306"/>
      <c r="AN54" s="491"/>
      <c r="AO54" s="306"/>
      <c r="AP54" s="306"/>
      <c r="AQ54" s="306"/>
      <c r="AR54" s="306"/>
      <c r="AS54" s="306"/>
      <c r="AT54" s="487"/>
      <c r="AU54" s="306"/>
      <c r="AV54" s="306"/>
      <c r="AW54" s="306"/>
      <c r="AX54" s="306"/>
      <c r="AY54" s="306"/>
      <c r="AZ54" s="503" t="s">
        <v>4820</v>
      </c>
      <c r="BA54" s="332" t="s">
        <v>4821</v>
      </c>
      <c r="BB54" s="332" t="s">
        <v>4822</v>
      </c>
      <c r="BF54" s="492" t="str">
        <f ca="1">IFERROR(__xludf.DUMMYFUNCTION("IF(REGEXMATCH($G54, ""Any""), ""any"", IF(REGEXMATCH($G54, ""All""), ""all"", """"))"),"all")</f>
        <v>all</v>
      </c>
      <c r="BG54" s="499" t="s">
        <v>937</v>
      </c>
      <c r="BH54" s="306"/>
      <c r="BI54" s="332" t="s">
        <v>2662</v>
      </c>
      <c r="BJ54" s="332">
        <v>100000</v>
      </c>
      <c r="BK54" s="332" t="s">
        <v>4819</v>
      </c>
      <c r="BL54" s="306"/>
      <c r="BM54" s="306"/>
      <c r="BN54" s="306"/>
      <c r="BO54" s="306"/>
      <c r="BP54" s="493"/>
      <c r="BQ54" s="306"/>
      <c r="BR54" s="306"/>
      <c r="BS54" s="494"/>
      <c r="BT54" s="487"/>
      <c r="BU54" s="306"/>
      <c r="BV54" s="306"/>
      <c r="BW54" s="306"/>
      <c r="BX54" s="306"/>
      <c r="BY54" s="306"/>
      <c r="BZ54" s="306"/>
      <c r="CA54" s="306"/>
      <c r="CB54" s="306"/>
      <c r="CC54" s="493"/>
      <c r="CD54" s="306"/>
      <c r="CE54" s="306"/>
      <c r="CF54" s="494"/>
      <c r="CG54" s="487"/>
      <c r="CH54" s="306"/>
      <c r="CI54" s="306"/>
      <c r="CJ54" s="306"/>
      <c r="CK54" s="306"/>
      <c r="CL54" s="306"/>
      <c r="CM54" s="306"/>
      <c r="CN54" s="306"/>
      <c r="CO54" s="306"/>
      <c r="CP54" s="306"/>
      <c r="CQ54" s="306"/>
      <c r="CR54" s="306"/>
      <c r="CS54" s="494"/>
      <c r="CT54" s="306"/>
      <c r="CU54" s="306"/>
      <c r="CV54" s="306"/>
      <c r="CW54" s="306"/>
      <c r="CX54" s="306"/>
      <c r="CY54" s="306"/>
      <c r="CZ54" s="306"/>
      <c r="DA54" s="306"/>
      <c r="DB54" s="306"/>
      <c r="DC54" s="493"/>
      <c r="DD54" s="306"/>
      <c r="DE54" s="306"/>
      <c r="DF54" s="494"/>
      <c r="DG54" s="306"/>
      <c r="DH54" s="306"/>
      <c r="DI54" s="306"/>
      <c r="DJ54" s="306"/>
      <c r="DK54" s="306"/>
      <c r="DL54" s="306"/>
      <c r="DM54" s="306"/>
      <c r="DN54" s="306"/>
      <c r="DO54" s="306"/>
      <c r="DP54" s="493"/>
      <c r="DQ54" s="306"/>
      <c r="DR54" s="306"/>
      <c r="DS54" s="489"/>
      <c r="DT54" s="306"/>
      <c r="DU54" s="306"/>
      <c r="DV54" s="306"/>
      <c r="DW54" s="306"/>
      <c r="DX54" s="306"/>
      <c r="DY54" s="306"/>
      <c r="DZ54" s="306"/>
      <c r="EA54" s="306"/>
      <c r="EB54" s="306"/>
      <c r="EC54" s="306"/>
      <c r="ED54" s="493"/>
      <c r="EE54" s="306"/>
      <c r="EF54" s="306"/>
      <c r="EG54" s="306"/>
      <c r="EH54" s="487"/>
      <c r="EI54" s="306"/>
      <c r="EJ54" s="306"/>
      <c r="EK54" s="306"/>
      <c r="EL54" s="306"/>
      <c r="EM54" s="306"/>
      <c r="EN54" s="306"/>
      <c r="EO54" s="306"/>
      <c r="EP54" s="306"/>
      <c r="EQ54" s="306"/>
      <c r="ER54" s="306"/>
      <c r="ES54" s="306"/>
      <c r="ET54" s="306"/>
      <c r="EU54" s="306"/>
      <c r="EV54" s="491"/>
      <c r="EW54" s="306"/>
      <c r="EX54" s="306"/>
      <c r="EY54" s="306"/>
      <c r="EZ54" s="306"/>
      <c r="FA54" s="306"/>
      <c r="FB54" s="306"/>
      <c r="FC54" s="306"/>
      <c r="FD54" s="306"/>
      <c r="FE54" s="306"/>
      <c r="FF54" s="306"/>
      <c r="FG54" s="306"/>
      <c r="FH54" s="306"/>
      <c r="FI54" s="306"/>
      <c r="FJ54" s="306"/>
      <c r="FK54" s="306"/>
      <c r="FL54" s="487"/>
      <c r="FM54" s="306"/>
      <c r="FN54" s="306"/>
      <c r="FO54" s="306"/>
      <c r="FP54" s="306"/>
      <c r="FQ54" s="306"/>
      <c r="FR54" s="306"/>
      <c r="FS54" s="306"/>
      <c r="FT54" s="306"/>
      <c r="FU54" s="306"/>
      <c r="FV54" s="306"/>
      <c r="FW54" s="306"/>
      <c r="FX54" s="306"/>
      <c r="FY54" s="306"/>
      <c r="FZ54" s="306"/>
      <c r="GA54" s="306"/>
      <c r="GB54" s="491"/>
      <c r="GC54" s="306"/>
      <c r="GD54" s="306"/>
      <c r="GE54" s="306"/>
      <c r="GF54" s="491"/>
      <c r="GG54" s="494"/>
      <c r="GH54" s="487"/>
      <c r="GI54" s="306"/>
      <c r="GJ54" s="491"/>
      <c r="GK54" s="306"/>
      <c r="GL54" s="306"/>
      <c r="GM54" s="497"/>
      <c r="GN54" s="306"/>
      <c r="GO54" s="306"/>
      <c r="GP54" s="306"/>
    </row>
    <row r="55" spans="1:198" ht="30" x14ac:dyDescent="0.15">
      <c r="A55" s="481" t="str">
        <f>VLOOKUP($J55&amp;":", Catalog!$F$5:$BV127, COLUMNS(Catalog!$F$5:$BV127), FALSE)</f>
        <v>State 2: has missionElMacho with Tier=2</v>
      </c>
      <c r="B55" s="482" t="b">
        <f t="shared" ca="1" si="0"/>
        <v>0</v>
      </c>
      <c r="C55" s="483" t="str">
        <f t="shared" si="1"/>
        <v>grantAchievementMissionElMachoState2</v>
      </c>
      <c r="D55" s="484" t="str">
        <f>VLOOKUP($J55&amp;":", Catalog!$F$5:$BW127, COLUMNS(Catalog!$F$5:$BW127), FALSE)</f>
        <v>never</v>
      </c>
      <c r="E55" s="485">
        <f>VLOOKUP($J55&amp;":", Catalog!$F$5:$BX127, COLUMNS(Catalog!$F$5:$BX127), FALSE)</f>
        <v>0</v>
      </c>
      <c r="F55" s="484">
        <f>VLOOKUP($J55&amp;":", Catalog!$F$5:$BY127, COLUMNS(Catalog!$F$5:$BY127), FALSE)</f>
        <v>0</v>
      </c>
      <c r="G55" s="484" t="str">
        <f>VLOOKUP($J55, Catalog!$E$5:$BZ127, COLUMNS(Catalog!$E$5:$BZ127), FALSE)</f>
        <v>rewardIfAllRequirementsMet</v>
      </c>
      <c r="H55" s="483" t="s">
        <v>808</v>
      </c>
      <c r="I55" s="483">
        <v>2</v>
      </c>
      <c r="J55" s="306" t="s">
        <v>952</v>
      </c>
      <c r="K55" s="486">
        <v>1</v>
      </c>
      <c r="L55" s="100" t="s">
        <v>279</v>
      </c>
      <c r="M55" s="332">
        <v>2</v>
      </c>
      <c r="N55" s="100" t="s">
        <v>280</v>
      </c>
      <c r="O55" s="86"/>
      <c r="P55" s="86"/>
      <c r="Q55" s="86"/>
      <c r="R55" s="100" t="str">
        <f t="shared" si="2"/>
        <v>never</v>
      </c>
      <c r="S55" s="487"/>
      <c r="T55" s="486"/>
      <c r="U55" s="488"/>
      <c r="V55" s="488"/>
      <c r="W55" s="488"/>
      <c r="X55" s="488"/>
      <c r="Y55" s="306"/>
      <c r="Z55" s="306"/>
      <c r="AA55" s="489"/>
      <c r="AB55" s="306" t="str">
        <f t="shared" si="3"/>
        <v>total_points</v>
      </c>
      <c r="AC55" s="490">
        <f t="shared" si="4"/>
        <v>0</v>
      </c>
      <c r="AD55" s="490">
        <f t="shared" si="5"/>
        <v>0</v>
      </c>
      <c r="AE55" s="306"/>
      <c r="AF55" s="332" t="str">
        <f t="shared" si="6"/>
        <v>achievementMissionElMacho</v>
      </c>
      <c r="AG55" s="306"/>
      <c r="AH55" s="487"/>
      <c r="AI55" s="306"/>
      <c r="AJ55" s="306"/>
      <c r="AK55" s="306"/>
      <c r="AL55" s="306"/>
      <c r="AM55" s="306"/>
      <c r="AN55" s="491"/>
      <c r="AO55" s="306"/>
      <c r="AP55" s="306"/>
      <c r="AQ55" s="306"/>
      <c r="AR55" s="306"/>
      <c r="AS55" s="306"/>
      <c r="AT55" s="487"/>
      <c r="AU55" s="306"/>
      <c r="AV55" s="306"/>
      <c r="AW55" s="306"/>
      <c r="AX55" s="306"/>
      <c r="AY55" s="306"/>
      <c r="AZ55" s="487"/>
      <c r="BA55" s="306"/>
      <c r="BB55" s="306"/>
      <c r="BF55" s="492" t="str">
        <f ca="1">IFERROR(__xludf.DUMMYFUNCTION("IF(REGEXMATCH($G55, ""Any""), ""any"", IF(REGEXMATCH($G55, ""All""), ""all"", """"))"),"all")</f>
        <v>all</v>
      </c>
      <c r="BG55" s="499" t="s">
        <v>939</v>
      </c>
      <c r="BH55" s="306"/>
      <c r="BI55" s="100" t="s">
        <v>279</v>
      </c>
      <c r="BJ55" s="100">
        <v>2</v>
      </c>
      <c r="BK55" s="306"/>
      <c r="BL55" s="306"/>
      <c r="BM55" s="306"/>
      <c r="BN55" s="306"/>
      <c r="BO55" s="306"/>
      <c r="BP55" s="493"/>
      <c r="BQ55" s="306"/>
      <c r="BR55" s="306"/>
      <c r="BS55" s="494"/>
      <c r="BT55" s="487"/>
      <c r="BU55" s="306"/>
      <c r="BV55" s="306"/>
      <c r="BW55" s="306"/>
      <c r="BX55" s="306"/>
      <c r="BY55" s="306"/>
      <c r="BZ55" s="306"/>
      <c r="CA55" s="306"/>
      <c r="CB55" s="306"/>
      <c r="CC55" s="493"/>
      <c r="CD55" s="306"/>
      <c r="CE55" s="306"/>
      <c r="CF55" s="494"/>
      <c r="CG55" s="487"/>
      <c r="CH55" s="306"/>
      <c r="CI55" s="306"/>
      <c r="CJ55" s="306"/>
      <c r="CK55" s="306"/>
      <c r="CL55" s="306"/>
      <c r="CM55" s="306"/>
      <c r="CN55" s="306"/>
      <c r="CO55" s="306"/>
      <c r="CP55" s="306"/>
      <c r="CQ55" s="306"/>
      <c r="CR55" s="306"/>
      <c r="CS55" s="494"/>
      <c r="CT55" s="306"/>
      <c r="CU55" s="306"/>
      <c r="CV55" s="306"/>
      <c r="CW55" s="306"/>
      <c r="CX55" s="306"/>
      <c r="CY55" s="306"/>
      <c r="CZ55" s="306"/>
      <c r="DA55" s="306"/>
      <c r="DB55" s="306"/>
      <c r="DC55" s="493"/>
      <c r="DD55" s="306"/>
      <c r="DE55" s="306"/>
      <c r="DF55" s="494"/>
      <c r="DG55" s="306"/>
      <c r="DH55" s="306"/>
      <c r="DI55" s="306"/>
      <c r="DJ55" s="306"/>
      <c r="DK55" s="306"/>
      <c r="DL55" s="306"/>
      <c r="DM55" s="306"/>
      <c r="DN55" s="306"/>
      <c r="DO55" s="306"/>
      <c r="DP55" s="493"/>
      <c r="DQ55" s="306"/>
      <c r="DR55" s="306"/>
      <c r="DS55" s="489"/>
      <c r="DT55" s="306"/>
      <c r="DU55" s="306"/>
      <c r="DV55" s="306"/>
      <c r="DW55" s="306"/>
      <c r="DX55" s="306"/>
      <c r="DY55" s="306"/>
      <c r="DZ55" s="306"/>
      <c r="EA55" s="306"/>
      <c r="EB55" s="306"/>
      <c r="EC55" s="306"/>
      <c r="ED55" s="493"/>
      <c r="EE55" s="306"/>
      <c r="EF55" s="306"/>
      <c r="EG55" s="306"/>
      <c r="EH55" s="487"/>
      <c r="EI55" s="306"/>
      <c r="EJ55" s="306"/>
      <c r="EK55" s="306"/>
      <c r="EL55" s="306"/>
      <c r="EM55" s="306"/>
      <c r="EN55" s="306"/>
      <c r="EO55" s="306"/>
      <c r="EP55" s="306"/>
      <c r="EQ55" s="306"/>
      <c r="ER55" s="306"/>
      <c r="ES55" s="306"/>
      <c r="ET55" s="306"/>
      <c r="EU55" s="306"/>
      <c r="EV55" s="491"/>
      <c r="EW55" s="306"/>
      <c r="EX55" s="306"/>
      <c r="EY55" s="306"/>
      <c r="EZ55" s="306"/>
      <c r="FA55" s="306"/>
      <c r="FB55" s="306"/>
      <c r="FC55" s="306"/>
      <c r="FD55" s="306"/>
      <c r="FE55" s="306"/>
      <c r="FF55" s="306"/>
      <c r="FG55" s="306"/>
      <c r="FH55" s="306"/>
      <c r="FI55" s="306"/>
      <c r="FJ55" s="306"/>
      <c r="FK55" s="306"/>
      <c r="FL55" s="487"/>
      <c r="FM55" s="306"/>
      <c r="FN55" s="306"/>
      <c r="FO55" s="306"/>
      <c r="FP55" s="306"/>
      <c r="FQ55" s="306"/>
      <c r="FR55" s="306"/>
      <c r="FS55" s="306"/>
      <c r="FT55" s="306"/>
      <c r="FU55" s="306"/>
      <c r="FV55" s="306"/>
      <c r="FW55" s="306"/>
      <c r="FX55" s="306"/>
      <c r="FY55" s="306"/>
      <c r="FZ55" s="306"/>
      <c r="GA55" s="306"/>
      <c r="GB55" s="491"/>
      <c r="GC55" s="306"/>
      <c r="GD55" s="306"/>
      <c r="GE55" s="306"/>
      <c r="GF55" s="491"/>
      <c r="GG55" s="494"/>
      <c r="GH55" s="487"/>
      <c r="GI55" s="306"/>
      <c r="GJ55" s="491"/>
      <c r="GK55" s="306"/>
      <c r="GL55" s="306"/>
      <c r="GM55" s="497" t="str">
        <f t="shared" ref="GM55:GM57" si="9">$GJ55&amp;":"&amp;$GK55</f>
        <v>:</v>
      </c>
      <c r="GN55" s="306"/>
      <c r="GO55" s="306"/>
      <c r="GP55" s="306"/>
    </row>
    <row r="56" spans="1:198" ht="45" x14ac:dyDescent="0.15">
      <c r="A56" s="481" t="str">
        <f>VLOOKUP($J56&amp;":", Catalog!$F$5:$BV127, COLUMNS(Catalog!$F$5:$BV127), FALSE)</f>
        <v>State 2: has missionElMacho with Tier=2, OR playerLevel&gt;=10</v>
      </c>
      <c r="B56" s="482" t="b">
        <f t="shared" ca="1" si="0"/>
        <v>0</v>
      </c>
      <c r="C56" s="483" t="str">
        <f t="shared" si="1"/>
        <v>grantActionMissionBrattUnlock</v>
      </c>
      <c r="D56" s="484" t="str">
        <f>VLOOKUP($J56&amp;":", Catalog!$F$5:$BW127, COLUMNS(Catalog!$F$5:$BW127), FALSE)</f>
        <v>always</v>
      </c>
      <c r="E56" s="485">
        <f>VLOOKUP($J56&amp;":", Catalog!$F$5:$BX127, COLUMNS(Catalog!$F$5:$BX127), FALSE)</f>
        <v>0</v>
      </c>
      <c r="F56" s="484">
        <f>VLOOKUP($J56&amp;":", Catalog!$F$5:$BY127, COLUMNS(Catalog!$F$5:$BY127), FALSE)</f>
        <v>0</v>
      </c>
      <c r="G56" s="484" t="str">
        <f>VLOOKUP($J56, Catalog!$E$5:$BZ127, COLUMNS(Catalog!$E$5:$BZ127), FALSE)</f>
        <v>rewardIfAnyRequirementsMet</v>
      </c>
      <c r="H56" s="483" t="s">
        <v>811</v>
      </c>
      <c r="I56" s="483"/>
      <c r="J56" s="306" t="s">
        <v>958</v>
      </c>
      <c r="K56" s="486">
        <v>1</v>
      </c>
      <c r="L56" s="100" t="s">
        <v>279</v>
      </c>
      <c r="M56" s="332">
        <v>2</v>
      </c>
      <c r="N56" s="100" t="s">
        <v>280</v>
      </c>
      <c r="O56" s="86"/>
      <c r="P56" s="86"/>
      <c r="Q56" s="86"/>
      <c r="R56" s="100" t="str">
        <f t="shared" si="2"/>
        <v>always</v>
      </c>
      <c r="S56" s="487"/>
      <c r="T56" s="486"/>
      <c r="U56" s="488"/>
      <c r="V56" s="488"/>
      <c r="W56" s="488"/>
      <c r="X56" s="488"/>
      <c r="Y56" s="306"/>
      <c r="Z56" s="306"/>
      <c r="AA56" s="489"/>
      <c r="AB56" s="306" t="str">
        <f t="shared" si="3"/>
        <v>total_points</v>
      </c>
      <c r="AC56" s="490">
        <f t="shared" si="4"/>
        <v>0</v>
      </c>
      <c r="AD56" s="490">
        <f t="shared" si="5"/>
        <v>0</v>
      </c>
      <c r="AE56" s="306"/>
      <c r="AF56" s="332" t="str">
        <f t="shared" si="6"/>
        <v>actionMissionBrattUnlock</v>
      </c>
      <c r="AG56" s="306"/>
      <c r="AH56" s="487"/>
      <c r="AI56" s="306"/>
      <c r="AJ56" s="306"/>
      <c r="AK56" s="306"/>
      <c r="AL56" s="306"/>
      <c r="AM56" s="306"/>
      <c r="AN56" s="491"/>
      <c r="AO56" s="306"/>
      <c r="AP56" s="306"/>
      <c r="AQ56" s="306"/>
      <c r="AR56" s="306"/>
      <c r="AS56" s="306"/>
      <c r="AT56" s="487"/>
      <c r="AU56" s="306"/>
      <c r="AV56" s="306"/>
      <c r="AW56" s="306"/>
      <c r="AX56" s="306"/>
      <c r="AY56" s="306"/>
      <c r="AZ56" s="487"/>
      <c r="BA56" s="306"/>
      <c r="BB56" s="306"/>
      <c r="BF56" s="492" t="str">
        <f ca="1">IFERROR(__xludf.DUMMYFUNCTION("IF(REGEXMATCH($G56, ""Any""), ""any"", IF(REGEXMATCH($G56, ""All""), ""all"", """"))"),"any")</f>
        <v>any</v>
      </c>
      <c r="BG56" s="499" t="s">
        <v>939</v>
      </c>
      <c r="BH56" s="306"/>
      <c r="BI56" s="100" t="s">
        <v>279</v>
      </c>
      <c r="BJ56" s="100">
        <v>2</v>
      </c>
      <c r="BK56" s="306"/>
      <c r="BL56" s="306"/>
      <c r="BM56" s="306"/>
      <c r="BN56" s="306"/>
      <c r="BO56" s="306"/>
      <c r="BP56" s="493"/>
      <c r="BQ56" s="306"/>
      <c r="BR56" s="306"/>
      <c r="BS56" s="494"/>
      <c r="BT56" s="487"/>
      <c r="BU56" s="306"/>
      <c r="BV56" s="306"/>
      <c r="BW56" s="306"/>
      <c r="BX56" s="306"/>
      <c r="BY56" s="306"/>
      <c r="BZ56" s="306"/>
      <c r="CA56" s="306"/>
      <c r="CB56" s="306"/>
      <c r="CC56" s="493"/>
      <c r="CD56" s="306"/>
      <c r="CE56" s="306"/>
      <c r="CF56" s="494"/>
      <c r="CG56" s="487"/>
      <c r="CH56" s="306"/>
      <c r="CI56" s="306"/>
      <c r="CJ56" s="306"/>
      <c r="CK56" s="306"/>
      <c r="CL56" s="306"/>
      <c r="CM56" s="306"/>
      <c r="CN56" s="306"/>
      <c r="CO56" s="306"/>
      <c r="CP56" s="306"/>
      <c r="CQ56" s="306"/>
      <c r="CR56" s="306"/>
      <c r="CS56" s="494"/>
      <c r="CT56" s="306"/>
      <c r="CU56" s="306"/>
      <c r="CV56" s="306"/>
      <c r="CW56" s="306"/>
      <c r="CX56" s="306"/>
      <c r="CY56" s="306"/>
      <c r="CZ56" s="306"/>
      <c r="DA56" s="306"/>
      <c r="DB56" s="306"/>
      <c r="DC56" s="493"/>
      <c r="DD56" s="306"/>
      <c r="DE56" s="306"/>
      <c r="DF56" s="494"/>
      <c r="DG56" s="306"/>
      <c r="DH56" s="306"/>
      <c r="DI56" s="306"/>
      <c r="DJ56" s="306"/>
      <c r="DK56" s="306"/>
      <c r="DL56" s="306"/>
      <c r="DM56" s="306"/>
      <c r="DN56" s="306"/>
      <c r="DO56" s="306"/>
      <c r="DP56" s="493"/>
      <c r="DQ56" s="306"/>
      <c r="DR56" s="306"/>
      <c r="DS56" s="489"/>
      <c r="DT56" s="306"/>
      <c r="DU56" s="306"/>
      <c r="DV56" s="306"/>
      <c r="DW56" s="306"/>
      <c r="DX56" s="306"/>
      <c r="DY56" s="306"/>
      <c r="DZ56" s="306"/>
      <c r="EA56" s="306"/>
      <c r="EB56" s="306"/>
      <c r="EC56" s="306"/>
      <c r="ED56" s="493"/>
      <c r="EE56" s="306"/>
      <c r="EF56" s="306"/>
      <c r="EG56" s="306"/>
      <c r="EH56" s="487"/>
      <c r="EI56" s="306"/>
      <c r="EJ56" s="306"/>
      <c r="EK56" s="306"/>
      <c r="EL56" s="306"/>
      <c r="EM56" s="306"/>
      <c r="EN56" s="306"/>
      <c r="EO56" s="306"/>
      <c r="EP56" s="306"/>
      <c r="EQ56" s="306"/>
      <c r="ER56" s="306"/>
      <c r="ES56" s="306"/>
      <c r="ET56" s="306"/>
      <c r="EU56" s="306"/>
      <c r="EV56" s="491"/>
      <c r="EW56" s="306"/>
      <c r="EX56" s="306"/>
      <c r="EY56" s="306"/>
      <c r="EZ56" s="306"/>
      <c r="FA56" s="306"/>
      <c r="FB56" s="306"/>
      <c r="FC56" s="306"/>
      <c r="FD56" s="306"/>
      <c r="FE56" s="306"/>
      <c r="FF56" s="306"/>
      <c r="FG56" s="306"/>
      <c r="FH56" s="306"/>
      <c r="FI56" s="306"/>
      <c r="FJ56" s="306"/>
      <c r="FK56" s="306"/>
      <c r="FL56" s="487"/>
      <c r="FM56" s="306"/>
      <c r="FN56" s="306"/>
      <c r="FO56" s="306"/>
      <c r="FP56" s="306"/>
      <c r="FQ56" s="306"/>
      <c r="FR56" s="306"/>
      <c r="FS56" s="306"/>
      <c r="FT56" s="306"/>
      <c r="FU56" s="306"/>
      <c r="FV56" s="306"/>
      <c r="FW56" s="306"/>
      <c r="FX56" s="306"/>
      <c r="FY56" s="306"/>
      <c r="FZ56" s="306"/>
      <c r="GA56" s="306"/>
      <c r="GB56" s="491"/>
      <c r="GC56" s="306"/>
      <c r="GD56" s="306"/>
      <c r="GE56" s="306"/>
      <c r="GF56" s="491"/>
      <c r="GG56" s="494"/>
      <c r="GH56" s="487"/>
      <c r="GI56" s="306"/>
      <c r="GJ56" s="502" t="s">
        <v>4379</v>
      </c>
      <c r="GK56" s="332">
        <v>10</v>
      </c>
      <c r="GL56" s="100" t="s">
        <v>4819</v>
      </c>
      <c r="GM56" s="497" t="str">
        <f t="shared" si="9"/>
        <v>levels.total_points.level:10</v>
      </c>
      <c r="GN56" s="306"/>
      <c r="GO56" s="306"/>
      <c r="GP56" s="306"/>
    </row>
    <row r="57" spans="1:198" ht="105" x14ac:dyDescent="0.15">
      <c r="A57" s="481" t="str">
        <f>VLOOKUP($J57&amp;":", Catalog!$F$5:$BV127, COLUMNS(Catalog!$F$5:$BV127), FALSE)</f>
        <v>State 1: have actionMissionBrattUnlock.
State 2: have actionMissionBrattAttempt with hits count &gt;= 20 (single game) AND CLEAR playerData.activeQuest</v>
      </c>
      <c r="B57" s="482" t="b">
        <f t="shared" ca="1" si="0"/>
        <v>0</v>
      </c>
      <c r="C57" s="483" t="str">
        <f t="shared" si="1"/>
        <v>grantMissionBrattState1</v>
      </c>
      <c r="D57" s="484" t="str">
        <f>VLOOKUP($J57&amp;":", Catalog!$F$5:$BW127, COLUMNS(Catalog!$F$5:$BW127), FALSE)</f>
        <v>always</v>
      </c>
      <c r="E57" s="485">
        <f>VLOOKUP($J57&amp;":", Catalog!$F$5:$BX127, COLUMNS(Catalog!$F$5:$BX127), FALSE)</f>
        <v>0</v>
      </c>
      <c r="F57" s="484">
        <f>VLOOKUP($J57&amp;":", Catalog!$F$5:$BY127, COLUMNS(Catalog!$F$5:$BY127), FALSE)</f>
        <v>0</v>
      </c>
      <c r="G57" s="484" t="str">
        <f>VLOOKUP($J57, Catalog!$E$5:$BZ127, COLUMNS(Catalog!$E$5:$BZ127), FALSE)</f>
        <v>rewardIfAllRequirementsMet</v>
      </c>
      <c r="H57" s="483" t="s">
        <v>851</v>
      </c>
      <c r="I57" s="483">
        <v>1</v>
      </c>
      <c r="J57" s="306" t="s">
        <v>963</v>
      </c>
      <c r="K57" s="486">
        <v>1</v>
      </c>
      <c r="L57" s="100" t="s">
        <v>279</v>
      </c>
      <c r="M57" s="332">
        <v>1</v>
      </c>
      <c r="N57" s="100" t="s">
        <v>280</v>
      </c>
      <c r="O57" s="86"/>
      <c r="P57" s="86"/>
      <c r="Q57" s="86"/>
      <c r="R57" s="100" t="str">
        <f t="shared" si="2"/>
        <v>always</v>
      </c>
      <c r="S57" s="487"/>
      <c r="T57" s="486"/>
      <c r="U57" s="488"/>
      <c r="V57" s="488"/>
      <c r="W57" s="488"/>
      <c r="X57" s="488"/>
      <c r="Y57" s="306"/>
      <c r="Z57" s="306"/>
      <c r="AA57" s="489"/>
      <c r="AB57" s="306" t="str">
        <f t="shared" si="3"/>
        <v>total_points</v>
      </c>
      <c r="AC57" s="490">
        <f t="shared" si="4"/>
        <v>0</v>
      </c>
      <c r="AD57" s="490">
        <f t="shared" si="5"/>
        <v>0</v>
      </c>
      <c r="AE57" s="306"/>
      <c r="AF57" s="332" t="str">
        <f t="shared" si="6"/>
        <v>missionBratt</v>
      </c>
      <c r="AG57" s="306"/>
      <c r="AH57" s="487"/>
      <c r="AI57" s="306"/>
      <c r="AJ57" s="306"/>
      <c r="AK57" s="306"/>
      <c r="AL57" s="306"/>
      <c r="AM57" s="306"/>
      <c r="AN57" s="491"/>
      <c r="AO57" s="306"/>
      <c r="AP57" s="306"/>
      <c r="AQ57" s="306"/>
      <c r="AR57" s="306"/>
      <c r="AS57" s="306"/>
      <c r="AT57" s="487"/>
      <c r="AU57" s="306"/>
      <c r="AV57" s="306"/>
      <c r="AW57" s="306"/>
      <c r="AX57" s="306"/>
      <c r="AY57" s="306"/>
      <c r="AZ57" s="487"/>
      <c r="BA57" s="306"/>
      <c r="BB57" s="306"/>
      <c r="BF57" s="492" t="str">
        <f ca="1">IFERROR(__xludf.DUMMYFUNCTION("IF(REGEXMATCH($G57, ""Any""), ""any"", IF(REGEXMATCH($G57, ""All""), ""all"", """"))"),"all")</f>
        <v>all</v>
      </c>
      <c r="BG57" s="499" t="s">
        <v>958</v>
      </c>
      <c r="BH57" s="306"/>
      <c r="BI57" s="306"/>
      <c r="BJ57" s="306"/>
      <c r="BK57" s="306"/>
      <c r="BL57" s="306"/>
      <c r="BM57" s="306"/>
      <c r="BN57" s="306"/>
      <c r="BO57" s="306"/>
      <c r="BP57" s="493"/>
      <c r="BQ57" s="306"/>
      <c r="BR57" s="306"/>
      <c r="BS57" s="494"/>
      <c r="BT57" s="487"/>
      <c r="BU57" s="306"/>
      <c r="BV57" s="306"/>
      <c r="BW57" s="306"/>
      <c r="BX57" s="306"/>
      <c r="BY57" s="306"/>
      <c r="BZ57" s="306"/>
      <c r="CA57" s="306"/>
      <c r="CB57" s="306"/>
      <c r="CC57" s="493"/>
      <c r="CD57" s="306"/>
      <c r="CE57" s="306"/>
      <c r="CF57" s="494"/>
      <c r="CG57" s="487"/>
      <c r="CH57" s="306"/>
      <c r="CI57" s="306"/>
      <c r="CJ57" s="306"/>
      <c r="CK57" s="306"/>
      <c r="CL57" s="306"/>
      <c r="CM57" s="306"/>
      <c r="CN57" s="306"/>
      <c r="CO57" s="306"/>
      <c r="CP57" s="306"/>
      <c r="CQ57" s="306"/>
      <c r="CR57" s="306"/>
      <c r="CS57" s="494"/>
      <c r="CT57" s="306"/>
      <c r="CU57" s="306"/>
      <c r="CV57" s="306"/>
      <c r="CW57" s="306"/>
      <c r="CX57" s="306"/>
      <c r="CY57" s="306"/>
      <c r="CZ57" s="306"/>
      <c r="DA57" s="306"/>
      <c r="DB57" s="306"/>
      <c r="DC57" s="493"/>
      <c r="DD57" s="306"/>
      <c r="DE57" s="306"/>
      <c r="DF57" s="494"/>
      <c r="DG57" s="306"/>
      <c r="DH57" s="306"/>
      <c r="DI57" s="306"/>
      <c r="DJ57" s="306"/>
      <c r="DK57" s="306"/>
      <c r="DL57" s="306"/>
      <c r="DM57" s="306"/>
      <c r="DN57" s="306"/>
      <c r="DO57" s="306"/>
      <c r="DP57" s="493"/>
      <c r="DQ57" s="306"/>
      <c r="DR57" s="306"/>
      <c r="DS57" s="489"/>
      <c r="DT57" s="306"/>
      <c r="DU57" s="306"/>
      <c r="DV57" s="306"/>
      <c r="DW57" s="306"/>
      <c r="DX57" s="306"/>
      <c r="DY57" s="306"/>
      <c r="DZ57" s="306"/>
      <c r="EA57" s="306"/>
      <c r="EB57" s="306"/>
      <c r="EC57" s="306"/>
      <c r="ED57" s="493"/>
      <c r="EE57" s="306"/>
      <c r="EF57" s="306"/>
      <c r="EG57" s="306"/>
      <c r="EH57" s="487"/>
      <c r="EI57" s="306"/>
      <c r="EJ57" s="306"/>
      <c r="EK57" s="306"/>
      <c r="EL57" s="306"/>
      <c r="EM57" s="306"/>
      <c r="EN57" s="306"/>
      <c r="EO57" s="306"/>
      <c r="EP57" s="306"/>
      <c r="EQ57" s="306"/>
      <c r="ER57" s="306"/>
      <c r="ES57" s="306"/>
      <c r="ET57" s="306"/>
      <c r="EU57" s="306"/>
      <c r="EV57" s="491"/>
      <c r="EW57" s="306"/>
      <c r="EX57" s="306"/>
      <c r="EY57" s="306"/>
      <c r="EZ57" s="306"/>
      <c r="FA57" s="306"/>
      <c r="FB57" s="306"/>
      <c r="FC57" s="306"/>
      <c r="FD57" s="306"/>
      <c r="FE57" s="306"/>
      <c r="FF57" s="306"/>
      <c r="FG57" s="306"/>
      <c r="FH57" s="306"/>
      <c r="FI57" s="306"/>
      <c r="FJ57" s="306"/>
      <c r="FK57" s="306"/>
      <c r="FL57" s="487"/>
      <c r="FM57" s="306"/>
      <c r="FN57" s="306"/>
      <c r="FO57" s="306"/>
      <c r="FP57" s="306"/>
      <c r="FQ57" s="306"/>
      <c r="FR57" s="306"/>
      <c r="FS57" s="306"/>
      <c r="FT57" s="306"/>
      <c r="FU57" s="306"/>
      <c r="FV57" s="306"/>
      <c r="FW57" s="306"/>
      <c r="FX57" s="306"/>
      <c r="FY57" s="306"/>
      <c r="FZ57" s="306"/>
      <c r="GA57" s="306"/>
      <c r="GB57" s="491"/>
      <c r="GC57" s="306"/>
      <c r="GD57" s="306"/>
      <c r="GE57" s="306"/>
      <c r="GF57" s="491"/>
      <c r="GG57" s="494"/>
      <c r="GH57" s="487"/>
      <c r="GI57" s="306"/>
      <c r="GJ57" s="491"/>
      <c r="GK57" s="306"/>
      <c r="GL57" s="306"/>
      <c r="GM57" s="497" t="str">
        <f t="shared" si="9"/>
        <v>:</v>
      </c>
      <c r="GN57" s="306"/>
      <c r="GO57" s="306"/>
      <c r="GP57" s="306"/>
    </row>
    <row r="58" spans="1:198" ht="105" x14ac:dyDescent="0.15">
      <c r="A58" s="481" t="str">
        <f>VLOOKUP($J58&amp;":", Catalog!$F$5:$BV127, COLUMNS(Catalog!$F$5:$BV127), FALSE)</f>
        <v>State 1: have actionMissionBrattUnlock.
State 2: have actionMissionBrattAttempt with hits count &gt;= 20 (single game) AND CLEAR playerData.activeQuest</v>
      </c>
      <c r="B58" s="482" t="b">
        <f t="shared" ca="1" si="0"/>
        <v>0</v>
      </c>
      <c r="C58" s="483" t="str">
        <f t="shared" si="1"/>
        <v>grantMissionBrattState2</v>
      </c>
      <c r="D58" s="484" t="str">
        <f>VLOOKUP($J58&amp;":", Catalog!$F$5:$BW127, COLUMNS(Catalog!$F$5:$BW127), FALSE)</f>
        <v>always</v>
      </c>
      <c r="E58" s="485">
        <f>VLOOKUP($J58&amp;":", Catalog!$F$5:$BX127, COLUMNS(Catalog!$F$5:$BX127), FALSE)</f>
        <v>0</v>
      </c>
      <c r="F58" s="484">
        <f>VLOOKUP($J58&amp;":", Catalog!$F$5:$BY127, COLUMNS(Catalog!$F$5:$BY127), FALSE)</f>
        <v>0</v>
      </c>
      <c r="G58" s="484" t="str">
        <f>VLOOKUP($J58, Catalog!$E$5:$BZ127, COLUMNS(Catalog!$E$5:$BZ127), FALSE)</f>
        <v>rewardIfAllRequirementsMet</v>
      </c>
      <c r="H58" s="483" t="s">
        <v>851</v>
      </c>
      <c r="I58" s="483">
        <v>2</v>
      </c>
      <c r="J58" s="306" t="s">
        <v>963</v>
      </c>
      <c r="K58" s="486"/>
      <c r="L58" s="100" t="s">
        <v>279</v>
      </c>
      <c r="M58" s="332">
        <v>2</v>
      </c>
      <c r="N58" s="100" t="s">
        <v>280</v>
      </c>
      <c r="O58" s="86"/>
      <c r="P58" s="86"/>
      <c r="Q58" s="86"/>
      <c r="R58" s="100" t="str">
        <f t="shared" si="2"/>
        <v>always</v>
      </c>
      <c r="S58" s="487"/>
      <c r="T58" s="486"/>
      <c r="U58" s="488"/>
      <c r="V58" s="488"/>
      <c r="W58" s="488"/>
      <c r="X58" s="488"/>
      <c r="Y58" s="306"/>
      <c r="Z58" s="306"/>
      <c r="AA58" s="489"/>
      <c r="AB58" s="306" t="str">
        <f t="shared" si="3"/>
        <v>total_points</v>
      </c>
      <c r="AC58" s="490">
        <f t="shared" si="4"/>
        <v>0</v>
      </c>
      <c r="AD58" s="490">
        <f t="shared" si="5"/>
        <v>0</v>
      </c>
      <c r="AE58" s="306"/>
      <c r="AF58" s="332" t="str">
        <f t="shared" si="6"/>
        <v>missionBratt</v>
      </c>
      <c r="AG58" s="306"/>
      <c r="AH58" s="487"/>
      <c r="AI58" s="306"/>
      <c r="AJ58" s="306"/>
      <c r="AK58" s="306"/>
      <c r="AL58" s="306"/>
      <c r="AM58" s="306"/>
      <c r="AN58" s="491"/>
      <c r="AO58" s="306"/>
      <c r="AP58" s="306"/>
      <c r="AQ58" s="306"/>
      <c r="AR58" s="306"/>
      <c r="AS58" s="306"/>
      <c r="AT58" s="487"/>
      <c r="AU58" s="306"/>
      <c r="AV58" s="306"/>
      <c r="AW58" s="306"/>
      <c r="AX58" s="306"/>
      <c r="AY58" s="306"/>
      <c r="AZ58" s="503" t="s">
        <v>4820</v>
      </c>
      <c r="BA58" s="332" t="s">
        <v>4821</v>
      </c>
      <c r="BB58" s="332" t="s">
        <v>4822</v>
      </c>
      <c r="BF58" s="492" t="str">
        <f ca="1">IFERROR(__xludf.DUMMYFUNCTION("IF(REGEXMATCH($G58, ""Any""), ""any"", IF(REGEXMATCH($G58, ""All""), ""all"", """"))"),"all")</f>
        <v>all</v>
      </c>
      <c r="BG58" s="499" t="s">
        <v>961</v>
      </c>
      <c r="BH58" s="306"/>
      <c r="BI58" s="332" t="s">
        <v>2715</v>
      </c>
      <c r="BJ58" s="332">
        <v>20</v>
      </c>
      <c r="BK58" s="332" t="s">
        <v>4819</v>
      </c>
      <c r="BL58" s="306"/>
      <c r="BM58" s="306"/>
      <c r="BN58" s="306"/>
      <c r="BO58" s="306"/>
      <c r="BP58" s="493"/>
      <c r="BQ58" s="306"/>
      <c r="BR58" s="306"/>
      <c r="BS58" s="494"/>
      <c r="BT58" s="487"/>
      <c r="BU58" s="306"/>
      <c r="BV58" s="306"/>
      <c r="BW58" s="306"/>
      <c r="BX58" s="306"/>
      <c r="BY58" s="306"/>
      <c r="BZ58" s="306"/>
      <c r="CA58" s="306"/>
      <c r="CB58" s="306"/>
      <c r="CC58" s="493"/>
      <c r="CD58" s="306"/>
      <c r="CE58" s="306"/>
      <c r="CF58" s="494"/>
      <c r="CG58" s="487"/>
      <c r="CH58" s="306"/>
      <c r="CI58" s="306"/>
      <c r="CJ58" s="306"/>
      <c r="CK58" s="306"/>
      <c r="CL58" s="306"/>
      <c r="CM58" s="306"/>
      <c r="CN58" s="306"/>
      <c r="CO58" s="306"/>
      <c r="CP58" s="306"/>
      <c r="CQ58" s="306"/>
      <c r="CR58" s="306"/>
      <c r="CS58" s="494"/>
      <c r="CT58" s="306"/>
      <c r="CU58" s="306"/>
      <c r="CV58" s="306"/>
      <c r="CW58" s="306"/>
      <c r="CX58" s="306"/>
      <c r="CY58" s="306"/>
      <c r="CZ58" s="306"/>
      <c r="DA58" s="306"/>
      <c r="DB58" s="306"/>
      <c r="DC58" s="493"/>
      <c r="DD58" s="306"/>
      <c r="DE58" s="306"/>
      <c r="DF58" s="494"/>
      <c r="DG58" s="306"/>
      <c r="DH58" s="306"/>
      <c r="DI58" s="306"/>
      <c r="DJ58" s="306"/>
      <c r="DK58" s="306"/>
      <c r="DL58" s="306"/>
      <c r="DM58" s="306"/>
      <c r="DN58" s="306"/>
      <c r="DO58" s="306"/>
      <c r="DP58" s="493"/>
      <c r="DQ58" s="306"/>
      <c r="DR58" s="306"/>
      <c r="DS58" s="489"/>
      <c r="DT58" s="306"/>
      <c r="DU58" s="306"/>
      <c r="DV58" s="306"/>
      <c r="DW58" s="306"/>
      <c r="DX58" s="306"/>
      <c r="DY58" s="306"/>
      <c r="DZ58" s="306"/>
      <c r="EA58" s="306"/>
      <c r="EB58" s="306"/>
      <c r="EC58" s="306"/>
      <c r="ED58" s="493"/>
      <c r="EE58" s="306"/>
      <c r="EF58" s="306"/>
      <c r="EG58" s="306"/>
      <c r="EH58" s="487"/>
      <c r="EI58" s="306"/>
      <c r="EJ58" s="306"/>
      <c r="EK58" s="306"/>
      <c r="EL58" s="306"/>
      <c r="EM58" s="306"/>
      <c r="EN58" s="306"/>
      <c r="EO58" s="306"/>
      <c r="EP58" s="306"/>
      <c r="EQ58" s="306"/>
      <c r="ER58" s="306"/>
      <c r="ES58" s="306"/>
      <c r="ET58" s="306"/>
      <c r="EU58" s="306"/>
      <c r="EV58" s="491"/>
      <c r="EW58" s="306"/>
      <c r="EX58" s="306"/>
      <c r="EY58" s="306"/>
      <c r="EZ58" s="306"/>
      <c r="FA58" s="306"/>
      <c r="FB58" s="306"/>
      <c r="FC58" s="306"/>
      <c r="FD58" s="306"/>
      <c r="FE58" s="306"/>
      <c r="FF58" s="306"/>
      <c r="FG58" s="306"/>
      <c r="FH58" s="306"/>
      <c r="FI58" s="306"/>
      <c r="FJ58" s="306"/>
      <c r="FK58" s="306"/>
      <c r="FL58" s="487"/>
      <c r="FM58" s="306"/>
      <c r="FN58" s="306"/>
      <c r="FO58" s="306"/>
      <c r="FP58" s="306"/>
      <c r="FQ58" s="306"/>
      <c r="FR58" s="306"/>
      <c r="FS58" s="306"/>
      <c r="FT58" s="306"/>
      <c r="FU58" s="306"/>
      <c r="FV58" s="306"/>
      <c r="FW58" s="306"/>
      <c r="FX58" s="306"/>
      <c r="FY58" s="306"/>
      <c r="FZ58" s="306"/>
      <c r="GA58" s="306"/>
      <c r="GB58" s="491"/>
      <c r="GC58" s="306"/>
      <c r="GD58" s="306"/>
      <c r="GE58" s="306"/>
      <c r="GF58" s="491"/>
      <c r="GG58" s="494"/>
      <c r="GH58" s="487"/>
      <c r="GI58" s="306"/>
      <c r="GJ58" s="491"/>
      <c r="GK58" s="306"/>
      <c r="GL58" s="306"/>
      <c r="GM58" s="497"/>
      <c r="GN58" s="306"/>
      <c r="GO58" s="306"/>
      <c r="GP58" s="306"/>
    </row>
    <row r="59" spans="1:198" ht="30" x14ac:dyDescent="0.15">
      <c r="A59" s="481" t="str">
        <f>VLOOKUP($J59&amp;":", Catalog!$F$5:$BV127, COLUMNS(Catalog!$F$5:$BV127), FALSE)</f>
        <v>State 2: have missionBratt with Tier=2</v>
      </c>
      <c r="B59" s="482" t="b">
        <f t="shared" ca="1" si="0"/>
        <v>0</v>
      </c>
      <c r="C59" s="483" t="str">
        <f t="shared" si="1"/>
        <v>grantAchievementMissionBrattState2</v>
      </c>
      <c r="D59" s="484" t="str">
        <f>VLOOKUP($J59&amp;":", Catalog!$F$5:$BW127, COLUMNS(Catalog!$F$5:$BW127), FALSE)</f>
        <v>never</v>
      </c>
      <c r="E59" s="485">
        <f>VLOOKUP($J59&amp;":", Catalog!$F$5:$BX127, COLUMNS(Catalog!$F$5:$BX127), FALSE)</f>
        <v>0</v>
      </c>
      <c r="F59" s="484">
        <f>VLOOKUP($J59&amp;":", Catalog!$F$5:$BY127, COLUMNS(Catalog!$F$5:$BY127), FALSE)</f>
        <v>0</v>
      </c>
      <c r="G59" s="484" t="str">
        <f>VLOOKUP($J59, Catalog!$E$5:$BZ127, COLUMNS(Catalog!$E$5:$BZ127), FALSE)</f>
        <v>rewardIfAllRequirementsMet</v>
      </c>
      <c r="H59" s="483" t="s">
        <v>808</v>
      </c>
      <c r="I59" s="483">
        <v>2</v>
      </c>
      <c r="J59" s="306" t="s">
        <v>977</v>
      </c>
      <c r="K59" s="486">
        <v>1</v>
      </c>
      <c r="L59" s="100" t="s">
        <v>279</v>
      </c>
      <c r="M59" s="332">
        <v>2</v>
      </c>
      <c r="N59" s="100" t="s">
        <v>280</v>
      </c>
      <c r="O59" s="86"/>
      <c r="P59" s="86"/>
      <c r="Q59" s="86"/>
      <c r="R59" s="100" t="str">
        <f t="shared" si="2"/>
        <v>never</v>
      </c>
      <c r="S59" s="487"/>
      <c r="T59" s="486"/>
      <c r="U59" s="488"/>
      <c r="V59" s="488"/>
      <c r="W59" s="488"/>
      <c r="X59" s="488"/>
      <c r="Y59" s="306"/>
      <c r="Z59" s="306"/>
      <c r="AA59" s="489"/>
      <c r="AB59" s="306" t="str">
        <f t="shared" si="3"/>
        <v>total_points</v>
      </c>
      <c r="AC59" s="490">
        <f t="shared" si="4"/>
        <v>0</v>
      </c>
      <c r="AD59" s="490">
        <f t="shared" si="5"/>
        <v>0</v>
      </c>
      <c r="AE59" s="306"/>
      <c r="AF59" s="332" t="str">
        <f t="shared" si="6"/>
        <v>achievementMissionBratt</v>
      </c>
      <c r="AG59" s="306"/>
      <c r="AH59" s="487"/>
      <c r="AI59" s="306"/>
      <c r="AJ59" s="306"/>
      <c r="AK59" s="306"/>
      <c r="AL59" s="306"/>
      <c r="AM59" s="306"/>
      <c r="AN59" s="491"/>
      <c r="AO59" s="306"/>
      <c r="AP59" s="306"/>
      <c r="AQ59" s="306"/>
      <c r="AR59" s="306"/>
      <c r="AS59" s="306"/>
      <c r="AT59" s="487"/>
      <c r="AU59" s="306"/>
      <c r="AV59" s="306"/>
      <c r="AW59" s="306"/>
      <c r="AX59" s="306"/>
      <c r="AY59" s="306"/>
      <c r="AZ59" s="487"/>
      <c r="BA59" s="306"/>
      <c r="BB59" s="306"/>
      <c r="BF59" s="492" t="str">
        <f ca="1">IFERROR(__xludf.DUMMYFUNCTION("IF(REGEXMATCH($G59, ""Any""), ""any"", IF(REGEXMATCH($G59, ""All""), ""all"", """"))"),"all")</f>
        <v>all</v>
      </c>
      <c r="BG59" s="499" t="s">
        <v>963</v>
      </c>
      <c r="BH59" s="306"/>
      <c r="BI59" s="100" t="s">
        <v>279</v>
      </c>
      <c r="BJ59" s="100">
        <v>2</v>
      </c>
      <c r="BK59" s="306"/>
      <c r="BL59" s="306"/>
      <c r="BM59" s="306"/>
      <c r="BN59" s="306"/>
      <c r="BO59" s="306"/>
      <c r="BP59" s="493"/>
      <c r="BQ59" s="306"/>
      <c r="BR59" s="306"/>
      <c r="BS59" s="494"/>
      <c r="BT59" s="487"/>
      <c r="BU59" s="306"/>
      <c r="BV59" s="306"/>
      <c r="BW59" s="306"/>
      <c r="BX59" s="306"/>
      <c r="BY59" s="306"/>
      <c r="BZ59" s="306"/>
      <c r="CA59" s="306"/>
      <c r="CB59" s="306"/>
      <c r="CC59" s="493"/>
      <c r="CD59" s="306"/>
      <c r="CE59" s="306"/>
      <c r="CF59" s="494"/>
      <c r="CG59" s="487"/>
      <c r="CH59" s="306"/>
      <c r="CI59" s="306"/>
      <c r="CJ59" s="306"/>
      <c r="CK59" s="306"/>
      <c r="CL59" s="306"/>
      <c r="CM59" s="306"/>
      <c r="CN59" s="306"/>
      <c r="CO59" s="306"/>
      <c r="CP59" s="306"/>
      <c r="CQ59" s="306"/>
      <c r="CR59" s="306"/>
      <c r="CS59" s="494"/>
      <c r="CT59" s="306"/>
      <c r="CU59" s="306"/>
      <c r="CV59" s="306"/>
      <c r="CW59" s="306"/>
      <c r="CX59" s="306"/>
      <c r="CY59" s="306"/>
      <c r="CZ59" s="306"/>
      <c r="DA59" s="306"/>
      <c r="DB59" s="306"/>
      <c r="DC59" s="493"/>
      <c r="DD59" s="306"/>
      <c r="DE59" s="306"/>
      <c r="DF59" s="494"/>
      <c r="DG59" s="306"/>
      <c r="DH59" s="306"/>
      <c r="DI59" s="306"/>
      <c r="DJ59" s="306"/>
      <c r="DK59" s="306"/>
      <c r="DL59" s="306"/>
      <c r="DM59" s="306"/>
      <c r="DN59" s="306"/>
      <c r="DO59" s="306"/>
      <c r="DP59" s="493"/>
      <c r="DQ59" s="306"/>
      <c r="DR59" s="306"/>
      <c r="DS59" s="489"/>
      <c r="DT59" s="306"/>
      <c r="DU59" s="306"/>
      <c r="DV59" s="306"/>
      <c r="DW59" s="306"/>
      <c r="DX59" s="306"/>
      <c r="DY59" s="306"/>
      <c r="DZ59" s="306"/>
      <c r="EA59" s="306"/>
      <c r="EB59" s="306"/>
      <c r="EC59" s="306"/>
      <c r="ED59" s="493"/>
      <c r="EE59" s="306"/>
      <c r="EF59" s="306"/>
      <c r="EG59" s="306"/>
      <c r="EH59" s="487"/>
      <c r="EI59" s="306"/>
      <c r="EJ59" s="306"/>
      <c r="EK59" s="306"/>
      <c r="EL59" s="306"/>
      <c r="EM59" s="306"/>
      <c r="EN59" s="306"/>
      <c r="EO59" s="306"/>
      <c r="EP59" s="306"/>
      <c r="EQ59" s="306"/>
      <c r="ER59" s="306"/>
      <c r="ES59" s="306"/>
      <c r="ET59" s="306"/>
      <c r="EU59" s="306"/>
      <c r="EV59" s="491"/>
      <c r="EW59" s="306"/>
      <c r="EX59" s="306"/>
      <c r="EY59" s="306"/>
      <c r="EZ59" s="306"/>
      <c r="FA59" s="306"/>
      <c r="FB59" s="306"/>
      <c r="FC59" s="306"/>
      <c r="FD59" s="306"/>
      <c r="FE59" s="306"/>
      <c r="FF59" s="306"/>
      <c r="FG59" s="306"/>
      <c r="FH59" s="306"/>
      <c r="FI59" s="306"/>
      <c r="FJ59" s="306"/>
      <c r="FK59" s="306"/>
      <c r="FL59" s="487"/>
      <c r="FM59" s="306"/>
      <c r="FN59" s="306"/>
      <c r="FO59" s="306"/>
      <c r="FP59" s="306"/>
      <c r="FQ59" s="306"/>
      <c r="FR59" s="306"/>
      <c r="FS59" s="306"/>
      <c r="FT59" s="306"/>
      <c r="FU59" s="306"/>
      <c r="FV59" s="306"/>
      <c r="FW59" s="306"/>
      <c r="FX59" s="306"/>
      <c r="FY59" s="306"/>
      <c r="FZ59" s="306"/>
      <c r="GA59" s="306"/>
      <c r="GB59" s="491"/>
      <c r="GC59" s="306"/>
      <c r="GD59" s="306"/>
      <c r="GE59" s="306"/>
      <c r="GF59" s="491"/>
      <c r="GG59" s="494"/>
      <c r="GH59" s="487"/>
      <c r="GI59" s="306"/>
      <c r="GJ59" s="491"/>
      <c r="GK59" s="306"/>
      <c r="GL59" s="306"/>
      <c r="GM59" s="497" t="str">
        <f t="shared" ref="GM59:GM61" si="10">$GJ59&amp;":"&amp;$GK59</f>
        <v>:</v>
      </c>
      <c r="GN59" s="306"/>
      <c r="GO59" s="306"/>
      <c r="GP59" s="306"/>
    </row>
    <row r="60" spans="1:198" ht="45" x14ac:dyDescent="0.15">
      <c r="A60" s="481" t="str">
        <f>VLOOKUP($J60&amp;":", Catalog!$F$5:$BV127, COLUMNS(Catalog!$F$5:$BV127), FALSE)</f>
        <v>State 2: actionLauncherBelle, OR have playerLevel&gt;=20</v>
      </c>
      <c r="B60" s="482" t="b">
        <f t="shared" ca="1" si="0"/>
        <v>0</v>
      </c>
      <c r="C60" s="483" t="str">
        <f t="shared" si="1"/>
        <v>grantActionMissionBelleUnlock</v>
      </c>
      <c r="D60" s="484" t="str">
        <f>VLOOKUP($J60&amp;":", Catalog!$F$5:$BW127, COLUMNS(Catalog!$F$5:$BW127), FALSE)</f>
        <v>always</v>
      </c>
      <c r="E60" s="485">
        <f>VLOOKUP($J60&amp;":", Catalog!$F$5:$BX127, COLUMNS(Catalog!$F$5:$BX127), FALSE)</f>
        <v>0</v>
      </c>
      <c r="F60" s="484">
        <f>VLOOKUP($J60&amp;":", Catalog!$F$5:$BY127, COLUMNS(Catalog!$F$5:$BY127), FALSE)</f>
        <v>0</v>
      </c>
      <c r="G60" s="484" t="str">
        <f>VLOOKUP($J60, Catalog!$E$5:$BZ127, COLUMNS(Catalog!$E$5:$BZ127), FALSE)</f>
        <v>rewardIfAnyRequirementsMet</v>
      </c>
      <c r="H60" s="483" t="s">
        <v>811</v>
      </c>
      <c r="I60" s="483"/>
      <c r="J60" s="306" t="s">
        <v>986</v>
      </c>
      <c r="K60" s="486">
        <v>1</v>
      </c>
      <c r="L60" s="100" t="s">
        <v>279</v>
      </c>
      <c r="M60" s="332">
        <v>2</v>
      </c>
      <c r="N60" s="100" t="s">
        <v>280</v>
      </c>
      <c r="O60" s="86"/>
      <c r="P60" s="86"/>
      <c r="Q60" s="86"/>
      <c r="R60" s="100" t="str">
        <f t="shared" si="2"/>
        <v>always</v>
      </c>
      <c r="S60" s="487"/>
      <c r="T60" s="486"/>
      <c r="U60" s="488"/>
      <c r="V60" s="488"/>
      <c r="W60" s="488"/>
      <c r="X60" s="488"/>
      <c r="Y60" s="306"/>
      <c r="Z60" s="306"/>
      <c r="AA60" s="489"/>
      <c r="AB60" s="306" t="str">
        <f t="shared" si="3"/>
        <v>total_points</v>
      </c>
      <c r="AC60" s="490">
        <f t="shared" si="4"/>
        <v>0</v>
      </c>
      <c r="AD60" s="490">
        <f t="shared" si="5"/>
        <v>0</v>
      </c>
      <c r="AE60" s="306"/>
      <c r="AF60" s="332" t="str">
        <f t="shared" si="6"/>
        <v>actionMissionBelleUnlock</v>
      </c>
      <c r="AG60" s="306"/>
      <c r="AH60" s="487"/>
      <c r="AI60" s="306"/>
      <c r="AJ60" s="306"/>
      <c r="AK60" s="306"/>
      <c r="AL60" s="306"/>
      <c r="AM60" s="306"/>
      <c r="AN60" s="491"/>
      <c r="AO60" s="306"/>
      <c r="AP60" s="306"/>
      <c r="AQ60" s="306"/>
      <c r="AR60" s="306"/>
      <c r="AS60" s="306"/>
      <c r="AT60" s="487"/>
      <c r="AU60" s="306"/>
      <c r="AV60" s="306"/>
      <c r="AW60" s="306"/>
      <c r="AX60" s="306"/>
      <c r="AY60" s="306"/>
      <c r="AZ60" s="487"/>
      <c r="BA60" s="306"/>
      <c r="BB60" s="306"/>
      <c r="BF60" s="492" t="str">
        <f ca="1">IFERROR(__xludf.DUMMYFUNCTION("IF(REGEXMATCH($G60, ""Any""), ""any"", IF(REGEXMATCH($G60, ""All""), ""all"", """"))"),"any")</f>
        <v>any</v>
      </c>
      <c r="BG60" s="499" t="s">
        <v>984</v>
      </c>
      <c r="BH60" s="306"/>
      <c r="BI60" s="306"/>
      <c r="BJ60" s="306"/>
      <c r="BK60" s="306"/>
      <c r="BL60" s="306"/>
      <c r="BM60" s="306"/>
      <c r="BN60" s="306"/>
      <c r="BO60" s="306"/>
      <c r="BP60" s="493"/>
      <c r="BQ60" s="306"/>
      <c r="BR60" s="306"/>
      <c r="BS60" s="494"/>
      <c r="BT60" s="487"/>
      <c r="BU60" s="306"/>
      <c r="BV60" s="306"/>
      <c r="BW60" s="306"/>
      <c r="BX60" s="306"/>
      <c r="BY60" s="306"/>
      <c r="BZ60" s="306"/>
      <c r="CA60" s="306"/>
      <c r="CB60" s="306"/>
      <c r="CC60" s="493"/>
      <c r="CD60" s="306"/>
      <c r="CE60" s="306"/>
      <c r="CF60" s="494"/>
      <c r="CG60" s="487"/>
      <c r="CH60" s="306"/>
      <c r="CI60" s="306"/>
      <c r="CJ60" s="306"/>
      <c r="CK60" s="306"/>
      <c r="CL60" s="306"/>
      <c r="CM60" s="306"/>
      <c r="CN60" s="306"/>
      <c r="CO60" s="306"/>
      <c r="CP60" s="306"/>
      <c r="CQ60" s="306"/>
      <c r="CR60" s="306"/>
      <c r="CS60" s="494"/>
      <c r="CT60" s="306"/>
      <c r="CU60" s="306"/>
      <c r="CV60" s="306"/>
      <c r="CW60" s="306"/>
      <c r="CX60" s="306"/>
      <c r="CY60" s="306"/>
      <c r="CZ60" s="306"/>
      <c r="DA60" s="306"/>
      <c r="DB60" s="306"/>
      <c r="DC60" s="493"/>
      <c r="DD60" s="306"/>
      <c r="DE60" s="306"/>
      <c r="DF60" s="494"/>
      <c r="DG60" s="306"/>
      <c r="DH60" s="306"/>
      <c r="DI60" s="306"/>
      <c r="DJ60" s="306"/>
      <c r="DK60" s="306"/>
      <c r="DL60" s="306"/>
      <c r="DM60" s="306"/>
      <c r="DN60" s="306"/>
      <c r="DO60" s="306"/>
      <c r="DP60" s="493"/>
      <c r="DQ60" s="306"/>
      <c r="DR60" s="306"/>
      <c r="DS60" s="489"/>
      <c r="DT60" s="306"/>
      <c r="DU60" s="306"/>
      <c r="DV60" s="306"/>
      <c r="DW60" s="306"/>
      <c r="DX60" s="306"/>
      <c r="DY60" s="306"/>
      <c r="DZ60" s="306"/>
      <c r="EA60" s="306"/>
      <c r="EB60" s="306"/>
      <c r="EC60" s="306"/>
      <c r="ED60" s="493"/>
      <c r="EE60" s="306"/>
      <c r="EF60" s="306"/>
      <c r="EG60" s="306"/>
      <c r="EH60" s="487"/>
      <c r="EI60" s="306"/>
      <c r="EJ60" s="306"/>
      <c r="EK60" s="306"/>
      <c r="EL60" s="306"/>
      <c r="EM60" s="306"/>
      <c r="EN60" s="306"/>
      <c r="EO60" s="306"/>
      <c r="EP60" s="306"/>
      <c r="EQ60" s="306"/>
      <c r="ER60" s="306"/>
      <c r="ES60" s="306"/>
      <c r="ET60" s="306"/>
      <c r="EU60" s="306"/>
      <c r="EV60" s="491"/>
      <c r="EW60" s="306"/>
      <c r="EX60" s="306"/>
      <c r="EY60" s="306"/>
      <c r="EZ60" s="306"/>
      <c r="FA60" s="306"/>
      <c r="FB60" s="306"/>
      <c r="FC60" s="306"/>
      <c r="FD60" s="306"/>
      <c r="FE60" s="306"/>
      <c r="FF60" s="306"/>
      <c r="FG60" s="306"/>
      <c r="FH60" s="306"/>
      <c r="FI60" s="306"/>
      <c r="FJ60" s="306"/>
      <c r="FK60" s="306"/>
      <c r="FL60" s="487"/>
      <c r="FM60" s="306"/>
      <c r="FN60" s="306"/>
      <c r="FO60" s="306"/>
      <c r="FP60" s="306"/>
      <c r="FQ60" s="306"/>
      <c r="FR60" s="306"/>
      <c r="FS60" s="306"/>
      <c r="FT60" s="306"/>
      <c r="FU60" s="306"/>
      <c r="FV60" s="306"/>
      <c r="FW60" s="306"/>
      <c r="FX60" s="306"/>
      <c r="FY60" s="306"/>
      <c r="FZ60" s="306"/>
      <c r="GA60" s="306"/>
      <c r="GB60" s="491"/>
      <c r="GC60" s="306"/>
      <c r="GD60" s="306"/>
      <c r="GE60" s="306"/>
      <c r="GF60" s="491"/>
      <c r="GG60" s="494"/>
      <c r="GH60" s="487"/>
      <c r="GI60" s="306"/>
      <c r="GJ60" s="502" t="s">
        <v>4379</v>
      </c>
      <c r="GK60" s="332">
        <v>20</v>
      </c>
      <c r="GL60" s="100" t="s">
        <v>4819</v>
      </c>
      <c r="GM60" s="497" t="str">
        <f t="shared" si="10"/>
        <v>levels.total_points.level:20</v>
      </c>
      <c r="GN60" s="306"/>
      <c r="GO60" s="306"/>
      <c r="GP60" s="306"/>
    </row>
    <row r="61" spans="1:198" ht="90" x14ac:dyDescent="0.15">
      <c r="A61" s="481" t="str">
        <f>VLOOKUP($J61&amp;":", Catalog!$F$5:$BV127, COLUMNS(Catalog!$F$5:$BV127), FALSE)</f>
        <v>State 1: have actionMissionBelleUnlock.
State 2: have actionMissionBelleAttempt with hits &gt;=99 (single game) AND CLEAR playerData.activeQuest</v>
      </c>
      <c r="B61" s="482" t="b">
        <f t="shared" ca="1" si="0"/>
        <v>0</v>
      </c>
      <c r="C61" s="483" t="str">
        <f t="shared" si="1"/>
        <v>grantMissionBelleState1</v>
      </c>
      <c r="D61" s="484" t="str">
        <f>VLOOKUP($J61&amp;":", Catalog!$F$5:$BW127, COLUMNS(Catalog!$F$5:$BW127), FALSE)</f>
        <v>always</v>
      </c>
      <c r="E61" s="485">
        <f>VLOOKUP($J61&amp;":", Catalog!$F$5:$BX127, COLUMNS(Catalog!$F$5:$BX127), FALSE)</f>
        <v>0</v>
      </c>
      <c r="F61" s="484">
        <f>VLOOKUP($J61&amp;":", Catalog!$F$5:$BY127, COLUMNS(Catalog!$F$5:$BY127), FALSE)</f>
        <v>0</v>
      </c>
      <c r="G61" s="484" t="str">
        <f>VLOOKUP($J61, Catalog!$E$5:$BZ127, COLUMNS(Catalog!$E$5:$BZ127), FALSE)</f>
        <v>rewardIfAllRequirementsMet</v>
      </c>
      <c r="H61" s="483" t="s">
        <v>851</v>
      </c>
      <c r="I61" s="483">
        <v>1</v>
      </c>
      <c r="J61" s="306" t="s">
        <v>993</v>
      </c>
      <c r="K61" s="486">
        <v>1</v>
      </c>
      <c r="L61" s="100" t="s">
        <v>279</v>
      </c>
      <c r="M61" s="332">
        <v>1</v>
      </c>
      <c r="N61" s="100" t="s">
        <v>280</v>
      </c>
      <c r="O61" s="86"/>
      <c r="P61" s="86"/>
      <c r="Q61" s="86"/>
      <c r="R61" s="100" t="str">
        <f t="shared" si="2"/>
        <v>always</v>
      </c>
      <c r="S61" s="487"/>
      <c r="T61" s="486"/>
      <c r="U61" s="488"/>
      <c r="V61" s="488"/>
      <c r="W61" s="488"/>
      <c r="X61" s="488"/>
      <c r="Y61" s="306"/>
      <c r="Z61" s="306"/>
      <c r="AA61" s="489"/>
      <c r="AB61" s="306" t="str">
        <f t="shared" si="3"/>
        <v>total_points</v>
      </c>
      <c r="AC61" s="490">
        <f t="shared" si="4"/>
        <v>0</v>
      </c>
      <c r="AD61" s="490">
        <f t="shared" si="5"/>
        <v>0</v>
      </c>
      <c r="AE61" s="306"/>
      <c r="AF61" s="332" t="str">
        <f t="shared" si="6"/>
        <v>missionBelle</v>
      </c>
      <c r="AG61" s="306"/>
      <c r="AH61" s="487"/>
      <c r="AI61" s="306"/>
      <c r="AJ61" s="306"/>
      <c r="AK61" s="306"/>
      <c r="AL61" s="306"/>
      <c r="AM61" s="306"/>
      <c r="AN61" s="491"/>
      <c r="AO61" s="306"/>
      <c r="AP61" s="306"/>
      <c r="AQ61" s="306"/>
      <c r="AR61" s="306"/>
      <c r="AS61" s="306"/>
      <c r="AT61" s="487"/>
      <c r="AU61" s="306"/>
      <c r="AV61" s="306"/>
      <c r="AW61" s="306"/>
      <c r="AX61" s="306"/>
      <c r="AY61" s="306"/>
      <c r="AZ61" s="487"/>
      <c r="BA61" s="306"/>
      <c r="BB61" s="306"/>
      <c r="BF61" s="492" t="str">
        <f ca="1">IFERROR(__xludf.DUMMYFUNCTION("IF(REGEXMATCH($G61, ""Any""), ""any"", IF(REGEXMATCH($G61, ""All""), ""all"", """"))"),"all")</f>
        <v>all</v>
      </c>
      <c r="BG61" s="499" t="s">
        <v>986</v>
      </c>
      <c r="BH61" s="306"/>
      <c r="BI61" s="306"/>
      <c r="BJ61" s="306"/>
      <c r="BK61" s="306"/>
      <c r="BL61" s="306"/>
      <c r="BM61" s="306"/>
      <c r="BN61" s="306"/>
      <c r="BO61" s="306"/>
      <c r="BP61" s="493"/>
      <c r="BQ61" s="306"/>
      <c r="BR61" s="306"/>
      <c r="BS61" s="494"/>
      <c r="BT61" s="487"/>
      <c r="BU61" s="306"/>
      <c r="BV61" s="306"/>
      <c r="BW61" s="306"/>
      <c r="BX61" s="306"/>
      <c r="BY61" s="306"/>
      <c r="BZ61" s="306"/>
      <c r="CA61" s="306"/>
      <c r="CB61" s="306"/>
      <c r="CC61" s="493"/>
      <c r="CD61" s="306"/>
      <c r="CE61" s="306"/>
      <c r="CF61" s="494"/>
      <c r="CG61" s="487"/>
      <c r="CH61" s="306"/>
      <c r="CI61" s="306"/>
      <c r="CJ61" s="306"/>
      <c r="CK61" s="306"/>
      <c r="CL61" s="306"/>
      <c r="CM61" s="306"/>
      <c r="CN61" s="306"/>
      <c r="CO61" s="306"/>
      <c r="CP61" s="306"/>
      <c r="CQ61" s="306"/>
      <c r="CR61" s="306"/>
      <c r="CS61" s="494"/>
      <c r="CT61" s="306"/>
      <c r="CU61" s="306"/>
      <c r="CV61" s="306"/>
      <c r="CW61" s="306"/>
      <c r="CX61" s="306"/>
      <c r="CY61" s="306"/>
      <c r="CZ61" s="306"/>
      <c r="DA61" s="306"/>
      <c r="DB61" s="306"/>
      <c r="DC61" s="493"/>
      <c r="DD61" s="306"/>
      <c r="DE61" s="306"/>
      <c r="DF61" s="494"/>
      <c r="DG61" s="306"/>
      <c r="DH61" s="306"/>
      <c r="DI61" s="306"/>
      <c r="DJ61" s="306"/>
      <c r="DK61" s="306"/>
      <c r="DL61" s="306"/>
      <c r="DM61" s="306"/>
      <c r="DN61" s="306"/>
      <c r="DO61" s="306"/>
      <c r="DP61" s="493"/>
      <c r="DQ61" s="306"/>
      <c r="DR61" s="306"/>
      <c r="DS61" s="489"/>
      <c r="DT61" s="306"/>
      <c r="DU61" s="306"/>
      <c r="DV61" s="306"/>
      <c r="DW61" s="306"/>
      <c r="DX61" s="306"/>
      <c r="DY61" s="306"/>
      <c r="DZ61" s="306"/>
      <c r="EA61" s="306"/>
      <c r="EB61" s="306"/>
      <c r="EC61" s="306"/>
      <c r="ED61" s="493"/>
      <c r="EE61" s="306"/>
      <c r="EF61" s="306"/>
      <c r="EG61" s="306"/>
      <c r="EH61" s="487"/>
      <c r="EI61" s="306"/>
      <c r="EJ61" s="306"/>
      <c r="EK61" s="306"/>
      <c r="EL61" s="306"/>
      <c r="EM61" s="306"/>
      <c r="EN61" s="306"/>
      <c r="EO61" s="306"/>
      <c r="EP61" s="306"/>
      <c r="EQ61" s="306"/>
      <c r="ER61" s="306"/>
      <c r="ES61" s="306"/>
      <c r="ET61" s="306"/>
      <c r="EU61" s="306"/>
      <c r="EV61" s="491"/>
      <c r="EW61" s="306"/>
      <c r="EX61" s="306"/>
      <c r="EY61" s="306"/>
      <c r="EZ61" s="306"/>
      <c r="FA61" s="306"/>
      <c r="FB61" s="306"/>
      <c r="FC61" s="306"/>
      <c r="FD61" s="306"/>
      <c r="FE61" s="306"/>
      <c r="FF61" s="306"/>
      <c r="FG61" s="306"/>
      <c r="FH61" s="306"/>
      <c r="FI61" s="306"/>
      <c r="FJ61" s="306"/>
      <c r="FK61" s="306"/>
      <c r="FL61" s="487"/>
      <c r="FM61" s="306"/>
      <c r="FN61" s="306"/>
      <c r="FO61" s="306"/>
      <c r="FP61" s="306"/>
      <c r="FQ61" s="306"/>
      <c r="FR61" s="306"/>
      <c r="FS61" s="306"/>
      <c r="FT61" s="306"/>
      <c r="FU61" s="306"/>
      <c r="FV61" s="306"/>
      <c r="FW61" s="306"/>
      <c r="FX61" s="306"/>
      <c r="FY61" s="306"/>
      <c r="FZ61" s="306"/>
      <c r="GA61" s="306"/>
      <c r="GB61" s="491"/>
      <c r="GC61" s="306"/>
      <c r="GD61" s="306"/>
      <c r="GE61" s="306"/>
      <c r="GF61" s="491"/>
      <c r="GG61" s="494"/>
      <c r="GH61" s="487"/>
      <c r="GI61" s="306"/>
      <c r="GJ61" s="491"/>
      <c r="GK61" s="306"/>
      <c r="GL61" s="306"/>
      <c r="GM61" s="497" t="str">
        <f t="shared" si="10"/>
        <v>:</v>
      </c>
      <c r="GN61" s="306"/>
      <c r="GO61" s="306"/>
      <c r="GP61" s="306"/>
    </row>
    <row r="62" spans="1:198" ht="90" x14ac:dyDescent="0.15">
      <c r="A62" s="481" t="str">
        <f>VLOOKUP($J62&amp;":", Catalog!$F$5:$BV127, COLUMNS(Catalog!$F$5:$BV127), FALSE)</f>
        <v>State 1: have actionMissionBelleUnlock.
State 2: have actionMissionBelleAttempt with hits &gt;=99 (single game) AND CLEAR playerData.activeQuest</v>
      </c>
      <c r="B62" s="482" t="b">
        <f t="shared" ca="1" si="0"/>
        <v>0</v>
      </c>
      <c r="C62" s="483" t="str">
        <f t="shared" si="1"/>
        <v>grantMissionBelleState2</v>
      </c>
      <c r="D62" s="484" t="str">
        <f>VLOOKUP($J62&amp;":", Catalog!$F$5:$BW127, COLUMNS(Catalog!$F$5:$BW127), FALSE)</f>
        <v>always</v>
      </c>
      <c r="E62" s="485">
        <f>VLOOKUP($J62&amp;":", Catalog!$F$5:$BX127, COLUMNS(Catalog!$F$5:$BX127), FALSE)</f>
        <v>0</v>
      </c>
      <c r="F62" s="484">
        <f>VLOOKUP($J62&amp;":", Catalog!$F$5:$BY127, COLUMNS(Catalog!$F$5:$BY127), FALSE)</f>
        <v>0</v>
      </c>
      <c r="G62" s="484" t="str">
        <f>VLOOKUP($J62, Catalog!$E$5:$BZ127, COLUMNS(Catalog!$E$5:$BZ127), FALSE)</f>
        <v>rewardIfAllRequirementsMet</v>
      </c>
      <c r="H62" s="483" t="s">
        <v>851</v>
      </c>
      <c r="I62" s="483">
        <v>2</v>
      </c>
      <c r="J62" s="306" t="s">
        <v>993</v>
      </c>
      <c r="K62" s="486"/>
      <c r="L62" s="100" t="s">
        <v>279</v>
      </c>
      <c r="M62" s="332">
        <v>2</v>
      </c>
      <c r="N62" s="100" t="s">
        <v>280</v>
      </c>
      <c r="O62" s="86"/>
      <c r="P62" s="86"/>
      <c r="Q62" s="86"/>
      <c r="R62" s="100" t="str">
        <f t="shared" si="2"/>
        <v>always</v>
      </c>
      <c r="S62" s="487"/>
      <c r="T62" s="486"/>
      <c r="U62" s="488"/>
      <c r="V62" s="488"/>
      <c r="W62" s="488"/>
      <c r="X62" s="488"/>
      <c r="Y62" s="306"/>
      <c r="Z62" s="306"/>
      <c r="AA62" s="489"/>
      <c r="AB62" s="306" t="str">
        <f t="shared" si="3"/>
        <v>total_points</v>
      </c>
      <c r="AC62" s="490">
        <f t="shared" si="4"/>
        <v>0</v>
      </c>
      <c r="AD62" s="490">
        <f t="shared" si="5"/>
        <v>0</v>
      </c>
      <c r="AE62" s="306"/>
      <c r="AF62" s="332" t="str">
        <f t="shared" si="6"/>
        <v>missionBelle</v>
      </c>
      <c r="AG62" s="306"/>
      <c r="AH62" s="487"/>
      <c r="AI62" s="306"/>
      <c r="AJ62" s="306"/>
      <c r="AK62" s="306"/>
      <c r="AL62" s="306"/>
      <c r="AM62" s="306"/>
      <c r="AN62" s="491"/>
      <c r="AO62" s="306"/>
      <c r="AP62" s="306"/>
      <c r="AQ62" s="306"/>
      <c r="AR62" s="306"/>
      <c r="AS62" s="306"/>
      <c r="AT62" s="487"/>
      <c r="AU62" s="306"/>
      <c r="AV62" s="306"/>
      <c r="AW62" s="306"/>
      <c r="AX62" s="306"/>
      <c r="AY62" s="306"/>
      <c r="AZ62" s="503" t="s">
        <v>4820</v>
      </c>
      <c r="BA62" s="332" t="s">
        <v>4821</v>
      </c>
      <c r="BB62" s="332" t="s">
        <v>4822</v>
      </c>
      <c r="BF62" s="492" t="str">
        <f ca="1">IFERROR(__xludf.DUMMYFUNCTION("IF(REGEXMATCH($G62, ""Any""), ""any"", IF(REGEXMATCH($G62, ""All""), ""all"", """"))"),"all")</f>
        <v>all</v>
      </c>
      <c r="BG62" s="499" t="s">
        <v>990</v>
      </c>
      <c r="BH62" s="306"/>
      <c r="BI62" s="332" t="s">
        <v>2715</v>
      </c>
      <c r="BJ62" s="332">
        <v>99</v>
      </c>
      <c r="BK62" s="332" t="s">
        <v>4819</v>
      </c>
      <c r="BL62" s="306"/>
      <c r="BM62" s="306"/>
      <c r="BN62" s="306"/>
      <c r="BO62" s="306"/>
      <c r="BP62" s="493"/>
      <c r="BQ62" s="306"/>
      <c r="BR62" s="306"/>
      <c r="BS62" s="494"/>
      <c r="BT62" s="487"/>
      <c r="BU62" s="306"/>
      <c r="BV62" s="306"/>
      <c r="BW62" s="306"/>
      <c r="BX62" s="306"/>
      <c r="BY62" s="306"/>
      <c r="BZ62" s="306"/>
      <c r="CA62" s="306"/>
      <c r="CB62" s="306"/>
      <c r="CC62" s="493"/>
      <c r="CD62" s="306"/>
      <c r="CE62" s="306"/>
      <c r="CF62" s="494"/>
      <c r="CG62" s="487"/>
      <c r="CH62" s="306"/>
      <c r="CI62" s="306"/>
      <c r="CJ62" s="306"/>
      <c r="CK62" s="306"/>
      <c r="CL62" s="306"/>
      <c r="CM62" s="306"/>
      <c r="CN62" s="306"/>
      <c r="CO62" s="306"/>
      <c r="CP62" s="306"/>
      <c r="CQ62" s="306"/>
      <c r="CR62" s="306"/>
      <c r="CS62" s="494"/>
      <c r="CT62" s="306"/>
      <c r="CU62" s="306"/>
      <c r="CV62" s="306"/>
      <c r="CW62" s="306"/>
      <c r="CX62" s="306"/>
      <c r="CY62" s="306"/>
      <c r="CZ62" s="306"/>
      <c r="DA62" s="306"/>
      <c r="DB62" s="306"/>
      <c r="DC62" s="493"/>
      <c r="DD62" s="306"/>
      <c r="DE62" s="306"/>
      <c r="DF62" s="494"/>
      <c r="DG62" s="306"/>
      <c r="DH62" s="306"/>
      <c r="DI62" s="306"/>
      <c r="DJ62" s="306"/>
      <c r="DK62" s="306"/>
      <c r="DL62" s="306"/>
      <c r="DM62" s="306"/>
      <c r="DN62" s="306"/>
      <c r="DO62" s="306"/>
      <c r="DP62" s="493"/>
      <c r="DQ62" s="306"/>
      <c r="DR62" s="306"/>
      <c r="DS62" s="489"/>
      <c r="DT62" s="306"/>
      <c r="DU62" s="306"/>
      <c r="DV62" s="306"/>
      <c r="DW62" s="306"/>
      <c r="DX62" s="306"/>
      <c r="DY62" s="306"/>
      <c r="DZ62" s="306"/>
      <c r="EA62" s="306"/>
      <c r="EB62" s="306"/>
      <c r="EC62" s="306"/>
      <c r="ED62" s="493"/>
      <c r="EE62" s="306"/>
      <c r="EF62" s="306"/>
      <c r="EG62" s="306"/>
      <c r="EH62" s="487"/>
      <c r="EI62" s="306"/>
      <c r="EJ62" s="306"/>
      <c r="EK62" s="306"/>
      <c r="EL62" s="306"/>
      <c r="EM62" s="306"/>
      <c r="EN62" s="306"/>
      <c r="EO62" s="306"/>
      <c r="EP62" s="306"/>
      <c r="EQ62" s="306"/>
      <c r="ER62" s="306"/>
      <c r="ES62" s="306"/>
      <c r="ET62" s="306"/>
      <c r="EU62" s="306"/>
      <c r="EV62" s="491"/>
      <c r="EW62" s="306"/>
      <c r="EX62" s="306"/>
      <c r="EY62" s="306"/>
      <c r="EZ62" s="306"/>
      <c r="FA62" s="306"/>
      <c r="FB62" s="306"/>
      <c r="FC62" s="306"/>
      <c r="FD62" s="306"/>
      <c r="FE62" s="306"/>
      <c r="FF62" s="306"/>
      <c r="FG62" s="306"/>
      <c r="FH62" s="306"/>
      <c r="FI62" s="306"/>
      <c r="FJ62" s="306"/>
      <c r="FK62" s="306"/>
      <c r="FL62" s="487"/>
      <c r="FM62" s="306"/>
      <c r="FN62" s="306"/>
      <c r="FO62" s="306"/>
      <c r="FP62" s="306"/>
      <c r="FQ62" s="306"/>
      <c r="FR62" s="306"/>
      <c r="FS62" s="306"/>
      <c r="FT62" s="306"/>
      <c r="FU62" s="306"/>
      <c r="FV62" s="306"/>
      <c r="FW62" s="306"/>
      <c r="FX62" s="306"/>
      <c r="FY62" s="306"/>
      <c r="FZ62" s="306"/>
      <c r="GA62" s="306"/>
      <c r="GB62" s="491"/>
      <c r="GC62" s="306"/>
      <c r="GD62" s="306"/>
      <c r="GE62" s="306"/>
      <c r="GF62" s="491"/>
      <c r="GG62" s="494"/>
      <c r="GH62" s="487"/>
      <c r="GI62" s="306"/>
      <c r="GJ62" s="491"/>
      <c r="GK62" s="306"/>
      <c r="GL62" s="306"/>
      <c r="GM62" s="497"/>
      <c r="GN62" s="306"/>
      <c r="GO62" s="306"/>
      <c r="GP62" s="306"/>
    </row>
    <row r="63" spans="1:198" ht="30" x14ac:dyDescent="0.15">
      <c r="A63" s="481" t="str">
        <f>VLOOKUP($J63&amp;":", Catalog!$F$5:$BV127, COLUMNS(Catalog!$F$5:$BV127), FALSE)</f>
        <v>State 2: have missionBelle with tier=2</v>
      </c>
      <c r="B63" s="482" t="b">
        <f t="shared" ca="1" si="0"/>
        <v>0</v>
      </c>
      <c r="C63" s="483" t="str">
        <f t="shared" si="1"/>
        <v>grantAchievementMissionBelleState2</v>
      </c>
      <c r="D63" s="484" t="str">
        <f>VLOOKUP($J63&amp;":", Catalog!$F$5:$BW127, COLUMNS(Catalog!$F$5:$BW127), FALSE)</f>
        <v>never</v>
      </c>
      <c r="E63" s="485">
        <f>VLOOKUP($J63&amp;":", Catalog!$F$5:$BX127, COLUMNS(Catalog!$F$5:$BX127), FALSE)</f>
        <v>0</v>
      </c>
      <c r="F63" s="484">
        <f>VLOOKUP($J63&amp;":", Catalog!$F$5:$BY127, COLUMNS(Catalog!$F$5:$BY127), FALSE)</f>
        <v>0</v>
      </c>
      <c r="G63" s="484" t="str">
        <f>VLOOKUP($J63, Catalog!$E$5:$BZ127, COLUMNS(Catalog!$E$5:$BZ127), FALSE)</f>
        <v>rewardIfAnyRequirementsMet</v>
      </c>
      <c r="H63" s="483" t="s">
        <v>808</v>
      </c>
      <c r="I63" s="483">
        <v>2</v>
      </c>
      <c r="J63" s="306" t="s">
        <v>1007</v>
      </c>
      <c r="K63" s="486">
        <v>1</v>
      </c>
      <c r="L63" s="100" t="s">
        <v>279</v>
      </c>
      <c r="M63" s="332">
        <v>2</v>
      </c>
      <c r="N63" s="100" t="s">
        <v>280</v>
      </c>
      <c r="O63" s="86"/>
      <c r="P63" s="86"/>
      <c r="Q63" s="86"/>
      <c r="R63" s="100" t="str">
        <f t="shared" si="2"/>
        <v>never</v>
      </c>
      <c r="S63" s="487"/>
      <c r="T63" s="486"/>
      <c r="U63" s="488"/>
      <c r="V63" s="488"/>
      <c r="W63" s="488"/>
      <c r="X63" s="488"/>
      <c r="Y63" s="306"/>
      <c r="Z63" s="306"/>
      <c r="AA63" s="489"/>
      <c r="AB63" s="306" t="str">
        <f t="shared" si="3"/>
        <v>total_points</v>
      </c>
      <c r="AC63" s="490">
        <f t="shared" si="4"/>
        <v>0</v>
      </c>
      <c r="AD63" s="490">
        <f t="shared" si="5"/>
        <v>0</v>
      </c>
      <c r="AE63" s="306"/>
      <c r="AF63" s="332" t="str">
        <f t="shared" si="6"/>
        <v>achievementMissionBelle</v>
      </c>
      <c r="AG63" s="306"/>
      <c r="AH63" s="487"/>
      <c r="AI63" s="306"/>
      <c r="AJ63" s="306"/>
      <c r="AK63" s="306"/>
      <c r="AL63" s="306"/>
      <c r="AM63" s="306"/>
      <c r="AN63" s="491"/>
      <c r="AO63" s="306"/>
      <c r="AP63" s="306"/>
      <c r="AQ63" s="306"/>
      <c r="AR63" s="306"/>
      <c r="AS63" s="306"/>
      <c r="AT63" s="487"/>
      <c r="AU63" s="306"/>
      <c r="AV63" s="306"/>
      <c r="AW63" s="306"/>
      <c r="AX63" s="306"/>
      <c r="AY63" s="306"/>
      <c r="AZ63" s="487"/>
      <c r="BA63" s="306"/>
      <c r="BB63" s="306"/>
      <c r="BF63" s="492" t="str">
        <f ca="1">IFERROR(__xludf.DUMMYFUNCTION("IF(REGEXMATCH($G63, ""Any""), ""any"", IF(REGEXMATCH($G63, ""All""), ""all"", """"))"),"any")</f>
        <v>any</v>
      </c>
      <c r="BG63" s="499" t="s">
        <v>993</v>
      </c>
      <c r="BH63" s="306"/>
      <c r="BI63" s="100" t="s">
        <v>279</v>
      </c>
      <c r="BJ63" s="100">
        <v>2</v>
      </c>
      <c r="BK63" s="306"/>
      <c r="BL63" s="306"/>
      <c r="BM63" s="306"/>
      <c r="BN63" s="306"/>
      <c r="BO63" s="306"/>
      <c r="BP63" s="493"/>
      <c r="BQ63" s="306"/>
      <c r="BR63" s="306"/>
      <c r="BS63" s="494"/>
      <c r="BT63" s="487"/>
      <c r="BU63" s="306"/>
      <c r="BV63" s="306"/>
      <c r="BW63" s="306"/>
      <c r="BX63" s="306"/>
      <c r="BY63" s="306"/>
      <c r="BZ63" s="306"/>
      <c r="CA63" s="306"/>
      <c r="CB63" s="306"/>
      <c r="CC63" s="493"/>
      <c r="CD63" s="306"/>
      <c r="CE63" s="306"/>
      <c r="CF63" s="494"/>
      <c r="CG63" s="487"/>
      <c r="CH63" s="306"/>
      <c r="CI63" s="306"/>
      <c r="CJ63" s="306"/>
      <c r="CK63" s="306"/>
      <c r="CL63" s="306"/>
      <c r="CM63" s="306"/>
      <c r="CN63" s="306"/>
      <c r="CO63" s="306"/>
      <c r="CP63" s="306"/>
      <c r="CQ63" s="306"/>
      <c r="CR63" s="306"/>
      <c r="CS63" s="494"/>
      <c r="CT63" s="306"/>
      <c r="CU63" s="306"/>
      <c r="CV63" s="306"/>
      <c r="CW63" s="306"/>
      <c r="CX63" s="306"/>
      <c r="CY63" s="306"/>
      <c r="CZ63" s="306"/>
      <c r="DA63" s="306"/>
      <c r="DB63" s="306"/>
      <c r="DC63" s="493"/>
      <c r="DD63" s="306"/>
      <c r="DE63" s="306"/>
      <c r="DF63" s="494"/>
      <c r="DG63" s="306"/>
      <c r="DH63" s="306"/>
      <c r="DI63" s="306"/>
      <c r="DJ63" s="306"/>
      <c r="DK63" s="306"/>
      <c r="DL63" s="306"/>
      <c r="DM63" s="306"/>
      <c r="DN63" s="306"/>
      <c r="DO63" s="306"/>
      <c r="DP63" s="493"/>
      <c r="DQ63" s="306"/>
      <c r="DR63" s="306"/>
      <c r="DS63" s="489"/>
      <c r="DT63" s="306"/>
      <c r="DU63" s="306"/>
      <c r="DV63" s="306"/>
      <c r="DW63" s="306"/>
      <c r="DX63" s="306"/>
      <c r="DY63" s="306"/>
      <c r="DZ63" s="306"/>
      <c r="EA63" s="306"/>
      <c r="EB63" s="306"/>
      <c r="EC63" s="306"/>
      <c r="ED63" s="493"/>
      <c r="EE63" s="306"/>
      <c r="EF63" s="306"/>
      <c r="EG63" s="306"/>
      <c r="EH63" s="487"/>
      <c r="EI63" s="306"/>
      <c r="EJ63" s="306"/>
      <c r="EK63" s="306"/>
      <c r="EL63" s="306"/>
      <c r="EM63" s="306"/>
      <c r="EN63" s="306"/>
      <c r="EO63" s="306"/>
      <c r="EP63" s="306"/>
      <c r="EQ63" s="306"/>
      <c r="ER63" s="306"/>
      <c r="ES63" s="306"/>
      <c r="ET63" s="306"/>
      <c r="EU63" s="306"/>
      <c r="EV63" s="491"/>
      <c r="EW63" s="306"/>
      <c r="EX63" s="306"/>
      <c r="EY63" s="306"/>
      <c r="EZ63" s="306"/>
      <c r="FA63" s="306"/>
      <c r="FB63" s="306"/>
      <c r="FC63" s="306"/>
      <c r="FD63" s="306"/>
      <c r="FE63" s="306"/>
      <c r="FF63" s="306"/>
      <c r="FG63" s="306"/>
      <c r="FH63" s="306"/>
      <c r="FI63" s="306"/>
      <c r="FJ63" s="306"/>
      <c r="FK63" s="306"/>
      <c r="FL63" s="487"/>
      <c r="FM63" s="306"/>
      <c r="FN63" s="306"/>
      <c r="FO63" s="306"/>
      <c r="FP63" s="306"/>
      <c r="FQ63" s="306"/>
      <c r="FR63" s="306"/>
      <c r="FS63" s="306"/>
      <c r="FT63" s="306"/>
      <c r="FU63" s="306"/>
      <c r="FV63" s="306"/>
      <c r="FW63" s="306"/>
      <c r="FX63" s="306"/>
      <c r="FY63" s="306"/>
      <c r="FZ63" s="306"/>
      <c r="GA63" s="306"/>
      <c r="GB63" s="491"/>
      <c r="GC63" s="306"/>
      <c r="GD63" s="306"/>
      <c r="GE63" s="306"/>
      <c r="GF63" s="491"/>
      <c r="GG63" s="494"/>
      <c r="GH63" s="487"/>
      <c r="GI63" s="306"/>
      <c r="GJ63" s="491"/>
      <c r="GK63" s="306"/>
      <c r="GL63" s="306"/>
      <c r="GM63" s="497" t="str">
        <f t="shared" ref="GM63:GM65" si="11">$GJ63&amp;":"&amp;$GK63</f>
        <v>:</v>
      </c>
      <c r="GN63" s="306"/>
      <c r="GO63" s="306"/>
      <c r="GP63" s="306"/>
    </row>
    <row r="64" spans="1:198" ht="45" x14ac:dyDescent="0.15">
      <c r="A64" s="481" t="str">
        <f>VLOOKUP($J64&amp;":", Catalog!$F$5:$BV127, COLUMNS(Catalog!$F$5:$BV127), FALSE)</f>
        <v>State 2: has actionLauncherStronghold, OR have playerLevel&gt;=12</v>
      </c>
      <c r="B64" s="482" t="b">
        <f t="shared" ca="1" si="0"/>
        <v>0</v>
      </c>
      <c r="C64" s="483" t="str">
        <f t="shared" si="1"/>
        <v>grantActionMissionStrongholdUnlock</v>
      </c>
      <c r="D64" s="484" t="str">
        <f>VLOOKUP($J64&amp;":", Catalog!$F$5:$BW127, COLUMNS(Catalog!$F$5:$BW127), FALSE)</f>
        <v>always</v>
      </c>
      <c r="E64" s="485">
        <f>VLOOKUP($J64&amp;":", Catalog!$F$5:$BX127, COLUMNS(Catalog!$F$5:$BX127), FALSE)</f>
        <v>0</v>
      </c>
      <c r="F64" s="484">
        <f>VLOOKUP($J64&amp;":", Catalog!$F$5:$BY127, COLUMNS(Catalog!$F$5:$BY127), FALSE)</f>
        <v>0</v>
      </c>
      <c r="G64" s="484" t="str">
        <f>VLOOKUP($J64, Catalog!$E$5:$BZ127, COLUMNS(Catalog!$E$5:$BZ127), FALSE)</f>
        <v>rewardIfAnyRequirementsMet</v>
      </c>
      <c r="H64" s="483" t="s">
        <v>811</v>
      </c>
      <c r="I64" s="483"/>
      <c r="J64" s="306" t="s">
        <v>1015</v>
      </c>
      <c r="K64" s="486">
        <v>1</v>
      </c>
      <c r="L64" s="100" t="s">
        <v>279</v>
      </c>
      <c r="M64" s="332">
        <v>2</v>
      </c>
      <c r="N64" s="100" t="s">
        <v>280</v>
      </c>
      <c r="O64" s="86"/>
      <c r="P64" s="86"/>
      <c r="Q64" s="86"/>
      <c r="R64" s="100" t="str">
        <f t="shared" si="2"/>
        <v>always</v>
      </c>
      <c r="S64" s="487"/>
      <c r="T64" s="486"/>
      <c r="U64" s="488"/>
      <c r="V64" s="488"/>
      <c r="W64" s="488"/>
      <c r="X64" s="488"/>
      <c r="Y64" s="306"/>
      <c r="Z64" s="306"/>
      <c r="AA64" s="489"/>
      <c r="AB64" s="306" t="str">
        <f t="shared" si="3"/>
        <v>total_points</v>
      </c>
      <c r="AC64" s="490">
        <f t="shared" si="4"/>
        <v>0</v>
      </c>
      <c r="AD64" s="490">
        <f t="shared" si="5"/>
        <v>0</v>
      </c>
      <c r="AE64" s="306"/>
      <c r="AF64" s="332" t="str">
        <f t="shared" si="6"/>
        <v>actionMissionStrongholdUnlock</v>
      </c>
      <c r="AG64" s="306"/>
      <c r="AH64" s="487"/>
      <c r="AI64" s="306"/>
      <c r="AJ64" s="306"/>
      <c r="AK64" s="306"/>
      <c r="AL64" s="306"/>
      <c r="AM64" s="306"/>
      <c r="AN64" s="491"/>
      <c r="AO64" s="306"/>
      <c r="AP64" s="306"/>
      <c r="AQ64" s="306"/>
      <c r="AR64" s="306"/>
      <c r="AS64" s="306"/>
      <c r="AT64" s="487"/>
      <c r="AU64" s="306"/>
      <c r="AV64" s="306"/>
      <c r="AW64" s="306"/>
      <c r="AX64" s="306"/>
      <c r="AY64" s="306"/>
      <c r="AZ64" s="487"/>
      <c r="BA64" s="306"/>
      <c r="BB64" s="306"/>
      <c r="BF64" s="492" t="str">
        <f ca="1">IFERROR(__xludf.DUMMYFUNCTION("IF(REGEXMATCH($G64, ""Any""), ""any"", IF(REGEXMATCH($G64, ""All""), ""all"", """"))"),"any")</f>
        <v>any</v>
      </c>
      <c r="BG64" s="499" t="s">
        <v>1013</v>
      </c>
      <c r="BH64" s="306"/>
      <c r="BI64" s="306"/>
      <c r="BJ64" s="306"/>
      <c r="BK64" s="306"/>
      <c r="BL64" s="306"/>
      <c r="BM64" s="306"/>
      <c r="BN64" s="306"/>
      <c r="BO64" s="306"/>
      <c r="BP64" s="493"/>
      <c r="BQ64" s="306"/>
      <c r="BR64" s="306"/>
      <c r="BS64" s="494"/>
      <c r="BT64" s="487"/>
      <c r="BU64" s="306"/>
      <c r="BV64" s="306"/>
      <c r="BW64" s="306"/>
      <c r="BX64" s="306"/>
      <c r="BY64" s="306"/>
      <c r="BZ64" s="306"/>
      <c r="CA64" s="306"/>
      <c r="CB64" s="306"/>
      <c r="CC64" s="493"/>
      <c r="CD64" s="306"/>
      <c r="CE64" s="306"/>
      <c r="CF64" s="494"/>
      <c r="CG64" s="487"/>
      <c r="CH64" s="306"/>
      <c r="CI64" s="306"/>
      <c r="CJ64" s="306"/>
      <c r="CK64" s="306"/>
      <c r="CL64" s="306"/>
      <c r="CM64" s="306"/>
      <c r="CN64" s="306"/>
      <c r="CO64" s="306"/>
      <c r="CP64" s="306"/>
      <c r="CQ64" s="306"/>
      <c r="CR64" s="306"/>
      <c r="CS64" s="494"/>
      <c r="CT64" s="306"/>
      <c r="CU64" s="306"/>
      <c r="CV64" s="306"/>
      <c r="CW64" s="306"/>
      <c r="CX64" s="306"/>
      <c r="CY64" s="306"/>
      <c r="CZ64" s="306"/>
      <c r="DA64" s="306"/>
      <c r="DB64" s="306"/>
      <c r="DC64" s="493"/>
      <c r="DD64" s="306"/>
      <c r="DE64" s="306"/>
      <c r="DF64" s="494"/>
      <c r="DG64" s="306"/>
      <c r="DH64" s="306"/>
      <c r="DI64" s="306"/>
      <c r="DJ64" s="306"/>
      <c r="DK64" s="306"/>
      <c r="DL64" s="306"/>
      <c r="DM64" s="306"/>
      <c r="DN64" s="306"/>
      <c r="DO64" s="306"/>
      <c r="DP64" s="493"/>
      <c r="DQ64" s="306"/>
      <c r="DR64" s="306"/>
      <c r="DS64" s="489"/>
      <c r="DT64" s="306"/>
      <c r="DU64" s="306"/>
      <c r="DV64" s="306"/>
      <c r="DW64" s="306"/>
      <c r="DX64" s="306"/>
      <c r="DY64" s="306"/>
      <c r="DZ64" s="306"/>
      <c r="EA64" s="306"/>
      <c r="EB64" s="306"/>
      <c r="EC64" s="306"/>
      <c r="ED64" s="493"/>
      <c r="EE64" s="306"/>
      <c r="EF64" s="306"/>
      <c r="EG64" s="306"/>
      <c r="EH64" s="487"/>
      <c r="EI64" s="306"/>
      <c r="EJ64" s="306"/>
      <c r="EK64" s="306"/>
      <c r="EL64" s="306"/>
      <c r="EM64" s="306"/>
      <c r="EN64" s="306"/>
      <c r="EO64" s="306"/>
      <c r="EP64" s="306"/>
      <c r="EQ64" s="306"/>
      <c r="ER64" s="306"/>
      <c r="ES64" s="306"/>
      <c r="ET64" s="306"/>
      <c r="EU64" s="306"/>
      <c r="EV64" s="491"/>
      <c r="EW64" s="306"/>
      <c r="EX64" s="306"/>
      <c r="EY64" s="306"/>
      <c r="EZ64" s="306"/>
      <c r="FA64" s="306"/>
      <c r="FB64" s="306"/>
      <c r="FC64" s="306"/>
      <c r="FD64" s="306"/>
      <c r="FE64" s="306"/>
      <c r="FF64" s="306"/>
      <c r="FG64" s="306"/>
      <c r="FH64" s="306"/>
      <c r="FI64" s="306"/>
      <c r="FJ64" s="306"/>
      <c r="FK64" s="306"/>
      <c r="FL64" s="487"/>
      <c r="FM64" s="306"/>
      <c r="FN64" s="306"/>
      <c r="FO64" s="306"/>
      <c r="FP64" s="306"/>
      <c r="FQ64" s="306"/>
      <c r="FR64" s="306"/>
      <c r="FS64" s="306"/>
      <c r="FT64" s="306"/>
      <c r="FU64" s="306"/>
      <c r="FV64" s="306"/>
      <c r="FW64" s="306"/>
      <c r="FX64" s="306"/>
      <c r="FY64" s="306"/>
      <c r="FZ64" s="306"/>
      <c r="GA64" s="306"/>
      <c r="GB64" s="491"/>
      <c r="GC64" s="306"/>
      <c r="GD64" s="306"/>
      <c r="GE64" s="306"/>
      <c r="GF64" s="491"/>
      <c r="GG64" s="494"/>
      <c r="GH64" s="487"/>
      <c r="GI64" s="306"/>
      <c r="GJ64" s="502" t="s">
        <v>4379</v>
      </c>
      <c r="GK64" s="332">
        <v>12</v>
      </c>
      <c r="GL64" s="100" t="s">
        <v>4819</v>
      </c>
      <c r="GM64" s="497" t="str">
        <f t="shared" si="11"/>
        <v>levels.total_points.level:12</v>
      </c>
      <c r="GN64" s="306"/>
      <c r="GO64" s="306"/>
      <c r="GP64" s="306"/>
    </row>
    <row r="65" spans="1:198" ht="105" x14ac:dyDescent="0.15">
      <c r="A65" s="481" t="str">
        <f>VLOOKUP($J65&amp;":", Catalog!$F$5:$BV127, COLUMNS(Catalog!$F$5:$BV127), FALSE)</f>
        <v>State 1: have actionMissionStrongholdUnlock.
State 2: have actionMissionStrongholdAttempt with hits &gt;= 70 (single game) AND CLEAR playerData.activeQuest</v>
      </c>
      <c r="B65" s="482" t="b">
        <f t="shared" ca="1" si="0"/>
        <v>0</v>
      </c>
      <c r="C65" s="483" t="str">
        <f t="shared" si="1"/>
        <v>grantMissionStrongholdState1</v>
      </c>
      <c r="D65" s="484" t="str">
        <f>VLOOKUP($J65&amp;":", Catalog!$F$5:$BW127, COLUMNS(Catalog!$F$5:$BW127), FALSE)</f>
        <v>always</v>
      </c>
      <c r="E65" s="485">
        <f>VLOOKUP($J65&amp;":", Catalog!$F$5:$BX127, COLUMNS(Catalog!$F$5:$BX127), FALSE)</f>
        <v>0</v>
      </c>
      <c r="F65" s="484">
        <f>VLOOKUP($J65&amp;":", Catalog!$F$5:$BY127, COLUMNS(Catalog!$F$5:$BY127), FALSE)</f>
        <v>0</v>
      </c>
      <c r="G65" s="484" t="str">
        <f>VLOOKUP($J65, Catalog!$E$5:$BZ127, COLUMNS(Catalog!$E$5:$BZ127), FALSE)</f>
        <v>rewardIfAllRequirementsMet</v>
      </c>
      <c r="H65" s="483" t="s">
        <v>851</v>
      </c>
      <c r="I65" s="483">
        <v>1</v>
      </c>
      <c r="J65" s="306" t="s">
        <v>1020</v>
      </c>
      <c r="K65" s="486">
        <v>1</v>
      </c>
      <c r="L65" s="100" t="s">
        <v>279</v>
      </c>
      <c r="M65" s="332">
        <v>1</v>
      </c>
      <c r="N65" s="100" t="s">
        <v>280</v>
      </c>
      <c r="O65" s="86"/>
      <c r="P65" s="86"/>
      <c r="Q65" s="86"/>
      <c r="R65" s="100" t="str">
        <f t="shared" si="2"/>
        <v>always</v>
      </c>
      <c r="S65" s="487"/>
      <c r="T65" s="486"/>
      <c r="U65" s="488"/>
      <c r="V65" s="488"/>
      <c r="W65" s="488"/>
      <c r="X65" s="488"/>
      <c r="Y65" s="306"/>
      <c r="Z65" s="306"/>
      <c r="AA65" s="489"/>
      <c r="AB65" s="306" t="str">
        <f t="shared" si="3"/>
        <v>total_points</v>
      </c>
      <c r="AC65" s="490">
        <f t="shared" si="4"/>
        <v>0</v>
      </c>
      <c r="AD65" s="490">
        <f t="shared" si="5"/>
        <v>0</v>
      </c>
      <c r="AE65" s="306"/>
      <c r="AF65" s="332" t="str">
        <f t="shared" si="6"/>
        <v>missionStronghold</v>
      </c>
      <c r="AG65" s="306"/>
      <c r="AH65" s="487"/>
      <c r="AI65" s="306"/>
      <c r="AJ65" s="306"/>
      <c r="AK65" s="306"/>
      <c r="AL65" s="306"/>
      <c r="AM65" s="306"/>
      <c r="AN65" s="491"/>
      <c r="AO65" s="306"/>
      <c r="AP65" s="306"/>
      <c r="AQ65" s="306"/>
      <c r="AR65" s="306"/>
      <c r="AS65" s="306"/>
      <c r="AT65" s="487"/>
      <c r="AU65" s="306"/>
      <c r="AV65" s="306"/>
      <c r="AW65" s="306"/>
      <c r="AX65" s="306"/>
      <c r="AY65" s="306"/>
      <c r="AZ65" s="487"/>
      <c r="BA65" s="306"/>
      <c r="BB65" s="306"/>
      <c r="BF65" s="492" t="str">
        <f ca="1">IFERROR(__xludf.DUMMYFUNCTION("IF(REGEXMATCH($G65, ""Any""), ""any"", IF(REGEXMATCH($G65, ""All""), ""all"", """"))"),"all")</f>
        <v>all</v>
      </c>
      <c r="BG65" s="499" t="s">
        <v>1015</v>
      </c>
      <c r="BH65" s="306"/>
      <c r="BI65" s="306"/>
      <c r="BJ65" s="306"/>
      <c r="BK65" s="306"/>
      <c r="BL65" s="306"/>
      <c r="BM65" s="306"/>
      <c r="BN65" s="306"/>
      <c r="BO65" s="306"/>
      <c r="BP65" s="493"/>
      <c r="BQ65" s="306"/>
      <c r="BR65" s="306"/>
      <c r="BS65" s="494"/>
      <c r="BT65" s="487"/>
      <c r="BU65" s="306"/>
      <c r="BV65" s="306"/>
      <c r="BW65" s="306"/>
      <c r="BX65" s="306"/>
      <c r="BY65" s="306"/>
      <c r="BZ65" s="306"/>
      <c r="CA65" s="306"/>
      <c r="CB65" s="306"/>
      <c r="CC65" s="493"/>
      <c r="CD65" s="306"/>
      <c r="CE65" s="306"/>
      <c r="CF65" s="494"/>
      <c r="CG65" s="487"/>
      <c r="CH65" s="306"/>
      <c r="CI65" s="306"/>
      <c r="CJ65" s="306"/>
      <c r="CK65" s="306"/>
      <c r="CL65" s="306"/>
      <c r="CM65" s="306"/>
      <c r="CN65" s="306"/>
      <c r="CO65" s="306"/>
      <c r="CP65" s="306"/>
      <c r="CQ65" s="306"/>
      <c r="CR65" s="306"/>
      <c r="CS65" s="494"/>
      <c r="CT65" s="306"/>
      <c r="CU65" s="306"/>
      <c r="CV65" s="306"/>
      <c r="CW65" s="306"/>
      <c r="CX65" s="306"/>
      <c r="CY65" s="306"/>
      <c r="CZ65" s="306"/>
      <c r="DA65" s="306"/>
      <c r="DB65" s="306"/>
      <c r="DC65" s="493"/>
      <c r="DD65" s="306"/>
      <c r="DE65" s="306"/>
      <c r="DF65" s="494"/>
      <c r="DG65" s="306"/>
      <c r="DH65" s="306"/>
      <c r="DI65" s="306"/>
      <c r="DJ65" s="306"/>
      <c r="DK65" s="306"/>
      <c r="DL65" s="306"/>
      <c r="DM65" s="306"/>
      <c r="DN65" s="306"/>
      <c r="DO65" s="306"/>
      <c r="DP65" s="493"/>
      <c r="DQ65" s="306"/>
      <c r="DR65" s="306"/>
      <c r="DS65" s="489"/>
      <c r="DT65" s="306"/>
      <c r="DU65" s="306"/>
      <c r="DV65" s="306"/>
      <c r="DW65" s="306"/>
      <c r="DX65" s="306"/>
      <c r="DY65" s="306"/>
      <c r="DZ65" s="306"/>
      <c r="EA65" s="306"/>
      <c r="EB65" s="306"/>
      <c r="EC65" s="306"/>
      <c r="ED65" s="493"/>
      <c r="EE65" s="306"/>
      <c r="EF65" s="306"/>
      <c r="EG65" s="306"/>
      <c r="EH65" s="487"/>
      <c r="EI65" s="306"/>
      <c r="EJ65" s="306"/>
      <c r="EK65" s="306"/>
      <c r="EL65" s="306"/>
      <c r="EM65" s="306"/>
      <c r="EN65" s="306"/>
      <c r="EO65" s="306"/>
      <c r="EP65" s="306"/>
      <c r="EQ65" s="306"/>
      <c r="ER65" s="306"/>
      <c r="ES65" s="306"/>
      <c r="ET65" s="306"/>
      <c r="EU65" s="306"/>
      <c r="EV65" s="491"/>
      <c r="EW65" s="306"/>
      <c r="EX65" s="306"/>
      <c r="EY65" s="306"/>
      <c r="EZ65" s="306"/>
      <c r="FA65" s="306"/>
      <c r="FB65" s="306"/>
      <c r="FC65" s="306"/>
      <c r="FD65" s="306"/>
      <c r="FE65" s="306"/>
      <c r="FF65" s="306"/>
      <c r="FG65" s="306"/>
      <c r="FH65" s="306"/>
      <c r="FI65" s="306"/>
      <c r="FJ65" s="306"/>
      <c r="FK65" s="306"/>
      <c r="FL65" s="487"/>
      <c r="FM65" s="306"/>
      <c r="FN65" s="306"/>
      <c r="FO65" s="306"/>
      <c r="FP65" s="306"/>
      <c r="FQ65" s="306"/>
      <c r="FR65" s="306"/>
      <c r="FS65" s="306"/>
      <c r="FT65" s="306"/>
      <c r="FU65" s="306"/>
      <c r="FV65" s="306"/>
      <c r="FW65" s="306"/>
      <c r="FX65" s="306"/>
      <c r="FY65" s="306"/>
      <c r="FZ65" s="306"/>
      <c r="GA65" s="306"/>
      <c r="GB65" s="491"/>
      <c r="GC65" s="306"/>
      <c r="GD65" s="306"/>
      <c r="GE65" s="306"/>
      <c r="GF65" s="491"/>
      <c r="GG65" s="494"/>
      <c r="GH65" s="487"/>
      <c r="GI65" s="306"/>
      <c r="GJ65" s="491"/>
      <c r="GK65" s="306"/>
      <c r="GL65" s="306"/>
      <c r="GM65" s="497" t="str">
        <f t="shared" si="11"/>
        <v>:</v>
      </c>
      <c r="GN65" s="306"/>
      <c r="GO65" s="306"/>
      <c r="GP65" s="306"/>
    </row>
    <row r="66" spans="1:198" ht="105" x14ac:dyDescent="0.15">
      <c r="A66" s="481" t="str">
        <f>VLOOKUP($J66&amp;":", Catalog!$F$5:$BV127, COLUMNS(Catalog!$F$5:$BV127), FALSE)</f>
        <v>State 1: have actionMissionStrongholdUnlock.
State 2: have actionMissionStrongholdAttempt with hits &gt;= 70 (single game) AND CLEAR playerData.activeQuest</v>
      </c>
      <c r="B66" s="482" t="b">
        <f t="shared" ca="1" si="0"/>
        <v>0</v>
      </c>
      <c r="C66" s="483" t="str">
        <f t="shared" si="1"/>
        <v>grantMissionStrongholdState2</v>
      </c>
      <c r="D66" s="484" t="str">
        <f>VLOOKUP($J66&amp;":", Catalog!$F$5:$BW127, COLUMNS(Catalog!$F$5:$BW127), FALSE)</f>
        <v>always</v>
      </c>
      <c r="E66" s="485">
        <f>VLOOKUP($J66&amp;":", Catalog!$F$5:$BX127, COLUMNS(Catalog!$F$5:$BX127), FALSE)</f>
        <v>0</v>
      </c>
      <c r="F66" s="484">
        <f>VLOOKUP($J66&amp;":", Catalog!$F$5:$BY127, COLUMNS(Catalog!$F$5:$BY127), FALSE)</f>
        <v>0</v>
      </c>
      <c r="G66" s="484" t="str">
        <f>VLOOKUP($J66, Catalog!$E$5:$BZ127, COLUMNS(Catalog!$E$5:$BZ127), FALSE)</f>
        <v>rewardIfAllRequirementsMet</v>
      </c>
      <c r="H66" s="483" t="s">
        <v>851</v>
      </c>
      <c r="I66" s="483">
        <v>2</v>
      </c>
      <c r="J66" s="306" t="s">
        <v>1020</v>
      </c>
      <c r="K66" s="486"/>
      <c r="L66" s="100" t="s">
        <v>279</v>
      </c>
      <c r="M66" s="332">
        <v>2</v>
      </c>
      <c r="N66" s="100" t="s">
        <v>280</v>
      </c>
      <c r="O66" s="86"/>
      <c r="P66" s="86"/>
      <c r="Q66" s="86"/>
      <c r="R66" s="100" t="str">
        <f t="shared" si="2"/>
        <v>always</v>
      </c>
      <c r="S66" s="487"/>
      <c r="T66" s="486"/>
      <c r="U66" s="488"/>
      <c r="V66" s="488"/>
      <c r="W66" s="488"/>
      <c r="X66" s="488"/>
      <c r="Y66" s="306"/>
      <c r="Z66" s="306"/>
      <c r="AA66" s="489"/>
      <c r="AB66" s="306" t="str">
        <f t="shared" si="3"/>
        <v>total_points</v>
      </c>
      <c r="AC66" s="490">
        <f t="shared" si="4"/>
        <v>0</v>
      </c>
      <c r="AD66" s="490">
        <f t="shared" si="5"/>
        <v>0</v>
      </c>
      <c r="AE66" s="306"/>
      <c r="AF66" s="332" t="str">
        <f t="shared" si="6"/>
        <v>missionStronghold</v>
      </c>
      <c r="AG66" s="306"/>
      <c r="AH66" s="487"/>
      <c r="AI66" s="306"/>
      <c r="AJ66" s="306"/>
      <c r="AK66" s="306"/>
      <c r="AL66" s="306"/>
      <c r="AM66" s="306"/>
      <c r="AN66" s="491"/>
      <c r="AO66" s="306"/>
      <c r="AP66" s="306"/>
      <c r="AQ66" s="306"/>
      <c r="AR66" s="306"/>
      <c r="AS66" s="306"/>
      <c r="AT66" s="487"/>
      <c r="AU66" s="306"/>
      <c r="AV66" s="306"/>
      <c r="AW66" s="306"/>
      <c r="AX66" s="306"/>
      <c r="AY66" s="306"/>
      <c r="AZ66" s="503" t="s">
        <v>4820</v>
      </c>
      <c r="BA66" s="332" t="s">
        <v>4821</v>
      </c>
      <c r="BB66" s="332" t="s">
        <v>4822</v>
      </c>
      <c r="BF66" s="492" t="str">
        <f ca="1">IFERROR(__xludf.DUMMYFUNCTION("IF(REGEXMATCH($G66, ""Any""), ""any"", IF(REGEXMATCH($G66, ""All""), ""all"", """"))"),"all")</f>
        <v>all</v>
      </c>
      <c r="BG66" s="499" t="s">
        <v>1018</v>
      </c>
      <c r="BH66" s="306"/>
      <c r="BI66" s="332" t="s">
        <v>2715</v>
      </c>
      <c r="BJ66" s="332">
        <v>70</v>
      </c>
      <c r="BK66" s="332" t="s">
        <v>4819</v>
      </c>
      <c r="BL66" s="306"/>
      <c r="BM66" s="306"/>
      <c r="BN66" s="306"/>
      <c r="BO66" s="306"/>
      <c r="BP66" s="493"/>
      <c r="BQ66" s="306"/>
      <c r="BR66" s="306"/>
      <c r="BS66" s="494"/>
      <c r="BT66" s="487"/>
      <c r="BU66" s="306"/>
      <c r="BV66" s="306"/>
      <c r="BW66" s="306"/>
      <c r="BX66" s="306"/>
      <c r="BY66" s="306"/>
      <c r="BZ66" s="306"/>
      <c r="CA66" s="306"/>
      <c r="CB66" s="306"/>
      <c r="CC66" s="493"/>
      <c r="CD66" s="306"/>
      <c r="CE66" s="306"/>
      <c r="CF66" s="494"/>
      <c r="CG66" s="487"/>
      <c r="CH66" s="306"/>
      <c r="CI66" s="306"/>
      <c r="CJ66" s="306"/>
      <c r="CK66" s="306"/>
      <c r="CL66" s="306"/>
      <c r="CM66" s="306"/>
      <c r="CN66" s="306"/>
      <c r="CO66" s="306"/>
      <c r="CP66" s="306"/>
      <c r="CQ66" s="306"/>
      <c r="CR66" s="306"/>
      <c r="CS66" s="494"/>
      <c r="CT66" s="306"/>
      <c r="CU66" s="306"/>
      <c r="CV66" s="306"/>
      <c r="CW66" s="306"/>
      <c r="CX66" s="306"/>
      <c r="CY66" s="306"/>
      <c r="CZ66" s="306"/>
      <c r="DA66" s="306"/>
      <c r="DB66" s="306"/>
      <c r="DC66" s="493"/>
      <c r="DD66" s="306"/>
      <c r="DE66" s="306"/>
      <c r="DF66" s="494"/>
      <c r="DG66" s="306"/>
      <c r="DH66" s="306"/>
      <c r="DI66" s="306"/>
      <c r="DJ66" s="306"/>
      <c r="DK66" s="306"/>
      <c r="DL66" s="306"/>
      <c r="DM66" s="306"/>
      <c r="DN66" s="306"/>
      <c r="DO66" s="306"/>
      <c r="DP66" s="493"/>
      <c r="DQ66" s="306"/>
      <c r="DR66" s="306"/>
      <c r="DS66" s="489"/>
      <c r="DT66" s="306"/>
      <c r="DU66" s="306"/>
      <c r="DV66" s="306"/>
      <c r="DW66" s="306"/>
      <c r="DX66" s="306"/>
      <c r="DY66" s="306"/>
      <c r="DZ66" s="306"/>
      <c r="EA66" s="306"/>
      <c r="EB66" s="306"/>
      <c r="EC66" s="306"/>
      <c r="ED66" s="493"/>
      <c r="EE66" s="306"/>
      <c r="EF66" s="306"/>
      <c r="EG66" s="306"/>
      <c r="EH66" s="487"/>
      <c r="EI66" s="306"/>
      <c r="EJ66" s="306"/>
      <c r="EK66" s="306"/>
      <c r="EL66" s="306"/>
      <c r="EM66" s="306"/>
      <c r="EN66" s="306"/>
      <c r="EO66" s="306"/>
      <c r="EP66" s="306"/>
      <c r="EQ66" s="306"/>
      <c r="ER66" s="306"/>
      <c r="ES66" s="306"/>
      <c r="ET66" s="306"/>
      <c r="EU66" s="306"/>
      <c r="EV66" s="491"/>
      <c r="EW66" s="306"/>
      <c r="EX66" s="306"/>
      <c r="EY66" s="306"/>
      <c r="EZ66" s="306"/>
      <c r="FA66" s="306"/>
      <c r="FB66" s="306"/>
      <c r="FC66" s="306"/>
      <c r="FD66" s="306"/>
      <c r="FE66" s="306"/>
      <c r="FF66" s="306"/>
      <c r="FG66" s="306"/>
      <c r="FH66" s="306"/>
      <c r="FI66" s="306"/>
      <c r="FJ66" s="306"/>
      <c r="FK66" s="306"/>
      <c r="FL66" s="487"/>
      <c r="FM66" s="306"/>
      <c r="FN66" s="306"/>
      <c r="FO66" s="306"/>
      <c r="FP66" s="306"/>
      <c r="FQ66" s="306"/>
      <c r="FR66" s="306"/>
      <c r="FS66" s="306"/>
      <c r="FT66" s="306"/>
      <c r="FU66" s="306"/>
      <c r="FV66" s="306"/>
      <c r="FW66" s="306"/>
      <c r="FX66" s="306"/>
      <c r="FY66" s="306"/>
      <c r="FZ66" s="306"/>
      <c r="GA66" s="306"/>
      <c r="GB66" s="491"/>
      <c r="GC66" s="306"/>
      <c r="GD66" s="306"/>
      <c r="GE66" s="306"/>
      <c r="GF66" s="491"/>
      <c r="GG66" s="494"/>
      <c r="GH66" s="487"/>
      <c r="GI66" s="306"/>
      <c r="GJ66" s="491"/>
      <c r="GK66" s="306"/>
      <c r="GL66" s="306"/>
      <c r="GM66" s="497"/>
      <c r="GN66" s="306"/>
      <c r="GO66" s="306"/>
      <c r="GP66" s="306"/>
    </row>
    <row r="67" spans="1:198" ht="42" x14ac:dyDescent="0.15">
      <c r="A67" s="481" t="str">
        <f>VLOOKUP($J67&amp;":", Catalog!$F$5:$BV127, COLUMNS(Catalog!$F$5:$BV127), FALSE)</f>
        <v>State 2: has missionStronghold with tier=2</v>
      </c>
      <c r="B67" s="482" t="b">
        <f t="shared" ca="1" si="0"/>
        <v>0</v>
      </c>
      <c r="C67" s="483" t="str">
        <f t="shared" si="1"/>
        <v>grantAchievementMissionStrongholdState2</v>
      </c>
      <c r="D67" s="484" t="str">
        <f>VLOOKUP($J67&amp;":", Catalog!$F$5:$BW127, COLUMNS(Catalog!$F$5:$BW127), FALSE)</f>
        <v>never</v>
      </c>
      <c r="E67" s="485">
        <f>VLOOKUP($J67&amp;":", Catalog!$F$5:$BX127, COLUMNS(Catalog!$F$5:$BX127), FALSE)</f>
        <v>0</v>
      </c>
      <c r="F67" s="484">
        <f>VLOOKUP($J67&amp;":", Catalog!$F$5:$BY127, COLUMNS(Catalog!$F$5:$BY127), FALSE)</f>
        <v>0</v>
      </c>
      <c r="G67" s="484" t="str">
        <f>VLOOKUP($J67, Catalog!$E$5:$BZ127, COLUMNS(Catalog!$E$5:$BZ127), FALSE)</f>
        <v>rewardIfAnyRequirementsMet</v>
      </c>
      <c r="H67" s="483" t="s">
        <v>808</v>
      </c>
      <c r="I67" s="483">
        <v>2</v>
      </c>
      <c r="J67" s="306" t="s">
        <v>1033</v>
      </c>
      <c r="K67" s="486">
        <v>1</v>
      </c>
      <c r="L67" s="100" t="s">
        <v>279</v>
      </c>
      <c r="M67" s="332">
        <v>2</v>
      </c>
      <c r="N67" s="100" t="s">
        <v>280</v>
      </c>
      <c r="O67" s="86"/>
      <c r="P67" s="86"/>
      <c r="Q67" s="86"/>
      <c r="R67" s="100" t="str">
        <f t="shared" si="2"/>
        <v>never</v>
      </c>
      <c r="S67" s="487"/>
      <c r="T67" s="486"/>
      <c r="U67" s="488"/>
      <c r="V67" s="488"/>
      <c r="W67" s="488"/>
      <c r="X67" s="488"/>
      <c r="Y67" s="306"/>
      <c r="Z67" s="306"/>
      <c r="AA67" s="489"/>
      <c r="AB67" s="306" t="str">
        <f t="shared" si="3"/>
        <v>total_points</v>
      </c>
      <c r="AC67" s="490">
        <f t="shared" si="4"/>
        <v>0</v>
      </c>
      <c r="AD67" s="490">
        <f t="shared" si="5"/>
        <v>0</v>
      </c>
      <c r="AE67" s="306"/>
      <c r="AF67" s="332" t="str">
        <f t="shared" si="6"/>
        <v>achievementMissionStronghold</v>
      </c>
      <c r="AG67" s="306"/>
      <c r="AH67" s="487"/>
      <c r="AI67" s="306"/>
      <c r="AJ67" s="306"/>
      <c r="AK67" s="306"/>
      <c r="AL67" s="306"/>
      <c r="AM67" s="306"/>
      <c r="AN67" s="491"/>
      <c r="AO67" s="306"/>
      <c r="AP67" s="306"/>
      <c r="AQ67" s="306"/>
      <c r="AR67" s="306"/>
      <c r="AS67" s="306"/>
      <c r="AT67" s="487"/>
      <c r="AU67" s="306"/>
      <c r="AV67" s="306"/>
      <c r="AW67" s="306"/>
      <c r="AX67" s="306"/>
      <c r="AY67" s="306"/>
      <c r="AZ67" s="487"/>
      <c r="BA67" s="306"/>
      <c r="BB67" s="306"/>
      <c r="BF67" s="492" t="str">
        <f ca="1">IFERROR(__xludf.DUMMYFUNCTION("IF(REGEXMATCH($G67, ""Any""), ""any"", IF(REGEXMATCH($G67, ""All""), ""all"", """"))"),"any")</f>
        <v>any</v>
      </c>
      <c r="BG67" s="499" t="s">
        <v>1020</v>
      </c>
      <c r="BH67" s="306"/>
      <c r="BI67" s="100" t="s">
        <v>279</v>
      </c>
      <c r="BJ67" s="100">
        <v>2</v>
      </c>
      <c r="BK67" s="306"/>
      <c r="BL67" s="306"/>
      <c r="BM67" s="306"/>
      <c r="BN67" s="306"/>
      <c r="BO67" s="306"/>
      <c r="BP67" s="493"/>
      <c r="BQ67" s="306"/>
      <c r="BR67" s="306"/>
      <c r="BS67" s="494"/>
      <c r="BT67" s="487"/>
      <c r="BU67" s="306"/>
      <c r="BV67" s="306"/>
      <c r="BW67" s="306"/>
      <c r="BX67" s="306"/>
      <c r="BY67" s="306"/>
      <c r="BZ67" s="306"/>
      <c r="CA67" s="306"/>
      <c r="CB67" s="306"/>
      <c r="CC67" s="493"/>
      <c r="CD67" s="306"/>
      <c r="CE67" s="306"/>
      <c r="CF67" s="494"/>
      <c r="CG67" s="487"/>
      <c r="CH67" s="306"/>
      <c r="CI67" s="306"/>
      <c r="CJ67" s="306"/>
      <c r="CK67" s="306"/>
      <c r="CL67" s="306"/>
      <c r="CM67" s="306"/>
      <c r="CN67" s="306"/>
      <c r="CO67" s="306"/>
      <c r="CP67" s="306"/>
      <c r="CQ67" s="306"/>
      <c r="CR67" s="306"/>
      <c r="CS67" s="494"/>
      <c r="CT67" s="306"/>
      <c r="CU67" s="306"/>
      <c r="CV67" s="306"/>
      <c r="CW67" s="306"/>
      <c r="CX67" s="306"/>
      <c r="CY67" s="306"/>
      <c r="CZ67" s="306"/>
      <c r="DA67" s="306"/>
      <c r="DB67" s="306"/>
      <c r="DC67" s="493"/>
      <c r="DD67" s="306"/>
      <c r="DE67" s="306"/>
      <c r="DF67" s="494"/>
      <c r="DG67" s="306"/>
      <c r="DH67" s="306"/>
      <c r="DI67" s="306"/>
      <c r="DJ67" s="306"/>
      <c r="DK67" s="306"/>
      <c r="DL67" s="306"/>
      <c r="DM67" s="306"/>
      <c r="DN67" s="306"/>
      <c r="DO67" s="306"/>
      <c r="DP67" s="493"/>
      <c r="DQ67" s="306"/>
      <c r="DR67" s="306"/>
      <c r="DS67" s="489"/>
      <c r="DT67" s="306"/>
      <c r="DU67" s="306"/>
      <c r="DV67" s="306"/>
      <c r="DW67" s="306"/>
      <c r="DX67" s="306"/>
      <c r="DY67" s="306"/>
      <c r="DZ67" s="306"/>
      <c r="EA67" s="306"/>
      <c r="EB67" s="306"/>
      <c r="EC67" s="306"/>
      <c r="ED67" s="493"/>
      <c r="EE67" s="306"/>
      <c r="EF67" s="306"/>
      <c r="EG67" s="306"/>
      <c r="EH67" s="487"/>
      <c r="EI67" s="306"/>
      <c r="EJ67" s="306"/>
      <c r="EK67" s="306"/>
      <c r="EL67" s="306"/>
      <c r="EM67" s="306"/>
      <c r="EN67" s="306"/>
      <c r="EO67" s="306"/>
      <c r="EP67" s="306"/>
      <c r="EQ67" s="306"/>
      <c r="ER67" s="306"/>
      <c r="ES67" s="306"/>
      <c r="ET67" s="306"/>
      <c r="EU67" s="306"/>
      <c r="EV67" s="491"/>
      <c r="EW67" s="306"/>
      <c r="EX67" s="306"/>
      <c r="EY67" s="306"/>
      <c r="EZ67" s="306"/>
      <c r="FA67" s="306"/>
      <c r="FB67" s="306"/>
      <c r="FC67" s="306"/>
      <c r="FD67" s="306"/>
      <c r="FE67" s="306"/>
      <c r="FF67" s="306"/>
      <c r="FG67" s="306"/>
      <c r="FH67" s="306"/>
      <c r="FI67" s="306"/>
      <c r="FJ67" s="306"/>
      <c r="FK67" s="306"/>
      <c r="FL67" s="487"/>
      <c r="FM67" s="306"/>
      <c r="FN67" s="306"/>
      <c r="FO67" s="306"/>
      <c r="FP67" s="306"/>
      <c r="FQ67" s="306"/>
      <c r="FR67" s="306"/>
      <c r="FS67" s="306"/>
      <c r="FT67" s="306"/>
      <c r="FU67" s="306"/>
      <c r="FV67" s="306"/>
      <c r="FW67" s="306"/>
      <c r="FX67" s="306"/>
      <c r="FY67" s="306"/>
      <c r="FZ67" s="306"/>
      <c r="GA67" s="306"/>
      <c r="GB67" s="491"/>
      <c r="GC67" s="306"/>
      <c r="GD67" s="306"/>
      <c r="GE67" s="306"/>
      <c r="GF67" s="491"/>
      <c r="GG67" s="494"/>
      <c r="GH67" s="487"/>
      <c r="GI67" s="306"/>
      <c r="GJ67" s="491"/>
      <c r="GK67" s="306"/>
      <c r="GL67" s="306"/>
      <c r="GM67" s="497" t="str">
        <f t="shared" ref="GM67:GM69" si="12">$GJ67&amp;":"&amp;$GK67</f>
        <v>:</v>
      </c>
      <c r="GN67" s="306"/>
      <c r="GO67" s="306"/>
      <c r="GP67" s="306"/>
    </row>
    <row r="68" spans="1:198" ht="45" x14ac:dyDescent="0.15">
      <c r="A68" s="481" t="str">
        <f>VLOOKUP($J68&amp;":", Catalog!$F$5:$BV127, COLUMNS(Catalog!$F$5:$BV127), FALSE)</f>
        <v>State 2: has actionLauncherNunchuck in game; OR have playerLevel&gt;=14</v>
      </c>
      <c r="B68" s="482" t="b">
        <f t="shared" ca="1" si="0"/>
        <v>0</v>
      </c>
      <c r="C68" s="483" t="str">
        <f t="shared" si="1"/>
        <v>grantActionMissionNunchuckUnlock</v>
      </c>
      <c r="D68" s="484" t="str">
        <f>VLOOKUP($J68&amp;":", Catalog!$F$5:$BW127, COLUMNS(Catalog!$F$5:$BW127), FALSE)</f>
        <v>always</v>
      </c>
      <c r="E68" s="485">
        <f>VLOOKUP($J68&amp;":", Catalog!$F$5:$BX127, COLUMNS(Catalog!$F$5:$BX127), FALSE)</f>
        <v>0</v>
      </c>
      <c r="F68" s="484">
        <f>VLOOKUP($J68&amp;":", Catalog!$F$5:$BY127, COLUMNS(Catalog!$F$5:$BY127), FALSE)</f>
        <v>0</v>
      </c>
      <c r="G68" s="484" t="str">
        <f>VLOOKUP($J68, Catalog!$E$5:$BZ127, COLUMNS(Catalog!$E$5:$BZ127), FALSE)</f>
        <v>rewardIfAnyRequirementsMet</v>
      </c>
      <c r="H68" s="483" t="s">
        <v>811</v>
      </c>
      <c r="I68" s="483"/>
      <c r="J68" s="306" t="s">
        <v>1042</v>
      </c>
      <c r="K68" s="486">
        <v>1</v>
      </c>
      <c r="L68" s="100" t="s">
        <v>279</v>
      </c>
      <c r="M68" s="332">
        <v>2</v>
      </c>
      <c r="N68" s="100" t="s">
        <v>280</v>
      </c>
      <c r="O68" s="86"/>
      <c r="P68" s="86"/>
      <c r="Q68" s="86"/>
      <c r="R68" s="100" t="str">
        <f t="shared" si="2"/>
        <v>always</v>
      </c>
      <c r="S68" s="487"/>
      <c r="T68" s="486"/>
      <c r="U68" s="488"/>
      <c r="V68" s="488"/>
      <c r="W68" s="488"/>
      <c r="X68" s="488"/>
      <c r="Y68" s="306"/>
      <c r="Z68" s="306"/>
      <c r="AA68" s="489"/>
      <c r="AB68" s="306" t="str">
        <f t="shared" si="3"/>
        <v>total_points</v>
      </c>
      <c r="AC68" s="490">
        <f t="shared" si="4"/>
        <v>0</v>
      </c>
      <c r="AD68" s="490">
        <f t="shared" si="5"/>
        <v>0</v>
      </c>
      <c r="AE68" s="306"/>
      <c r="AF68" s="332" t="str">
        <f t="shared" si="6"/>
        <v>actionMissionNunchuckUnlock</v>
      </c>
      <c r="AG68" s="306"/>
      <c r="AH68" s="487"/>
      <c r="AI68" s="306"/>
      <c r="AJ68" s="306"/>
      <c r="AK68" s="306"/>
      <c r="AL68" s="306"/>
      <c r="AM68" s="306"/>
      <c r="AN68" s="491"/>
      <c r="AO68" s="306"/>
      <c r="AP68" s="306"/>
      <c r="AQ68" s="306"/>
      <c r="AR68" s="306"/>
      <c r="AS68" s="306"/>
      <c r="AT68" s="487"/>
      <c r="AU68" s="306"/>
      <c r="AV68" s="306"/>
      <c r="AW68" s="306"/>
      <c r="AX68" s="306"/>
      <c r="AY68" s="306"/>
      <c r="AZ68" s="487"/>
      <c r="BA68" s="306"/>
      <c r="BB68" s="306"/>
      <c r="BF68" s="492" t="str">
        <f ca="1">IFERROR(__xludf.DUMMYFUNCTION("IF(REGEXMATCH($G68, ""Any""), ""any"", IF(REGEXMATCH($G68, ""All""), ""all"", """"))"),"any")</f>
        <v>any</v>
      </c>
      <c r="BG68" s="499" t="s">
        <v>1040</v>
      </c>
      <c r="BH68" s="306"/>
      <c r="BI68" s="306"/>
      <c r="BJ68" s="306"/>
      <c r="BK68" s="306"/>
      <c r="BL68" s="306"/>
      <c r="BM68" s="306"/>
      <c r="BN68" s="306"/>
      <c r="BO68" s="306"/>
      <c r="BP68" s="493"/>
      <c r="BQ68" s="306"/>
      <c r="BR68" s="306"/>
      <c r="BS68" s="494"/>
      <c r="BT68" s="487"/>
      <c r="BU68" s="306"/>
      <c r="BV68" s="306"/>
      <c r="BW68" s="306"/>
      <c r="BX68" s="306"/>
      <c r="BY68" s="306"/>
      <c r="BZ68" s="306"/>
      <c r="CA68" s="306"/>
      <c r="CB68" s="306"/>
      <c r="CC68" s="493"/>
      <c r="CD68" s="306"/>
      <c r="CE68" s="306"/>
      <c r="CF68" s="494"/>
      <c r="CG68" s="487"/>
      <c r="CH68" s="306"/>
      <c r="CI68" s="306"/>
      <c r="CJ68" s="306"/>
      <c r="CK68" s="306"/>
      <c r="CL68" s="306"/>
      <c r="CM68" s="306"/>
      <c r="CN68" s="306"/>
      <c r="CO68" s="306"/>
      <c r="CP68" s="306"/>
      <c r="CQ68" s="306"/>
      <c r="CR68" s="306"/>
      <c r="CS68" s="494"/>
      <c r="CT68" s="306"/>
      <c r="CU68" s="306"/>
      <c r="CV68" s="306"/>
      <c r="CW68" s="306"/>
      <c r="CX68" s="306"/>
      <c r="CY68" s="306"/>
      <c r="CZ68" s="306"/>
      <c r="DA68" s="306"/>
      <c r="DB68" s="306"/>
      <c r="DC68" s="493"/>
      <c r="DD68" s="306"/>
      <c r="DE68" s="306"/>
      <c r="DF68" s="494"/>
      <c r="DG68" s="306"/>
      <c r="DH68" s="306"/>
      <c r="DI68" s="306"/>
      <c r="DJ68" s="306"/>
      <c r="DK68" s="306"/>
      <c r="DL68" s="306"/>
      <c r="DM68" s="306"/>
      <c r="DN68" s="306"/>
      <c r="DO68" s="306"/>
      <c r="DP68" s="493"/>
      <c r="DQ68" s="306"/>
      <c r="DR68" s="306"/>
      <c r="DS68" s="489"/>
      <c r="DT68" s="306"/>
      <c r="DU68" s="306"/>
      <c r="DV68" s="306"/>
      <c r="DW68" s="306"/>
      <c r="DX68" s="306"/>
      <c r="DY68" s="306"/>
      <c r="DZ68" s="306"/>
      <c r="EA68" s="306"/>
      <c r="EB68" s="306"/>
      <c r="EC68" s="306"/>
      <c r="ED68" s="493"/>
      <c r="EE68" s="306"/>
      <c r="EF68" s="306"/>
      <c r="EG68" s="306"/>
      <c r="EH68" s="487"/>
      <c r="EI68" s="306"/>
      <c r="EJ68" s="306"/>
      <c r="EK68" s="306"/>
      <c r="EL68" s="306"/>
      <c r="EM68" s="306"/>
      <c r="EN68" s="306"/>
      <c r="EO68" s="306"/>
      <c r="EP68" s="306"/>
      <c r="EQ68" s="306"/>
      <c r="ER68" s="306"/>
      <c r="ES68" s="306"/>
      <c r="ET68" s="306"/>
      <c r="EU68" s="306"/>
      <c r="EV68" s="491"/>
      <c r="EW68" s="306"/>
      <c r="EX68" s="306"/>
      <c r="EY68" s="306"/>
      <c r="EZ68" s="306"/>
      <c r="FA68" s="306"/>
      <c r="FB68" s="306"/>
      <c r="FC68" s="306"/>
      <c r="FD68" s="306"/>
      <c r="FE68" s="306"/>
      <c r="FF68" s="306"/>
      <c r="FG68" s="306"/>
      <c r="FH68" s="306"/>
      <c r="FI68" s="306"/>
      <c r="FJ68" s="306"/>
      <c r="FK68" s="306"/>
      <c r="FL68" s="487"/>
      <c r="FM68" s="306"/>
      <c r="FN68" s="306"/>
      <c r="FO68" s="306"/>
      <c r="FP68" s="306"/>
      <c r="FQ68" s="306"/>
      <c r="FR68" s="306"/>
      <c r="FS68" s="306"/>
      <c r="FT68" s="306"/>
      <c r="FU68" s="306"/>
      <c r="FV68" s="306"/>
      <c r="FW68" s="306"/>
      <c r="FX68" s="306"/>
      <c r="FY68" s="306"/>
      <c r="FZ68" s="306"/>
      <c r="GA68" s="306"/>
      <c r="GB68" s="491"/>
      <c r="GC68" s="306"/>
      <c r="GD68" s="306"/>
      <c r="GE68" s="306"/>
      <c r="GF68" s="491"/>
      <c r="GG68" s="494"/>
      <c r="GH68" s="487"/>
      <c r="GI68" s="306"/>
      <c r="GJ68" s="502" t="s">
        <v>4379</v>
      </c>
      <c r="GK68" s="332">
        <v>14</v>
      </c>
      <c r="GL68" s="100" t="s">
        <v>4819</v>
      </c>
      <c r="GM68" s="497" t="str">
        <f t="shared" si="12"/>
        <v>levels.total_points.level:14</v>
      </c>
      <c r="GN68" s="306"/>
      <c r="GO68" s="306"/>
      <c r="GP68" s="306"/>
    </row>
    <row r="69" spans="1:198" ht="105" x14ac:dyDescent="0.15">
      <c r="A69" s="481" t="str">
        <f>VLOOKUP($J69&amp;":", Catalog!$F$5:$BV127, COLUMNS(Catalog!$F$5:$BV127), FALSE)</f>
        <v>State 1: have actionMissionNunchuckUnlock.
State 2: have actionMissionNunchuckAttempt with destroys count &gt;= 20 (single game) AND CLEAR playerData.activeQuest</v>
      </c>
      <c r="B69" s="482" t="b">
        <f t="shared" ca="1" si="0"/>
        <v>0</v>
      </c>
      <c r="C69" s="483" t="str">
        <f t="shared" si="1"/>
        <v>grantMissionNunchuckState1</v>
      </c>
      <c r="D69" s="484" t="str">
        <f>VLOOKUP($J69&amp;":", Catalog!$F$5:$BW127, COLUMNS(Catalog!$F$5:$BW127), FALSE)</f>
        <v>always</v>
      </c>
      <c r="E69" s="485">
        <f>VLOOKUP($J69&amp;":", Catalog!$F$5:$BX127, COLUMNS(Catalog!$F$5:$BX127), FALSE)</f>
        <v>0</v>
      </c>
      <c r="F69" s="484">
        <f>VLOOKUP($J69&amp;":", Catalog!$F$5:$BY127, COLUMNS(Catalog!$F$5:$BY127), FALSE)</f>
        <v>0</v>
      </c>
      <c r="G69" s="484" t="str">
        <f>VLOOKUP($J69, Catalog!$E$5:$BZ127, COLUMNS(Catalog!$E$5:$BZ127), FALSE)</f>
        <v>rewardIfAllRequirementsMet</v>
      </c>
      <c r="H69" s="483" t="s">
        <v>851</v>
      </c>
      <c r="I69" s="483">
        <v>1</v>
      </c>
      <c r="J69" s="306" t="s">
        <v>1047</v>
      </c>
      <c r="K69" s="486">
        <v>1</v>
      </c>
      <c r="L69" s="100" t="s">
        <v>279</v>
      </c>
      <c r="M69" s="332">
        <v>1</v>
      </c>
      <c r="N69" s="100" t="s">
        <v>280</v>
      </c>
      <c r="O69" s="86"/>
      <c r="P69" s="86"/>
      <c r="Q69" s="86"/>
      <c r="R69" s="100" t="str">
        <f t="shared" si="2"/>
        <v>always</v>
      </c>
      <c r="S69" s="487"/>
      <c r="T69" s="486"/>
      <c r="U69" s="488"/>
      <c r="V69" s="488"/>
      <c r="W69" s="488"/>
      <c r="X69" s="488"/>
      <c r="Y69" s="306"/>
      <c r="Z69" s="306"/>
      <c r="AA69" s="489"/>
      <c r="AB69" s="306" t="str">
        <f t="shared" si="3"/>
        <v>total_points</v>
      </c>
      <c r="AC69" s="490">
        <f t="shared" si="4"/>
        <v>0</v>
      </c>
      <c r="AD69" s="490">
        <f t="shared" si="5"/>
        <v>0</v>
      </c>
      <c r="AE69" s="306"/>
      <c r="AF69" s="332" t="str">
        <f t="shared" si="6"/>
        <v>missionNunchuck</v>
      </c>
      <c r="AG69" s="306"/>
      <c r="AH69" s="487"/>
      <c r="AI69" s="306"/>
      <c r="AJ69" s="306"/>
      <c r="AK69" s="306"/>
      <c r="AL69" s="306"/>
      <c r="AM69" s="306"/>
      <c r="AN69" s="491"/>
      <c r="AO69" s="306"/>
      <c r="AP69" s="306"/>
      <c r="AQ69" s="306"/>
      <c r="AR69" s="306"/>
      <c r="AS69" s="306"/>
      <c r="AT69" s="487"/>
      <c r="AU69" s="306"/>
      <c r="AV69" s="306"/>
      <c r="AW69" s="306"/>
      <c r="AX69" s="306"/>
      <c r="AY69" s="306"/>
      <c r="AZ69" s="487"/>
      <c r="BA69" s="306"/>
      <c r="BB69" s="306"/>
      <c r="BF69" s="492" t="str">
        <f ca="1">IFERROR(__xludf.DUMMYFUNCTION("IF(REGEXMATCH($G69, ""Any""), ""any"", IF(REGEXMATCH($G69, ""All""), ""all"", """"))"),"all")</f>
        <v>all</v>
      </c>
      <c r="BG69" s="499" t="s">
        <v>1042</v>
      </c>
      <c r="BH69" s="306"/>
      <c r="BL69" s="306"/>
      <c r="BM69" s="306"/>
      <c r="BN69" s="306"/>
      <c r="BO69" s="306"/>
      <c r="BP69" s="493"/>
      <c r="BQ69" s="306"/>
      <c r="BR69" s="306"/>
      <c r="BS69" s="494"/>
      <c r="BT69" s="487"/>
      <c r="BU69" s="306"/>
      <c r="BV69" s="306"/>
      <c r="BW69" s="306"/>
      <c r="BX69" s="306"/>
      <c r="BY69" s="306"/>
      <c r="BZ69" s="306"/>
      <c r="CA69" s="306"/>
      <c r="CB69" s="306"/>
      <c r="CC69" s="493"/>
      <c r="CD69" s="306"/>
      <c r="CE69" s="306"/>
      <c r="CF69" s="494"/>
      <c r="CG69" s="487"/>
      <c r="CH69" s="306"/>
      <c r="CI69" s="306"/>
      <c r="CJ69" s="306"/>
      <c r="CK69" s="306"/>
      <c r="CL69" s="306"/>
      <c r="CM69" s="306"/>
      <c r="CN69" s="306"/>
      <c r="CO69" s="306"/>
      <c r="CP69" s="306"/>
      <c r="CQ69" s="306"/>
      <c r="CR69" s="306"/>
      <c r="CS69" s="494"/>
      <c r="CT69" s="306"/>
      <c r="CU69" s="306"/>
      <c r="CV69" s="306"/>
      <c r="CW69" s="306"/>
      <c r="CX69" s="306"/>
      <c r="CY69" s="306"/>
      <c r="CZ69" s="306"/>
      <c r="DA69" s="306"/>
      <c r="DB69" s="306"/>
      <c r="DC69" s="493"/>
      <c r="DD69" s="306"/>
      <c r="DE69" s="306"/>
      <c r="DF69" s="494"/>
      <c r="DG69" s="306"/>
      <c r="DH69" s="306"/>
      <c r="DI69" s="306"/>
      <c r="DJ69" s="306"/>
      <c r="DK69" s="306"/>
      <c r="DL69" s="306"/>
      <c r="DM69" s="306"/>
      <c r="DN69" s="306"/>
      <c r="DO69" s="306"/>
      <c r="DP69" s="493"/>
      <c r="DQ69" s="306"/>
      <c r="DR69" s="306"/>
      <c r="DS69" s="489"/>
      <c r="DT69" s="306"/>
      <c r="DU69" s="306"/>
      <c r="DV69" s="306"/>
      <c r="DW69" s="306"/>
      <c r="DX69" s="306"/>
      <c r="DY69" s="306"/>
      <c r="DZ69" s="306"/>
      <c r="EA69" s="306"/>
      <c r="EB69" s="306"/>
      <c r="EC69" s="306"/>
      <c r="ED69" s="493"/>
      <c r="EE69" s="306"/>
      <c r="EF69" s="306"/>
      <c r="EG69" s="306"/>
      <c r="EH69" s="487"/>
      <c r="EI69" s="306"/>
      <c r="EJ69" s="306"/>
      <c r="EK69" s="306"/>
      <c r="EL69" s="306"/>
      <c r="EM69" s="306"/>
      <c r="EN69" s="306"/>
      <c r="EO69" s="306"/>
      <c r="EP69" s="306"/>
      <c r="EQ69" s="306"/>
      <c r="ER69" s="306"/>
      <c r="ES69" s="306"/>
      <c r="ET69" s="306"/>
      <c r="EU69" s="306"/>
      <c r="EV69" s="491"/>
      <c r="EW69" s="306"/>
      <c r="EX69" s="306"/>
      <c r="EY69" s="306"/>
      <c r="EZ69" s="306"/>
      <c r="FA69" s="306"/>
      <c r="FB69" s="306"/>
      <c r="FC69" s="306"/>
      <c r="FD69" s="306"/>
      <c r="FE69" s="306"/>
      <c r="FF69" s="306"/>
      <c r="FG69" s="306"/>
      <c r="FH69" s="306"/>
      <c r="FI69" s="306"/>
      <c r="FJ69" s="306"/>
      <c r="FK69" s="306"/>
      <c r="FL69" s="487"/>
      <c r="FM69" s="306"/>
      <c r="FN69" s="306"/>
      <c r="FO69" s="306"/>
      <c r="FP69" s="306"/>
      <c r="FQ69" s="306"/>
      <c r="FR69" s="306"/>
      <c r="FS69" s="306"/>
      <c r="FT69" s="306"/>
      <c r="FU69" s="306"/>
      <c r="FV69" s="306"/>
      <c r="FW69" s="306"/>
      <c r="FX69" s="306"/>
      <c r="FY69" s="306"/>
      <c r="FZ69" s="306"/>
      <c r="GA69" s="306"/>
      <c r="GB69" s="491"/>
      <c r="GC69" s="306"/>
      <c r="GD69" s="306"/>
      <c r="GE69" s="306"/>
      <c r="GF69" s="491"/>
      <c r="GG69" s="494"/>
      <c r="GH69" s="487"/>
      <c r="GI69" s="306"/>
      <c r="GJ69" s="491"/>
      <c r="GK69" s="306"/>
      <c r="GL69" s="306"/>
      <c r="GM69" s="497" t="str">
        <f t="shared" si="12"/>
        <v>:</v>
      </c>
      <c r="GN69" s="306"/>
      <c r="GO69" s="306"/>
      <c r="GP69" s="306"/>
    </row>
    <row r="70" spans="1:198" ht="105" x14ac:dyDescent="0.15">
      <c r="A70" s="481" t="str">
        <f>VLOOKUP($J70&amp;":", Catalog!$F$5:$BV127, COLUMNS(Catalog!$F$5:$BV127), FALSE)</f>
        <v>State 1: have actionMissionNunchuckUnlock.
State 2: have actionMissionNunchuckAttempt with destroys count &gt;= 20 (single game) AND CLEAR playerData.activeQuest</v>
      </c>
      <c r="B70" s="482" t="b">
        <f t="shared" ca="1" si="0"/>
        <v>0</v>
      </c>
      <c r="C70" s="483" t="str">
        <f t="shared" si="1"/>
        <v>grantMissionNunchuckState2</v>
      </c>
      <c r="D70" s="484" t="str">
        <f>VLOOKUP($J70&amp;":", Catalog!$F$5:$BW127, COLUMNS(Catalog!$F$5:$BW127), FALSE)</f>
        <v>always</v>
      </c>
      <c r="E70" s="485">
        <f>VLOOKUP($J70&amp;":", Catalog!$F$5:$BX127, COLUMNS(Catalog!$F$5:$BX127), FALSE)</f>
        <v>0</v>
      </c>
      <c r="F70" s="484">
        <f>VLOOKUP($J70&amp;":", Catalog!$F$5:$BY127, COLUMNS(Catalog!$F$5:$BY127), FALSE)</f>
        <v>0</v>
      </c>
      <c r="G70" s="484" t="str">
        <f>VLOOKUP($J70, Catalog!$E$5:$BZ127, COLUMNS(Catalog!$E$5:$BZ127), FALSE)</f>
        <v>rewardIfAllRequirementsMet</v>
      </c>
      <c r="H70" s="483" t="s">
        <v>851</v>
      </c>
      <c r="I70" s="483">
        <v>2</v>
      </c>
      <c r="J70" s="306" t="s">
        <v>1047</v>
      </c>
      <c r="K70" s="486"/>
      <c r="L70" s="100" t="s">
        <v>279</v>
      </c>
      <c r="M70" s="332">
        <v>2</v>
      </c>
      <c r="N70" s="100" t="s">
        <v>280</v>
      </c>
      <c r="O70" s="86"/>
      <c r="P70" s="86"/>
      <c r="Q70" s="86"/>
      <c r="R70" s="100" t="str">
        <f t="shared" si="2"/>
        <v>always</v>
      </c>
      <c r="S70" s="487"/>
      <c r="T70" s="486"/>
      <c r="U70" s="488"/>
      <c r="V70" s="488"/>
      <c r="W70" s="488"/>
      <c r="X70" s="488"/>
      <c r="Y70" s="306"/>
      <c r="Z70" s="306"/>
      <c r="AA70" s="489"/>
      <c r="AB70" s="306" t="str">
        <f t="shared" si="3"/>
        <v>total_points</v>
      </c>
      <c r="AC70" s="490">
        <f t="shared" si="4"/>
        <v>0</v>
      </c>
      <c r="AD70" s="490">
        <f t="shared" si="5"/>
        <v>0</v>
      </c>
      <c r="AE70" s="306"/>
      <c r="AF70" s="332" t="str">
        <f t="shared" si="6"/>
        <v>missionNunchuck</v>
      </c>
      <c r="AG70" s="306"/>
      <c r="AH70" s="487"/>
      <c r="AI70" s="306"/>
      <c r="AJ70" s="306"/>
      <c r="AK70" s="306"/>
      <c r="AL70" s="306"/>
      <c r="AM70" s="306"/>
      <c r="AN70" s="491"/>
      <c r="AO70" s="306"/>
      <c r="AP70" s="306"/>
      <c r="AQ70" s="306"/>
      <c r="AR70" s="306"/>
      <c r="AS70" s="306"/>
      <c r="AT70" s="487"/>
      <c r="AU70" s="306"/>
      <c r="AV70" s="306"/>
      <c r="AW70" s="306"/>
      <c r="AX70" s="306"/>
      <c r="AY70" s="306"/>
      <c r="AZ70" s="503" t="s">
        <v>4820</v>
      </c>
      <c r="BA70" s="332" t="s">
        <v>4821</v>
      </c>
      <c r="BB70" s="332" t="s">
        <v>4822</v>
      </c>
      <c r="BF70" s="492" t="str">
        <f ca="1">IFERROR(__xludf.DUMMYFUNCTION("IF(REGEXMATCH($G70, ""Any""), ""any"", IF(REGEXMATCH($G70, ""All""), ""all"", """"))"),"all")</f>
        <v>all</v>
      </c>
      <c r="BG70" s="499" t="s">
        <v>1045</v>
      </c>
      <c r="BH70" s="306"/>
      <c r="BI70" s="332" t="s">
        <v>2838</v>
      </c>
      <c r="BJ70" s="332">
        <v>20</v>
      </c>
      <c r="BK70" s="332" t="s">
        <v>4819</v>
      </c>
      <c r="BL70" s="306"/>
      <c r="BM70" s="306"/>
      <c r="BN70" s="306"/>
      <c r="BO70" s="306"/>
      <c r="BP70" s="493"/>
      <c r="BQ70" s="306"/>
      <c r="BR70" s="306"/>
      <c r="BS70" s="494"/>
      <c r="BT70" s="487"/>
      <c r="BU70" s="306"/>
      <c r="BV70" s="306"/>
      <c r="BW70" s="306"/>
      <c r="BX70" s="306"/>
      <c r="BY70" s="306"/>
      <c r="BZ70" s="306"/>
      <c r="CA70" s="306"/>
      <c r="CB70" s="306"/>
      <c r="CC70" s="493"/>
      <c r="CD70" s="306"/>
      <c r="CE70" s="306"/>
      <c r="CF70" s="494"/>
      <c r="CG70" s="487"/>
      <c r="CH70" s="306"/>
      <c r="CI70" s="306"/>
      <c r="CJ70" s="306"/>
      <c r="CK70" s="306"/>
      <c r="CL70" s="306"/>
      <c r="CM70" s="306"/>
      <c r="CN70" s="306"/>
      <c r="CO70" s="306"/>
      <c r="CP70" s="306"/>
      <c r="CQ70" s="306"/>
      <c r="CR70" s="306"/>
      <c r="CS70" s="494"/>
      <c r="CT70" s="306"/>
      <c r="CU70" s="306"/>
      <c r="CV70" s="306"/>
      <c r="CW70" s="306"/>
      <c r="CX70" s="306"/>
      <c r="CY70" s="306"/>
      <c r="CZ70" s="306"/>
      <c r="DA70" s="306"/>
      <c r="DB70" s="306"/>
      <c r="DC70" s="493"/>
      <c r="DD70" s="306"/>
      <c r="DE70" s="306"/>
      <c r="DF70" s="494"/>
      <c r="DG70" s="306"/>
      <c r="DH70" s="306"/>
      <c r="DI70" s="306"/>
      <c r="DJ70" s="306"/>
      <c r="DK70" s="306"/>
      <c r="DL70" s="306"/>
      <c r="DM70" s="306"/>
      <c r="DN70" s="306"/>
      <c r="DO70" s="306"/>
      <c r="DP70" s="493"/>
      <c r="DQ70" s="306"/>
      <c r="DR70" s="306"/>
      <c r="DS70" s="489"/>
      <c r="DT70" s="306"/>
      <c r="DU70" s="306"/>
      <c r="DV70" s="306"/>
      <c r="DW70" s="306"/>
      <c r="DX70" s="306"/>
      <c r="DY70" s="306"/>
      <c r="DZ70" s="306"/>
      <c r="EA70" s="306"/>
      <c r="EB70" s="306"/>
      <c r="EC70" s="306"/>
      <c r="ED70" s="493"/>
      <c r="EE70" s="306"/>
      <c r="EF70" s="306"/>
      <c r="EG70" s="306"/>
      <c r="EH70" s="487"/>
      <c r="EI70" s="306"/>
      <c r="EJ70" s="306"/>
      <c r="EK70" s="306"/>
      <c r="EL70" s="306"/>
      <c r="EM70" s="306"/>
      <c r="EN70" s="306"/>
      <c r="EO70" s="306"/>
      <c r="EP70" s="306"/>
      <c r="EQ70" s="306"/>
      <c r="ER70" s="306"/>
      <c r="ES70" s="306"/>
      <c r="ET70" s="306"/>
      <c r="EU70" s="306"/>
      <c r="EV70" s="491"/>
      <c r="EW70" s="306"/>
      <c r="EX70" s="306"/>
      <c r="EY70" s="306"/>
      <c r="EZ70" s="306"/>
      <c r="FA70" s="306"/>
      <c r="FB70" s="306"/>
      <c r="FC70" s="306"/>
      <c r="FD70" s="306"/>
      <c r="FE70" s="306"/>
      <c r="FF70" s="306"/>
      <c r="FG70" s="306"/>
      <c r="FH70" s="306"/>
      <c r="FI70" s="306"/>
      <c r="FJ70" s="306"/>
      <c r="FK70" s="306"/>
      <c r="FL70" s="487"/>
      <c r="FM70" s="306"/>
      <c r="FN70" s="306"/>
      <c r="FO70" s="306"/>
      <c r="FP70" s="306"/>
      <c r="FQ70" s="306"/>
      <c r="FR70" s="306"/>
      <c r="FS70" s="306"/>
      <c r="FT70" s="306"/>
      <c r="FU70" s="306"/>
      <c r="FV70" s="306"/>
      <c r="FW70" s="306"/>
      <c r="FX70" s="306"/>
      <c r="FY70" s="306"/>
      <c r="FZ70" s="306"/>
      <c r="GA70" s="306"/>
      <c r="GB70" s="491"/>
      <c r="GC70" s="306"/>
      <c r="GD70" s="306"/>
      <c r="GE70" s="306"/>
      <c r="GF70" s="491"/>
      <c r="GG70" s="494"/>
      <c r="GH70" s="487"/>
      <c r="GI70" s="306"/>
      <c r="GJ70" s="491"/>
      <c r="GK70" s="306"/>
      <c r="GL70" s="306"/>
      <c r="GM70" s="497"/>
      <c r="GN70" s="306"/>
      <c r="GO70" s="306"/>
      <c r="GP70" s="306"/>
    </row>
    <row r="71" spans="1:198" ht="42" x14ac:dyDescent="0.15">
      <c r="A71" s="481" t="str">
        <f>VLOOKUP($J71&amp;":", Catalog!$F$5:$BV127, COLUMNS(Catalog!$F$5:$BV127), FALSE)</f>
        <v>State 2: has missionNunchuck with tier=2</v>
      </c>
      <c r="B71" s="482" t="b">
        <f t="shared" ca="1" si="0"/>
        <v>0</v>
      </c>
      <c r="C71" s="483" t="str">
        <f t="shared" si="1"/>
        <v>grantAchievementMissionNunchuckState2</v>
      </c>
      <c r="D71" s="484" t="str">
        <f>VLOOKUP($J71&amp;":", Catalog!$F$5:$BW127, COLUMNS(Catalog!$F$5:$BW127), FALSE)</f>
        <v>never</v>
      </c>
      <c r="E71" s="485">
        <f>VLOOKUP($J71&amp;":", Catalog!$F$5:$BX127, COLUMNS(Catalog!$F$5:$BX127), FALSE)</f>
        <v>0</v>
      </c>
      <c r="F71" s="484">
        <f>VLOOKUP($J71&amp;":", Catalog!$F$5:$BY127, COLUMNS(Catalog!$F$5:$BY127), FALSE)</f>
        <v>0</v>
      </c>
      <c r="G71" s="484" t="str">
        <f>VLOOKUP($J71, Catalog!$E$5:$BZ127, COLUMNS(Catalog!$E$5:$BZ127), FALSE)</f>
        <v>rewardIfAllRequirementsMet</v>
      </c>
      <c r="H71" s="483" t="s">
        <v>808</v>
      </c>
      <c r="I71" s="483">
        <v>2</v>
      </c>
      <c r="J71" s="306" t="s">
        <v>1060</v>
      </c>
      <c r="K71" s="486">
        <v>1</v>
      </c>
      <c r="L71" s="100" t="s">
        <v>279</v>
      </c>
      <c r="M71" s="332">
        <v>2</v>
      </c>
      <c r="N71" s="100" t="s">
        <v>280</v>
      </c>
      <c r="O71" s="86"/>
      <c r="P71" s="86"/>
      <c r="Q71" s="86"/>
      <c r="R71" s="100" t="str">
        <f t="shared" si="2"/>
        <v>never</v>
      </c>
      <c r="S71" s="487"/>
      <c r="T71" s="486"/>
      <c r="U71" s="488"/>
      <c r="V71" s="488"/>
      <c r="W71" s="488"/>
      <c r="X71" s="488"/>
      <c r="Y71" s="306"/>
      <c r="Z71" s="306"/>
      <c r="AA71" s="489"/>
      <c r="AB71" s="306" t="str">
        <f t="shared" si="3"/>
        <v>total_points</v>
      </c>
      <c r="AC71" s="490">
        <f t="shared" si="4"/>
        <v>0</v>
      </c>
      <c r="AD71" s="490">
        <f t="shared" si="5"/>
        <v>0</v>
      </c>
      <c r="AE71" s="306"/>
      <c r="AF71" s="332" t="str">
        <f t="shared" si="6"/>
        <v>achievementMissionNunchuck</v>
      </c>
      <c r="AG71" s="306"/>
      <c r="AH71" s="487"/>
      <c r="AI71" s="306"/>
      <c r="AJ71" s="306"/>
      <c r="AK71" s="306"/>
      <c r="AL71" s="306"/>
      <c r="AM71" s="306"/>
      <c r="AN71" s="491"/>
      <c r="AO71" s="306"/>
      <c r="AP71" s="306"/>
      <c r="AQ71" s="306"/>
      <c r="AR71" s="306"/>
      <c r="AS71" s="306"/>
      <c r="AT71" s="487"/>
      <c r="AU71" s="306"/>
      <c r="AV71" s="306"/>
      <c r="AW71" s="306"/>
      <c r="AX71" s="306"/>
      <c r="AY71" s="306"/>
      <c r="AZ71" s="487"/>
      <c r="BA71" s="306"/>
      <c r="BB71" s="306"/>
      <c r="BF71" s="492" t="str">
        <f ca="1">IFERROR(__xludf.DUMMYFUNCTION("IF(REGEXMATCH($G71, ""Any""), ""any"", IF(REGEXMATCH($G71, ""All""), ""all"", """"))"),"all")</f>
        <v>all</v>
      </c>
      <c r="BG71" s="499" t="s">
        <v>1047</v>
      </c>
      <c r="BH71" s="306"/>
      <c r="BI71" s="100" t="s">
        <v>279</v>
      </c>
      <c r="BJ71" s="100">
        <v>2</v>
      </c>
      <c r="BK71" s="306"/>
      <c r="BL71" s="306"/>
      <c r="BM71" s="306"/>
      <c r="BN71" s="306"/>
      <c r="BO71" s="306"/>
      <c r="BP71" s="493"/>
      <c r="BQ71" s="306"/>
      <c r="BR71" s="306"/>
      <c r="BS71" s="494"/>
      <c r="BT71" s="487"/>
      <c r="BU71" s="306"/>
      <c r="BV71" s="306"/>
      <c r="BW71" s="306"/>
      <c r="BX71" s="306"/>
      <c r="BY71" s="306"/>
      <c r="BZ71" s="306"/>
      <c r="CA71" s="306"/>
      <c r="CB71" s="306"/>
      <c r="CC71" s="493"/>
      <c r="CD71" s="306"/>
      <c r="CE71" s="306"/>
      <c r="CF71" s="494"/>
      <c r="CG71" s="487"/>
      <c r="CH71" s="306"/>
      <c r="CI71" s="306"/>
      <c r="CJ71" s="306"/>
      <c r="CK71" s="306"/>
      <c r="CL71" s="306"/>
      <c r="CM71" s="306"/>
      <c r="CN71" s="306"/>
      <c r="CO71" s="306"/>
      <c r="CP71" s="306"/>
      <c r="CQ71" s="306"/>
      <c r="CR71" s="306"/>
      <c r="CS71" s="494"/>
      <c r="CT71" s="306"/>
      <c r="CU71" s="306"/>
      <c r="CV71" s="306"/>
      <c r="CW71" s="306"/>
      <c r="CX71" s="306"/>
      <c r="CY71" s="306"/>
      <c r="CZ71" s="306"/>
      <c r="DA71" s="306"/>
      <c r="DB71" s="306"/>
      <c r="DC71" s="493"/>
      <c r="DD71" s="306"/>
      <c r="DE71" s="306"/>
      <c r="DF71" s="494"/>
      <c r="DG71" s="306"/>
      <c r="DH71" s="306"/>
      <c r="DI71" s="306"/>
      <c r="DJ71" s="306"/>
      <c r="DK71" s="306"/>
      <c r="DL71" s="306"/>
      <c r="DM71" s="306"/>
      <c r="DN71" s="306"/>
      <c r="DO71" s="306"/>
      <c r="DP71" s="493"/>
      <c r="DQ71" s="306"/>
      <c r="DR71" s="306"/>
      <c r="DS71" s="489"/>
      <c r="DT71" s="306"/>
      <c r="DU71" s="306"/>
      <c r="DV71" s="306"/>
      <c r="DW71" s="306"/>
      <c r="DX71" s="306"/>
      <c r="DY71" s="306"/>
      <c r="DZ71" s="306"/>
      <c r="EA71" s="306"/>
      <c r="EB71" s="306"/>
      <c r="EC71" s="306"/>
      <c r="ED71" s="493"/>
      <c r="EE71" s="306"/>
      <c r="EF71" s="306"/>
      <c r="EG71" s="306"/>
      <c r="EH71" s="487"/>
      <c r="EI71" s="306"/>
      <c r="EJ71" s="306"/>
      <c r="EK71" s="306"/>
      <c r="EL71" s="306"/>
      <c r="EM71" s="306"/>
      <c r="EN71" s="306"/>
      <c r="EO71" s="306"/>
      <c r="EP71" s="306"/>
      <c r="EQ71" s="306"/>
      <c r="ER71" s="306"/>
      <c r="ES71" s="306"/>
      <c r="ET71" s="306"/>
      <c r="EU71" s="306"/>
      <c r="EV71" s="491"/>
      <c r="EW71" s="306"/>
      <c r="EX71" s="306"/>
      <c r="EY71" s="306"/>
      <c r="EZ71" s="306"/>
      <c r="FA71" s="306"/>
      <c r="FB71" s="306"/>
      <c r="FC71" s="306"/>
      <c r="FD71" s="306"/>
      <c r="FE71" s="306"/>
      <c r="FF71" s="306"/>
      <c r="FG71" s="306"/>
      <c r="FH71" s="306"/>
      <c r="FI71" s="306"/>
      <c r="FJ71" s="306"/>
      <c r="FK71" s="306"/>
      <c r="FL71" s="487"/>
      <c r="FM71" s="306"/>
      <c r="FN71" s="306"/>
      <c r="FO71" s="306"/>
      <c r="FP71" s="306"/>
      <c r="FQ71" s="306"/>
      <c r="FR71" s="306"/>
      <c r="FS71" s="306"/>
      <c r="FT71" s="306"/>
      <c r="FU71" s="306"/>
      <c r="FV71" s="306"/>
      <c r="FW71" s="306"/>
      <c r="FX71" s="306"/>
      <c r="FY71" s="306"/>
      <c r="FZ71" s="306"/>
      <c r="GA71" s="306"/>
      <c r="GB71" s="491"/>
      <c r="GC71" s="306"/>
      <c r="GD71" s="306"/>
      <c r="GE71" s="306"/>
      <c r="GF71" s="491"/>
      <c r="GG71" s="494"/>
      <c r="GH71" s="487"/>
      <c r="GI71" s="306"/>
      <c r="GJ71" s="491"/>
      <c r="GK71" s="306"/>
      <c r="GL71" s="306"/>
      <c r="GM71" s="497" t="str">
        <f t="shared" ref="GM71:GM73" si="13">$GJ71&amp;":"&amp;$GK71</f>
        <v>:</v>
      </c>
      <c r="GN71" s="306"/>
      <c r="GO71" s="306"/>
      <c r="GP71" s="306"/>
    </row>
    <row r="72" spans="1:198" ht="45" x14ac:dyDescent="0.15">
      <c r="A72" s="481" t="str">
        <f>VLOOKUP($J72&amp;":", Catalog!$F$5:$BV127, COLUMNS(Catalog!$F$5:$BV127), FALSE)</f>
        <v>State 2: has actionLauncherSvengeance in game; OR have playerLevel&gt;=18</v>
      </c>
      <c r="B72" s="482" t="b">
        <f t="shared" ca="1" si="0"/>
        <v>0</v>
      </c>
      <c r="C72" s="483" t="str">
        <f t="shared" si="1"/>
        <v>grantActionMissionSvengeanceUnlock</v>
      </c>
      <c r="D72" s="484" t="str">
        <f>VLOOKUP($J72&amp;":", Catalog!$F$5:$BW127, COLUMNS(Catalog!$F$5:$BW127), FALSE)</f>
        <v>always</v>
      </c>
      <c r="E72" s="485">
        <f>VLOOKUP($J72&amp;":", Catalog!$F$5:$BX127, COLUMNS(Catalog!$F$5:$BX127), FALSE)</f>
        <v>0</v>
      </c>
      <c r="F72" s="484">
        <f>VLOOKUP($J72&amp;":", Catalog!$F$5:$BY127, COLUMNS(Catalog!$F$5:$BY127), FALSE)</f>
        <v>0</v>
      </c>
      <c r="G72" s="484" t="str">
        <f>VLOOKUP($J72, Catalog!$E$5:$BZ127, COLUMNS(Catalog!$E$5:$BZ127), FALSE)</f>
        <v>rewardIfAnyRequirementsMet</v>
      </c>
      <c r="H72" s="483" t="s">
        <v>811</v>
      </c>
      <c r="I72" s="483"/>
      <c r="J72" s="306" t="s">
        <v>1069</v>
      </c>
      <c r="K72" s="486">
        <v>1</v>
      </c>
      <c r="L72" s="100" t="s">
        <v>279</v>
      </c>
      <c r="M72" s="332">
        <v>2</v>
      </c>
      <c r="N72" s="100" t="s">
        <v>280</v>
      </c>
      <c r="O72" s="86"/>
      <c r="P72" s="86"/>
      <c r="Q72" s="86"/>
      <c r="R72" s="100" t="str">
        <f t="shared" si="2"/>
        <v>always</v>
      </c>
      <c r="S72" s="487"/>
      <c r="T72" s="486"/>
      <c r="U72" s="488"/>
      <c r="V72" s="488"/>
      <c r="W72" s="488"/>
      <c r="X72" s="488"/>
      <c r="Y72" s="306"/>
      <c r="Z72" s="306"/>
      <c r="AA72" s="489"/>
      <c r="AB72" s="306" t="str">
        <f t="shared" si="3"/>
        <v>total_points</v>
      </c>
      <c r="AC72" s="490">
        <f t="shared" si="4"/>
        <v>0</v>
      </c>
      <c r="AD72" s="490">
        <f t="shared" si="5"/>
        <v>0</v>
      </c>
      <c r="AE72" s="306"/>
      <c r="AF72" s="332" t="str">
        <f t="shared" si="6"/>
        <v>actionMissionSvengeanceUnlock</v>
      </c>
      <c r="AG72" s="306"/>
      <c r="AH72" s="487"/>
      <c r="AI72" s="306"/>
      <c r="AJ72" s="306"/>
      <c r="AK72" s="306"/>
      <c r="AL72" s="306"/>
      <c r="AM72" s="306"/>
      <c r="AN72" s="491"/>
      <c r="AO72" s="306"/>
      <c r="AP72" s="306"/>
      <c r="AQ72" s="306"/>
      <c r="AR72" s="306"/>
      <c r="AS72" s="306"/>
      <c r="AT72" s="487"/>
      <c r="AU72" s="306"/>
      <c r="AV72" s="306"/>
      <c r="AW72" s="306"/>
      <c r="AX72" s="306"/>
      <c r="AY72" s="306"/>
      <c r="AZ72" s="487"/>
      <c r="BA72" s="306"/>
      <c r="BB72" s="306"/>
      <c r="BF72" s="492" t="str">
        <f ca="1">IFERROR(__xludf.DUMMYFUNCTION("IF(REGEXMATCH($G72, ""Any""), ""any"", IF(REGEXMATCH($G72, ""All""), ""all"", """"))"),"any")</f>
        <v>any</v>
      </c>
      <c r="BG72" s="499" t="s">
        <v>1067</v>
      </c>
      <c r="BH72" s="306"/>
      <c r="BI72" s="306"/>
      <c r="BJ72" s="306"/>
      <c r="BK72" s="306"/>
      <c r="BL72" s="306"/>
      <c r="BM72" s="306"/>
      <c r="BN72" s="306"/>
      <c r="BO72" s="306"/>
      <c r="BP72" s="493"/>
      <c r="BQ72" s="306"/>
      <c r="BR72" s="306"/>
      <c r="BS72" s="494"/>
      <c r="BT72" s="487"/>
      <c r="BU72" s="306"/>
      <c r="BV72" s="306"/>
      <c r="BW72" s="306"/>
      <c r="BX72" s="306"/>
      <c r="BY72" s="306"/>
      <c r="BZ72" s="306"/>
      <c r="CA72" s="306"/>
      <c r="CB72" s="306"/>
      <c r="CC72" s="493"/>
      <c r="CD72" s="306"/>
      <c r="CE72" s="306"/>
      <c r="CF72" s="494"/>
      <c r="CG72" s="487"/>
      <c r="CH72" s="306"/>
      <c r="CI72" s="306"/>
      <c r="CJ72" s="306"/>
      <c r="CK72" s="306"/>
      <c r="CL72" s="306"/>
      <c r="CM72" s="306"/>
      <c r="CN72" s="306"/>
      <c r="CO72" s="306"/>
      <c r="CP72" s="306"/>
      <c r="CQ72" s="306"/>
      <c r="CR72" s="306"/>
      <c r="CS72" s="494"/>
      <c r="CT72" s="306"/>
      <c r="CU72" s="306"/>
      <c r="CV72" s="306"/>
      <c r="CW72" s="306"/>
      <c r="CX72" s="306"/>
      <c r="CY72" s="306"/>
      <c r="CZ72" s="306"/>
      <c r="DA72" s="306"/>
      <c r="DB72" s="306"/>
      <c r="DC72" s="493"/>
      <c r="DD72" s="306"/>
      <c r="DE72" s="306"/>
      <c r="DF72" s="494"/>
      <c r="DG72" s="306"/>
      <c r="DH72" s="306"/>
      <c r="DI72" s="306"/>
      <c r="DJ72" s="306"/>
      <c r="DK72" s="306"/>
      <c r="DL72" s="306"/>
      <c r="DM72" s="306"/>
      <c r="DN72" s="306"/>
      <c r="DO72" s="306"/>
      <c r="DP72" s="493"/>
      <c r="DQ72" s="306"/>
      <c r="DR72" s="306"/>
      <c r="DS72" s="489"/>
      <c r="DT72" s="306"/>
      <c r="DU72" s="306"/>
      <c r="DV72" s="306"/>
      <c r="DW72" s="306"/>
      <c r="DX72" s="306"/>
      <c r="DY72" s="306"/>
      <c r="DZ72" s="306"/>
      <c r="EA72" s="306"/>
      <c r="EB72" s="306"/>
      <c r="EC72" s="306"/>
      <c r="ED72" s="493"/>
      <c r="EE72" s="306"/>
      <c r="EF72" s="306"/>
      <c r="EG72" s="306"/>
      <c r="EH72" s="487"/>
      <c r="EI72" s="306"/>
      <c r="EJ72" s="306"/>
      <c r="EK72" s="306"/>
      <c r="EL72" s="306"/>
      <c r="EM72" s="306"/>
      <c r="EN72" s="306"/>
      <c r="EO72" s="306"/>
      <c r="EP72" s="306"/>
      <c r="EQ72" s="306"/>
      <c r="ER72" s="306"/>
      <c r="ES72" s="306"/>
      <c r="ET72" s="306"/>
      <c r="EU72" s="306"/>
      <c r="EV72" s="491"/>
      <c r="EW72" s="306"/>
      <c r="EX72" s="306"/>
      <c r="EY72" s="306"/>
      <c r="EZ72" s="306"/>
      <c r="FA72" s="306"/>
      <c r="FB72" s="306"/>
      <c r="FC72" s="306"/>
      <c r="FD72" s="306"/>
      <c r="FE72" s="306"/>
      <c r="FF72" s="306"/>
      <c r="FG72" s="306"/>
      <c r="FH72" s="306"/>
      <c r="FI72" s="306"/>
      <c r="FJ72" s="306"/>
      <c r="FK72" s="306"/>
      <c r="FL72" s="487"/>
      <c r="FM72" s="306"/>
      <c r="FN72" s="306"/>
      <c r="FO72" s="306"/>
      <c r="FP72" s="306"/>
      <c r="FQ72" s="306"/>
      <c r="FR72" s="306"/>
      <c r="FS72" s="306"/>
      <c r="FT72" s="306"/>
      <c r="FU72" s="306"/>
      <c r="FV72" s="306"/>
      <c r="FW72" s="306"/>
      <c r="FX72" s="306"/>
      <c r="FY72" s="306"/>
      <c r="FZ72" s="306"/>
      <c r="GA72" s="306"/>
      <c r="GB72" s="491"/>
      <c r="GC72" s="306"/>
      <c r="GD72" s="306"/>
      <c r="GE72" s="306"/>
      <c r="GF72" s="491"/>
      <c r="GG72" s="494"/>
      <c r="GH72" s="487"/>
      <c r="GI72" s="306"/>
      <c r="GJ72" s="502" t="s">
        <v>4379</v>
      </c>
      <c r="GK72" s="332">
        <v>18</v>
      </c>
      <c r="GL72" s="100" t="s">
        <v>4819</v>
      </c>
      <c r="GM72" s="497" t="str">
        <f t="shared" si="13"/>
        <v>levels.total_points.level:18</v>
      </c>
      <c r="GN72" s="306"/>
      <c r="GO72" s="306"/>
      <c r="GP72" s="306"/>
    </row>
    <row r="73" spans="1:198" ht="105" x14ac:dyDescent="0.15">
      <c r="A73" s="481" t="e">
        <f>VLOOKUP($J73&amp;":", Catalog!$F$5:$BV127, COLUMNS(Catalog!$F$5:$BV127), FALSE)</f>
        <v>#N/A</v>
      </c>
      <c r="B73" s="482" t="b">
        <f t="shared" ca="1" si="0"/>
        <v>0</v>
      </c>
      <c r="C73" s="483" t="str">
        <f t="shared" si="1"/>
        <v>grantMissionSvengeanceState1</v>
      </c>
      <c r="D73" s="484" t="e">
        <f>VLOOKUP($J73&amp;":", Catalog!$F$5:$BW127, COLUMNS(Catalog!$F$5:$BW127), FALSE)</f>
        <v>#N/A</v>
      </c>
      <c r="E73" s="485" t="e">
        <f>VLOOKUP($J73&amp;":", Catalog!$F$5:$BX127, COLUMNS(Catalog!$F$5:$BX127), FALSE)</f>
        <v>#N/A</v>
      </c>
      <c r="F73" s="484" t="e">
        <f>VLOOKUP($J73&amp;":", Catalog!$F$5:$BY127, COLUMNS(Catalog!$F$5:$BY127), FALSE)</f>
        <v>#N/A</v>
      </c>
      <c r="G73" s="484" t="e">
        <f>VLOOKUP($J73, Catalog!$E$5:$BZ127, COLUMNS(Catalog!$E$5:$BZ127), FALSE)</f>
        <v>#N/A</v>
      </c>
      <c r="H73" s="483" t="s">
        <v>851</v>
      </c>
      <c r="I73" s="483">
        <v>1</v>
      </c>
      <c r="J73" s="306" t="s">
        <v>1074</v>
      </c>
      <c r="K73" s="486">
        <v>1</v>
      </c>
      <c r="L73" s="100" t="s">
        <v>279</v>
      </c>
      <c r="M73" s="332">
        <v>1</v>
      </c>
      <c r="N73" s="100" t="s">
        <v>280</v>
      </c>
      <c r="O73" s="86"/>
      <c r="P73" s="86"/>
      <c r="Q73" s="86"/>
      <c r="R73" s="100" t="e">
        <f t="shared" si="2"/>
        <v>#N/A</v>
      </c>
      <c r="S73" s="487"/>
      <c r="T73" s="486"/>
      <c r="U73" s="488"/>
      <c r="V73" s="488"/>
      <c r="W73" s="488"/>
      <c r="X73" s="488"/>
      <c r="Y73" s="306"/>
      <c r="Z73" s="306"/>
      <c r="AA73" s="489"/>
      <c r="AB73" s="306" t="e">
        <f t="shared" si="3"/>
        <v>#N/A</v>
      </c>
      <c r="AC73" s="490" t="e">
        <f t="shared" si="4"/>
        <v>#N/A</v>
      </c>
      <c r="AD73" s="490" t="e">
        <f t="shared" si="5"/>
        <v>#N/A</v>
      </c>
      <c r="AE73" s="306"/>
      <c r="AF73" s="332" t="e">
        <f t="shared" si="6"/>
        <v>#N/A</v>
      </c>
      <c r="AG73" s="306"/>
      <c r="AH73" s="487"/>
      <c r="AI73" s="306"/>
      <c r="AJ73" s="306"/>
      <c r="AK73" s="306"/>
      <c r="AL73" s="306"/>
      <c r="AM73" s="306"/>
      <c r="AN73" s="491"/>
      <c r="AO73" s="306"/>
      <c r="AP73" s="306"/>
      <c r="AQ73" s="306"/>
      <c r="AR73" s="306"/>
      <c r="AS73" s="306"/>
      <c r="AT73" s="487"/>
      <c r="AU73" s="306"/>
      <c r="AV73" s="306"/>
      <c r="AW73" s="306"/>
      <c r="AX73" s="306"/>
      <c r="AY73" s="306"/>
      <c r="AZ73" s="487"/>
      <c r="BA73" s="306"/>
      <c r="BB73" s="306"/>
      <c r="BF73" s="492" t="str">
        <f ca="1">IFERROR(__xludf.DUMMYFUNCTION("IF(REGEXMATCH($G73, ""Any""), ""any"", IF(REGEXMATCH($G73, ""All""), ""all"", """"))"),"all")</f>
        <v>all</v>
      </c>
      <c r="BG73" s="499" t="s">
        <v>1069</v>
      </c>
      <c r="BH73" s="306"/>
      <c r="BI73" s="306"/>
      <c r="BJ73" s="306"/>
      <c r="BK73" s="306"/>
      <c r="BL73" s="306"/>
      <c r="BM73" s="306"/>
      <c r="BN73" s="306"/>
      <c r="BO73" s="306"/>
      <c r="BP73" s="493"/>
      <c r="BQ73" s="306"/>
      <c r="BR73" s="306"/>
      <c r="BS73" s="494"/>
      <c r="BT73" s="487"/>
      <c r="BU73" s="306"/>
      <c r="BV73" s="306"/>
      <c r="BW73" s="306"/>
      <c r="BX73" s="306"/>
      <c r="BY73" s="306"/>
      <c r="BZ73" s="306"/>
      <c r="CA73" s="306"/>
      <c r="CB73" s="306"/>
      <c r="CC73" s="493"/>
      <c r="CD73" s="306"/>
      <c r="CE73" s="306"/>
      <c r="CF73" s="494"/>
      <c r="CG73" s="487"/>
      <c r="CH73" s="306"/>
      <c r="CI73" s="306"/>
      <c r="CJ73" s="306"/>
      <c r="CK73" s="306"/>
      <c r="CL73" s="306"/>
      <c r="CM73" s="306"/>
      <c r="CN73" s="306"/>
      <c r="CO73" s="306"/>
      <c r="CP73" s="306"/>
      <c r="CQ73" s="306"/>
      <c r="CR73" s="306"/>
      <c r="CS73" s="494"/>
      <c r="CT73" s="306"/>
      <c r="CU73" s="306"/>
      <c r="CV73" s="306"/>
      <c r="CW73" s="306"/>
      <c r="CX73" s="306"/>
      <c r="CY73" s="306"/>
      <c r="CZ73" s="306"/>
      <c r="DA73" s="306"/>
      <c r="DB73" s="306"/>
      <c r="DC73" s="493"/>
      <c r="DD73" s="306"/>
      <c r="DE73" s="306"/>
      <c r="DF73" s="494"/>
      <c r="DG73" s="306"/>
      <c r="DH73" s="306"/>
      <c r="DI73" s="306"/>
      <c r="DJ73" s="306"/>
      <c r="DK73" s="306"/>
      <c r="DL73" s="306"/>
      <c r="DM73" s="306"/>
      <c r="DN73" s="306"/>
      <c r="DO73" s="306"/>
      <c r="DP73" s="493"/>
      <c r="DQ73" s="306"/>
      <c r="DR73" s="306"/>
      <c r="DS73" s="489"/>
      <c r="DT73" s="306"/>
      <c r="DU73" s="306"/>
      <c r="DV73" s="306"/>
      <c r="DW73" s="306"/>
      <c r="DX73" s="306"/>
      <c r="DY73" s="306"/>
      <c r="DZ73" s="306"/>
      <c r="EA73" s="306"/>
      <c r="EB73" s="306"/>
      <c r="EC73" s="306"/>
      <c r="ED73" s="493"/>
      <c r="EE73" s="306"/>
      <c r="EF73" s="306"/>
      <c r="EG73" s="306"/>
      <c r="EH73" s="487"/>
      <c r="EI73" s="306"/>
      <c r="EJ73" s="306"/>
      <c r="EK73" s="306"/>
      <c r="EL73" s="306"/>
      <c r="EM73" s="306"/>
      <c r="EN73" s="306"/>
      <c r="EO73" s="306"/>
      <c r="EP73" s="306"/>
      <c r="EQ73" s="306"/>
      <c r="ER73" s="306"/>
      <c r="ES73" s="306"/>
      <c r="ET73" s="306"/>
      <c r="EU73" s="306"/>
      <c r="EV73" s="491"/>
      <c r="EW73" s="306"/>
      <c r="EX73" s="306"/>
      <c r="EY73" s="306"/>
      <c r="EZ73" s="306"/>
      <c r="FA73" s="306"/>
      <c r="FB73" s="306"/>
      <c r="FC73" s="306"/>
      <c r="FD73" s="306"/>
      <c r="FE73" s="306"/>
      <c r="FF73" s="306"/>
      <c r="FG73" s="306"/>
      <c r="FH73" s="306"/>
      <c r="FI73" s="306"/>
      <c r="FJ73" s="306"/>
      <c r="FK73" s="306"/>
      <c r="FL73" s="487"/>
      <c r="FM73" s="306"/>
      <c r="FN73" s="306"/>
      <c r="FO73" s="306"/>
      <c r="FP73" s="306"/>
      <c r="FQ73" s="306"/>
      <c r="FR73" s="306"/>
      <c r="FS73" s="306"/>
      <c r="FT73" s="306"/>
      <c r="FU73" s="306"/>
      <c r="FV73" s="306"/>
      <c r="FW73" s="306"/>
      <c r="FX73" s="306"/>
      <c r="FY73" s="306"/>
      <c r="FZ73" s="306"/>
      <c r="GA73" s="306"/>
      <c r="GB73" s="491"/>
      <c r="GC73" s="306"/>
      <c r="GD73" s="306"/>
      <c r="GE73" s="306"/>
      <c r="GF73" s="491"/>
      <c r="GG73" s="494"/>
      <c r="GH73" s="487"/>
      <c r="GI73" s="306"/>
      <c r="GJ73" s="491"/>
      <c r="GK73" s="306"/>
      <c r="GL73" s="306"/>
      <c r="GM73" s="497" t="str">
        <f t="shared" si="13"/>
        <v>:</v>
      </c>
      <c r="GN73" s="306"/>
      <c r="GO73" s="306"/>
      <c r="GP73" s="306"/>
    </row>
    <row r="74" spans="1:198" ht="105" x14ac:dyDescent="0.15">
      <c r="A74" s="481" t="e">
        <f>VLOOKUP($J74&amp;":", Catalog!$F$5:$BV127, COLUMNS(Catalog!$F$5:$BV127), FALSE)</f>
        <v>#N/A</v>
      </c>
      <c r="B74" s="482" t="b">
        <f t="shared" ca="1" si="0"/>
        <v>0</v>
      </c>
      <c r="C74" s="483" t="str">
        <f t="shared" si="1"/>
        <v>grantMissionSvengeanceState2</v>
      </c>
      <c r="D74" s="484" t="e">
        <f>VLOOKUP($J74&amp;":", Catalog!$F$5:$BW127, COLUMNS(Catalog!$F$5:$BW127), FALSE)</f>
        <v>#N/A</v>
      </c>
      <c r="E74" s="485" t="e">
        <f>VLOOKUP($J74&amp;":", Catalog!$F$5:$BX127, COLUMNS(Catalog!$F$5:$BX127), FALSE)</f>
        <v>#N/A</v>
      </c>
      <c r="F74" s="484" t="e">
        <f>VLOOKUP($J74&amp;":", Catalog!$F$5:$BY127, COLUMNS(Catalog!$F$5:$BY127), FALSE)</f>
        <v>#N/A</v>
      </c>
      <c r="G74" s="484" t="e">
        <f>VLOOKUP($J74, Catalog!$E$5:$BZ127, COLUMNS(Catalog!$E$5:$BZ127), FALSE)</f>
        <v>#N/A</v>
      </c>
      <c r="H74" s="483" t="s">
        <v>851</v>
      </c>
      <c r="I74" s="483">
        <v>2</v>
      </c>
      <c r="J74" s="306" t="s">
        <v>1074</v>
      </c>
      <c r="K74" s="486"/>
      <c r="L74" s="100" t="s">
        <v>279</v>
      </c>
      <c r="M74" s="332">
        <v>2</v>
      </c>
      <c r="N74" s="100" t="s">
        <v>280</v>
      </c>
      <c r="O74" s="86"/>
      <c r="P74" s="86"/>
      <c r="Q74" s="86"/>
      <c r="R74" s="100" t="e">
        <f t="shared" si="2"/>
        <v>#N/A</v>
      </c>
      <c r="S74" s="487"/>
      <c r="T74" s="486"/>
      <c r="U74" s="488"/>
      <c r="V74" s="488"/>
      <c r="W74" s="488"/>
      <c r="X74" s="488"/>
      <c r="Y74" s="306"/>
      <c r="Z74" s="306"/>
      <c r="AA74" s="489"/>
      <c r="AB74" s="306" t="e">
        <f t="shared" si="3"/>
        <v>#N/A</v>
      </c>
      <c r="AC74" s="490" t="e">
        <f t="shared" si="4"/>
        <v>#N/A</v>
      </c>
      <c r="AD74" s="490" t="e">
        <f t="shared" si="5"/>
        <v>#N/A</v>
      </c>
      <c r="AE74" s="306"/>
      <c r="AF74" s="332" t="e">
        <f t="shared" si="6"/>
        <v>#N/A</v>
      </c>
      <c r="AG74" s="306"/>
      <c r="AH74" s="487"/>
      <c r="AI74" s="306"/>
      <c r="AJ74" s="306"/>
      <c r="AK74" s="306"/>
      <c r="AL74" s="306"/>
      <c r="AM74" s="306"/>
      <c r="AN74" s="491"/>
      <c r="AO74" s="306"/>
      <c r="AP74" s="306"/>
      <c r="AQ74" s="306"/>
      <c r="AR74" s="306"/>
      <c r="AS74" s="306"/>
      <c r="AT74" s="487"/>
      <c r="AU74" s="306"/>
      <c r="AV74" s="306"/>
      <c r="AW74" s="306"/>
      <c r="AX74" s="306"/>
      <c r="AY74" s="306"/>
      <c r="AZ74" s="503" t="s">
        <v>4820</v>
      </c>
      <c r="BA74" s="332" t="s">
        <v>4821</v>
      </c>
      <c r="BB74" s="332" t="s">
        <v>4822</v>
      </c>
      <c r="BF74" s="492" t="str">
        <f ca="1">IFERROR(__xludf.DUMMYFUNCTION("IF(REGEXMATCH($G74, ""Any""), ""any"", IF(REGEXMATCH($G74, ""All""), ""all"", """"))"),"all")</f>
        <v>all</v>
      </c>
      <c r="BG74" s="499" t="s">
        <v>1072</v>
      </c>
      <c r="BH74" s="306"/>
      <c r="BI74" s="332" t="s">
        <v>2838</v>
      </c>
      <c r="BJ74" s="332">
        <v>10</v>
      </c>
      <c r="BK74" s="332" t="s">
        <v>4819</v>
      </c>
      <c r="BL74" s="306"/>
      <c r="BM74" s="306"/>
      <c r="BN74" s="306"/>
      <c r="BO74" s="306"/>
      <c r="BP74" s="493"/>
      <c r="BQ74" s="306"/>
      <c r="BR74" s="306"/>
      <c r="BS74" s="494"/>
      <c r="BT74" s="487"/>
      <c r="BU74" s="306"/>
      <c r="BV74" s="306"/>
      <c r="BW74" s="306"/>
      <c r="BX74" s="306"/>
      <c r="BY74" s="306"/>
      <c r="BZ74" s="306"/>
      <c r="CA74" s="306"/>
      <c r="CB74" s="306"/>
      <c r="CC74" s="493"/>
      <c r="CD74" s="306"/>
      <c r="CE74" s="306"/>
      <c r="CF74" s="494"/>
      <c r="CG74" s="487"/>
      <c r="CH74" s="306"/>
      <c r="CI74" s="306"/>
      <c r="CJ74" s="306"/>
      <c r="CK74" s="306"/>
      <c r="CL74" s="306"/>
      <c r="CM74" s="306"/>
      <c r="CN74" s="306"/>
      <c r="CO74" s="306"/>
      <c r="CP74" s="306"/>
      <c r="CQ74" s="306"/>
      <c r="CR74" s="306"/>
      <c r="CS74" s="494"/>
      <c r="CT74" s="306"/>
      <c r="CU74" s="306"/>
      <c r="CV74" s="306"/>
      <c r="CW74" s="306"/>
      <c r="CX74" s="306"/>
      <c r="CY74" s="306"/>
      <c r="CZ74" s="306"/>
      <c r="DA74" s="306"/>
      <c r="DB74" s="306"/>
      <c r="DC74" s="493"/>
      <c r="DD74" s="306"/>
      <c r="DE74" s="306"/>
      <c r="DF74" s="494"/>
      <c r="DG74" s="306"/>
      <c r="DH74" s="306"/>
      <c r="DI74" s="306"/>
      <c r="DJ74" s="306"/>
      <c r="DK74" s="306"/>
      <c r="DL74" s="306"/>
      <c r="DM74" s="306"/>
      <c r="DN74" s="306"/>
      <c r="DO74" s="306"/>
      <c r="DP74" s="493"/>
      <c r="DQ74" s="306"/>
      <c r="DR74" s="306"/>
      <c r="DS74" s="489"/>
      <c r="DT74" s="306"/>
      <c r="DU74" s="306"/>
      <c r="DV74" s="306"/>
      <c r="DW74" s="306"/>
      <c r="DX74" s="306"/>
      <c r="DY74" s="306"/>
      <c r="DZ74" s="306"/>
      <c r="EA74" s="306"/>
      <c r="EB74" s="306"/>
      <c r="EC74" s="306"/>
      <c r="ED74" s="493"/>
      <c r="EE74" s="306"/>
      <c r="EF74" s="306"/>
      <c r="EG74" s="306"/>
      <c r="EH74" s="487"/>
      <c r="EI74" s="306"/>
      <c r="EJ74" s="306"/>
      <c r="EK74" s="306"/>
      <c r="EL74" s="306"/>
      <c r="EM74" s="306"/>
      <c r="EN74" s="306"/>
      <c r="EO74" s="306"/>
      <c r="EP74" s="306"/>
      <c r="EQ74" s="306"/>
      <c r="ER74" s="306"/>
      <c r="ES74" s="306"/>
      <c r="ET74" s="306"/>
      <c r="EU74" s="306"/>
      <c r="EV74" s="491"/>
      <c r="EW74" s="306"/>
      <c r="EX74" s="306"/>
      <c r="EY74" s="306"/>
      <c r="EZ74" s="306"/>
      <c r="FA74" s="306"/>
      <c r="FB74" s="306"/>
      <c r="FC74" s="306"/>
      <c r="FD74" s="306"/>
      <c r="FE74" s="306"/>
      <c r="FF74" s="306"/>
      <c r="FG74" s="306"/>
      <c r="FH74" s="306"/>
      <c r="FI74" s="306"/>
      <c r="FJ74" s="306"/>
      <c r="FK74" s="306"/>
      <c r="FL74" s="487"/>
      <c r="FM74" s="306"/>
      <c r="FN74" s="306"/>
      <c r="FO74" s="306"/>
      <c r="FP74" s="306"/>
      <c r="FQ74" s="306"/>
      <c r="FR74" s="306"/>
      <c r="FS74" s="306"/>
      <c r="FT74" s="306"/>
      <c r="FU74" s="306"/>
      <c r="FV74" s="306"/>
      <c r="FW74" s="306"/>
      <c r="FX74" s="306"/>
      <c r="FY74" s="306"/>
      <c r="FZ74" s="306"/>
      <c r="GA74" s="306"/>
      <c r="GB74" s="491"/>
      <c r="GC74" s="306"/>
      <c r="GD74" s="306"/>
      <c r="GE74" s="306"/>
      <c r="GF74" s="491"/>
      <c r="GG74" s="494"/>
      <c r="GH74" s="487"/>
      <c r="GI74" s="306"/>
      <c r="GJ74" s="491"/>
      <c r="GK74" s="306"/>
      <c r="GL74" s="306"/>
      <c r="GM74" s="497"/>
      <c r="GN74" s="306"/>
      <c r="GO74" s="306"/>
      <c r="GP74" s="306"/>
    </row>
    <row r="75" spans="1:198" ht="42" x14ac:dyDescent="0.15">
      <c r="A75" s="481" t="e">
        <f>VLOOKUP($J75&amp;":", Catalog!$F$5:$BV127, COLUMNS(Catalog!$F$5:$BV127), FALSE)</f>
        <v>#N/A</v>
      </c>
      <c r="B75" s="482" t="b">
        <f t="shared" ca="1" si="0"/>
        <v>0</v>
      </c>
      <c r="C75" s="483" t="str">
        <f t="shared" si="1"/>
        <v>grantAchievementMissionSvengeanceState2</v>
      </c>
      <c r="D75" s="484" t="e">
        <f>VLOOKUP($J75&amp;":", Catalog!$F$5:$BW127, COLUMNS(Catalog!$F$5:$BW127), FALSE)</f>
        <v>#N/A</v>
      </c>
      <c r="E75" s="485" t="e">
        <f>VLOOKUP($J75&amp;":", Catalog!$F$5:$BX127, COLUMNS(Catalog!$F$5:$BX127), FALSE)</f>
        <v>#N/A</v>
      </c>
      <c r="F75" s="484" t="e">
        <f>VLOOKUP($J75&amp;":", Catalog!$F$5:$BY127, COLUMNS(Catalog!$F$5:$BY127), FALSE)</f>
        <v>#N/A</v>
      </c>
      <c r="G75" s="484" t="e">
        <f>VLOOKUP($J75, Catalog!$E$5:$BZ127, COLUMNS(Catalog!$E$5:$BZ127), FALSE)</f>
        <v>#N/A</v>
      </c>
      <c r="H75" s="483" t="s">
        <v>808</v>
      </c>
      <c r="I75" s="483">
        <v>2</v>
      </c>
      <c r="J75" s="306" t="s">
        <v>1087</v>
      </c>
      <c r="K75" s="486">
        <v>1</v>
      </c>
      <c r="L75" s="100" t="s">
        <v>279</v>
      </c>
      <c r="M75" s="332">
        <v>2</v>
      </c>
      <c r="N75" s="100" t="s">
        <v>280</v>
      </c>
      <c r="O75" s="86"/>
      <c r="P75" s="86"/>
      <c r="Q75" s="86"/>
      <c r="R75" s="100" t="e">
        <f t="shared" si="2"/>
        <v>#N/A</v>
      </c>
      <c r="S75" s="487"/>
      <c r="T75" s="486"/>
      <c r="U75" s="488"/>
      <c r="V75" s="488"/>
      <c r="W75" s="488"/>
      <c r="X75" s="488"/>
      <c r="Y75" s="306"/>
      <c r="Z75" s="306"/>
      <c r="AA75" s="489"/>
      <c r="AB75" s="306" t="e">
        <f t="shared" si="3"/>
        <v>#N/A</v>
      </c>
      <c r="AC75" s="490" t="e">
        <f t="shared" si="4"/>
        <v>#N/A</v>
      </c>
      <c r="AD75" s="490" t="e">
        <f t="shared" si="5"/>
        <v>#N/A</v>
      </c>
      <c r="AE75" s="306"/>
      <c r="AF75" s="332" t="e">
        <f t="shared" si="6"/>
        <v>#N/A</v>
      </c>
      <c r="AG75" s="306"/>
      <c r="AH75" s="487"/>
      <c r="AI75" s="306"/>
      <c r="AJ75" s="306"/>
      <c r="AK75" s="306"/>
      <c r="AL75" s="306"/>
      <c r="AM75" s="306"/>
      <c r="AN75" s="491"/>
      <c r="AO75" s="306"/>
      <c r="AP75" s="306"/>
      <c r="AQ75" s="306"/>
      <c r="AR75" s="306"/>
      <c r="AS75" s="306"/>
      <c r="AT75" s="487"/>
      <c r="AU75" s="306"/>
      <c r="AV75" s="306"/>
      <c r="AW75" s="306"/>
      <c r="AX75" s="306"/>
      <c r="AY75" s="306"/>
      <c r="AZ75" s="487"/>
      <c r="BA75" s="306"/>
      <c r="BB75" s="306"/>
      <c r="BF75" s="492" t="str">
        <f ca="1">IFERROR(__xludf.DUMMYFUNCTION("IF(REGEXMATCH($G75, ""Any""), ""any"", IF(REGEXMATCH($G75, ""All""), ""all"", """"))"),"all")</f>
        <v>all</v>
      </c>
      <c r="BG75" s="499" t="s">
        <v>1074</v>
      </c>
      <c r="BH75" s="306"/>
      <c r="BI75" s="100" t="s">
        <v>279</v>
      </c>
      <c r="BJ75" s="100">
        <v>2</v>
      </c>
      <c r="BK75" s="306"/>
      <c r="BL75" s="306"/>
      <c r="BM75" s="306"/>
      <c r="BN75" s="306"/>
      <c r="BO75" s="306"/>
      <c r="BP75" s="493"/>
      <c r="BQ75" s="306"/>
      <c r="BR75" s="306"/>
      <c r="BS75" s="494"/>
      <c r="BT75" s="487"/>
      <c r="BU75" s="306"/>
      <c r="BV75" s="306"/>
      <c r="BW75" s="306"/>
      <c r="BX75" s="306"/>
      <c r="BY75" s="306"/>
      <c r="BZ75" s="306"/>
      <c r="CA75" s="306"/>
      <c r="CB75" s="306"/>
      <c r="CC75" s="493"/>
      <c r="CD75" s="306"/>
      <c r="CE75" s="306"/>
      <c r="CF75" s="494"/>
      <c r="CG75" s="487"/>
      <c r="CH75" s="306"/>
      <c r="CI75" s="306"/>
      <c r="CJ75" s="306"/>
      <c r="CK75" s="306"/>
      <c r="CL75" s="306"/>
      <c r="CM75" s="306"/>
      <c r="CN75" s="306"/>
      <c r="CO75" s="306"/>
      <c r="CP75" s="306"/>
      <c r="CQ75" s="306"/>
      <c r="CR75" s="306"/>
      <c r="CS75" s="494"/>
      <c r="CT75" s="306"/>
      <c r="CU75" s="306"/>
      <c r="CV75" s="306"/>
      <c r="CW75" s="306"/>
      <c r="CX75" s="306"/>
      <c r="CY75" s="306"/>
      <c r="CZ75" s="306"/>
      <c r="DA75" s="306"/>
      <c r="DB75" s="306"/>
      <c r="DC75" s="493"/>
      <c r="DD75" s="306"/>
      <c r="DE75" s="306"/>
      <c r="DF75" s="494"/>
      <c r="DG75" s="306"/>
      <c r="DH75" s="306"/>
      <c r="DI75" s="306"/>
      <c r="DJ75" s="306"/>
      <c r="DK75" s="306"/>
      <c r="DL75" s="306"/>
      <c r="DM75" s="306"/>
      <c r="DN75" s="306"/>
      <c r="DO75" s="306"/>
      <c r="DP75" s="493"/>
      <c r="DQ75" s="306"/>
      <c r="DR75" s="306"/>
      <c r="DS75" s="489"/>
      <c r="DT75" s="306"/>
      <c r="DU75" s="306"/>
      <c r="DV75" s="306"/>
      <c r="DW75" s="306"/>
      <c r="DX75" s="306"/>
      <c r="DY75" s="306"/>
      <c r="DZ75" s="306"/>
      <c r="EA75" s="306"/>
      <c r="EB75" s="306"/>
      <c r="EC75" s="306"/>
      <c r="ED75" s="493"/>
      <c r="EE75" s="306"/>
      <c r="EF75" s="306"/>
      <c r="EG75" s="306"/>
      <c r="EH75" s="487"/>
      <c r="EI75" s="306"/>
      <c r="EJ75" s="306"/>
      <c r="EK75" s="306"/>
      <c r="EL75" s="306"/>
      <c r="EM75" s="306"/>
      <c r="EN75" s="306"/>
      <c r="EO75" s="306"/>
      <c r="EP75" s="306"/>
      <c r="EQ75" s="306"/>
      <c r="ER75" s="306"/>
      <c r="ES75" s="306"/>
      <c r="ET75" s="306"/>
      <c r="EU75" s="306"/>
      <c r="EV75" s="491"/>
      <c r="EW75" s="306"/>
      <c r="EX75" s="306"/>
      <c r="EY75" s="306"/>
      <c r="EZ75" s="306"/>
      <c r="FA75" s="306"/>
      <c r="FB75" s="306"/>
      <c r="FC75" s="306"/>
      <c r="FD75" s="306"/>
      <c r="FE75" s="306"/>
      <c r="FF75" s="306"/>
      <c r="FG75" s="306"/>
      <c r="FH75" s="306"/>
      <c r="FI75" s="306"/>
      <c r="FJ75" s="306"/>
      <c r="FK75" s="306"/>
      <c r="FL75" s="487"/>
      <c r="FM75" s="306"/>
      <c r="FN75" s="306"/>
      <c r="FO75" s="306"/>
      <c r="FP75" s="306"/>
      <c r="FQ75" s="306"/>
      <c r="FR75" s="306"/>
      <c r="FS75" s="306"/>
      <c r="FT75" s="306"/>
      <c r="FU75" s="306"/>
      <c r="FV75" s="306"/>
      <c r="FW75" s="306"/>
      <c r="FX75" s="306"/>
      <c r="FY75" s="306"/>
      <c r="FZ75" s="306"/>
      <c r="GA75" s="306"/>
      <c r="GB75" s="491"/>
      <c r="GC75" s="306"/>
      <c r="GD75" s="306"/>
      <c r="GE75" s="306"/>
      <c r="GF75" s="491"/>
      <c r="GG75" s="494"/>
      <c r="GH75" s="487"/>
      <c r="GI75" s="306"/>
      <c r="GJ75" s="491"/>
      <c r="GK75" s="306"/>
      <c r="GL75" s="306"/>
      <c r="GM75" s="497" t="str">
        <f t="shared" ref="GM75:GM76" si="14">$GJ75&amp;":"&amp;$GK75</f>
        <v>:</v>
      </c>
      <c r="GN75" s="306"/>
      <c r="GO75" s="306"/>
      <c r="GP75" s="306"/>
    </row>
    <row r="76" spans="1:198" ht="45" x14ac:dyDescent="0.15">
      <c r="A76" s="481" t="e">
        <f>VLOOKUP($J76&amp;":", Catalog!$F$5:$BV127, COLUMNS(Catalog!$F$5:$BV127), FALSE)</f>
        <v>#N/A</v>
      </c>
      <c r="B76" s="482" t="b">
        <f t="shared" ca="1" si="0"/>
        <v>0</v>
      </c>
      <c r="C76" s="483" t="str">
        <f t="shared" si="1"/>
        <v>grantActionMissionJeanClawedUnlock</v>
      </c>
      <c r="D76" s="484" t="e">
        <f>VLOOKUP($J76&amp;":", Catalog!$F$5:$BW127, COLUMNS(Catalog!$F$5:$BW127), FALSE)</f>
        <v>#N/A</v>
      </c>
      <c r="E76" s="485" t="e">
        <f>VLOOKUP($J76&amp;":", Catalog!$F$5:$BX127, COLUMNS(Catalog!$F$5:$BX127), FALSE)</f>
        <v>#N/A</v>
      </c>
      <c r="F76" s="484" t="e">
        <f>VLOOKUP($J76&amp;":", Catalog!$F$5:$BY127, COLUMNS(Catalog!$F$5:$BY127), FALSE)</f>
        <v>#N/A</v>
      </c>
      <c r="G76" s="484" t="e">
        <f>VLOOKUP($J76, Catalog!$E$5:$BZ127, COLUMNS(Catalog!$E$5:$BZ127), FALSE)</f>
        <v>#N/A</v>
      </c>
      <c r="H76" s="483" t="s">
        <v>811</v>
      </c>
      <c r="I76" s="483"/>
      <c r="J76" s="306" t="s">
        <v>1096</v>
      </c>
      <c r="K76" s="486">
        <v>1</v>
      </c>
      <c r="L76" s="100" t="s">
        <v>279</v>
      </c>
      <c r="M76" s="332">
        <v>2</v>
      </c>
      <c r="N76" s="100" t="s">
        <v>280</v>
      </c>
      <c r="O76" s="86"/>
      <c r="P76" s="86"/>
      <c r="Q76" s="86"/>
      <c r="R76" s="100" t="e">
        <f t="shared" si="2"/>
        <v>#N/A</v>
      </c>
      <c r="S76" s="487"/>
      <c r="T76" s="486"/>
      <c r="U76" s="488"/>
      <c r="V76" s="488"/>
      <c r="W76" s="488"/>
      <c r="X76" s="488"/>
      <c r="Y76" s="306"/>
      <c r="Z76" s="306"/>
      <c r="AA76" s="489"/>
      <c r="AB76" s="306" t="e">
        <f t="shared" si="3"/>
        <v>#N/A</v>
      </c>
      <c r="AC76" s="490" t="e">
        <f t="shared" si="4"/>
        <v>#N/A</v>
      </c>
      <c r="AD76" s="490" t="e">
        <f t="shared" si="5"/>
        <v>#N/A</v>
      </c>
      <c r="AE76" s="306"/>
      <c r="AF76" s="332" t="e">
        <f t="shared" si="6"/>
        <v>#N/A</v>
      </c>
      <c r="AG76" s="306"/>
      <c r="AH76" s="487"/>
      <c r="AI76" s="306"/>
      <c r="AJ76" s="306"/>
      <c r="AK76" s="306"/>
      <c r="AL76" s="306"/>
      <c r="AM76" s="306"/>
      <c r="AN76" s="491"/>
      <c r="AO76" s="306"/>
      <c r="AP76" s="306"/>
      <c r="AQ76" s="306"/>
      <c r="AR76" s="306"/>
      <c r="AS76" s="306"/>
      <c r="AT76" s="487"/>
      <c r="AU76" s="306"/>
      <c r="AV76" s="306"/>
      <c r="AW76" s="306"/>
      <c r="AX76" s="306"/>
      <c r="AY76" s="306"/>
      <c r="AZ76" s="487"/>
      <c r="BA76" s="306"/>
      <c r="BB76" s="306"/>
      <c r="BF76" s="492" t="str">
        <f ca="1">IFERROR(__xludf.DUMMYFUNCTION("IF(REGEXMATCH($G76, ""Any""), ""any"", IF(REGEXMATCH($G76, ""All""), ""all"", """"))"),"any")</f>
        <v>any</v>
      </c>
      <c r="BG76" s="499" t="s">
        <v>1094</v>
      </c>
      <c r="BH76" s="306"/>
      <c r="BI76" s="306"/>
      <c r="BJ76" s="306"/>
      <c r="BK76" s="306"/>
      <c r="BL76" s="306"/>
      <c r="BM76" s="306"/>
      <c r="BN76" s="306"/>
      <c r="BO76" s="306"/>
      <c r="BP76" s="493"/>
      <c r="BQ76" s="306"/>
      <c r="BR76" s="306"/>
      <c r="BS76" s="494"/>
      <c r="BT76" s="487"/>
      <c r="BU76" s="306"/>
      <c r="BV76" s="306"/>
      <c r="BW76" s="306"/>
      <c r="BX76" s="306"/>
      <c r="BY76" s="306"/>
      <c r="BZ76" s="306"/>
      <c r="CA76" s="306"/>
      <c r="CB76" s="306"/>
      <c r="CC76" s="493"/>
      <c r="CD76" s="306"/>
      <c r="CE76" s="306"/>
      <c r="CF76" s="494"/>
      <c r="CG76" s="487"/>
      <c r="CH76" s="306"/>
      <c r="CI76" s="306"/>
      <c r="CJ76" s="306"/>
      <c r="CK76" s="306"/>
      <c r="CL76" s="306"/>
      <c r="CM76" s="306"/>
      <c r="CN76" s="306"/>
      <c r="CO76" s="306"/>
      <c r="CP76" s="306"/>
      <c r="CQ76" s="306"/>
      <c r="CR76" s="306"/>
      <c r="CS76" s="494"/>
      <c r="CT76" s="306"/>
      <c r="CU76" s="306"/>
      <c r="CV76" s="306"/>
      <c r="CW76" s="306"/>
      <c r="CX76" s="306"/>
      <c r="CY76" s="306"/>
      <c r="CZ76" s="306"/>
      <c r="DA76" s="306"/>
      <c r="DB76" s="306"/>
      <c r="DC76" s="493"/>
      <c r="DD76" s="306"/>
      <c r="DE76" s="306"/>
      <c r="DF76" s="494"/>
      <c r="DG76" s="306"/>
      <c r="DH76" s="306"/>
      <c r="DI76" s="306"/>
      <c r="DJ76" s="306"/>
      <c r="DK76" s="306"/>
      <c r="DL76" s="306"/>
      <c r="DM76" s="306"/>
      <c r="DN76" s="306"/>
      <c r="DO76" s="306"/>
      <c r="DP76" s="493"/>
      <c r="DQ76" s="306"/>
      <c r="DR76" s="306"/>
      <c r="DS76" s="489"/>
      <c r="DT76" s="306"/>
      <c r="DU76" s="306"/>
      <c r="DV76" s="306"/>
      <c r="DW76" s="306"/>
      <c r="DX76" s="306"/>
      <c r="DY76" s="306"/>
      <c r="DZ76" s="306"/>
      <c r="EA76" s="306"/>
      <c r="EB76" s="306"/>
      <c r="EC76" s="306"/>
      <c r="ED76" s="493"/>
      <c r="EE76" s="306"/>
      <c r="EF76" s="306"/>
      <c r="EG76" s="306"/>
      <c r="EH76" s="487"/>
      <c r="EI76" s="306"/>
      <c r="EJ76" s="306"/>
      <c r="EK76" s="306"/>
      <c r="EL76" s="306"/>
      <c r="EM76" s="306"/>
      <c r="EN76" s="306"/>
      <c r="EO76" s="306"/>
      <c r="EP76" s="306"/>
      <c r="EQ76" s="306"/>
      <c r="ER76" s="306"/>
      <c r="ES76" s="306"/>
      <c r="ET76" s="306"/>
      <c r="EU76" s="306"/>
      <c r="EV76" s="491"/>
      <c r="EW76" s="306"/>
      <c r="EX76" s="306"/>
      <c r="EY76" s="306"/>
      <c r="EZ76" s="306"/>
      <c r="FA76" s="306"/>
      <c r="FB76" s="306"/>
      <c r="FC76" s="306"/>
      <c r="FD76" s="306"/>
      <c r="FE76" s="306"/>
      <c r="FF76" s="306"/>
      <c r="FG76" s="306"/>
      <c r="FH76" s="306"/>
      <c r="FI76" s="306"/>
      <c r="FJ76" s="306"/>
      <c r="FK76" s="306"/>
      <c r="FL76" s="487"/>
      <c r="FM76" s="306"/>
      <c r="FN76" s="306"/>
      <c r="FO76" s="306"/>
      <c r="FP76" s="306"/>
      <c r="FQ76" s="306"/>
      <c r="FR76" s="306"/>
      <c r="FS76" s="306"/>
      <c r="FT76" s="306"/>
      <c r="FU76" s="306"/>
      <c r="FV76" s="306"/>
      <c r="FW76" s="306"/>
      <c r="FX76" s="306"/>
      <c r="FY76" s="306"/>
      <c r="FZ76" s="306"/>
      <c r="GA76" s="306"/>
      <c r="GB76" s="491"/>
      <c r="GC76" s="306"/>
      <c r="GD76" s="306"/>
      <c r="GE76" s="306"/>
      <c r="GF76" s="491"/>
      <c r="GG76" s="494"/>
      <c r="GH76" s="487"/>
      <c r="GI76" s="306"/>
      <c r="GJ76" s="502" t="s">
        <v>4379</v>
      </c>
      <c r="GK76" s="332">
        <v>16</v>
      </c>
      <c r="GL76" s="100" t="s">
        <v>4819</v>
      </c>
      <c r="GM76" s="497" t="str">
        <f t="shared" si="14"/>
        <v>levels.total_points.level:16</v>
      </c>
      <c r="GN76" s="306"/>
      <c r="GO76" s="306"/>
      <c r="GP76" s="306"/>
    </row>
    <row r="77" spans="1:198" ht="105" x14ac:dyDescent="0.15">
      <c r="A77" s="481" t="e">
        <f>VLOOKUP($J77&amp;":", Catalog!$F$5:$BV127, COLUMNS(Catalog!$F$5:$BV127), FALSE)</f>
        <v>#N/A</v>
      </c>
      <c r="B77" s="482" t="b">
        <f t="shared" ca="1" si="0"/>
        <v>0</v>
      </c>
      <c r="C77" s="483" t="str">
        <f t="shared" si="1"/>
        <v>grantMissionJeanClawedState1</v>
      </c>
      <c r="D77" s="484" t="e">
        <f>VLOOKUP($J77&amp;":", Catalog!$F$5:$BW127, COLUMNS(Catalog!$F$5:$BW127), FALSE)</f>
        <v>#N/A</v>
      </c>
      <c r="E77" s="485" t="e">
        <f>VLOOKUP($J77&amp;":", Catalog!$F$5:$BX127, COLUMNS(Catalog!$F$5:$BX127), FALSE)</f>
        <v>#N/A</v>
      </c>
      <c r="F77" s="484" t="e">
        <f>VLOOKUP($J77&amp;":", Catalog!$F$5:$BY127, COLUMNS(Catalog!$F$5:$BY127), FALSE)</f>
        <v>#N/A</v>
      </c>
      <c r="G77" s="484" t="e">
        <f>VLOOKUP($J77, Catalog!$E$5:$BZ127, COLUMNS(Catalog!$E$5:$BZ127), FALSE)</f>
        <v>#N/A</v>
      </c>
      <c r="H77" s="483" t="s">
        <v>851</v>
      </c>
      <c r="I77" s="483">
        <v>1</v>
      </c>
      <c r="J77" s="306" t="s">
        <v>1101</v>
      </c>
      <c r="K77" s="486">
        <v>1</v>
      </c>
      <c r="L77" s="100" t="s">
        <v>279</v>
      </c>
      <c r="M77" s="332">
        <v>1</v>
      </c>
      <c r="N77" s="100" t="s">
        <v>280</v>
      </c>
      <c r="O77" s="86"/>
      <c r="P77" s="86"/>
      <c r="Q77" s="86"/>
      <c r="R77" s="100" t="e">
        <f t="shared" si="2"/>
        <v>#N/A</v>
      </c>
      <c r="S77" s="487"/>
      <c r="T77" s="486"/>
      <c r="U77" s="488"/>
      <c r="V77" s="488"/>
      <c r="W77" s="488"/>
      <c r="X77" s="488"/>
      <c r="Y77" s="306"/>
      <c r="Z77" s="306"/>
      <c r="AA77" s="489"/>
      <c r="AB77" s="306" t="e">
        <f t="shared" si="3"/>
        <v>#N/A</v>
      </c>
      <c r="AC77" s="490" t="e">
        <f t="shared" si="4"/>
        <v>#N/A</v>
      </c>
      <c r="AD77" s="490" t="e">
        <f t="shared" si="5"/>
        <v>#N/A</v>
      </c>
      <c r="AE77" s="306"/>
      <c r="AF77" s="332" t="e">
        <f t="shared" si="6"/>
        <v>#N/A</v>
      </c>
      <c r="AG77" s="306"/>
      <c r="AH77" s="487"/>
      <c r="AI77" s="306"/>
      <c r="AJ77" s="306"/>
      <c r="AK77" s="306"/>
      <c r="AL77" s="306"/>
      <c r="AM77" s="306"/>
      <c r="AN77" s="491"/>
      <c r="AO77" s="306"/>
      <c r="AP77" s="306"/>
      <c r="AQ77" s="306"/>
      <c r="AR77" s="306"/>
      <c r="AS77" s="306"/>
      <c r="AT77" s="487"/>
      <c r="AU77" s="306"/>
      <c r="AV77" s="306"/>
      <c r="AW77" s="306"/>
      <c r="AX77" s="306"/>
      <c r="AY77" s="306"/>
      <c r="AZ77" s="487"/>
      <c r="BA77" s="306"/>
      <c r="BB77" s="306"/>
      <c r="BF77" s="492" t="str">
        <f ca="1">IFERROR(__xludf.DUMMYFUNCTION("IF(REGEXMATCH($G77, ""Any""), ""any"", IF(REGEXMATCH($G77, ""All""), ""all"", """"))"),"all")</f>
        <v>all</v>
      </c>
      <c r="BG77" s="499" t="s">
        <v>1096</v>
      </c>
      <c r="BH77" s="306"/>
      <c r="BI77" s="306"/>
      <c r="BJ77" s="306"/>
      <c r="BK77" s="306"/>
      <c r="BL77" s="306"/>
      <c r="BM77" s="306"/>
      <c r="BN77" s="306"/>
      <c r="BO77" s="306"/>
      <c r="BP77" s="493"/>
      <c r="BQ77" s="306"/>
      <c r="BR77" s="306"/>
      <c r="BS77" s="494"/>
      <c r="BT77" s="487"/>
      <c r="BU77" s="306"/>
      <c r="BV77" s="306"/>
      <c r="BW77" s="306"/>
      <c r="BX77" s="306"/>
      <c r="BY77" s="306"/>
      <c r="BZ77" s="306"/>
      <c r="CA77" s="306"/>
      <c r="CB77" s="306"/>
      <c r="CC77" s="493"/>
      <c r="CD77" s="306"/>
      <c r="CE77" s="306"/>
      <c r="CF77" s="494"/>
      <c r="CG77" s="487"/>
      <c r="CH77" s="306"/>
      <c r="CI77" s="306"/>
      <c r="CJ77" s="306"/>
      <c r="CK77" s="306"/>
      <c r="CL77" s="306"/>
      <c r="CM77" s="306"/>
      <c r="CN77" s="306"/>
      <c r="CO77" s="306"/>
      <c r="CP77" s="306"/>
      <c r="CQ77" s="306"/>
      <c r="CR77" s="306"/>
      <c r="CS77" s="494"/>
      <c r="CT77" s="306"/>
      <c r="CU77" s="306"/>
      <c r="CV77" s="306"/>
      <c r="CW77" s="306"/>
      <c r="CX77" s="306"/>
      <c r="CY77" s="306"/>
      <c r="CZ77" s="306"/>
      <c r="DA77" s="306"/>
      <c r="DB77" s="306"/>
      <c r="DC77" s="493"/>
      <c r="DD77" s="306"/>
      <c r="DE77" s="306"/>
      <c r="DF77" s="494"/>
      <c r="DG77" s="306"/>
      <c r="DH77" s="306"/>
      <c r="DI77" s="306"/>
      <c r="DJ77" s="306"/>
      <c r="DK77" s="306"/>
      <c r="DL77" s="306"/>
      <c r="DM77" s="306"/>
      <c r="DN77" s="306"/>
      <c r="DO77" s="306"/>
      <c r="DP77" s="493"/>
      <c r="DQ77" s="306"/>
      <c r="DR77" s="306"/>
      <c r="DS77" s="489"/>
      <c r="DT77" s="306"/>
      <c r="DU77" s="306"/>
      <c r="DV77" s="306"/>
      <c r="DW77" s="306"/>
      <c r="DX77" s="306"/>
      <c r="DY77" s="306"/>
      <c r="DZ77" s="306"/>
      <c r="EA77" s="306"/>
      <c r="EB77" s="306"/>
      <c r="EC77" s="306"/>
      <c r="ED77" s="493"/>
      <c r="EE77" s="306"/>
      <c r="EF77" s="306"/>
      <c r="EG77" s="306"/>
      <c r="EH77" s="487"/>
      <c r="EI77" s="306"/>
      <c r="EJ77" s="306"/>
      <c r="EK77" s="306"/>
      <c r="EL77" s="306"/>
      <c r="EM77" s="306"/>
      <c r="EN77" s="306"/>
      <c r="EO77" s="306"/>
      <c r="EP77" s="306"/>
      <c r="EQ77" s="306"/>
      <c r="ER77" s="306"/>
      <c r="ES77" s="306"/>
      <c r="ET77" s="306"/>
      <c r="EU77" s="306"/>
      <c r="EV77" s="491"/>
      <c r="EW77" s="306"/>
      <c r="EX77" s="306"/>
      <c r="EY77" s="306"/>
      <c r="EZ77" s="306"/>
      <c r="FA77" s="306"/>
      <c r="FB77" s="306"/>
      <c r="FC77" s="306"/>
      <c r="FD77" s="306"/>
      <c r="FE77" s="306"/>
      <c r="FF77" s="306"/>
      <c r="FG77" s="306"/>
      <c r="FH77" s="306"/>
      <c r="FI77" s="306"/>
      <c r="FJ77" s="306"/>
      <c r="FK77" s="306"/>
      <c r="FL77" s="487"/>
      <c r="FM77" s="306"/>
      <c r="FN77" s="306"/>
      <c r="FO77" s="306"/>
      <c r="FP77" s="306"/>
      <c r="FQ77" s="306"/>
      <c r="FR77" s="306"/>
      <c r="FS77" s="306"/>
      <c r="FT77" s="306"/>
      <c r="FU77" s="306"/>
      <c r="FV77" s="306"/>
      <c r="FW77" s="306"/>
      <c r="FX77" s="306"/>
      <c r="FY77" s="306"/>
      <c r="FZ77" s="306"/>
      <c r="GA77" s="306"/>
      <c r="GB77" s="491"/>
      <c r="GC77" s="306"/>
      <c r="GD77" s="306"/>
      <c r="GE77" s="306"/>
      <c r="GF77" s="491"/>
      <c r="GG77" s="494"/>
      <c r="GH77" s="487"/>
      <c r="GI77" s="306"/>
      <c r="GJ77" s="491"/>
      <c r="GK77" s="306"/>
      <c r="GL77" s="306"/>
      <c r="GM77" s="497"/>
      <c r="GN77" s="306"/>
      <c r="GO77" s="306"/>
      <c r="GP77" s="306"/>
    </row>
    <row r="78" spans="1:198" ht="105" x14ac:dyDescent="0.15">
      <c r="A78" s="481" t="e">
        <f>VLOOKUP($J78&amp;":", Catalog!$F$5:$BV127, COLUMNS(Catalog!$F$5:$BV127), FALSE)</f>
        <v>#N/A</v>
      </c>
      <c r="B78" s="482" t="b">
        <f t="shared" ca="1" si="0"/>
        <v>0</v>
      </c>
      <c r="C78" s="483" t="str">
        <f t="shared" si="1"/>
        <v>grantMissionJeanClawedState2</v>
      </c>
      <c r="D78" s="484" t="e">
        <f>VLOOKUP($J78&amp;":", Catalog!$F$5:$BW127, COLUMNS(Catalog!$F$5:$BW127), FALSE)</f>
        <v>#N/A</v>
      </c>
      <c r="E78" s="485" t="e">
        <f>VLOOKUP($J78&amp;":", Catalog!$F$5:$BX127, COLUMNS(Catalog!$F$5:$BX127), FALSE)</f>
        <v>#N/A</v>
      </c>
      <c r="F78" s="484" t="e">
        <f>VLOOKUP($J78&amp;":", Catalog!$F$5:$BY127, COLUMNS(Catalog!$F$5:$BY127), FALSE)</f>
        <v>#N/A</v>
      </c>
      <c r="G78" s="484" t="e">
        <f>VLOOKUP($J78, Catalog!$E$5:$BZ127, COLUMNS(Catalog!$E$5:$BZ127), FALSE)</f>
        <v>#N/A</v>
      </c>
      <c r="H78" s="483" t="s">
        <v>851</v>
      </c>
      <c r="I78" s="483">
        <v>2</v>
      </c>
      <c r="J78" s="306" t="s">
        <v>1101</v>
      </c>
      <c r="K78" s="486"/>
      <c r="L78" s="100" t="s">
        <v>279</v>
      </c>
      <c r="M78" s="332">
        <v>2</v>
      </c>
      <c r="N78" s="100" t="s">
        <v>280</v>
      </c>
      <c r="O78" s="86"/>
      <c r="P78" s="86"/>
      <c r="Q78" s="86"/>
      <c r="R78" s="100" t="e">
        <f t="shared" si="2"/>
        <v>#N/A</v>
      </c>
      <c r="S78" s="487"/>
      <c r="T78" s="486"/>
      <c r="U78" s="488"/>
      <c r="V78" s="488"/>
      <c r="W78" s="488"/>
      <c r="X78" s="488"/>
      <c r="Y78" s="306"/>
      <c r="Z78" s="306"/>
      <c r="AA78" s="489"/>
      <c r="AB78" s="306" t="e">
        <f t="shared" si="3"/>
        <v>#N/A</v>
      </c>
      <c r="AC78" s="490" t="e">
        <f t="shared" si="4"/>
        <v>#N/A</v>
      </c>
      <c r="AD78" s="490" t="e">
        <f t="shared" si="5"/>
        <v>#N/A</v>
      </c>
      <c r="AE78" s="306"/>
      <c r="AF78" s="332" t="e">
        <f t="shared" si="6"/>
        <v>#N/A</v>
      </c>
      <c r="AG78" s="306"/>
      <c r="AH78" s="487"/>
      <c r="AI78" s="306"/>
      <c r="AJ78" s="306"/>
      <c r="AK78" s="306"/>
      <c r="AL78" s="306"/>
      <c r="AM78" s="306"/>
      <c r="AN78" s="491"/>
      <c r="AO78" s="306"/>
      <c r="AP78" s="306"/>
      <c r="AQ78" s="306"/>
      <c r="AR78" s="306"/>
      <c r="AS78" s="306"/>
      <c r="AT78" s="487"/>
      <c r="AU78" s="306"/>
      <c r="AV78" s="306"/>
      <c r="AW78" s="306"/>
      <c r="AX78" s="306"/>
      <c r="AY78" s="306"/>
      <c r="AZ78" s="503" t="s">
        <v>4820</v>
      </c>
      <c r="BA78" s="332" t="s">
        <v>4821</v>
      </c>
      <c r="BB78" s="332" t="s">
        <v>4822</v>
      </c>
      <c r="BF78" s="492" t="str">
        <f ca="1">IFERROR(__xludf.DUMMYFUNCTION("IF(REGEXMATCH($G78, ""Any""), ""any"", IF(REGEXMATCH($G78, ""All""), ""all"", """"))"),"all")</f>
        <v>all</v>
      </c>
      <c r="BG78" s="499" t="s">
        <v>1099</v>
      </c>
      <c r="BH78" s="306"/>
      <c r="BI78" s="332" t="s">
        <v>2662</v>
      </c>
      <c r="BJ78" s="332">
        <v>2500</v>
      </c>
      <c r="BK78" s="332" t="s">
        <v>4819</v>
      </c>
      <c r="BL78" s="306"/>
      <c r="BM78" s="306"/>
      <c r="BN78" s="306"/>
      <c r="BO78" s="306"/>
      <c r="BP78" s="493"/>
      <c r="BQ78" s="306"/>
      <c r="BR78" s="306"/>
      <c r="BS78" s="494"/>
      <c r="BT78" s="487"/>
      <c r="BU78" s="306"/>
      <c r="BV78" s="306"/>
      <c r="BW78" s="306"/>
      <c r="BX78" s="306"/>
      <c r="BY78" s="306"/>
      <c r="BZ78" s="306"/>
      <c r="CA78" s="306"/>
      <c r="CB78" s="306"/>
      <c r="CC78" s="493"/>
      <c r="CD78" s="306"/>
      <c r="CE78" s="306"/>
      <c r="CF78" s="494"/>
      <c r="CG78" s="487"/>
      <c r="CH78" s="306"/>
      <c r="CI78" s="306"/>
      <c r="CJ78" s="306"/>
      <c r="CK78" s="306"/>
      <c r="CL78" s="306"/>
      <c r="CM78" s="306"/>
      <c r="CN78" s="306"/>
      <c r="CO78" s="306"/>
      <c r="CP78" s="306"/>
      <c r="CQ78" s="306"/>
      <c r="CR78" s="306"/>
      <c r="CS78" s="494"/>
      <c r="CT78" s="306"/>
      <c r="CU78" s="306"/>
      <c r="CV78" s="306"/>
      <c r="CW78" s="306"/>
      <c r="CX78" s="306"/>
      <c r="CY78" s="306"/>
      <c r="CZ78" s="306"/>
      <c r="DA78" s="306"/>
      <c r="DB78" s="306"/>
      <c r="DC78" s="493"/>
      <c r="DD78" s="306"/>
      <c r="DE78" s="306"/>
      <c r="DF78" s="494"/>
      <c r="DG78" s="306"/>
      <c r="DH78" s="306"/>
      <c r="DI78" s="306"/>
      <c r="DJ78" s="306"/>
      <c r="DK78" s="306"/>
      <c r="DL78" s="306"/>
      <c r="DM78" s="306"/>
      <c r="DN78" s="306"/>
      <c r="DO78" s="306"/>
      <c r="DP78" s="493"/>
      <c r="DQ78" s="306"/>
      <c r="DR78" s="306"/>
      <c r="DS78" s="489"/>
      <c r="DT78" s="306"/>
      <c r="DU78" s="306"/>
      <c r="DV78" s="306"/>
      <c r="DW78" s="306"/>
      <c r="DX78" s="306"/>
      <c r="DY78" s="306"/>
      <c r="DZ78" s="306"/>
      <c r="EA78" s="306"/>
      <c r="EB78" s="306"/>
      <c r="EC78" s="306"/>
      <c r="ED78" s="493"/>
      <c r="EE78" s="306"/>
      <c r="EF78" s="306"/>
      <c r="EG78" s="306"/>
      <c r="EH78" s="487"/>
      <c r="EI78" s="306"/>
      <c r="EJ78" s="306"/>
      <c r="EK78" s="306"/>
      <c r="EL78" s="306"/>
      <c r="EM78" s="306"/>
      <c r="EN78" s="306"/>
      <c r="EO78" s="306"/>
      <c r="EP78" s="306"/>
      <c r="EQ78" s="306"/>
      <c r="ER78" s="306"/>
      <c r="ES78" s="306"/>
      <c r="ET78" s="306"/>
      <c r="EU78" s="306"/>
      <c r="EV78" s="491"/>
      <c r="EW78" s="306"/>
      <c r="EX78" s="306"/>
      <c r="EY78" s="306"/>
      <c r="EZ78" s="306"/>
      <c r="FA78" s="306"/>
      <c r="FB78" s="306"/>
      <c r="FC78" s="306"/>
      <c r="FD78" s="306"/>
      <c r="FE78" s="306"/>
      <c r="FF78" s="306"/>
      <c r="FG78" s="306"/>
      <c r="FH78" s="306"/>
      <c r="FI78" s="306"/>
      <c r="FJ78" s="306"/>
      <c r="FK78" s="306"/>
      <c r="FL78" s="487"/>
      <c r="FM78" s="306"/>
      <c r="FN78" s="306"/>
      <c r="FO78" s="306"/>
      <c r="FP78" s="306"/>
      <c r="FQ78" s="306"/>
      <c r="FR78" s="306"/>
      <c r="FS78" s="306"/>
      <c r="FT78" s="306"/>
      <c r="FU78" s="306"/>
      <c r="FV78" s="306"/>
      <c r="FW78" s="306"/>
      <c r="FX78" s="306"/>
      <c r="FY78" s="306"/>
      <c r="FZ78" s="306"/>
      <c r="GA78" s="306"/>
      <c r="GB78" s="491"/>
      <c r="GC78" s="306"/>
      <c r="GD78" s="306"/>
      <c r="GE78" s="306"/>
      <c r="GF78" s="491"/>
      <c r="GG78" s="494"/>
      <c r="GH78" s="487"/>
      <c r="GI78" s="306"/>
      <c r="GJ78" s="491"/>
      <c r="GK78" s="306"/>
      <c r="GL78" s="306"/>
      <c r="GM78" s="497"/>
      <c r="GN78" s="306"/>
      <c r="GO78" s="306"/>
      <c r="GP78" s="306"/>
    </row>
    <row r="79" spans="1:198" ht="42" x14ac:dyDescent="0.15">
      <c r="A79" s="481" t="e">
        <f>VLOOKUP($J79&amp;":", Catalog!$F$5:$BV127, COLUMNS(Catalog!$F$5:$BV127), FALSE)</f>
        <v>#N/A</v>
      </c>
      <c r="B79" s="482" t="b">
        <f t="shared" ca="1" si="0"/>
        <v>0</v>
      </c>
      <c r="C79" s="483" t="str">
        <f t="shared" si="1"/>
        <v>grantAchievementMissionJeanClawedState2</v>
      </c>
      <c r="D79" s="484" t="e">
        <f>VLOOKUP($J79&amp;":", Catalog!$F$5:$BW127, COLUMNS(Catalog!$F$5:$BW127), FALSE)</f>
        <v>#N/A</v>
      </c>
      <c r="E79" s="485" t="e">
        <f>VLOOKUP($J79&amp;":", Catalog!$F$5:$BX127, COLUMNS(Catalog!$F$5:$BX127), FALSE)</f>
        <v>#N/A</v>
      </c>
      <c r="F79" s="484" t="e">
        <f>VLOOKUP($J79&amp;":", Catalog!$F$5:$BY127, COLUMNS(Catalog!$F$5:$BY127), FALSE)</f>
        <v>#N/A</v>
      </c>
      <c r="G79" s="484" t="e">
        <f>VLOOKUP($J79, Catalog!$E$5:$BZ127, COLUMNS(Catalog!$E$5:$BZ127), FALSE)</f>
        <v>#N/A</v>
      </c>
      <c r="H79" s="483" t="s">
        <v>808</v>
      </c>
      <c r="I79" s="483">
        <v>2</v>
      </c>
      <c r="J79" s="306" t="s">
        <v>1119</v>
      </c>
      <c r="K79" s="486">
        <v>1</v>
      </c>
      <c r="L79" s="100" t="s">
        <v>279</v>
      </c>
      <c r="M79" s="332">
        <v>2</v>
      </c>
      <c r="N79" s="100" t="s">
        <v>280</v>
      </c>
      <c r="O79" s="86"/>
      <c r="P79" s="86"/>
      <c r="Q79" s="86"/>
      <c r="R79" s="100" t="e">
        <f t="shared" si="2"/>
        <v>#N/A</v>
      </c>
      <c r="S79" s="487"/>
      <c r="T79" s="486"/>
      <c r="U79" s="488"/>
      <c r="V79" s="488"/>
      <c r="W79" s="488"/>
      <c r="X79" s="488"/>
      <c r="Y79" s="306"/>
      <c r="Z79" s="306"/>
      <c r="AA79" s="489"/>
      <c r="AB79" s="306" t="e">
        <f t="shared" si="3"/>
        <v>#N/A</v>
      </c>
      <c r="AC79" s="490" t="e">
        <f t="shared" si="4"/>
        <v>#N/A</v>
      </c>
      <c r="AD79" s="490" t="e">
        <f t="shared" si="5"/>
        <v>#N/A</v>
      </c>
      <c r="AE79" s="306"/>
      <c r="AF79" s="332" t="e">
        <f t="shared" si="6"/>
        <v>#N/A</v>
      </c>
      <c r="AG79" s="306"/>
      <c r="AH79" s="487"/>
      <c r="AI79" s="306"/>
      <c r="AJ79" s="306"/>
      <c r="AK79" s="306"/>
      <c r="AL79" s="306"/>
      <c r="AM79" s="306"/>
      <c r="AN79" s="491"/>
      <c r="AO79" s="306"/>
      <c r="AP79" s="306"/>
      <c r="AQ79" s="306"/>
      <c r="AR79" s="306"/>
      <c r="AS79" s="306"/>
      <c r="AT79" s="487"/>
      <c r="AU79" s="306"/>
      <c r="AV79" s="306"/>
      <c r="AW79" s="306"/>
      <c r="AX79" s="306"/>
      <c r="AY79" s="306"/>
      <c r="AZ79" s="491"/>
      <c r="BA79" s="306"/>
      <c r="BB79" s="306"/>
      <c r="BC79" s="487"/>
      <c r="BD79" s="306"/>
      <c r="BE79" s="306"/>
      <c r="BF79" s="492" t="str">
        <f ca="1">IFERROR(__xludf.DUMMYFUNCTION("IF(REGEXMATCH($G79, ""Any""), ""any"", IF(REGEXMATCH($G79, ""All""), ""all"", """"))"),"all")</f>
        <v>all</v>
      </c>
      <c r="BG79" s="499" t="s">
        <v>1101</v>
      </c>
      <c r="BH79" s="306"/>
      <c r="BI79" s="100" t="s">
        <v>279</v>
      </c>
      <c r="BJ79" s="100">
        <v>2</v>
      </c>
      <c r="BK79" s="306"/>
      <c r="BL79" s="306"/>
      <c r="BM79" s="306"/>
      <c r="BN79" s="306"/>
      <c r="BO79" s="306"/>
      <c r="BP79" s="493"/>
      <c r="BQ79" s="306"/>
      <c r="BR79" s="306"/>
      <c r="BS79" s="494"/>
      <c r="BT79" s="487"/>
      <c r="BU79" s="306"/>
      <c r="BV79" s="306"/>
      <c r="BW79" s="306"/>
      <c r="BX79" s="306"/>
      <c r="BY79" s="306"/>
      <c r="BZ79" s="306"/>
      <c r="CA79" s="306"/>
      <c r="CB79" s="306"/>
      <c r="CC79" s="493"/>
      <c r="CD79" s="306"/>
      <c r="CE79" s="306"/>
      <c r="CF79" s="494"/>
      <c r="CG79" s="487"/>
      <c r="CH79" s="306"/>
      <c r="CI79" s="306"/>
      <c r="CJ79" s="306"/>
      <c r="CK79" s="306"/>
      <c r="CL79" s="306"/>
      <c r="CM79" s="306"/>
      <c r="CN79" s="306"/>
      <c r="CO79" s="306"/>
      <c r="CP79" s="306"/>
      <c r="CQ79" s="306"/>
      <c r="CR79" s="306"/>
      <c r="CS79" s="494"/>
      <c r="CT79" s="306"/>
      <c r="CU79" s="306"/>
      <c r="CV79" s="306"/>
      <c r="CW79" s="306"/>
      <c r="CX79" s="306"/>
      <c r="CY79" s="306"/>
      <c r="CZ79" s="306"/>
      <c r="DA79" s="306"/>
      <c r="DB79" s="306"/>
      <c r="DC79" s="493"/>
      <c r="DD79" s="306"/>
      <c r="DE79" s="306"/>
      <c r="DF79" s="494"/>
      <c r="DG79" s="306"/>
      <c r="DH79" s="306"/>
      <c r="DI79" s="306"/>
      <c r="DJ79" s="306"/>
      <c r="DK79" s="306"/>
      <c r="DL79" s="306"/>
      <c r="DM79" s="306"/>
      <c r="DN79" s="306"/>
      <c r="DO79" s="306"/>
      <c r="DP79" s="493"/>
      <c r="DQ79" s="306"/>
      <c r="DR79" s="306"/>
      <c r="DS79" s="489"/>
      <c r="DT79" s="306"/>
      <c r="DU79" s="306"/>
      <c r="DV79" s="306"/>
      <c r="DW79" s="306"/>
      <c r="DX79" s="306"/>
      <c r="DY79" s="306"/>
      <c r="DZ79" s="306"/>
      <c r="EA79" s="306"/>
      <c r="EB79" s="306"/>
      <c r="EC79" s="306"/>
      <c r="ED79" s="493"/>
      <c r="EE79" s="306"/>
      <c r="EF79" s="306"/>
      <c r="EG79" s="306"/>
      <c r="EH79" s="487"/>
      <c r="EI79" s="306"/>
      <c r="EJ79" s="306"/>
      <c r="EK79" s="306"/>
      <c r="EL79" s="306"/>
      <c r="EM79" s="306"/>
      <c r="EN79" s="306"/>
      <c r="EO79" s="306"/>
      <c r="EP79" s="306"/>
      <c r="EQ79" s="306"/>
      <c r="ER79" s="306"/>
      <c r="ES79" s="306"/>
      <c r="ET79" s="306"/>
      <c r="EU79" s="306"/>
      <c r="EV79" s="491"/>
      <c r="EW79" s="306"/>
      <c r="EX79" s="306"/>
      <c r="EY79" s="306"/>
      <c r="EZ79" s="306"/>
      <c r="FA79" s="306"/>
      <c r="FB79" s="306"/>
      <c r="FC79" s="306"/>
      <c r="FD79" s="306"/>
      <c r="FE79" s="306"/>
      <c r="FF79" s="306"/>
      <c r="FG79" s="306"/>
      <c r="FH79" s="306"/>
      <c r="FI79" s="306"/>
      <c r="FJ79" s="306"/>
      <c r="FK79" s="306"/>
      <c r="FL79" s="487"/>
      <c r="FM79" s="306"/>
      <c r="FN79" s="306"/>
      <c r="FO79" s="306"/>
      <c r="FP79" s="306"/>
      <c r="FQ79" s="306"/>
      <c r="FR79" s="306"/>
      <c r="FS79" s="306"/>
      <c r="FT79" s="306"/>
      <c r="FU79" s="306"/>
      <c r="FV79" s="306"/>
      <c r="FW79" s="306"/>
      <c r="FX79" s="306"/>
      <c r="FY79" s="306"/>
      <c r="FZ79" s="306"/>
      <c r="GA79" s="306"/>
      <c r="GB79" s="491"/>
      <c r="GC79" s="306"/>
      <c r="GD79" s="306"/>
      <c r="GE79" s="306"/>
      <c r="GF79" s="491"/>
      <c r="GG79" s="494"/>
      <c r="GH79" s="487"/>
      <c r="GI79" s="306"/>
      <c r="GJ79" s="491"/>
      <c r="GK79" s="306"/>
      <c r="GL79" s="306"/>
      <c r="GM79" s="497"/>
      <c r="GN79" s="306"/>
      <c r="GO79" s="306"/>
      <c r="GP79" s="306"/>
    </row>
    <row r="80" spans="1:198" ht="45" x14ac:dyDescent="0.15">
      <c r="A80" s="481" t="e">
        <f>VLOOKUP($J80&amp;":", Catalog!$F$5:$BV127, COLUMNS(Catalog!$F$5:$BV127), FALSE)</f>
        <v>#N/A</v>
      </c>
      <c r="B80" s="482" t="b">
        <f t="shared" ca="1" si="0"/>
        <v>0</v>
      </c>
      <c r="C80" s="483" t="str">
        <f t="shared" si="1"/>
        <v>grantAchievementPlayNoMinionHitsState2</v>
      </c>
      <c r="D80" s="484" t="e">
        <f>VLOOKUP($J80&amp;":", Catalog!$F$5:$BW127, COLUMNS(Catalog!$F$5:$BW127), FALSE)</f>
        <v>#N/A</v>
      </c>
      <c r="E80" s="485" t="e">
        <f>VLOOKUP($J80&amp;":", Catalog!$F$5:$BX127, COLUMNS(Catalog!$F$5:$BX127), FALSE)</f>
        <v>#N/A</v>
      </c>
      <c r="F80" s="484" t="e">
        <f>VLOOKUP($J80&amp;":", Catalog!$F$5:$BY127, COLUMNS(Catalog!$F$5:$BY127), FALSE)</f>
        <v>#N/A</v>
      </c>
      <c r="G80" s="484" t="e">
        <f>VLOOKUP($J80, Catalog!$E$5:$BZ127, COLUMNS(Catalog!$E$5:$BZ127), FALSE)</f>
        <v>#N/A</v>
      </c>
      <c r="H80" s="483" t="s">
        <v>808</v>
      </c>
      <c r="I80" s="483">
        <v>2</v>
      </c>
      <c r="J80" s="306" t="s">
        <v>1146</v>
      </c>
      <c r="K80" s="486">
        <v>1</v>
      </c>
      <c r="L80" s="100" t="s">
        <v>279</v>
      </c>
      <c r="M80" s="332">
        <v>2</v>
      </c>
      <c r="N80" s="100" t="s">
        <v>280</v>
      </c>
      <c r="O80" s="86"/>
      <c r="P80" s="86"/>
      <c r="Q80" s="86"/>
      <c r="R80" s="100" t="e">
        <f t="shared" si="2"/>
        <v>#N/A</v>
      </c>
      <c r="S80" s="487"/>
      <c r="T80" s="486"/>
      <c r="U80" s="488"/>
      <c r="V80" s="488"/>
      <c r="W80" s="488"/>
      <c r="X80" s="488"/>
      <c r="Y80" s="306"/>
      <c r="Z80" s="306"/>
      <c r="AA80" s="489"/>
      <c r="AB80" s="306" t="e">
        <f t="shared" si="3"/>
        <v>#N/A</v>
      </c>
      <c r="AC80" s="490" t="e">
        <f t="shared" si="4"/>
        <v>#N/A</v>
      </c>
      <c r="AD80" s="490" t="e">
        <f t="shared" si="5"/>
        <v>#N/A</v>
      </c>
      <c r="AE80" s="306"/>
      <c r="AF80" s="332" t="e">
        <f t="shared" si="6"/>
        <v>#N/A</v>
      </c>
      <c r="AG80" s="306"/>
      <c r="AH80" s="487"/>
      <c r="AI80" s="306"/>
      <c r="AJ80" s="306"/>
      <c r="AK80" s="306"/>
      <c r="AL80" s="306"/>
      <c r="AM80" s="306"/>
      <c r="AN80" s="491"/>
      <c r="AO80" s="306"/>
      <c r="AP80" s="306"/>
      <c r="AQ80" s="306"/>
      <c r="AR80" s="306"/>
      <c r="AS80" s="306"/>
      <c r="AT80" s="487"/>
      <c r="AU80" s="306"/>
      <c r="AV80" s="306"/>
      <c r="AW80" s="306"/>
      <c r="AX80" s="306"/>
      <c r="AY80" s="306"/>
      <c r="AZ80" s="491"/>
      <c r="BA80" s="306"/>
      <c r="BB80" s="306"/>
      <c r="BC80" s="487"/>
      <c r="BD80" s="306"/>
      <c r="BE80" s="306"/>
      <c r="BF80" s="492" t="str">
        <f ca="1">IFERROR(__xludf.DUMMYFUNCTION("IF(REGEXMATCH($G80, ""Any""), ""any"", IF(REGEXMATCH($G80, ""All""), ""all"", """"))"),"all")</f>
        <v>all</v>
      </c>
      <c r="BG80" s="499" t="s">
        <v>1144</v>
      </c>
      <c r="BH80" s="306"/>
      <c r="BI80" s="332" t="s">
        <v>2715</v>
      </c>
      <c r="BJ80" s="332">
        <v>0</v>
      </c>
      <c r="BK80" s="504" t="s">
        <v>4823</v>
      </c>
      <c r="BL80" s="306"/>
      <c r="BM80" s="306"/>
      <c r="BN80" s="306"/>
      <c r="BO80" s="306"/>
      <c r="BP80" s="493"/>
      <c r="BQ80" s="306"/>
      <c r="BR80" s="306"/>
      <c r="BS80" s="494"/>
      <c r="BT80" s="487"/>
      <c r="BU80" s="306"/>
      <c r="BV80" s="306"/>
      <c r="BW80" s="306"/>
      <c r="BX80" s="306"/>
      <c r="BY80" s="306"/>
      <c r="BZ80" s="306"/>
      <c r="CA80" s="306"/>
      <c r="CB80" s="306"/>
      <c r="CC80" s="493"/>
      <c r="CD80" s="306"/>
      <c r="CE80" s="306"/>
      <c r="CF80" s="494"/>
      <c r="CG80" s="487"/>
      <c r="CH80" s="306"/>
      <c r="CI80" s="306"/>
      <c r="CJ80" s="306"/>
      <c r="CK80" s="306"/>
      <c r="CL80" s="306"/>
      <c r="CM80" s="306"/>
      <c r="CN80" s="306"/>
      <c r="CO80" s="306"/>
      <c r="CP80" s="306"/>
      <c r="CQ80" s="306"/>
      <c r="CR80" s="306"/>
      <c r="CS80" s="494"/>
      <c r="CT80" s="306"/>
      <c r="CU80" s="306"/>
      <c r="CV80" s="306"/>
      <c r="CW80" s="306"/>
      <c r="CX80" s="306"/>
      <c r="CY80" s="306"/>
      <c r="CZ80" s="306"/>
      <c r="DA80" s="306"/>
      <c r="DB80" s="306"/>
      <c r="DC80" s="493"/>
      <c r="DD80" s="306"/>
      <c r="DE80" s="306"/>
      <c r="DF80" s="494"/>
      <c r="DG80" s="306"/>
      <c r="DH80" s="306"/>
      <c r="DI80" s="306"/>
      <c r="DJ80" s="306"/>
      <c r="DK80" s="306"/>
      <c r="DL80" s="306"/>
      <c r="DM80" s="306"/>
      <c r="DN80" s="306"/>
      <c r="DO80" s="306"/>
      <c r="DP80" s="493"/>
      <c r="DQ80" s="306"/>
      <c r="DR80" s="306"/>
      <c r="DS80" s="489"/>
      <c r="DT80" s="306"/>
      <c r="DU80" s="306"/>
      <c r="DV80" s="306"/>
      <c r="DW80" s="306"/>
      <c r="DX80" s="306"/>
      <c r="DY80" s="306"/>
      <c r="DZ80" s="306"/>
      <c r="EA80" s="306"/>
      <c r="EB80" s="306"/>
      <c r="EC80" s="306"/>
      <c r="ED80" s="493"/>
      <c r="EE80" s="306"/>
      <c r="EF80" s="306"/>
      <c r="EG80" s="306"/>
      <c r="EH80" s="487"/>
      <c r="EI80" s="306"/>
      <c r="EJ80" s="306"/>
      <c r="EK80" s="306"/>
      <c r="EL80" s="306"/>
      <c r="EM80" s="306"/>
      <c r="EN80" s="306"/>
      <c r="EO80" s="306"/>
      <c r="EP80" s="306"/>
      <c r="EQ80" s="306"/>
      <c r="ER80" s="306"/>
      <c r="ES80" s="306"/>
      <c r="ET80" s="306"/>
      <c r="EU80" s="306"/>
      <c r="EV80" s="491"/>
      <c r="EW80" s="306"/>
      <c r="EX80" s="306"/>
      <c r="EY80" s="306"/>
      <c r="EZ80" s="306"/>
      <c r="FA80" s="306"/>
      <c r="FB80" s="306"/>
      <c r="FC80" s="306"/>
      <c r="FD80" s="306"/>
      <c r="FE80" s="306"/>
      <c r="FF80" s="306"/>
      <c r="FG80" s="306"/>
      <c r="FH80" s="306"/>
      <c r="FI80" s="306"/>
      <c r="FJ80" s="306"/>
      <c r="FK80" s="306"/>
      <c r="FL80" s="487"/>
      <c r="FM80" s="306"/>
      <c r="FN80" s="306"/>
      <c r="FO80" s="306"/>
      <c r="FP80" s="306"/>
      <c r="FQ80" s="306"/>
      <c r="FR80" s="306"/>
      <c r="FS80" s="306"/>
      <c r="FT80" s="306"/>
      <c r="FU80" s="306"/>
      <c r="FV80" s="306"/>
      <c r="FW80" s="306"/>
      <c r="FX80" s="306"/>
      <c r="FY80" s="306"/>
      <c r="FZ80" s="306"/>
      <c r="GA80" s="306"/>
      <c r="GB80" s="491"/>
      <c r="GC80" s="306"/>
      <c r="GD80" s="306"/>
      <c r="GE80" s="306"/>
      <c r="GF80" s="491"/>
      <c r="GG80" s="494"/>
      <c r="GH80" s="487"/>
      <c r="GI80" s="306"/>
      <c r="GJ80" s="491"/>
      <c r="GK80" s="306"/>
      <c r="GL80" s="306"/>
      <c r="GM80" s="497"/>
      <c r="GN80" s="306"/>
      <c r="GO80" s="306"/>
      <c r="GP80" s="306"/>
    </row>
    <row r="81" spans="1:198" ht="42" x14ac:dyDescent="0.15">
      <c r="A81" s="498" t="e">
        <f>VLOOKUP($J81&amp;":", Catalog!$F$5:$BV127, COLUMNS(Catalog!$F$5:$BV127), FALSE)</f>
        <v>#N/A</v>
      </c>
      <c r="B81" s="482" t="b">
        <f t="shared" ca="1" si="0"/>
        <v>0</v>
      </c>
      <c r="C81" s="483" t="str">
        <f t="shared" si="1"/>
        <v>grantAchievementPlayLauncherUseState2</v>
      </c>
      <c r="D81" s="484" t="e">
        <f>VLOOKUP($J81&amp;":", Catalog!$F$5:$BW127, COLUMNS(Catalog!$F$5:$BW127), FALSE)</f>
        <v>#N/A</v>
      </c>
      <c r="E81" s="485" t="e">
        <f>VLOOKUP($J81&amp;":", Catalog!$F$5:$BX127, COLUMNS(Catalog!$F$5:$BX127), FALSE)</f>
        <v>#N/A</v>
      </c>
      <c r="F81" s="484" t="e">
        <f>VLOOKUP($J81&amp;":", Catalog!$F$5:$BY127, COLUMNS(Catalog!$F$5:$BY127), FALSE)</f>
        <v>#N/A</v>
      </c>
      <c r="G81" s="484" t="e">
        <f>VLOOKUP($J81, Catalog!$E$5:$BZ127, COLUMNS(Catalog!$E$5:$BZ127), FALSE)</f>
        <v>#N/A</v>
      </c>
      <c r="H81" s="483" t="s">
        <v>808</v>
      </c>
      <c r="I81" s="483">
        <v>2</v>
      </c>
      <c r="J81" s="306" t="s">
        <v>1155</v>
      </c>
      <c r="K81" s="486">
        <v>1</v>
      </c>
      <c r="L81" s="100" t="s">
        <v>279</v>
      </c>
      <c r="M81" s="332">
        <v>2</v>
      </c>
      <c r="N81" s="100" t="s">
        <v>280</v>
      </c>
      <c r="O81" s="86"/>
      <c r="P81" s="86"/>
      <c r="Q81" s="86"/>
      <c r="R81" s="100" t="e">
        <f t="shared" si="2"/>
        <v>#N/A</v>
      </c>
      <c r="S81" s="487"/>
      <c r="T81" s="486"/>
      <c r="U81" s="488"/>
      <c r="V81" s="488"/>
      <c r="W81" s="488"/>
      <c r="X81" s="488"/>
      <c r="Y81" s="306"/>
      <c r="Z81" s="306"/>
      <c r="AA81" s="489"/>
      <c r="AB81" s="306" t="e">
        <f t="shared" si="3"/>
        <v>#N/A</v>
      </c>
      <c r="AC81" s="490" t="e">
        <f t="shared" si="4"/>
        <v>#N/A</v>
      </c>
      <c r="AD81" s="490" t="e">
        <f t="shared" si="5"/>
        <v>#N/A</v>
      </c>
      <c r="AE81" s="306"/>
      <c r="AF81" s="332" t="e">
        <f t="shared" si="6"/>
        <v>#N/A</v>
      </c>
      <c r="AG81" s="306"/>
      <c r="AH81" s="487"/>
      <c r="AI81" s="306"/>
      <c r="AJ81" s="306"/>
      <c r="AK81" s="306"/>
      <c r="AL81" s="306"/>
      <c r="AM81" s="306"/>
      <c r="AN81" s="491"/>
      <c r="AO81" s="306"/>
      <c r="AP81" s="306"/>
      <c r="AQ81" s="306"/>
      <c r="AR81" s="306"/>
      <c r="AS81" s="306"/>
      <c r="AT81" s="487"/>
      <c r="AU81" s="306"/>
      <c r="AV81" s="306"/>
      <c r="AW81" s="306"/>
      <c r="AX81" s="306"/>
      <c r="AY81" s="306"/>
      <c r="AZ81" s="491"/>
      <c r="BA81" s="306"/>
      <c r="BB81" s="306"/>
      <c r="BC81" s="487"/>
      <c r="BD81" s="306"/>
      <c r="BE81" s="306"/>
      <c r="BF81" s="492" t="str">
        <f ca="1">IFERROR(__xludf.DUMMYFUNCTION("IF(REGEXMATCH($G81, ""Any""), ""any"", IF(REGEXMATCH($G81, ""All""), ""all"", """"))"),"all")</f>
        <v>all</v>
      </c>
      <c r="BG81" s="499" t="s">
        <v>1153</v>
      </c>
      <c r="BH81" s="332">
        <v>50</v>
      </c>
      <c r="BI81" s="306"/>
      <c r="BJ81" s="306"/>
      <c r="BK81" s="306"/>
      <c r="BL81" s="306"/>
      <c r="BM81" s="306"/>
      <c r="BN81" s="306"/>
      <c r="BO81" s="306"/>
      <c r="BP81" s="493"/>
      <c r="BQ81" s="306"/>
      <c r="BR81" s="306"/>
      <c r="BS81" s="494"/>
      <c r="BT81" s="487"/>
      <c r="BU81" s="306"/>
      <c r="BV81" s="306"/>
      <c r="BW81" s="306"/>
      <c r="BX81" s="306"/>
      <c r="BY81" s="306"/>
      <c r="BZ81" s="306"/>
      <c r="CA81" s="306"/>
      <c r="CB81" s="306"/>
      <c r="CC81" s="493"/>
      <c r="CD81" s="306"/>
      <c r="CE81" s="306"/>
      <c r="CF81" s="494"/>
      <c r="CG81" s="487"/>
      <c r="CH81" s="306"/>
      <c r="CI81" s="306"/>
      <c r="CJ81" s="306"/>
      <c r="CK81" s="306"/>
      <c r="CL81" s="306"/>
      <c r="CM81" s="306"/>
      <c r="CN81" s="306"/>
      <c r="CO81" s="306"/>
      <c r="CP81" s="306"/>
      <c r="CQ81" s="306"/>
      <c r="CR81" s="306"/>
      <c r="CS81" s="494"/>
      <c r="CT81" s="306"/>
      <c r="CU81" s="306"/>
      <c r="CV81" s="306"/>
      <c r="CW81" s="306"/>
      <c r="CX81" s="306"/>
      <c r="CY81" s="306"/>
      <c r="CZ81" s="306"/>
      <c r="DA81" s="306"/>
      <c r="DB81" s="306"/>
      <c r="DC81" s="493"/>
      <c r="DD81" s="306"/>
      <c r="DE81" s="306"/>
      <c r="DF81" s="494"/>
      <c r="DG81" s="306"/>
      <c r="DH81" s="306"/>
      <c r="DI81" s="306"/>
      <c r="DJ81" s="306"/>
      <c r="DK81" s="306"/>
      <c r="DL81" s="306"/>
      <c r="DM81" s="306"/>
      <c r="DN81" s="306"/>
      <c r="DO81" s="306"/>
      <c r="DP81" s="493"/>
      <c r="DQ81" s="306"/>
      <c r="DR81" s="306"/>
      <c r="DS81" s="489"/>
      <c r="DT81" s="306"/>
      <c r="DU81" s="306"/>
      <c r="DV81" s="306"/>
      <c r="DW81" s="306"/>
      <c r="DX81" s="306"/>
      <c r="DY81" s="306"/>
      <c r="DZ81" s="306"/>
      <c r="EA81" s="306"/>
      <c r="EB81" s="306"/>
      <c r="EC81" s="306"/>
      <c r="ED81" s="493"/>
      <c r="EE81" s="306"/>
      <c r="EF81" s="306"/>
      <c r="EG81" s="306"/>
      <c r="EH81" s="487"/>
      <c r="EI81" s="306"/>
      <c r="EJ81" s="306"/>
      <c r="EK81" s="306"/>
      <c r="EL81" s="306"/>
      <c r="EM81" s="306"/>
      <c r="EN81" s="306"/>
      <c r="EO81" s="306"/>
      <c r="EP81" s="306"/>
      <c r="EQ81" s="306"/>
      <c r="ER81" s="306"/>
      <c r="ES81" s="306"/>
      <c r="ET81" s="306"/>
      <c r="EU81" s="306"/>
      <c r="EV81" s="491"/>
      <c r="EW81" s="306"/>
      <c r="EX81" s="306"/>
      <c r="EY81" s="306"/>
      <c r="EZ81" s="306"/>
      <c r="FA81" s="306"/>
      <c r="FB81" s="306"/>
      <c r="FC81" s="306"/>
      <c r="FD81" s="306"/>
      <c r="FE81" s="306"/>
      <c r="FF81" s="306"/>
      <c r="FG81" s="306"/>
      <c r="FH81" s="306"/>
      <c r="FI81" s="306"/>
      <c r="FJ81" s="306"/>
      <c r="FK81" s="306"/>
      <c r="FL81" s="487"/>
      <c r="FM81" s="306"/>
      <c r="FN81" s="306"/>
      <c r="FO81" s="306"/>
      <c r="FP81" s="306"/>
      <c r="FQ81" s="306"/>
      <c r="FR81" s="306"/>
      <c r="FS81" s="306"/>
      <c r="FT81" s="306"/>
      <c r="FU81" s="306"/>
      <c r="FV81" s="306"/>
      <c r="FW81" s="306"/>
      <c r="FX81" s="306"/>
      <c r="FY81" s="306"/>
      <c r="FZ81" s="306"/>
      <c r="GA81" s="306"/>
      <c r="GB81" s="491"/>
      <c r="GC81" s="306"/>
      <c r="GD81" s="306"/>
      <c r="GE81" s="306"/>
      <c r="GF81" s="491"/>
      <c r="GG81" s="494"/>
      <c r="GH81" s="487"/>
      <c r="GI81" s="306"/>
      <c r="GJ81" s="491"/>
      <c r="GK81" s="306"/>
      <c r="GL81" s="306"/>
      <c r="GM81" s="497"/>
      <c r="GN81" s="306"/>
      <c r="GO81" s="306"/>
      <c r="GP81" s="306"/>
    </row>
    <row r="82" spans="1:198" ht="30" x14ac:dyDescent="0.15">
      <c r="A82" s="498" t="e">
        <f>VLOOKUP($J82&amp;":", Catalog!$F$5:$BV127, COLUMNS(Catalog!$F$5:$BV127), FALSE)</f>
        <v>#N/A</v>
      </c>
      <c r="B82" s="482" t="b">
        <f t="shared" ca="1" si="0"/>
        <v>0</v>
      </c>
      <c r="C82" s="483" t="str">
        <f t="shared" si="1"/>
        <v>grantAchievementPlayUltimateUseState2</v>
      </c>
      <c r="D82" s="484" t="e">
        <f>VLOOKUP($J82&amp;":", Catalog!$F$5:$BW127, COLUMNS(Catalog!$F$5:$BW127), FALSE)</f>
        <v>#N/A</v>
      </c>
      <c r="E82" s="485" t="e">
        <f>VLOOKUP($J82&amp;":", Catalog!$F$5:$BX127, COLUMNS(Catalog!$F$5:$BX127), FALSE)</f>
        <v>#N/A</v>
      </c>
      <c r="F82" s="484" t="e">
        <f>VLOOKUP($J82&amp;":", Catalog!$F$5:$BY127, COLUMNS(Catalog!$F$5:$BY127), FALSE)</f>
        <v>#N/A</v>
      </c>
      <c r="G82" s="484" t="e">
        <f>VLOOKUP($J82, Catalog!$E$5:$BZ127, COLUMNS(Catalog!$E$5:$BZ127), FALSE)</f>
        <v>#N/A</v>
      </c>
      <c r="H82" s="483" t="s">
        <v>808</v>
      </c>
      <c r="I82" s="483">
        <v>2</v>
      </c>
      <c r="J82" s="306" t="s">
        <v>1164</v>
      </c>
      <c r="K82" s="486">
        <v>1</v>
      </c>
      <c r="L82" s="100" t="s">
        <v>279</v>
      </c>
      <c r="M82" s="332">
        <v>2</v>
      </c>
      <c r="N82" s="100" t="s">
        <v>280</v>
      </c>
      <c r="O82" s="86"/>
      <c r="P82" s="86"/>
      <c r="Q82" s="86"/>
      <c r="R82" s="100" t="e">
        <f t="shared" si="2"/>
        <v>#N/A</v>
      </c>
      <c r="S82" s="487"/>
      <c r="T82" s="486"/>
      <c r="U82" s="488"/>
      <c r="V82" s="488"/>
      <c r="W82" s="488"/>
      <c r="X82" s="488"/>
      <c r="Y82" s="306"/>
      <c r="Z82" s="306"/>
      <c r="AA82" s="489"/>
      <c r="AB82" s="306" t="e">
        <f t="shared" si="3"/>
        <v>#N/A</v>
      </c>
      <c r="AC82" s="490" t="e">
        <f t="shared" si="4"/>
        <v>#N/A</v>
      </c>
      <c r="AD82" s="490" t="e">
        <f t="shared" si="5"/>
        <v>#N/A</v>
      </c>
      <c r="AE82" s="306"/>
      <c r="AF82" s="332" t="e">
        <f t="shared" si="6"/>
        <v>#N/A</v>
      </c>
      <c r="AG82" s="306"/>
      <c r="AH82" s="487"/>
      <c r="AI82" s="306"/>
      <c r="AJ82" s="306"/>
      <c r="AK82" s="306"/>
      <c r="AL82" s="306"/>
      <c r="AM82" s="306"/>
      <c r="AN82" s="491"/>
      <c r="AO82" s="306"/>
      <c r="AP82" s="306"/>
      <c r="AQ82" s="306"/>
      <c r="AR82" s="306"/>
      <c r="AS82" s="306"/>
      <c r="AT82" s="487"/>
      <c r="AU82" s="306"/>
      <c r="AV82" s="306"/>
      <c r="AW82" s="306"/>
      <c r="AX82" s="306"/>
      <c r="AY82" s="306"/>
      <c r="AZ82" s="491"/>
      <c r="BA82" s="306"/>
      <c r="BB82" s="306"/>
      <c r="BC82" s="487"/>
      <c r="BD82" s="306"/>
      <c r="BE82" s="306"/>
      <c r="BF82" s="492" t="str">
        <f ca="1">IFERROR(__xludf.DUMMYFUNCTION("IF(REGEXMATCH($G82, ""Any""), ""any"", IF(REGEXMATCH($G82, ""All""), ""all"", """"))"),"all")</f>
        <v>all</v>
      </c>
      <c r="BG82" s="499" t="s">
        <v>1162</v>
      </c>
      <c r="BH82" s="332">
        <v>25</v>
      </c>
      <c r="BI82" s="306"/>
      <c r="BJ82" s="306"/>
      <c r="BK82" s="306"/>
      <c r="BL82" s="306"/>
      <c r="BM82" s="306"/>
      <c r="BN82" s="306"/>
      <c r="BO82" s="306"/>
      <c r="BP82" s="493"/>
      <c r="BQ82" s="306"/>
      <c r="BR82" s="306"/>
      <c r="BS82" s="494"/>
      <c r="BT82" s="487"/>
      <c r="BU82" s="306"/>
      <c r="BV82" s="306"/>
      <c r="BW82" s="306"/>
      <c r="BX82" s="306"/>
      <c r="BY82" s="306"/>
      <c r="BZ82" s="306"/>
      <c r="CA82" s="306"/>
      <c r="CB82" s="306"/>
      <c r="CC82" s="493"/>
      <c r="CD82" s="306"/>
      <c r="CE82" s="306"/>
      <c r="CF82" s="494"/>
      <c r="CG82" s="487"/>
      <c r="CH82" s="306"/>
      <c r="CI82" s="306"/>
      <c r="CJ82" s="306"/>
      <c r="CK82" s="306"/>
      <c r="CL82" s="306"/>
      <c r="CM82" s="306"/>
      <c r="CN82" s="306"/>
      <c r="CO82" s="306"/>
      <c r="CP82" s="306"/>
      <c r="CQ82" s="306"/>
      <c r="CR82" s="306"/>
      <c r="CS82" s="494"/>
      <c r="CT82" s="306"/>
      <c r="CU82" s="306"/>
      <c r="CV82" s="306"/>
      <c r="CW82" s="306"/>
      <c r="CX82" s="306"/>
      <c r="CY82" s="306"/>
      <c r="CZ82" s="306"/>
      <c r="DA82" s="306"/>
      <c r="DB82" s="306"/>
      <c r="DC82" s="493"/>
      <c r="DD82" s="306"/>
      <c r="DE82" s="306"/>
      <c r="DF82" s="494"/>
      <c r="DG82" s="306"/>
      <c r="DH82" s="306"/>
      <c r="DI82" s="306"/>
      <c r="DJ82" s="306"/>
      <c r="DK82" s="306"/>
      <c r="DL82" s="306"/>
      <c r="DM82" s="306"/>
      <c r="DN82" s="306"/>
      <c r="DO82" s="306"/>
      <c r="DP82" s="493"/>
      <c r="DQ82" s="306"/>
      <c r="DR82" s="306"/>
      <c r="DS82" s="489"/>
      <c r="DT82" s="306"/>
      <c r="DU82" s="306"/>
      <c r="DV82" s="306"/>
      <c r="DW82" s="306"/>
      <c r="DX82" s="306"/>
      <c r="DY82" s="306"/>
      <c r="DZ82" s="306"/>
      <c r="EA82" s="306"/>
      <c r="EB82" s="306"/>
      <c r="EC82" s="306"/>
      <c r="ED82" s="493"/>
      <c r="EE82" s="306"/>
      <c r="EF82" s="306"/>
      <c r="EG82" s="306"/>
      <c r="EH82" s="487"/>
      <c r="EI82" s="306"/>
      <c r="EJ82" s="306"/>
      <c r="EK82" s="306"/>
      <c r="EL82" s="306"/>
      <c r="EM82" s="306"/>
      <c r="EN82" s="306"/>
      <c r="EO82" s="306"/>
      <c r="EP82" s="306"/>
      <c r="EQ82" s="306"/>
      <c r="ER82" s="306"/>
      <c r="ES82" s="306"/>
      <c r="ET82" s="306"/>
      <c r="EU82" s="306"/>
      <c r="EV82" s="491"/>
      <c r="EW82" s="306"/>
      <c r="EX82" s="306"/>
      <c r="EY82" s="306"/>
      <c r="EZ82" s="306"/>
      <c r="FA82" s="306"/>
      <c r="FB82" s="306"/>
      <c r="FC82" s="306"/>
      <c r="FD82" s="306"/>
      <c r="FE82" s="306"/>
      <c r="FF82" s="306"/>
      <c r="FG82" s="306"/>
      <c r="FH82" s="306"/>
      <c r="FI82" s="306"/>
      <c r="FJ82" s="306"/>
      <c r="FK82" s="306"/>
      <c r="FL82" s="487"/>
      <c r="FM82" s="306"/>
      <c r="FN82" s="306"/>
      <c r="FO82" s="306"/>
      <c r="FP82" s="306"/>
      <c r="FQ82" s="306"/>
      <c r="FR82" s="306"/>
      <c r="FS82" s="306"/>
      <c r="FT82" s="306"/>
      <c r="FU82" s="306"/>
      <c r="FV82" s="306"/>
      <c r="FW82" s="306"/>
      <c r="FX82" s="306"/>
      <c r="FY82" s="306"/>
      <c r="FZ82" s="306"/>
      <c r="GA82" s="306"/>
      <c r="GB82" s="491"/>
      <c r="GC82" s="306"/>
      <c r="GD82" s="306"/>
      <c r="GE82" s="306"/>
      <c r="GF82" s="491"/>
      <c r="GG82" s="494"/>
      <c r="GH82" s="487"/>
      <c r="GI82" s="306"/>
      <c r="GJ82" s="491"/>
      <c r="GK82" s="306"/>
      <c r="GL82" s="306"/>
      <c r="GM82" s="497"/>
      <c r="GN82" s="306"/>
      <c r="GO82" s="306"/>
      <c r="GP82" s="306"/>
    </row>
    <row r="83" spans="1:198" ht="45" x14ac:dyDescent="0.15">
      <c r="A83" s="498" t="e">
        <f>VLOOKUP($J83&amp;":", Catalog!$F$5:$BV127, COLUMNS(Catalog!$F$5:$BV127), FALSE)</f>
        <v>#N/A</v>
      </c>
      <c r="B83" s="482" t="b">
        <f t="shared" ca="1" si="0"/>
        <v>0</v>
      </c>
      <c r="C83" s="483" t="str">
        <f t="shared" si="1"/>
        <v>grantAchievementPlayObjectsFreezeState2</v>
      </c>
      <c r="D83" s="484" t="e">
        <f>VLOOKUP($J83&amp;":", Catalog!$F$5:$BW127, COLUMNS(Catalog!$F$5:$BW127), FALSE)</f>
        <v>#N/A</v>
      </c>
      <c r="E83" s="485" t="e">
        <f>VLOOKUP($J83&amp;":", Catalog!$F$5:$BX127, COLUMNS(Catalog!$F$5:$BX127), FALSE)</f>
        <v>#N/A</v>
      </c>
      <c r="F83" s="484" t="e">
        <f>VLOOKUP($J83&amp;":", Catalog!$F$5:$BY127, COLUMNS(Catalog!$F$5:$BY127), FALSE)</f>
        <v>#N/A</v>
      </c>
      <c r="G83" s="484" t="e">
        <f>VLOOKUP($J83, Catalog!$E$5:$BZ127, COLUMNS(Catalog!$E$5:$BZ127), FALSE)</f>
        <v>#N/A</v>
      </c>
      <c r="H83" s="483" t="s">
        <v>808</v>
      </c>
      <c r="I83" s="483">
        <v>2</v>
      </c>
      <c r="J83" s="306" t="s">
        <v>1173</v>
      </c>
      <c r="K83" s="486">
        <v>1</v>
      </c>
      <c r="L83" s="100" t="s">
        <v>279</v>
      </c>
      <c r="M83" s="332">
        <v>2</v>
      </c>
      <c r="N83" s="100" t="s">
        <v>280</v>
      </c>
      <c r="O83" s="86"/>
      <c r="P83" s="86"/>
      <c r="Q83" s="86"/>
      <c r="R83" s="100" t="e">
        <f t="shared" si="2"/>
        <v>#N/A</v>
      </c>
      <c r="S83" s="487"/>
      <c r="T83" s="486"/>
      <c r="U83" s="488"/>
      <c r="V83" s="488"/>
      <c r="W83" s="488"/>
      <c r="X83" s="488"/>
      <c r="Y83" s="306"/>
      <c r="Z83" s="306"/>
      <c r="AA83" s="489"/>
      <c r="AB83" s="306" t="e">
        <f t="shared" si="3"/>
        <v>#N/A</v>
      </c>
      <c r="AC83" s="490" t="e">
        <f t="shared" si="4"/>
        <v>#N/A</v>
      </c>
      <c r="AD83" s="490" t="e">
        <f t="shared" si="5"/>
        <v>#N/A</v>
      </c>
      <c r="AE83" s="306"/>
      <c r="AF83" s="332" t="e">
        <f t="shared" si="6"/>
        <v>#N/A</v>
      </c>
      <c r="AG83" s="306"/>
      <c r="AH83" s="487"/>
      <c r="AI83" s="306"/>
      <c r="AJ83" s="306"/>
      <c r="AK83" s="306"/>
      <c r="AL83" s="306"/>
      <c r="AM83" s="306"/>
      <c r="AN83" s="491"/>
      <c r="AO83" s="306"/>
      <c r="AP83" s="306"/>
      <c r="AQ83" s="306"/>
      <c r="AR83" s="306"/>
      <c r="AS83" s="306"/>
      <c r="AT83" s="487"/>
      <c r="AU83" s="306"/>
      <c r="AV83" s="306"/>
      <c r="AW83" s="306"/>
      <c r="AX83" s="306"/>
      <c r="AY83" s="306"/>
      <c r="AZ83" s="491"/>
      <c r="BA83" s="306"/>
      <c r="BB83" s="306"/>
      <c r="BC83" s="487"/>
      <c r="BD83" s="306"/>
      <c r="BE83" s="306"/>
      <c r="BF83" s="492" t="str">
        <f ca="1">IFERROR(__xludf.DUMMYFUNCTION("IF(REGEXMATCH($G83, ""Any""), ""any"", IF(REGEXMATCH($G83, ""All""), ""all"", """"))"),"all")</f>
        <v>all</v>
      </c>
      <c r="BG83" s="499" t="s">
        <v>1171</v>
      </c>
      <c r="BH83" s="332">
        <v>25</v>
      </c>
      <c r="BI83" s="306"/>
      <c r="BJ83" s="306"/>
      <c r="BK83" s="306"/>
      <c r="BL83" s="306"/>
      <c r="BM83" s="306"/>
      <c r="BN83" s="306"/>
      <c r="BO83" s="306"/>
      <c r="BP83" s="493"/>
      <c r="BQ83" s="306"/>
      <c r="BR83" s="306"/>
      <c r="BS83" s="494"/>
      <c r="BT83" s="487"/>
      <c r="BU83" s="306"/>
      <c r="BV83" s="306"/>
      <c r="BW83" s="306"/>
      <c r="BX83" s="306"/>
      <c r="BY83" s="306"/>
      <c r="BZ83" s="306"/>
      <c r="CA83" s="306"/>
      <c r="CB83" s="306"/>
      <c r="CC83" s="493"/>
      <c r="CD83" s="306"/>
      <c r="CE83" s="306"/>
      <c r="CF83" s="494"/>
      <c r="CG83" s="487"/>
      <c r="CH83" s="306"/>
      <c r="CI83" s="306"/>
      <c r="CJ83" s="306"/>
      <c r="CK83" s="306"/>
      <c r="CL83" s="306"/>
      <c r="CM83" s="306"/>
      <c r="CN83" s="306"/>
      <c r="CO83" s="306"/>
      <c r="CP83" s="306"/>
      <c r="CQ83" s="306"/>
      <c r="CR83" s="306"/>
      <c r="CS83" s="494"/>
      <c r="CT83" s="306"/>
      <c r="CU83" s="306"/>
      <c r="CV83" s="306"/>
      <c r="CW83" s="306"/>
      <c r="CX83" s="306"/>
      <c r="CY83" s="306"/>
      <c r="CZ83" s="306"/>
      <c r="DA83" s="306"/>
      <c r="DB83" s="306"/>
      <c r="DC83" s="493"/>
      <c r="DD83" s="306"/>
      <c r="DE83" s="306"/>
      <c r="DF83" s="494"/>
      <c r="DG83" s="306"/>
      <c r="DH83" s="306"/>
      <c r="DI83" s="306"/>
      <c r="DJ83" s="306"/>
      <c r="DK83" s="306"/>
      <c r="DL83" s="306"/>
      <c r="DM83" s="306"/>
      <c r="DN83" s="306"/>
      <c r="DO83" s="306"/>
      <c r="DP83" s="493"/>
      <c r="DQ83" s="306"/>
      <c r="DR83" s="306"/>
      <c r="DS83" s="489"/>
      <c r="DT83" s="306"/>
      <c r="DU83" s="306"/>
      <c r="DV83" s="306"/>
      <c r="DW83" s="306"/>
      <c r="DX83" s="306"/>
      <c r="DY83" s="306"/>
      <c r="DZ83" s="306"/>
      <c r="EA83" s="306"/>
      <c r="EB83" s="306"/>
      <c r="EC83" s="306"/>
      <c r="ED83" s="493"/>
      <c r="EE83" s="306"/>
      <c r="EF83" s="306"/>
      <c r="EG83" s="306"/>
      <c r="EH83" s="487"/>
      <c r="EI83" s="306"/>
      <c r="EJ83" s="306"/>
      <c r="EK83" s="306"/>
      <c r="EL83" s="306"/>
      <c r="EM83" s="306"/>
      <c r="EN83" s="306"/>
      <c r="EO83" s="306"/>
      <c r="EP83" s="306"/>
      <c r="EQ83" s="306"/>
      <c r="ER83" s="306"/>
      <c r="ES83" s="306"/>
      <c r="ET83" s="306"/>
      <c r="EU83" s="306"/>
      <c r="EV83" s="491"/>
      <c r="EW83" s="306"/>
      <c r="EX83" s="306"/>
      <c r="EY83" s="306"/>
      <c r="EZ83" s="306"/>
      <c r="FA83" s="306"/>
      <c r="FB83" s="306"/>
      <c r="FC83" s="306"/>
      <c r="FD83" s="306"/>
      <c r="FE83" s="306"/>
      <c r="FF83" s="306"/>
      <c r="FG83" s="306"/>
      <c r="FH83" s="306"/>
      <c r="FI83" s="306"/>
      <c r="FJ83" s="306"/>
      <c r="FK83" s="306"/>
      <c r="FL83" s="487"/>
      <c r="FM83" s="306"/>
      <c r="FN83" s="306"/>
      <c r="FO83" s="306"/>
      <c r="FP83" s="306"/>
      <c r="FQ83" s="306"/>
      <c r="FR83" s="306"/>
      <c r="FS83" s="306"/>
      <c r="FT83" s="306"/>
      <c r="FU83" s="306"/>
      <c r="FV83" s="306"/>
      <c r="FW83" s="306"/>
      <c r="FX83" s="306"/>
      <c r="FY83" s="306"/>
      <c r="FZ83" s="306"/>
      <c r="GA83" s="306"/>
      <c r="GB83" s="491"/>
      <c r="GC83" s="306"/>
      <c r="GD83" s="306"/>
      <c r="GE83" s="306"/>
      <c r="GF83" s="491"/>
      <c r="GG83" s="494"/>
      <c r="GH83" s="487"/>
      <c r="GI83" s="306"/>
      <c r="GJ83" s="491"/>
      <c r="GK83" s="306"/>
      <c r="GL83" s="306"/>
      <c r="GM83" s="497"/>
      <c r="GN83" s="306"/>
      <c r="GO83" s="306"/>
      <c r="GP83" s="306"/>
    </row>
    <row r="84" spans="1:198" ht="30" x14ac:dyDescent="0.15">
      <c r="A84" s="498" t="e">
        <f>VLOOKUP($J84&amp;":", Catalog!$F$5:$BV127, COLUMNS(Catalog!$F$5:$BV127), FALSE)</f>
        <v>#N/A</v>
      </c>
      <c r="B84" s="482" t="b">
        <f t="shared" ca="1" si="0"/>
        <v>0</v>
      </c>
      <c r="C84" s="483" t="str">
        <f t="shared" si="1"/>
        <v>grantAchievementPlayObjectsBurnState2</v>
      </c>
      <c r="D84" s="484" t="e">
        <f>VLOOKUP($J84&amp;":", Catalog!$F$5:$BW127, COLUMNS(Catalog!$F$5:$BW127), FALSE)</f>
        <v>#N/A</v>
      </c>
      <c r="E84" s="485" t="e">
        <f>VLOOKUP($J84&amp;":", Catalog!$F$5:$BX127, COLUMNS(Catalog!$F$5:$BX127), FALSE)</f>
        <v>#N/A</v>
      </c>
      <c r="F84" s="484" t="e">
        <f>VLOOKUP($J84&amp;":", Catalog!$F$5:$BY127, COLUMNS(Catalog!$F$5:$BY127), FALSE)</f>
        <v>#N/A</v>
      </c>
      <c r="G84" s="484" t="e">
        <f>VLOOKUP($J84, Catalog!$E$5:$BZ127, COLUMNS(Catalog!$E$5:$BZ127), FALSE)</f>
        <v>#N/A</v>
      </c>
      <c r="H84" s="483" t="s">
        <v>808</v>
      </c>
      <c r="I84" s="483">
        <v>2</v>
      </c>
      <c r="J84" s="306" t="s">
        <v>1182</v>
      </c>
      <c r="K84" s="486">
        <v>1</v>
      </c>
      <c r="L84" s="100" t="s">
        <v>279</v>
      </c>
      <c r="M84" s="332">
        <v>2</v>
      </c>
      <c r="N84" s="100" t="s">
        <v>280</v>
      </c>
      <c r="O84" s="86"/>
      <c r="P84" s="86"/>
      <c r="Q84" s="86"/>
      <c r="R84" s="100" t="e">
        <f t="shared" si="2"/>
        <v>#N/A</v>
      </c>
      <c r="S84" s="487"/>
      <c r="T84" s="486"/>
      <c r="U84" s="488"/>
      <c r="V84" s="488"/>
      <c r="W84" s="488"/>
      <c r="X84" s="488"/>
      <c r="Y84" s="306"/>
      <c r="Z84" s="306"/>
      <c r="AA84" s="489"/>
      <c r="AB84" s="306" t="e">
        <f t="shared" si="3"/>
        <v>#N/A</v>
      </c>
      <c r="AC84" s="490" t="e">
        <f t="shared" si="4"/>
        <v>#N/A</v>
      </c>
      <c r="AD84" s="490" t="e">
        <f t="shared" si="5"/>
        <v>#N/A</v>
      </c>
      <c r="AE84" s="306"/>
      <c r="AF84" s="332" t="e">
        <f t="shared" si="6"/>
        <v>#N/A</v>
      </c>
      <c r="AG84" s="306"/>
      <c r="AH84" s="487"/>
      <c r="AI84" s="306"/>
      <c r="AJ84" s="306"/>
      <c r="AK84" s="306"/>
      <c r="AL84" s="306"/>
      <c r="AM84" s="306"/>
      <c r="AN84" s="491"/>
      <c r="AO84" s="306"/>
      <c r="AP84" s="306"/>
      <c r="AQ84" s="306"/>
      <c r="AR84" s="306"/>
      <c r="AS84" s="306"/>
      <c r="AT84" s="487"/>
      <c r="AU84" s="306"/>
      <c r="AV84" s="306"/>
      <c r="AW84" s="306"/>
      <c r="AX84" s="306"/>
      <c r="AY84" s="306"/>
      <c r="AZ84" s="491"/>
      <c r="BA84" s="306"/>
      <c r="BB84" s="306"/>
      <c r="BC84" s="487"/>
      <c r="BD84" s="306"/>
      <c r="BE84" s="306"/>
      <c r="BF84" s="492" t="str">
        <f ca="1">IFERROR(__xludf.DUMMYFUNCTION("IF(REGEXMATCH($G84, ""Any""), ""any"", IF(REGEXMATCH($G84, ""All""), ""all"", """"))"),"all")</f>
        <v>all</v>
      </c>
      <c r="BG84" s="499" t="s">
        <v>1180</v>
      </c>
      <c r="BH84" s="332">
        <v>25</v>
      </c>
      <c r="BI84" s="306"/>
      <c r="BJ84" s="306"/>
      <c r="BK84" s="306"/>
      <c r="BL84" s="306"/>
      <c r="BM84" s="306"/>
      <c r="BN84" s="306"/>
      <c r="BO84" s="306"/>
      <c r="BP84" s="493"/>
      <c r="BQ84" s="306"/>
      <c r="BR84" s="306"/>
      <c r="BS84" s="494"/>
      <c r="BT84" s="487"/>
      <c r="BU84" s="306"/>
      <c r="BV84" s="306"/>
      <c r="BW84" s="306"/>
      <c r="BX84" s="306"/>
      <c r="BY84" s="306"/>
      <c r="BZ84" s="306"/>
      <c r="CA84" s="306"/>
      <c r="CB84" s="306"/>
      <c r="CC84" s="493"/>
      <c r="CD84" s="306"/>
      <c r="CE84" s="306"/>
      <c r="CF84" s="494"/>
      <c r="CG84" s="487"/>
      <c r="CH84" s="306"/>
      <c r="CI84" s="306"/>
      <c r="CJ84" s="306"/>
      <c r="CK84" s="306"/>
      <c r="CL84" s="306"/>
      <c r="CM84" s="306"/>
      <c r="CN84" s="306"/>
      <c r="CO84" s="306"/>
      <c r="CP84" s="306"/>
      <c r="CQ84" s="306"/>
      <c r="CR84" s="306"/>
      <c r="CS84" s="494"/>
      <c r="CT84" s="306"/>
      <c r="CU84" s="306"/>
      <c r="CV84" s="306"/>
      <c r="CW84" s="306"/>
      <c r="CX84" s="306"/>
      <c r="CY84" s="306"/>
      <c r="CZ84" s="306"/>
      <c r="DA84" s="306"/>
      <c r="DB84" s="306"/>
      <c r="DC84" s="493"/>
      <c r="DD84" s="306"/>
      <c r="DE84" s="306"/>
      <c r="DF84" s="494"/>
      <c r="DG84" s="306"/>
      <c r="DH84" s="306"/>
      <c r="DI84" s="306"/>
      <c r="DJ84" s="306"/>
      <c r="DK84" s="306"/>
      <c r="DL84" s="306"/>
      <c r="DM84" s="306"/>
      <c r="DN84" s="306"/>
      <c r="DO84" s="306"/>
      <c r="DP84" s="493"/>
      <c r="DQ84" s="306"/>
      <c r="DR84" s="306"/>
      <c r="DS84" s="489"/>
      <c r="DT84" s="306"/>
      <c r="DU84" s="306"/>
      <c r="DV84" s="306"/>
      <c r="DW84" s="306"/>
      <c r="DX84" s="306"/>
      <c r="DY84" s="306"/>
      <c r="DZ84" s="306"/>
      <c r="EA84" s="306"/>
      <c r="EB84" s="306"/>
      <c r="EC84" s="306"/>
      <c r="ED84" s="493"/>
      <c r="EE84" s="306"/>
      <c r="EF84" s="306"/>
      <c r="EG84" s="306"/>
      <c r="EH84" s="487"/>
      <c r="EI84" s="306"/>
      <c r="EJ84" s="306"/>
      <c r="EK84" s="306"/>
      <c r="EL84" s="306"/>
      <c r="EM84" s="306"/>
      <c r="EN84" s="306"/>
      <c r="EO84" s="306"/>
      <c r="EP84" s="306"/>
      <c r="EQ84" s="306"/>
      <c r="ER84" s="306"/>
      <c r="ES84" s="306"/>
      <c r="ET84" s="306"/>
      <c r="EU84" s="306"/>
      <c r="EV84" s="491"/>
      <c r="EW84" s="306"/>
      <c r="EX84" s="306"/>
      <c r="EY84" s="306"/>
      <c r="EZ84" s="306"/>
      <c r="FA84" s="306"/>
      <c r="FB84" s="306"/>
      <c r="FC84" s="306"/>
      <c r="FD84" s="306"/>
      <c r="FE84" s="306"/>
      <c r="FF84" s="306"/>
      <c r="FG84" s="306"/>
      <c r="FH84" s="306"/>
      <c r="FI84" s="306"/>
      <c r="FJ84" s="306"/>
      <c r="FK84" s="306"/>
      <c r="FL84" s="487"/>
      <c r="FM84" s="306"/>
      <c r="FN84" s="306"/>
      <c r="FO84" s="306"/>
      <c r="FP84" s="306"/>
      <c r="FQ84" s="306"/>
      <c r="FR84" s="306"/>
      <c r="FS84" s="306"/>
      <c r="FT84" s="306"/>
      <c r="FU84" s="306"/>
      <c r="FV84" s="306"/>
      <c r="FW84" s="306"/>
      <c r="FX84" s="306"/>
      <c r="FY84" s="306"/>
      <c r="FZ84" s="306"/>
      <c r="GA84" s="306"/>
      <c r="GB84" s="491"/>
      <c r="GC84" s="306"/>
      <c r="GD84" s="306"/>
      <c r="GE84" s="306"/>
      <c r="GF84" s="491"/>
      <c r="GG84" s="494"/>
      <c r="GH84" s="487"/>
      <c r="GI84" s="306"/>
      <c r="GJ84" s="491"/>
      <c r="GK84" s="306"/>
      <c r="GL84" s="306"/>
      <c r="GM84" s="497"/>
      <c r="GN84" s="306"/>
      <c r="GO84" s="306"/>
      <c r="GP84" s="306"/>
    </row>
    <row r="85" spans="1:198" ht="45" x14ac:dyDescent="0.15">
      <c r="A85" s="498" t="e">
        <f>VLOOKUP($J85&amp;":", Catalog!$F$5:$BV127, COLUMNS(Catalog!$F$5:$BV127), FALSE)</f>
        <v>#N/A</v>
      </c>
      <c r="B85" s="482" t="b">
        <f t="shared" ca="1" si="0"/>
        <v>0</v>
      </c>
      <c r="C85" s="483" t="str">
        <f t="shared" si="1"/>
        <v>grantAchievementPlayObjectsElectrifyState2</v>
      </c>
      <c r="D85" s="484" t="e">
        <f>VLOOKUP($J85&amp;":", Catalog!$F$5:$BW127, COLUMNS(Catalog!$F$5:$BW127), FALSE)</f>
        <v>#N/A</v>
      </c>
      <c r="E85" s="485" t="e">
        <f>VLOOKUP($J85&amp;":", Catalog!$F$5:$BX127, COLUMNS(Catalog!$F$5:$BX127), FALSE)</f>
        <v>#N/A</v>
      </c>
      <c r="F85" s="484" t="e">
        <f>VLOOKUP($J85&amp;":", Catalog!$F$5:$BY127, COLUMNS(Catalog!$F$5:$BY127), FALSE)</f>
        <v>#N/A</v>
      </c>
      <c r="G85" s="484" t="e">
        <f>VLOOKUP($J85, Catalog!$E$5:$BZ127, COLUMNS(Catalog!$E$5:$BZ127), FALSE)</f>
        <v>#N/A</v>
      </c>
      <c r="H85" s="483" t="s">
        <v>808</v>
      </c>
      <c r="I85" s="483">
        <v>2</v>
      </c>
      <c r="J85" s="306" t="s">
        <v>1191</v>
      </c>
      <c r="K85" s="486">
        <v>1</v>
      </c>
      <c r="L85" s="100" t="s">
        <v>279</v>
      </c>
      <c r="M85" s="332">
        <v>2</v>
      </c>
      <c r="N85" s="100" t="s">
        <v>280</v>
      </c>
      <c r="O85" s="86"/>
      <c r="P85" s="86"/>
      <c r="Q85" s="86"/>
      <c r="R85" s="100" t="e">
        <f t="shared" si="2"/>
        <v>#N/A</v>
      </c>
      <c r="S85" s="487"/>
      <c r="T85" s="486"/>
      <c r="U85" s="488"/>
      <c r="V85" s="488"/>
      <c r="W85" s="488"/>
      <c r="X85" s="488"/>
      <c r="Y85" s="306"/>
      <c r="Z85" s="306"/>
      <c r="AA85" s="489"/>
      <c r="AB85" s="306" t="e">
        <f t="shared" si="3"/>
        <v>#N/A</v>
      </c>
      <c r="AC85" s="490" t="e">
        <f t="shared" si="4"/>
        <v>#N/A</v>
      </c>
      <c r="AD85" s="490" t="e">
        <f t="shared" si="5"/>
        <v>#N/A</v>
      </c>
      <c r="AE85" s="306"/>
      <c r="AF85" s="332" t="e">
        <f t="shared" si="6"/>
        <v>#N/A</v>
      </c>
      <c r="AG85" s="306"/>
      <c r="AH85" s="487"/>
      <c r="AI85" s="306"/>
      <c r="AJ85" s="306"/>
      <c r="AK85" s="306"/>
      <c r="AL85" s="306"/>
      <c r="AM85" s="306"/>
      <c r="AN85" s="491"/>
      <c r="AO85" s="306"/>
      <c r="AP85" s="306"/>
      <c r="AQ85" s="306"/>
      <c r="AR85" s="306"/>
      <c r="AS85" s="306"/>
      <c r="AT85" s="487"/>
      <c r="AU85" s="306"/>
      <c r="AV85" s="306"/>
      <c r="AW85" s="306"/>
      <c r="AX85" s="306"/>
      <c r="AY85" s="306"/>
      <c r="AZ85" s="491"/>
      <c r="BA85" s="306"/>
      <c r="BB85" s="306"/>
      <c r="BC85" s="487"/>
      <c r="BD85" s="306"/>
      <c r="BE85" s="306"/>
      <c r="BF85" s="492" t="str">
        <f ca="1">IFERROR(__xludf.DUMMYFUNCTION("IF(REGEXMATCH($G85, ""Any""), ""any"", IF(REGEXMATCH($G85, ""All""), ""all"", """"))"),"all")</f>
        <v>all</v>
      </c>
      <c r="BG85" s="499" t="s">
        <v>1189</v>
      </c>
      <c r="BH85" s="332">
        <v>25</v>
      </c>
      <c r="BI85" s="306"/>
      <c r="BJ85" s="306"/>
      <c r="BK85" s="306"/>
      <c r="BL85" s="306"/>
      <c r="BM85" s="306"/>
      <c r="BN85" s="306"/>
      <c r="BO85" s="306"/>
      <c r="BP85" s="493"/>
      <c r="BQ85" s="306"/>
      <c r="BR85" s="306"/>
      <c r="BS85" s="494"/>
      <c r="BT85" s="487"/>
      <c r="BU85" s="306"/>
      <c r="BV85" s="306"/>
      <c r="BW85" s="306"/>
      <c r="BX85" s="306"/>
      <c r="BY85" s="306"/>
      <c r="BZ85" s="306"/>
      <c r="CA85" s="306"/>
      <c r="CB85" s="306"/>
      <c r="CC85" s="493"/>
      <c r="CD85" s="306"/>
      <c r="CE85" s="306"/>
      <c r="CF85" s="494"/>
      <c r="CG85" s="487"/>
      <c r="CH85" s="306"/>
      <c r="CI85" s="306"/>
      <c r="CJ85" s="306"/>
      <c r="CK85" s="306"/>
      <c r="CL85" s="306"/>
      <c r="CM85" s="306"/>
      <c r="CN85" s="306"/>
      <c r="CO85" s="306"/>
      <c r="CP85" s="306"/>
      <c r="CQ85" s="306"/>
      <c r="CR85" s="306"/>
      <c r="CS85" s="494"/>
      <c r="CT85" s="306"/>
      <c r="CU85" s="306"/>
      <c r="CV85" s="306"/>
      <c r="CW85" s="306"/>
      <c r="CX85" s="306"/>
      <c r="CY85" s="306"/>
      <c r="CZ85" s="306"/>
      <c r="DA85" s="306"/>
      <c r="DB85" s="306"/>
      <c r="DC85" s="493"/>
      <c r="DD85" s="306"/>
      <c r="DE85" s="306"/>
      <c r="DF85" s="494"/>
      <c r="DG85" s="306"/>
      <c r="DH85" s="306"/>
      <c r="DI85" s="306"/>
      <c r="DJ85" s="306"/>
      <c r="DK85" s="306"/>
      <c r="DL85" s="306"/>
      <c r="DM85" s="306"/>
      <c r="DN85" s="306"/>
      <c r="DO85" s="306"/>
      <c r="DP85" s="493"/>
      <c r="DQ85" s="306"/>
      <c r="DR85" s="306"/>
      <c r="DS85" s="489"/>
      <c r="DT85" s="306"/>
      <c r="DU85" s="306"/>
      <c r="DV85" s="306"/>
      <c r="DW85" s="306"/>
      <c r="DX85" s="306"/>
      <c r="DY85" s="306"/>
      <c r="DZ85" s="306"/>
      <c r="EA85" s="306"/>
      <c r="EB85" s="306"/>
      <c r="EC85" s="306"/>
      <c r="ED85" s="493"/>
      <c r="EE85" s="306"/>
      <c r="EF85" s="306"/>
      <c r="EG85" s="306"/>
      <c r="EH85" s="487"/>
      <c r="EI85" s="306"/>
      <c r="EJ85" s="306"/>
      <c r="EK85" s="306"/>
      <c r="EL85" s="306"/>
      <c r="EM85" s="306"/>
      <c r="EN85" s="306"/>
      <c r="EO85" s="306"/>
      <c r="EP85" s="306"/>
      <c r="EQ85" s="306"/>
      <c r="ER85" s="306"/>
      <c r="ES85" s="306"/>
      <c r="ET85" s="306"/>
      <c r="EU85" s="306"/>
      <c r="EV85" s="491"/>
      <c r="EW85" s="306"/>
      <c r="EX85" s="306"/>
      <c r="EY85" s="306"/>
      <c r="EZ85" s="306"/>
      <c r="FA85" s="306"/>
      <c r="FB85" s="306"/>
      <c r="FC85" s="306"/>
      <c r="FD85" s="306"/>
      <c r="FE85" s="306"/>
      <c r="FF85" s="306"/>
      <c r="FG85" s="306"/>
      <c r="FH85" s="306"/>
      <c r="FI85" s="306"/>
      <c r="FJ85" s="306"/>
      <c r="FK85" s="306"/>
      <c r="FL85" s="487"/>
      <c r="FM85" s="306"/>
      <c r="FN85" s="306"/>
      <c r="FO85" s="306"/>
      <c r="FP85" s="306"/>
      <c r="FQ85" s="306"/>
      <c r="FR85" s="306"/>
      <c r="FS85" s="306"/>
      <c r="FT85" s="306"/>
      <c r="FU85" s="306"/>
      <c r="FV85" s="306"/>
      <c r="FW85" s="306"/>
      <c r="FX85" s="306"/>
      <c r="FY85" s="306"/>
      <c r="FZ85" s="306"/>
      <c r="GA85" s="306"/>
      <c r="GB85" s="491"/>
      <c r="GC85" s="306"/>
      <c r="GD85" s="306"/>
      <c r="GE85" s="306"/>
      <c r="GF85" s="491"/>
      <c r="GG85" s="494"/>
      <c r="GH85" s="487"/>
      <c r="GI85" s="306"/>
      <c r="GJ85" s="491"/>
      <c r="GK85" s="306"/>
      <c r="GL85" s="306"/>
      <c r="GM85" s="497"/>
      <c r="GN85" s="306"/>
      <c r="GO85" s="306"/>
      <c r="GP85" s="306"/>
    </row>
    <row r="86" spans="1:198" ht="42" x14ac:dyDescent="0.15">
      <c r="A86" s="498" t="e">
        <f>VLOOKUP($J86&amp;":", Catalog!$F$5:$BV127, COLUMNS(Catalog!$F$5:$BV127), FALSE)</f>
        <v>#N/A</v>
      </c>
      <c r="B86" s="482" t="b">
        <f t="shared" ca="1" si="0"/>
        <v>0</v>
      </c>
      <c r="C86" s="483" t="str">
        <f t="shared" si="1"/>
        <v>grantAchievementPlayObjectsCrushState2</v>
      </c>
      <c r="D86" s="484" t="e">
        <f>VLOOKUP($J86&amp;":", Catalog!$F$5:$BW127, COLUMNS(Catalog!$F$5:$BW127), FALSE)</f>
        <v>#N/A</v>
      </c>
      <c r="E86" s="485" t="e">
        <f>VLOOKUP($J86&amp;":", Catalog!$F$5:$BX127, COLUMNS(Catalog!$F$5:$BX127), FALSE)</f>
        <v>#N/A</v>
      </c>
      <c r="F86" s="484" t="e">
        <f>VLOOKUP($J86&amp;":", Catalog!$F$5:$BY127, COLUMNS(Catalog!$F$5:$BY127), FALSE)</f>
        <v>#N/A</v>
      </c>
      <c r="G86" s="484" t="e">
        <f>VLOOKUP($J86, Catalog!$E$5:$BZ127, COLUMNS(Catalog!$E$5:$BZ127), FALSE)</f>
        <v>#N/A</v>
      </c>
      <c r="H86" s="483" t="s">
        <v>808</v>
      </c>
      <c r="I86" s="483">
        <v>2</v>
      </c>
      <c r="J86" s="306" t="s">
        <v>1200</v>
      </c>
      <c r="K86" s="486">
        <v>1</v>
      </c>
      <c r="L86" s="100" t="s">
        <v>279</v>
      </c>
      <c r="M86" s="332">
        <v>2</v>
      </c>
      <c r="N86" s="100" t="s">
        <v>280</v>
      </c>
      <c r="O86" s="86"/>
      <c r="P86" s="86"/>
      <c r="Q86" s="86"/>
      <c r="R86" s="100" t="e">
        <f t="shared" si="2"/>
        <v>#N/A</v>
      </c>
      <c r="S86" s="487"/>
      <c r="T86" s="486"/>
      <c r="U86" s="488"/>
      <c r="V86" s="488"/>
      <c r="W86" s="488"/>
      <c r="X86" s="488"/>
      <c r="Y86" s="306"/>
      <c r="Z86" s="306"/>
      <c r="AA86" s="489"/>
      <c r="AB86" s="306" t="e">
        <f t="shared" si="3"/>
        <v>#N/A</v>
      </c>
      <c r="AC86" s="490" t="e">
        <f t="shared" si="4"/>
        <v>#N/A</v>
      </c>
      <c r="AD86" s="490" t="e">
        <f t="shared" si="5"/>
        <v>#N/A</v>
      </c>
      <c r="AE86" s="306"/>
      <c r="AF86" s="332" t="e">
        <f t="shared" si="6"/>
        <v>#N/A</v>
      </c>
      <c r="AG86" s="306"/>
      <c r="AH86" s="487"/>
      <c r="AI86" s="306"/>
      <c r="AJ86" s="306"/>
      <c r="AK86" s="306"/>
      <c r="AL86" s="306"/>
      <c r="AM86" s="306"/>
      <c r="AN86" s="491"/>
      <c r="AO86" s="306"/>
      <c r="AP86" s="306"/>
      <c r="AQ86" s="306"/>
      <c r="AR86" s="306"/>
      <c r="AS86" s="306"/>
      <c r="AT86" s="487"/>
      <c r="AU86" s="306"/>
      <c r="AV86" s="306"/>
      <c r="AW86" s="306"/>
      <c r="AX86" s="306"/>
      <c r="AY86" s="306"/>
      <c r="AZ86" s="491"/>
      <c r="BA86" s="306"/>
      <c r="BB86" s="306"/>
      <c r="BC86" s="487"/>
      <c r="BD86" s="306"/>
      <c r="BE86" s="306"/>
      <c r="BF86" s="492" t="str">
        <f ca="1">IFERROR(__xludf.DUMMYFUNCTION("IF(REGEXMATCH($G86, ""Any""), ""any"", IF(REGEXMATCH($G86, ""All""), ""all"", """"))"),"all")</f>
        <v>all</v>
      </c>
      <c r="BG86" s="499" t="s">
        <v>1198</v>
      </c>
      <c r="BH86" s="332">
        <v>25</v>
      </c>
      <c r="BI86" s="306"/>
      <c r="BJ86" s="306"/>
      <c r="BK86" s="306"/>
      <c r="BL86" s="306"/>
      <c r="BM86" s="306"/>
      <c r="BN86" s="306"/>
      <c r="BO86" s="306"/>
      <c r="BP86" s="493"/>
      <c r="BQ86" s="306"/>
      <c r="BR86" s="306"/>
      <c r="BS86" s="494"/>
      <c r="BT86" s="487"/>
      <c r="BU86" s="306"/>
      <c r="BV86" s="306"/>
      <c r="BW86" s="306"/>
      <c r="BX86" s="306"/>
      <c r="BY86" s="306"/>
      <c r="BZ86" s="306"/>
      <c r="CA86" s="306"/>
      <c r="CB86" s="306"/>
      <c r="CC86" s="493"/>
      <c r="CD86" s="306"/>
      <c r="CE86" s="306"/>
      <c r="CF86" s="494"/>
      <c r="CG86" s="487"/>
      <c r="CH86" s="306"/>
      <c r="CI86" s="306"/>
      <c r="CJ86" s="306"/>
      <c r="CK86" s="306"/>
      <c r="CL86" s="306"/>
      <c r="CM86" s="306"/>
      <c r="CN86" s="306"/>
      <c r="CO86" s="306"/>
      <c r="CP86" s="306"/>
      <c r="CQ86" s="306"/>
      <c r="CR86" s="306"/>
      <c r="CS86" s="494"/>
      <c r="CT86" s="306"/>
      <c r="CU86" s="306"/>
      <c r="CV86" s="306"/>
      <c r="CW86" s="306"/>
      <c r="CX86" s="306"/>
      <c r="CY86" s="306"/>
      <c r="CZ86" s="306"/>
      <c r="DA86" s="306"/>
      <c r="DB86" s="306"/>
      <c r="DC86" s="493"/>
      <c r="DD86" s="306"/>
      <c r="DE86" s="306"/>
      <c r="DF86" s="494"/>
      <c r="DG86" s="306"/>
      <c r="DH86" s="306"/>
      <c r="DI86" s="306"/>
      <c r="DJ86" s="306"/>
      <c r="DK86" s="306"/>
      <c r="DL86" s="306"/>
      <c r="DM86" s="306"/>
      <c r="DN86" s="306"/>
      <c r="DO86" s="306"/>
      <c r="DP86" s="493"/>
      <c r="DQ86" s="306"/>
      <c r="DR86" s="306"/>
      <c r="DS86" s="489"/>
      <c r="DT86" s="306"/>
      <c r="DU86" s="306"/>
      <c r="DV86" s="306"/>
      <c r="DW86" s="306"/>
      <c r="DX86" s="306"/>
      <c r="DY86" s="306"/>
      <c r="DZ86" s="306"/>
      <c r="EA86" s="306"/>
      <c r="EB86" s="306"/>
      <c r="EC86" s="306"/>
      <c r="ED86" s="493"/>
      <c r="EE86" s="306"/>
      <c r="EF86" s="306"/>
      <c r="EG86" s="306"/>
      <c r="EH86" s="487"/>
      <c r="EI86" s="306"/>
      <c r="EJ86" s="306"/>
      <c r="EK86" s="306"/>
      <c r="EL86" s="306"/>
      <c r="EM86" s="306"/>
      <c r="EN86" s="306"/>
      <c r="EO86" s="306"/>
      <c r="EP86" s="306"/>
      <c r="EQ86" s="306"/>
      <c r="ER86" s="306"/>
      <c r="ES86" s="306"/>
      <c r="ET86" s="306"/>
      <c r="EU86" s="306"/>
      <c r="EV86" s="491"/>
      <c r="EW86" s="306"/>
      <c r="EX86" s="306"/>
      <c r="EY86" s="306"/>
      <c r="EZ86" s="306"/>
      <c r="FA86" s="306"/>
      <c r="FB86" s="306"/>
      <c r="FC86" s="306"/>
      <c r="FD86" s="306"/>
      <c r="FE86" s="306"/>
      <c r="FF86" s="306"/>
      <c r="FG86" s="306"/>
      <c r="FH86" s="306"/>
      <c r="FI86" s="306"/>
      <c r="FJ86" s="306"/>
      <c r="FK86" s="306"/>
      <c r="FL86" s="487"/>
      <c r="FM86" s="306"/>
      <c r="FN86" s="306"/>
      <c r="FO86" s="306"/>
      <c r="FP86" s="306"/>
      <c r="FQ86" s="306"/>
      <c r="FR86" s="306"/>
      <c r="FS86" s="306"/>
      <c r="FT86" s="306"/>
      <c r="FU86" s="306"/>
      <c r="FV86" s="306"/>
      <c r="FW86" s="306"/>
      <c r="FX86" s="306"/>
      <c r="FY86" s="306"/>
      <c r="FZ86" s="306"/>
      <c r="GA86" s="306"/>
      <c r="GB86" s="491"/>
      <c r="GC86" s="306"/>
      <c r="GD86" s="306"/>
      <c r="GE86" s="306"/>
      <c r="GF86" s="491"/>
      <c r="GG86" s="494"/>
      <c r="GH86" s="487"/>
      <c r="GI86" s="306"/>
      <c r="GJ86" s="491"/>
      <c r="GK86" s="306"/>
      <c r="GL86" s="306"/>
      <c r="GM86" s="497"/>
      <c r="GN86" s="306"/>
      <c r="GO86" s="306"/>
      <c r="GP86" s="306"/>
    </row>
    <row r="87" spans="1:198" ht="45" x14ac:dyDescent="0.15">
      <c r="A87" s="498" t="e">
        <f>VLOOKUP($J87&amp;":", Catalog!$F$5:$BV127, COLUMNS(Catalog!$F$5:$BV127), FALSE)</f>
        <v>#N/A</v>
      </c>
      <c r="B87" s="482" t="b">
        <f t="shared" ca="1" si="0"/>
        <v>0</v>
      </c>
      <c r="C87" s="483" t="str">
        <f t="shared" si="1"/>
        <v>grantAchievementPlayBombsExplodeState2</v>
      </c>
      <c r="D87" s="484" t="e">
        <f>VLOOKUP($J87&amp;":", Catalog!$F$5:$BW127, COLUMNS(Catalog!$F$5:$BW127), FALSE)</f>
        <v>#N/A</v>
      </c>
      <c r="E87" s="485" t="e">
        <f>VLOOKUP($J87&amp;":", Catalog!$F$5:$BX127, COLUMNS(Catalog!$F$5:$BX127), FALSE)</f>
        <v>#N/A</v>
      </c>
      <c r="F87" s="484" t="e">
        <f>VLOOKUP($J87&amp;":", Catalog!$F$5:$BY127, COLUMNS(Catalog!$F$5:$BY127), FALSE)</f>
        <v>#N/A</v>
      </c>
      <c r="G87" s="484" t="e">
        <f>VLOOKUP($J87, Catalog!$E$5:$BZ127, COLUMNS(Catalog!$E$5:$BZ127), FALSE)</f>
        <v>#N/A</v>
      </c>
      <c r="H87" s="483" t="s">
        <v>808</v>
      </c>
      <c r="I87" s="483">
        <v>2</v>
      </c>
      <c r="J87" s="306" t="s">
        <v>1209</v>
      </c>
      <c r="K87" s="486">
        <v>1</v>
      </c>
      <c r="L87" s="100" t="s">
        <v>279</v>
      </c>
      <c r="M87" s="332">
        <v>2</v>
      </c>
      <c r="N87" s="100" t="s">
        <v>280</v>
      </c>
      <c r="O87" s="86"/>
      <c r="P87" s="86"/>
      <c r="Q87" s="86"/>
      <c r="R87" s="100" t="e">
        <f t="shared" si="2"/>
        <v>#N/A</v>
      </c>
      <c r="S87" s="487"/>
      <c r="T87" s="486"/>
      <c r="U87" s="488"/>
      <c r="V87" s="488"/>
      <c r="W87" s="488"/>
      <c r="X87" s="488"/>
      <c r="Y87" s="306"/>
      <c r="Z87" s="306"/>
      <c r="AA87" s="489"/>
      <c r="AB87" s="306" t="e">
        <f t="shared" si="3"/>
        <v>#N/A</v>
      </c>
      <c r="AC87" s="490" t="e">
        <f t="shared" si="4"/>
        <v>#N/A</v>
      </c>
      <c r="AD87" s="490" t="e">
        <f t="shared" si="5"/>
        <v>#N/A</v>
      </c>
      <c r="AE87" s="306"/>
      <c r="AF87" s="332" t="e">
        <f t="shared" si="6"/>
        <v>#N/A</v>
      </c>
      <c r="AG87" s="306"/>
      <c r="AH87" s="487"/>
      <c r="AI87" s="306"/>
      <c r="AJ87" s="306"/>
      <c r="AK87" s="306"/>
      <c r="AL87" s="306"/>
      <c r="AM87" s="306"/>
      <c r="AN87" s="491"/>
      <c r="AO87" s="306"/>
      <c r="AP87" s="306"/>
      <c r="AQ87" s="306"/>
      <c r="AR87" s="306"/>
      <c r="AS87" s="306"/>
      <c r="AT87" s="487"/>
      <c r="AU87" s="306"/>
      <c r="AV87" s="306"/>
      <c r="AW87" s="306"/>
      <c r="AX87" s="306"/>
      <c r="AY87" s="306"/>
      <c r="AZ87" s="491"/>
      <c r="BA87" s="306"/>
      <c r="BB87" s="306"/>
      <c r="BC87" s="487"/>
      <c r="BD87" s="306"/>
      <c r="BE87" s="306"/>
      <c r="BF87" s="492" t="str">
        <f ca="1">IFERROR(__xludf.DUMMYFUNCTION("IF(REGEXMATCH($G87, ""Any""), ""any"", IF(REGEXMATCH($G87, ""All""), ""all"", """"))"),"all")</f>
        <v>all</v>
      </c>
      <c r="BG87" s="499" t="s">
        <v>1207</v>
      </c>
      <c r="BH87" s="332">
        <v>25</v>
      </c>
      <c r="BI87" s="332"/>
      <c r="BJ87" s="332"/>
      <c r="BK87" s="332"/>
      <c r="BL87" s="306"/>
      <c r="BM87" s="306"/>
      <c r="BN87" s="306"/>
      <c r="BO87" s="306"/>
      <c r="BP87" s="493"/>
      <c r="BQ87" s="306"/>
      <c r="BR87" s="306"/>
      <c r="BS87" s="494"/>
      <c r="BT87" s="487"/>
      <c r="BU87" s="306"/>
      <c r="BV87" s="306"/>
      <c r="BW87" s="306"/>
      <c r="BX87" s="306"/>
      <c r="BY87" s="306"/>
      <c r="BZ87" s="306"/>
      <c r="CA87" s="306"/>
      <c r="CB87" s="306"/>
      <c r="CC87" s="493"/>
      <c r="CD87" s="306"/>
      <c r="CE87" s="306"/>
      <c r="CF87" s="494"/>
      <c r="CG87" s="487"/>
      <c r="CH87" s="306"/>
      <c r="CI87" s="306"/>
      <c r="CJ87" s="306"/>
      <c r="CK87" s="306"/>
      <c r="CL87" s="306"/>
      <c r="CM87" s="306"/>
      <c r="CN87" s="306"/>
      <c r="CO87" s="306"/>
      <c r="CP87" s="306"/>
      <c r="CQ87" s="306"/>
      <c r="CR87" s="306"/>
      <c r="CS87" s="494"/>
      <c r="CT87" s="306"/>
      <c r="CU87" s="306"/>
      <c r="CV87" s="306"/>
      <c r="CW87" s="306"/>
      <c r="CX87" s="306"/>
      <c r="CY87" s="306"/>
      <c r="CZ87" s="306"/>
      <c r="DA87" s="306"/>
      <c r="DB87" s="306"/>
      <c r="DC87" s="493"/>
      <c r="DD87" s="306"/>
      <c r="DE87" s="306"/>
      <c r="DF87" s="494"/>
      <c r="DG87" s="306"/>
      <c r="DH87" s="306"/>
      <c r="DI87" s="306"/>
      <c r="DJ87" s="306"/>
      <c r="DK87" s="306"/>
      <c r="DL87" s="306"/>
      <c r="DM87" s="306"/>
      <c r="DN87" s="306"/>
      <c r="DO87" s="306"/>
      <c r="DP87" s="493"/>
      <c r="DQ87" s="306"/>
      <c r="DR87" s="306"/>
      <c r="DS87" s="489"/>
      <c r="DT87" s="306"/>
      <c r="DU87" s="306"/>
      <c r="DV87" s="306"/>
      <c r="DW87" s="306"/>
      <c r="DX87" s="306"/>
      <c r="DY87" s="306"/>
      <c r="DZ87" s="306"/>
      <c r="EA87" s="306"/>
      <c r="EB87" s="306"/>
      <c r="EC87" s="306"/>
      <c r="ED87" s="493"/>
      <c r="EE87" s="306"/>
      <c r="EF87" s="306"/>
      <c r="EG87" s="306"/>
      <c r="EH87" s="487"/>
      <c r="EI87" s="306"/>
      <c r="EJ87" s="306"/>
      <c r="EK87" s="306"/>
      <c r="EL87" s="306"/>
      <c r="EM87" s="306"/>
      <c r="EN87" s="306"/>
      <c r="EO87" s="306"/>
      <c r="EP87" s="306"/>
      <c r="EQ87" s="306"/>
      <c r="ER87" s="306"/>
      <c r="ES87" s="306"/>
      <c r="ET87" s="306"/>
      <c r="EU87" s="306"/>
      <c r="EV87" s="491"/>
      <c r="EW87" s="306"/>
      <c r="EX87" s="306"/>
      <c r="EY87" s="306"/>
      <c r="EZ87" s="306"/>
      <c r="FA87" s="306"/>
      <c r="FB87" s="306"/>
      <c r="FC87" s="306"/>
      <c r="FD87" s="306"/>
      <c r="FE87" s="306"/>
      <c r="FF87" s="306"/>
      <c r="FG87" s="306"/>
      <c r="FH87" s="306"/>
      <c r="FI87" s="306"/>
      <c r="FJ87" s="306"/>
      <c r="FK87" s="306"/>
      <c r="FL87" s="487"/>
      <c r="FM87" s="306"/>
      <c r="FN87" s="306"/>
      <c r="FO87" s="306"/>
      <c r="FP87" s="306"/>
      <c r="FQ87" s="306"/>
      <c r="FR87" s="306"/>
      <c r="FS87" s="306"/>
      <c r="FT87" s="306"/>
      <c r="FU87" s="306"/>
      <c r="FV87" s="306"/>
      <c r="FW87" s="306"/>
      <c r="FX87" s="306"/>
      <c r="FY87" s="306"/>
      <c r="FZ87" s="306"/>
      <c r="GA87" s="306"/>
      <c r="GB87" s="491"/>
      <c r="GC87" s="306"/>
      <c r="GD87" s="306"/>
      <c r="GE87" s="306"/>
      <c r="GF87" s="491"/>
      <c r="GG87" s="494"/>
      <c r="GH87" s="487"/>
      <c r="GI87" s="306"/>
      <c r="GJ87" s="491"/>
      <c r="GK87" s="306"/>
      <c r="GL87" s="306"/>
      <c r="GM87" s="497"/>
      <c r="GN87" s="306"/>
      <c r="GO87" s="306"/>
      <c r="GP87" s="306"/>
    </row>
    <row r="88" spans="1:198" ht="30" x14ac:dyDescent="0.15">
      <c r="A88" s="481" t="e">
        <f>VLOOKUP($J88&amp;":", Catalog!$F$5:$BV127, COLUMNS(Catalog!$F$5:$BV127), FALSE)</f>
        <v>#N/A</v>
      </c>
      <c r="B88" s="482" t="b">
        <f t="shared" ca="1" si="0"/>
        <v>0</v>
      </c>
      <c r="C88" s="483" t="str">
        <f t="shared" si="1"/>
        <v>grantAchievementPlayerNerfedState2</v>
      </c>
      <c r="D88" s="484" t="e">
        <f>VLOOKUP($J88&amp;":", Catalog!$F$5:$BW127, COLUMNS(Catalog!$F$5:$BW127), FALSE)</f>
        <v>#N/A</v>
      </c>
      <c r="E88" s="485" t="e">
        <f>VLOOKUP($J88&amp;":", Catalog!$F$5:$BX127, COLUMNS(Catalog!$F$5:$BX127), FALSE)</f>
        <v>#N/A</v>
      </c>
      <c r="F88" s="484" t="e">
        <f>VLOOKUP($J88&amp;":", Catalog!$F$5:$BY127, COLUMNS(Catalog!$F$5:$BY127), FALSE)</f>
        <v>#N/A</v>
      </c>
      <c r="G88" s="484" t="e">
        <f>VLOOKUP($J88, Catalog!$E$5:$BZ127, COLUMNS(Catalog!$E$5:$BZ127), FALSE)</f>
        <v>#N/A</v>
      </c>
      <c r="H88" s="483" t="s">
        <v>808</v>
      </c>
      <c r="I88" s="483">
        <v>2</v>
      </c>
      <c r="J88" s="306" t="s">
        <v>1249</v>
      </c>
      <c r="K88" s="486">
        <v>1</v>
      </c>
      <c r="L88" s="100" t="s">
        <v>279</v>
      </c>
      <c r="M88" s="332">
        <v>2</v>
      </c>
      <c r="N88" s="100" t="s">
        <v>280</v>
      </c>
      <c r="O88" s="86"/>
      <c r="P88" s="86"/>
      <c r="Q88" s="86"/>
      <c r="R88" s="100" t="e">
        <f t="shared" si="2"/>
        <v>#N/A</v>
      </c>
      <c r="S88" s="487"/>
      <c r="T88" s="486"/>
      <c r="U88" s="488"/>
      <c r="V88" s="488"/>
      <c r="W88" s="488"/>
      <c r="X88" s="488"/>
      <c r="Y88" s="306"/>
      <c r="Z88" s="306"/>
      <c r="AA88" s="489"/>
      <c r="AB88" s="306" t="e">
        <f t="shared" si="3"/>
        <v>#N/A</v>
      </c>
      <c r="AC88" s="490" t="e">
        <f t="shared" si="4"/>
        <v>#N/A</v>
      </c>
      <c r="AD88" s="490" t="e">
        <f t="shared" si="5"/>
        <v>#N/A</v>
      </c>
      <c r="AE88" s="306"/>
      <c r="AF88" s="332" t="e">
        <f t="shared" si="6"/>
        <v>#N/A</v>
      </c>
      <c r="AG88" s="306"/>
      <c r="AH88" s="487"/>
      <c r="AI88" s="306"/>
      <c r="AJ88" s="306"/>
      <c r="AK88" s="306"/>
      <c r="AL88" s="306"/>
      <c r="AM88" s="306"/>
      <c r="AN88" s="491"/>
      <c r="AO88" s="306"/>
      <c r="AP88" s="306"/>
      <c r="AQ88" s="306"/>
      <c r="AR88" s="306"/>
      <c r="AS88" s="306"/>
      <c r="AT88" s="487"/>
      <c r="AU88" s="306"/>
      <c r="AV88" s="306"/>
      <c r="AW88" s="306"/>
      <c r="AX88" s="306"/>
      <c r="AY88" s="306"/>
      <c r="AZ88" s="491"/>
      <c r="BA88" s="306"/>
      <c r="BB88" s="306"/>
      <c r="BC88" s="487"/>
      <c r="BD88" s="306"/>
      <c r="BE88" s="306"/>
      <c r="BF88" s="492" t="str">
        <f ca="1">IFERROR(__xludf.DUMMYFUNCTION("IF(REGEXMATCH($G88, ""Any""), ""any"", IF(REGEXMATCH($G88, ""All""), ""all"", """"))"),"all")</f>
        <v>all</v>
      </c>
      <c r="BG88" s="499" t="s">
        <v>1246</v>
      </c>
      <c r="BH88" s="306"/>
      <c r="BI88" s="306"/>
      <c r="BJ88" s="306"/>
      <c r="BK88" s="306"/>
      <c r="BL88" s="306"/>
      <c r="BM88" s="306"/>
      <c r="BN88" s="306"/>
      <c r="BO88" s="306"/>
      <c r="BP88" s="493"/>
      <c r="BQ88" s="306"/>
      <c r="BR88" s="306"/>
      <c r="BS88" s="494"/>
      <c r="BT88" s="487"/>
      <c r="BU88" s="306"/>
      <c r="BV88" s="306"/>
      <c r="BW88" s="306"/>
      <c r="BX88" s="306"/>
      <c r="BY88" s="306"/>
      <c r="BZ88" s="306"/>
      <c r="CA88" s="306"/>
      <c r="CB88" s="306"/>
      <c r="CC88" s="493"/>
      <c r="CD88" s="306"/>
      <c r="CE88" s="306"/>
      <c r="CF88" s="494"/>
      <c r="CG88" s="487"/>
      <c r="CH88" s="306"/>
      <c r="CI88" s="306"/>
      <c r="CJ88" s="306"/>
      <c r="CK88" s="306"/>
      <c r="CL88" s="306"/>
      <c r="CM88" s="306"/>
      <c r="CN88" s="306"/>
      <c r="CO88" s="306"/>
      <c r="CP88" s="306"/>
      <c r="CQ88" s="306"/>
      <c r="CR88" s="306"/>
      <c r="CS88" s="494"/>
      <c r="CT88" s="306"/>
      <c r="CU88" s="306"/>
      <c r="CV88" s="306"/>
      <c r="CW88" s="306"/>
      <c r="CX88" s="306"/>
      <c r="CY88" s="306"/>
      <c r="CZ88" s="306"/>
      <c r="DA88" s="306"/>
      <c r="DB88" s="306"/>
      <c r="DC88" s="493"/>
      <c r="DD88" s="306"/>
      <c r="DE88" s="306"/>
      <c r="DF88" s="494"/>
      <c r="DG88" s="306"/>
      <c r="DH88" s="306"/>
      <c r="DI88" s="306"/>
      <c r="DJ88" s="306"/>
      <c r="DK88" s="306"/>
      <c r="DL88" s="306"/>
      <c r="DM88" s="306"/>
      <c r="DN88" s="306"/>
      <c r="DO88" s="306"/>
      <c r="DP88" s="493"/>
      <c r="DQ88" s="306"/>
      <c r="DR88" s="306"/>
      <c r="DS88" s="489"/>
      <c r="DT88" s="306"/>
      <c r="DU88" s="306"/>
      <c r="DV88" s="306"/>
      <c r="DW88" s="306"/>
      <c r="DX88" s="306"/>
      <c r="DY88" s="306"/>
      <c r="DZ88" s="306"/>
      <c r="EA88" s="306"/>
      <c r="EB88" s="306"/>
      <c r="EC88" s="306"/>
      <c r="ED88" s="493"/>
      <c r="EE88" s="306"/>
      <c r="EF88" s="306"/>
      <c r="EG88" s="306"/>
      <c r="EH88" s="487"/>
      <c r="EI88" s="306"/>
      <c r="EJ88" s="306"/>
      <c r="EK88" s="306"/>
      <c r="EL88" s="306"/>
      <c r="EM88" s="306"/>
      <c r="EN88" s="306"/>
      <c r="EO88" s="306"/>
      <c r="EP88" s="306"/>
      <c r="EQ88" s="306"/>
      <c r="ER88" s="306"/>
      <c r="ES88" s="306"/>
      <c r="ET88" s="306"/>
      <c r="EU88" s="306"/>
      <c r="EV88" s="491"/>
      <c r="EW88" s="306"/>
      <c r="EX88" s="306"/>
      <c r="EY88" s="306"/>
      <c r="EZ88" s="306"/>
      <c r="FA88" s="306"/>
      <c r="FB88" s="306"/>
      <c r="FC88" s="306"/>
      <c r="FD88" s="306"/>
      <c r="FE88" s="306"/>
      <c r="FF88" s="306"/>
      <c r="FG88" s="306"/>
      <c r="FH88" s="306"/>
      <c r="FI88" s="306"/>
      <c r="FJ88" s="306"/>
      <c r="FK88" s="306"/>
      <c r="FL88" s="487"/>
      <c r="FM88" s="306"/>
      <c r="FN88" s="306"/>
      <c r="FO88" s="306"/>
      <c r="FP88" s="306"/>
      <c r="FQ88" s="306"/>
      <c r="FR88" s="306"/>
      <c r="FS88" s="306"/>
      <c r="FT88" s="306"/>
      <c r="FU88" s="306"/>
      <c r="FV88" s="306"/>
      <c r="FW88" s="306"/>
      <c r="FX88" s="306"/>
      <c r="FY88" s="306"/>
      <c r="FZ88" s="306"/>
      <c r="GA88" s="306"/>
      <c r="GB88" s="491"/>
      <c r="GC88" s="306"/>
      <c r="GD88" s="306"/>
      <c r="GE88" s="306"/>
      <c r="GF88" s="491"/>
      <c r="GG88" s="494"/>
      <c r="GH88" s="487"/>
      <c r="GI88" s="306"/>
      <c r="GJ88" s="491"/>
      <c r="GK88" s="306"/>
      <c r="GL88" s="306"/>
      <c r="GM88" s="497"/>
      <c r="GN88" s="306"/>
      <c r="GO88" s="306"/>
      <c r="GP88" s="306"/>
    </row>
    <row r="89" spans="1:198" ht="45" x14ac:dyDescent="0.15">
      <c r="A89" s="498" t="e">
        <f>VLOOKUP($J89&amp;":", Catalog!$F$5:$BV127, COLUMNS(Catalog!$F$5:$BV127), FALSE)</f>
        <v>#N/A</v>
      </c>
      <c r="B89" s="482" t="b">
        <f t="shared" ca="1" si="0"/>
        <v>0</v>
      </c>
      <c r="C89" s="483" t="str">
        <f t="shared" si="1"/>
        <v>grantAchievementPlayCharacterPickupState2</v>
      </c>
      <c r="D89" s="484" t="e">
        <f>VLOOKUP($J89&amp;":", Catalog!$F$5:$BW127, COLUMNS(Catalog!$F$5:$BW127), FALSE)</f>
        <v>#N/A</v>
      </c>
      <c r="E89" s="485" t="e">
        <f>VLOOKUP($J89&amp;":", Catalog!$F$5:$BX127, COLUMNS(Catalog!$F$5:$BX127), FALSE)</f>
        <v>#N/A</v>
      </c>
      <c r="F89" s="484" t="e">
        <f>VLOOKUP($J89&amp;":", Catalog!$F$5:$BY127, COLUMNS(Catalog!$F$5:$BY127), FALSE)</f>
        <v>#N/A</v>
      </c>
      <c r="G89" s="484" t="e">
        <f>VLOOKUP($J89, Catalog!$E$5:$BZ127, COLUMNS(Catalog!$E$5:$BZ127), FALSE)</f>
        <v>#N/A</v>
      </c>
      <c r="H89" s="483" t="s">
        <v>808</v>
      </c>
      <c r="I89" s="483">
        <v>2</v>
      </c>
      <c r="J89" s="306" t="s">
        <v>1258</v>
      </c>
      <c r="K89" s="486">
        <v>1</v>
      </c>
      <c r="L89" s="100" t="s">
        <v>279</v>
      </c>
      <c r="M89" s="332">
        <v>2</v>
      </c>
      <c r="N89" s="100" t="s">
        <v>280</v>
      </c>
      <c r="O89" s="86"/>
      <c r="P89" s="86"/>
      <c r="Q89" s="86"/>
      <c r="R89" s="100" t="e">
        <f t="shared" si="2"/>
        <v>#N/A</v>
      </c>
      <c r="S89" s="487"/>
      <c r="T89" s="486"/>
      <c r="U89" s="488"/>
      <c r="V89" s="488"/>
      <c r="W89" s="488"/>
      <c r="X89" s="488"/>
      <c r="Y89" s="306"/>
      <c r="Z89" s="306"/>
      <c r="AA89" s="489"/>
      <c r="AB89" s="306" t="e">
        <f t="shared" si="3"/>
        <v>#N/A</v>
      </c>
      <c r="AC89" s="490" t="e">
        <f t="shared" si="4"/>
        <v>#N/A</v>
      </c>
      <c r="AD89" s="490" t="e">
        <f t="shared" si="5"/>
        <v>#N/A</v>
      </c>
      <c r="AE89" s="306"/>
      <c r="AF89" s="332" t="e">
        <f t="shared" si="6"/>
        <v>#N/A</v>
      </c>
      <c r="AG89" s="306"/>
      <c r="AH89" s="487"/>
      <c r="AI89" s="306"/>
      <c r="AJ89" s="306"/>
      <c r="AK89" s="306"/>
      <c r="AL89" s="306"/>
      <c r="AM89" s="306"/>
      <c r="AN89" s="491"/>
      <c r="AO89" s="306"/>
      <c r="AP89" s="306"/>
      <c r="AQ89" s="306"/>
      <c r="AR89" s="306"/>
      <c r="AS89" s="306"/>
      <c r="AT89" s="487"/>
      <c r="AU89" s="306"/>
      <c r="AV89" s="306"/>
      <c r="AW89" s="306"/>
      <c r="AX89" s="306"/>
      <c r="AY89" s="306"/>
      <c r="AZ89" s="491"/>
      <c r="BA89" s="306"/>
      <c r="BB89" s="306"/>
      <c r="BC89" s="487"/>
      <c r="BD89" s="306"/>
      <c r="BE89" s="306"/>
      <c r="BF89" s="492" t="str">
        <f ca="1">IFERROR(__xludf.DUMMYFUNCTION("IF(REGEXMATCH($G89, ""Any""), ""any"", IF(REGEXMATCH($G89, ""All""), ""all"", """"))"),"all")</f>
        <v>all</v>
      </c>
      <c r="BG89" s="499" t="s">
        <v>1256</v>
      </c>
      <c r="BH89" s="332">
        <v>25</v>
      </c>
      <c r="BI89" s="306"/>
      <c r="BJ89" s="306"/>
      <c r="BK89" s="306"/>
      <c r="BL89" s="306"/>
      <c r="BM89" s="306"/>
      <c r="BN89" s="306"/>
      <c r="BO89" s="306"/>
      <c r="BP89" s="493"/>
      <c r="BQ89" s="306"/>
      <c r="BR89" s="306"/>
      <c r="BS89" s="494"/>
      <c r="BT89" s="487"/>
      <c r="BU89" s="306"/>
      <c r="BV89" s="306"/>
      <c r="BW89" s="306"/>
      <c r="BX89" s="306"/>
      <c r="BY89" s="306"/>
      <c r="BZ89" s="306"/>
      <c r="CA89" s="306"/>
      <c r="CB89" s="306"/>
      <c r="CC89" s="493"/>
      <c r="CD89" s="306"/>
      <c r="CE89" s="306"/>
      <c r="CF89" s="494"/>
      <c r="CG89" s="487"/>
      <c r="CH89" s="306"/>
      <c r="CI89" s="306"/>
      <c r="CJ89" s="306"/>
      <c r="CK89" s="306"/>
      <c r="CL89" s="306"/>
      <c r="CM89" s="306"/>
      <c r="CN89" s="306"/>
      <c r="CO89" s="306"/>
      <c r="CP89" s="306"/>
      <c r="CQ89" s="306"/>
      <c r="CR89" s="306"/>
      <c r="CS89" s="494"/>
      <c r="CT89" s="306"/>
      <c r="CU89" s="306"/>
      <c r="CV89" s="306"/>
      <c r="CW89" s="306"/>
      <c r="CX89" s="306"/>
      <c r="CY89" s="306"/>
      <c r="CZ89" s="306"/>
      <c r="DA89" s="306"/>
      <c r="DB89" s="306"/>
      <c r="DC89" s="493"/>
      <c r="DD89" s="306"/>
      <c r="DE89" s="306"/>
      <c r="DF89" s="494"/>
      <c r="DG89" s="306"/>
      <c r="DH89" s="306"/>
      <c r="DI89" s="306"/>
      <c r="DJ89" s="306"/>
      <c r="DK89" s="306"/>
      <c r="DL89" s="306"/>
      <c r="DM89" s="306"/>
      <c r="DN89" s="306"/>
      <c r="DO89" s="306"/>
      <c r="DP89" s="493"/>
      <c r="DQ89" s="306"/>
      <c r="DR89" s="306"/>
      <c r="DS89" s="489"/>
      <c r="DT89" s="306"/>
      <c r="DU89" s="306"/>
      <c r="DV89" s="306"/>
      <c r="DW89" s="306"/>
      <c r="DX89" s="306"/>
      <c r="DY89" s="306"/>
      <c r="DZ89" s="306"/>
      <c r="EA89" s="306"/>
      <c r="EB89" s="306"/>
      <c r="EC89" s="306"/>
      <c r="ED89" s="493"/>
      <c r="EE89" s="306"/>
      <c r="EF89" s="306"/>
      <c r="EG89" s="306"/>
      <c r="EH89" s="487"/>
      <c r="EI89" s="306"/>
      <c r="EJ89" s="306"/>
      <c r="EK89" s="306"/>
      <c r="EL89" s="306"/>
      <c r="EM89" s="306"/>
      <c r="EN89" s="306"/>
      <c r="EO89" s="306"/>
      <c r="EP89" s="306"/>
      <c r="EQ89" s="306"/>
      <c r="ER89" s="306"/>
      <c r="ES89" s="306"/>
      <c r="ET89" s="306"/>
      <c r="EU89" s="306"/>
      <c r="EV89" s="491"/>
      <c r="EW89" s="306"/>
      <c r="EX89" s="306"/>
      <c r="EY89" s="306"/>
      <c r="EZ89" s="306"/>
      <c r="FA89" s="306"/>
      <c r="FB89" s="306"/>
      <c r="FC89" s="306"/>
      <c r="FD89" s="306"/>
      <c r="FE89" s="306"/>
      <c r="FF89" s="306"/>
      <c r="FG89" s="306"/>
      <c r="FH89" s="306"/>
      <c r="FI89" s="306"/>
      <c r="FJ89" s="306"/>
      <c r="FK89" s="306"/>
      <c r="FL89" s="487"/>
      <c r="FM89" s="306"/>
      <c r="FN89" s="306"/>
      <c r="FO89" s="306"/>
      <c r="FP89" s="306"/>
      <c r="FQ89" s="306"/>
      <c r="FR89" s="306"/>
      <c r="FS89" s="306"/>
      <c r="FT89" s="306"/>
      <c r="FU89" s="306"/>
      <c r="FV89" s="306"/>
      <c r="FW89" s="306"/>
      <c r="FX89" s="306"/>
      <c r="FY89" s="306"/>
      <c r="FZ89" s="306"/>
      <c r="GA89" s="306"/>
      <c r="GB89" s="491"/>
      <c r="GC89" s="306"/>
      <c r="GD89" s="306"/>
      <c r="GE89" s="306"/>
      <c r="GF89" s="491"/>
      <c r="GG89" s="494"/>
      <c r="GH89" s="487"/>
      <c r="GI89" s="306"/>
      <c r="GJ89" s="491"/>
      <c r="GK89" s="306"/>
      <c r="GL89" s="306"/>
      <c r="GM89" s="497"/>
      <c r="GN89" s="306"/>
      <c r="GO89" s="306"/>
      <c r="GP89" s="306"/>
    </row>
    <row r="90" spans="1:198" ht="30" x14ac:dyDescent="0.15">
      <c r="A90" s="481" t="e">
        <f>VLOOKUP($J90&amp;":", Catalog!$F$5:$BV127, COLUMNS(Catalog!$F$5:$BV127), FALSE)</f>
        <v>#N/A</v>
      </c>
      <c r="B90" s="482" t="b">
        <f t="shared" ca="1" si="0"/>
        <v>0</v>
      </c>
      <c r="C90" s="483" t="str">
        <f t="shared" si="1"/>
        <v>grantAchievementPlayEarlyBirdState2</v>
      </c>
      <c r="D90" s="484" t="e">
        <f>VLOOKUP($J90&amp;":", Catalog!$F$5:$BW127, COLUMNS(Catalog!$F$5:$BW127), FALSE)</f>
        <v>#N/A</v>
      </c>
      <c r="E90" s="485" t="e">
        <f>VLOOKUP($J90&amp;":", Catalog!$F$5:$BX127, COLUMNS(Catalog!$F$5:$BX127), FALSE)</f>
        <v>#N/A</v>
      </c>
      <c r="F90" s="484" t="e">
        <f>VLOOKUP($J90&amp;":", Catalog!$F$5:$BY127, COLUMNS(Catalog!$F$5:$BY127), FALSE)</f>
        <v>#N/A</v>
      </c>
      <c r="G90" s="484" t="e">
        <f>VLOOKUP($J90, Catalog!$E$5:$BZ127, COLUMNS(Catalog!$E$5:$BZ127), FALSE)</f>
        <v>#N/A</v>
      </c>
      <c r="H90" s="483" t="s">
        <v>808</v>
      </c>
      <c r="I90" s="483">
        <v>2</v>
      </c>
      <c r="J90" s="306" t="s">
        <v>1266</v>
      </c>
      <c r="K90" s="486">
        <v>1</v>
      </c>
      <c r="L90" s="100" t="s">
        <v>279</v>
      </c>
      <c r="M90" s="332">
        <v>2</v>
      </c>
      <c r="N90" s="100" t="s">
        <v>280</v>
      </c>
      <c r="O90" s="86"/>
      <c r="P90" s="86"/>
      <c r="Q90" s="86"/>
      <c r="R90" s="100" t="e">
        <f t="shared" si="2"/>
        <v>#N/A</v>
      </c>
      <c r="S90" s="487"/>
      <c r="T90" s="486"/>
      <c r="U90" s="488"/>
      <c r="V90" s="488"/>
      <c r="W90" s="488"/>
      <c r="X90" s="488"/>
      <c r="Y90" s="306"/>
      <c r="Z90" s="306"/>
      <c r="AA90" s="489"/>
      <c r="AB90" s="306" t="e">
        <f t="shared" si="3"/>
        <v>#N/A</v>
      </c>
      <c r="AC90" s="490" t="e">
        <f t="shared" si="4"/>
        <v>#N/A</v>
      </c>
      <c r="AD90" s="490" t="e">
        <f t="shared" si="5"/>
        <v>#N/A</v>
      </c>
      <c r="AE90" s="306"/>
      <c r="AF90" s="332" t="e">
        <f t="shared" si="6"/>
        <v>#N/A</v>
      </c>
      <c r="AG90" s="306"/>
      <c r="AH90" s="487"/>
      <c r="AI90" s="306"/>
      <c r="AJ90" s="306"/>
      <c r="AK90" s="306"/>
      <c r="AL90" s="306"/>
      <c r="AM90" s="306"/>
      <c r="AN90" s="491"/>
      <c r="AO90" s="306"/>
      <c r="AP90" s="306"/>
      <c r="AQ90" s="306"/>
      <c r="AR90" s="306"/>
      <c r="AS90" s="306"/>
      <c r="AT90" s="487"/>
      <c r="AU90" s="306"/>
      <c r="AV90" s="306"/>
      <c r="AW90" s="306"/>
      <c r="AX90" s="306"/>
      <c r="AY90" s="306"/>
      <c r="AZ90" s="491"/>
      <c r="BA90" s="306"/>
      <c r="BB90" s="306"/>
      <c r="BC90" s="487"/>
      <c r="BD90" s="306"/>
      <c r="BE90" s="306"/>
      <c r="BF90" s="492" t="str">
        <f ca="1">IFERROR(__xludf.DUMMYFUNCTION("IF(REGEXMATCH($G90, ""Any""), ""any"", IF(REGEXMATCH($G90, ""All""), ""all"", """"))"),"all")</f>
        <v>all</v>
      </c>
      <c r="BG90" s="499" t="s">
        <v>812</v>
      </c>
      <c r="BH90" s="306"/>
      <c r="BI90" s="306"/>
      <c r="BJ90" s="306"/>
      <c r="BK90" s="306"/>
      <c r="BL90" s="306"/>
      <c r="BM90" s="306"/>
      <c r="BN90" s="306"/>
      <c r="BO90" s="332" t="s">
        <v>4824</v>
      </c>
      <c r="BP90" s="505" t="s">
        <v>4825</v>
      </c>
      <c r="BQ90" s="332" t="s">
        <v>4826</v>
      </c>
      <c r="BR90" s="306"/>
      <c r="BS90" s="494"/>
      <c r="BT90" s="487"/>
      <c r="BU90" s="306"/>
      <c r="BV90" s="306"/>
      <c r="BW90" s="306"/>
      <c r="BX90" s="306"/>
      <c r="BY90" s="306"/>
      <c r="BZ90" s="306"/>
      <c r="CA90" s="306"/>
      <c r="CB90" s="306"/>
      <c r="CC90" s="493"/>
      <c r="CD90" s="306"/>
      <c r="CE90" s="306"/>
      <c r="CF90" s="494"/>
      <c r="CG90" s="487"/>
      <c r="CH90" s="306"/>
      <c r="CI90" s="306"/>
      <c r="CJ90" s="306"/>
      <c r="CK90" s="306"/>
      <c r="CL90" s="306"/>
      <c r="CM90" s="306"/>
      <c r="CN90" s="306"/>
      <c r="CO90" s="306"/>
      <c r="CP90" s="306"/>
      <c r="CQ90" s="306"/>
      <c r="CR90" s="306"/>
      <c r="CS90" s="494"/>
      <c r="CT90" s="306"/>
      <c r="CU90" s="306"/>
      <c r="CV90" s="306"/>
      <c r="CW90" s="306"/>
      <c r="CX90" s="306"/>
      <c r="CY90" s="306"/>
      <c r="CZ90" s="306"/>
      <c r="DA90" s="306"/>
      <c r="DB90" s="306"/>
      <c r="DC90" s="493"/>
      <c r="DD90" s="306"/>
      <c r="DE90" s="306"/>
      <c r="DF90" s="494"/>
      <c r="DG90" s="306"/>
      <c r="DH90" s="306"/>
      <c r="DI90" s="306"/>
      <c r="DJ90" s="306"/>
      <c r="DK90" s="306"/>
      <c r="DL90" s="306"/>
      <c r="DM90" s="306"/>
      <c r="DN90" s="306"/>
      <c r="DO90" s="306"/>
      <c r="DP90" s="493"/>
      <c r="DQ90" s="306"/>
      <c r="DR90" s="306"/>
      <c r="DS90" s="489"/>
      <c r="DT90" s="306"/>
      <c r="DU90" s="306"/>
      <c r="DV90" s="306"/>
      <c r="DW90" s="306"/>
      <c r="DX90" s="306"/>
      <c r="DY90" s="306"/>
      <c r="DZ90" s="306"/>
      <c r="EA90" s="306"/>
      <c r="EB90" s="306"/>
      <c r="EC90" s="306"/>
      <c r="ED90" s="493"/>
      <c r="EE90" s="306"/>
      <c r="EF90" s="306"/>
      <c r="EG90" s="306"/>
      <c r="EH90" s="487"/>
      <c r="EI90" s="306"/>
      <c r="EJ90" s="306"/>
      <c r="EK90" s="306"/>
      <c r="EL90" s="306"/>
      <c r="EM90" s="306"/>
      <c r="EN90" s="306"/>
      <c r="EO90" s="306"/>
      <c r="EP90" s="306"/>
      <c r="EQ90" s="306"/>
      <c r="ER90" s="306"/>
      <c r="ES90" s="306"/>
      <c r="ET90" s="306"/>
      <c r="EU90" s="306"/>
      <c r="EV90" s="491"/>
      <c r="EW90" s="306"/>
      <c r="EX90" s="306"/>
      <c r="EY90" s="306"/>
      <c r="EZ90" s="306"/>
      <c r="FA90" s="306"/>
      <c r="FB90" s="306"/>
      <c r="FC90" s="306"/>
      <c r="FD90" s="306"/>
      <c r="FE90" s="306"/>
      <c r="FF90" s="306"/>
      <c r="FG90" s="306"/>
      <c r="FH90" s="306"/>
      <c r="FI90" s="306"/>
      <c r="FJ90" s="306"/>
      <c r="FK90" s="306"/>
      <c r="FL90" s="487"/>
      <c r="FM90" s="306"/>
      <c r="FN90" s="306"/>
      <c r="FO90" s="306"/>
      <c r="FP90" s="306"/>
      <c r="FQ90" s="306"/>
      <c r="FR90" s="306"/>
      <c r="FS90" s="306"/>
      <c r="FT90" s="306"/>
      <c r="FU90" s="306"/>
      <c r="FV90" s="306"/>
      <c r="FW90" s="306"/>
      <c r="FX90" s="306"/>
      <c r="FY90" s="306"/>
      <c r="FZ90" s="306"/>
      <c r="GA90" s="306"/>
      <c r="GB90" s="491"/>
      <c r="GC90" s="306"/>
      <c r="GD90" s="306"/>
      <c r="GE90" s="306"/>
      <c r="GF90" s="491"/>
      <c r="GG90" s="494"/>
      <c r="GH90" s="487"/>
      <c r="GI90" s="306"/>
      <c r="GJ90" s="491"/>
      <c r="GK90" s="306"/>
      <c r="GL90" s="306"/>
      <c r="GM90" s="497"/>
      <c r="GN90" s="306"/>
      <c r="GO90" s="306"/>
      <c r="GP90" s="306"/>
    </row>
    <row r="91" spans="1:198" ht="30" x14ac:dyDescent="0.15">
      <c r="A91" s="481" t="e">
        <f>VLOOKUP($J91&amp;":", Catalog!$F$5:$BV127, COLUMNS(Catalog!$F$5:$BV127), FALSE)</f>
        <v>#N/A</v>
      </c>
      <c r="B91" s="482" t="b">
        <f t="shared" ca="1" si="0"/>
        <v>0</v>
      </c>
      <c r="C91" s="483" t="str">
        <f t="shared" si="1"/>
        <v>grantAchievementPlayLateNightState2</v>
      </c>
      <c r="D91" s="484" t="e">
        <f>VLOOKUP($J91&amp;":", Catalog!$F$5:$BW127, COLUMNS(Catalog!$F$5:$BW127), FALSE)</f>
        <v>#N/A</v>
      </c>
      <c r="E91" s="485" t="e">
        <f>VLOOKUP($J91&amp;":", Catalog!$F$5:$BX127, COLUMNS(Catalog!$F$5:$BX127), FALSE)</f>
        <v>#N/A</v>
      </c>
      <c r="F91" s="484" t="e">
        <f>VLOOKUP($J91&amp;":", Catalog!$F$5:$BY127, COLUMNS(Catalog!$F$5:$BY127), FALSE)</f>
        <v>#N/A</v>
      </c>
      <c r="G91" s="484" t="e">
        <f>VLOOKUP($J91, Catalog!$E$5:$BZ127, COLUMNS(Catalog!$E$5:$BZ127), FALSE)</f>
        <v>#N/A</v>
      </c>
      <c r="H91" s="483" t="s">
        <v>808</v>
      </c>
      <c r="I91" s="483">
        <v>2</v>
      </c>
      <c r="J91" s="306" t="s">
        <v>1273</v>
      </c>
      <c r="K91" s="486">
        <v>1</v>
      </c>
      <c r="L91" s="100" t="s">
        <v>279</v>
      </c>
      <c r="M91" s="332">
        <v>2</v>
      </c>
      <c r="N91" s="100" t="s">
        <v>280</v>
      </c>
      <c r="O91" s="86"/>
      <c r="P91" s="86"/>
      <c r="Q91" s="86"/>
      <c r="R91" s="100" t="e">
        <f t="shared" si="2"/>
        <v>#N/A</v>
      </c>
      <c r="S91" s="487"/>
      <c r="T91" s="486"/>
      <c r="U91" s="488"/>
      <c r="V91" s="488"/>
      <c r="W91" s="488"/>
      <c r="X91" s="488"/>
      <c r="Y91" s="306"/>
      <c r="Z91" s="306"/>
      <c r="AA91" s="489"/>
      <c r="AB91" s="306" t="e">
        <f t="shared" si="3"/>
        <v>#N/A</v>
      </c>
      <c r="AC91" s="490" t="e">
        <f t="shared" si="4"/>
        <v>#N/A</v>
      </c>
      <c r="AD91" s="490" t="e">
        <f t="shared" si="5"/>
        <v>#N/A</v>
      </c>
      <c r="AE91" s="306"/>
      <c r="AF91" s="332" t="e">
        <f t="shared" si="6"/>
        <v>#N/A</v>
      </c>
      <c r="AG91" s="306"/>
      <c r="AH91" s="487"/>
      <c r="AI91" s="306"/>
      <c r="AJ91" s="306"/>
      <c r="AK91" s="306"/>
      <c r="AL91" s="306"/>
      <c r="AM91" s="306"/>
      <c r="AN91" s="491"/>
      <c r="AO91" s="306"/>
      <c r="AP91" s="306"/>
      <c r="AQ91" s="306"/>
      <c r="AR91" s="306"/>
      <c r="AS91" s="306"/>
      <c r="AT91" s="487"/>
      <c r="AU91" s="306"/>
      <c r="AV91" s="306"/>
      <c r="AW91" s="306"/>
      <c r="AX91" s="306"/>
      <c r="AY91" s="306"/>
      <c r="AZ91" s="491"/>
      <c r="BA91" s="306"/>
      <c r="BB91" s="306"/>
      <c r="BC91" s="487"/>
      <c r="BD91" s="306"/>
      <c r="BE91" s="306"/>
      <c r="BF91" s="492" t="str">
        <f ca="1">IFERROR(__xludf.DUMMYFUNCTION("IF(REGEXMATCH($G91, ""Any""), ""any"", IF(REGEXMATCH($G91, ""All""), ""all"", """"))"),"all")</f>
        <v>all</v>
      </c>
      <c r="BG91" s="499" t="s">
        <v>812</v>
      </c>
      <c r="BH91" s="306"/>
      <c r="BI91" s="306"/>
      <c r="BJ91" s="306"/>
      <c r="BK91" s="306"/>
      <c r="BL91" s="306"/>
      <c r="BM91" s="306"/>
      <c r="BN91" s="306"/>
      <c r="BO91" s="332" t="s">
        <v>4824</v>
      </c>
      <c r="BP91" s="505" t="s">
        <v>4827</v>
      </c>
      <c r="BQ91" s="332" t="s">
        <v>4828</v>
      </c>
      <c r="BR91" s="306"/>
      <c r="BS91" s="494"/>
      <c r="BT91" s="487"/>
      <c r="BU91" s="306"/>
      <c r="BV91" s="306"/>
      <c r="BW91" s="306"/>
      <c r="BX91" s="306"/>
      <c r="BY91" s="306"/>
      <c r="BZ91" s="306"/>
      <c r="CA91" s="306"/>
      <c r="CB91" s="306"/>
      <c r="CC91" s="493"/>
      <c r="CD91" s="306"/>
      <c r="CE91" s="306"/>
      <c r="CF91" s="494"/>
      <c r="CG91" s="487"/>
      <c r="CH91" s="306"/>
      <c r="CI91" s="306"/>
      <c r="CJ91" s="306"/>
      <c r="CK91" s="306"/>
      <c r="CL91" s="306"/>
      <c r="CM91" s="306"/>
      <c r="CN91" s="306"/>
      <c r="CO91" s="306"/>
      <c r="CP91" s="306"/>
      <c r="CQ91" s="306"/>
      <c r="CR91" s="306"/>
      <c r="CS91" s="494"/>
      <c r="CT91" s="306"/>
      <c r="CU91" s="306"/>
      <c r="CV91" s="306"/>
      <c r="CW91" s="306"/>
      <c r="CX91" s="306"/>
      <c r="CY91" s="306"/>
      <c r="CZ91" s="306"/>
      <c r="DA91" s="306"/>
      <c r="DB91" s="306"/>
      <c r="DC91" s="493"/>
      <c r="DD91" s="306"/>
      <c r="DE91" s="306"/>
      <c r="DF91" s="494"/>
      <c r="DG91" s="306"/>
      <c r="DH91" s="306"/>
      <c r="DI91" s="306"/>
      <c r="DJ91" s="306"/>
      <c r="DK91" s="306"/>
      <c r="DL91" s="306"/>
      <c r="DM91" s="306"/>
      <c r="DN91" s="306"/>
      <c r="DO91" s="306"/>
      <c r="DP91" s="493"/>
      <c r="DQ91" s="306"/>
      <c r="DR91" s="306"/>
      <c r="DS91" s="489"/>
      <c r="DT91" s="306"/>
      <c r="DU91" s="306"/>
      <c r="DV91" s="306"/>
      <c r="DW91" s="306"/>
      <c r="DX91" s="306"/>
      <c r="DY91" s="306"/>
      <c r="DZ91" s="306"/>
      <c r="EA91" s="306"/>
      <c r="EB91" s="306"/>
      <c r="EC91" s="306"/>
      <c r="ED91" s="493"/>
      <c r="EE91" s="306"/>
      <c r="EF91" s="306"/>
      <c r="EG91" s="306"/>
      <c r="EH91" s="487"/>
      <c r="EI91" s="306"/>
      <c r="EJ91" s="306"/>
      <c r="EK91" s="306"/>
      <c r="EL91" s="306"/>
      <c r="EM91" s="306"/>
      <c r="EN91" s="306"/>
      <c r="EO91" s="306"/>
      <c r="EP91" s="306"/>
      <c r="EQ91" s="306"/>
      <c r="ER91" s="306"/>
      <c r="ES91" s="306"/>
      <c r="ET91" s="306"/>
      <c r="EU91" s="306"/>
      <c r="EV91" s="491"/>
      <c r="EW91" s="306"/>
      <c r="EX91" s="306"/>
      <c r="EY91" s="306"/>
      <c r="EZ91" s="306"/>
      <c r="FA91" s="306"/>
      <c r="FB91" s="306"/>
      <c r="FC91" s="306"/>
      <c r="FD91" s="306"/>
      <c r="FE91" s="306"/>
      <c r="FF91" s="306"/>
      <c r="FG91" s="306"/>
      <c r="FH91" s="306"/>
      <c r="FI91" s="306"/>
      <c r="FJ91" s="306"/>
      <c r="FK91" s="306"/>
      <c r="FL91" s="487"/>
      <c r="FM91" s="306"/>
      <c r="FN91" s="306"/>
      <c r="FO91" s="306"/>
      <c r="FP91" s="306"/>
      <c r="FQ91" s="306"/>
      <c r="FR91" s="306"/>
      <c r="FS91" s="306"/>
      <c r="FT91" s="306"/>
      <c r="FU91" s="306"/>
      <c r="FV91" s="306"/>
      <c r="FW91" s="306"/>
      <c r="FX91" s="306"/>
      <c r="FY91" s="306"/>
      <c r="FZ91" s="306"/>
      <c r="GA91" s="306"/>
      <c r="GB91" s="491"/>
      <c r="GC91" s="306"/>
      <c r="GD91" s="306"/>
      <c r="GE91" s="306"/>
      <c r="GF91" s="491"/>
      <c r="GG91" s="494"/>
      <c r="GH91" s="487"/>
      <c r="GI91" s="306"/>
      <c r="GJ91" s="491"/>
      <c r="GK91" s="306"/>
      <c r="GL91" s="306"/>
      <c r="GM91" s="497"/>
      <c r="GN91" s="306"/>
      <c r="GO91" s="306"/>
      <c r="GP91" s="306"/>
    </row>
    <row r="92" spans="1:198" ht="30" x14ac:dyDescent="0.15">
      <c r="A92" s="498" t="e">
        <f>VLOOKUP($J92&amp;":", Catalog!$F$5:$BV127, COLUMNS(Catalog!$F$5:$BV127), FALSE)</f>
        <v>#N/A</v>
      </c>
      <c r="B92" s="482" t="b">
        <f t="shared" ca="1" si="0"/>
        <v>0</v>
      </c>
      <c r="C92" s="483" t="str">
        <f t="shared" si="1"/>
        <v>grantAchievementPlaySameDayState2</v>
      </c>
      <c r="D92" s="484" t="e">
        <f>VLOOKUP($J92&amp;":", Catalog!$F$5:$BW127, COLUMNS(Catalog!$F$5:$BW127), FALSE)</f>
        <v>#N/A</v>
      </c>
      <c r="E92" s="485" t="e">
        <f>VLOOKUP($J92&amp;":", Catalog!$F$5:$BX127, COLUMNS(Catalog!$F$5:$BX127), FALSE)</f>
        <v>#N/A</v>
      </c>
      <c r="F92" s="484" t="e">
        <f>VLOOKUP($J92&amp;":", Catalog!$F$5:$BY127, COLUMNS(Catalog!$F$5:$BY127), FALSE)</f>
        <v>#N/A</v>
      </c>
      <c r="G92" s="484" t="e">
        <f>VLOOKUP($J92, Catalog!$E$5:$BZ127, COLUMNS(Catalog!$E$5:$BZ127), FALSE)</f>
        <v>#N/A</v>
      </c>
      <c r="H92" s="483" t="s">
        <v>808</v>
      </c>
      <c r="I92" s="483">
        <v>2</v>
      </c>
      <c r="J92" s="306" t="s">
        <v>1280</v>
      </c>
      <c r="K92" s="486">
        <v>1</v>
      </c>
      <c r="L92" s="100" t="s">
        <v>279</v>
      </c>
      <c r="M92" s="332">
        <v>2</v>
      </c>
      <c r="N92" s="100" t="s">
        <v>280</v>
      </c>
      <c r="O92" s="86"/>
      <c r="P92" s="86"/>
      <c r="Q92" s="86"/>
      <c r="R92" s="100" t="e">
        <f t="shared" si="2"/>
        <v>#N/A</v>
      </c>
      <c r="S92" s="487"/>
      <c r="T92" s="486"/>
      <c r="U92" s="488"/>
      <c r="V92" s="488"/>
      <c r="W92" s="488"/>
      <c r="X92" s="488"/>
      <c r="Y92" s="306"/>
      <c r="Z92" s="306"/>
      <c r="AA92" s="489"/>
      <c r="AB92" s="306" t="e">
        <f t="shared" si="3"/>
        <v>#N/A</v>
      </c>
      <c r="AC92" s="490" t="e">
        <f t="shared" si="4"/>
        <v>#N/A</v>
      </c>
      <c r="AD92" s="490" t="e">
        <f t="shared" si="5"/>
        <v>#N/A</v>
      </c>
      <c r="AE92" s="306"/>
      <c r="AF92" s="332" t="e">
        <f t="shared" si="6"/>
        <v>#N/A</v>
      </c>
      <c r="AG92" s="306"/>
      <c r="AH92" s="487"/>
      <c r="AI92" s="306"/>
      <c r="AJ92" s="306"/>
      <c r="AK92" s="306"/>
      <c r="AL92" s="306"/>
      <c r="AM92" s="306"/>
      <c r="AN92" s="491"/>
      <c r="AO92" s="306"/>
      <c r="AP92" s="306"/>
      <c r="AQ92" s="306"/>
      <c r="AR92" s="306"/>
      <c r="AS92" s="306"/>
      <c r="AT92" s="487"/>
      <c r="AU92" s="306"/>
      <c r="AV92" s="306"/>
      <c r="AW92" s="306"/>
      <c r="AX92" s="306"/>
      <c r="AY92" s="306"/>
      <c r="AZ92" s="491"/>
      <c r="BA92" s="306"/>
      <c r="BB92" s="306"/>
      <c r="BC92" s="487"/>
      <c r="BD92" s="306"/>
      <c r="BE92" s="306"/>
      <c r="BF92" s="492" t="str">
        <f ca="1">IFERROR(__xludf.DUMMYFUNCTION("IF(REGEXMATCH($G92, ""Any""), ""any"", IF(REGEXMATCH($G92, ""All""), ""all"", """"))"),"all")</f>
        <v>all</v>
      </c>
      <c r="BG92" s="499" t="s">
        <v>812</v>
      </c>
      <c r="BH92" s="332">
        <v>3</v>
      </c>
      <c r="BI92" s="306"/>
      <c r="BJ92" s="306"/>
      <c r="BK92" s="306"/>
      <c r="BL92" s="306"/>
      <c r="BM92" s="306"/>
      <c r="BN92" s="306"/>
      <c r="BO92" s="306"/>
      <c r="BP92" s="493"/>
      <c r="BQ92" s="306"/>
      <c r="BR92" s="306"/>
      <c r="BS92" s="506" t="s">
        <v>2362</v>
      </c>
      <c r="BT92" s="487"/>
      <c r="BU92" s="306"/>
      <c r="BV92" s="306"/>
      <c r="BW92" s="306"/>
      <c r="BX92" s="306"/>
      <c r="BY92" s="306"/>
      <c r="BZ92" s="306"/>
      <c r="CA92" s="306"/>
      <c r="CB92" s="306"/>
      <c r="CC92" s="493"/>
      <c r="CD92" s="306"/>
      <c r="CE92" s="306"/>
      <c r="CF92" s="494"/>
      <c r="CG92" s="487"/>
      <c r="CH92" s="306"/>
      <c r="CI92" s="306"/>
      <c r="CJ92" s="306"/>
      <c r="CK92" s="306"/>
      <c r="CL92" s="306"/>
      <c r="CM92" s="306"/>
      <c r="CN92" s="306"/>
      <c r="CO92" s="306"/>
      <c r="CP92" s="306"/>
      <c r="CQ92" s="306"/>
      <c r="CR92" s="306"/>
      <c r="CS92" s="494"/>
      <c r="CT92" s="306"/>
      <c r="CU92" s="306"/>
      <c r="CV92" s="306"/>
      <c r="CW92" s="306"/>
      <c r="CX92" s="306"/>
      <c r="CY92" s="306"/>
      <c r="CZ92" s="306"/>
      <c r="DA92" s="306"/>
      <c r="DB92" s="306"/>
      <c r="DC92" s="493"/>
      <c r="DD92" s="306"/>
      <c r="DE92" s="306"/>
      <c r="DF92" s="494"/>
      <c r="DG92" s="306"/>
      <c r="DH92" s="306"/>
      <c r="DI92" s="306"/>
      <c r="DJ92" s="306"/>
      <c r="DK92" s="306"/>
      <c r="DL92" s="306"/>
      <c r="DM92" s="306"/>
      <c r="DN92" s="306"/>
      <c r="DO92" s="306"/>
      <c r="DP92" s="493"/>
      <c r="DQ92" s="306"/>
      <c r="DR92" s="306"/>
      <c r="DS92" s="489"/>
      <c r="DT92" s="306"/>
      <c r="DU92" s="306"/>
      <c r="DV92" s="306"/>
      <c r="DW92" s="306"/>
      <c r="DX92" s="306"/>
      <c r="DY92" s="306"/>
      <c r="DZ92" s="306"/>
      <c r="EA92" s="306"/>
      <c r="EB92" s="306"/>
      <c r="EC92" s="306"/>
      <c r="ED92" s="493"/>
      <c r="EE92" s="306"/>
      <c r="EF92" s="306"/>
      <c r="EG92" s="306"/>
      <c r="EH92" s="487"/>
      <c r="EI92" s="306"/>
      <c r="EJ92" s="306"/>
      <c r="EK92" s="306"/>
      <c r="EL92" s="306"/>
      <c r="EM92" s="306"/>
      <c r="EN92" s="306"/>
      <c r="EO92" s="306"/>
      <c r="EP92" s="306"/>
      <c r="EQ92" s="306"/>
      <c r="ER92" s="306"/>
      <c r="ES92" s="306"/>
      <c r="ET92" s="306"/>
      <c r="EU92" s="306"/>
      <c r="EV92" s="491"/>
      <c r="EW92" s="306"/>
      <c r="EX92" s="306"/>
      <c r="EY92" s="306"/>
      <c r="EZ92" s="306"/>
      <c r="FA92" s="306"/>
      <c r="FB92" s="306"/>
      <c r="FC92" s="306"/>
      <c r="FD92" s="306"/>
      <c r="FE92" s="306"/>
      <c r="FF92" s="306"/>
      <c r="FG92" s="306"/>
      <c r="FH92" s="306"/>
      <c r="FI92" s="306"/>
      <c r="FJ92" s="306"/>
      <c r="FK92" s="306"/>
      <c r="FL92" s="487"/>
      <c r="FM92" s="306"/>
      <c r="FN92" s="306"/>
      <c r="FO92" s="306"/>
      <c r="FP92" s="306"/>
      <c r="FQ92" s="306"/>
      <c r="FR92" s="306"/>
      <c r="FS92" s="306"/>
      <c r="FT92" s="306"/>
      <c r="FU92" s="306"/>
      <c r="FV92" s="306"/>
      <c r="FW92" s="306"/>
      <c r="FX92" s="306"/>
      <c r="FY92" s="306"/>
      <c r="FZ92" s="306"/>
      <c r="GA92" s="306"/>
      <c r="GB92" s="491"/>
      <c r="GC92" s="306"/>
      <c r="GD92" s="306"/>
      <c r="GE92" s="306"/>
      <c r="GF92" s="491"/>
      <c r="GG92" s="494"/>
      <c r="GH92" s="487"/>
      <c r="GI92" s="306"/>
      <c r="GJ92" s="491"/>
      <c r="GK92" s="306"/>
      <c r="GL92" s="306"/>
      <c r="GM92" s="497"/>
      <c r="GN92" s="306"/>
      <c r="GO92" s="306"/>
      <c r="GP92" s="306"/>
    </row>
    <row r="93" spans="1:198" ht="30" x14ac:dyDescent="0.15">
      <c r="A93" s="498" t="e">
        <f>VLOOKUP($J93&amp;":", Catalog!$F$5:$BV127, COLUMNS(Catalog!$F$5:$BV127), FALSE)</f>
        <v>#N/A</v>
      </c>
      <c r="B93" s="482" t="b">
        <f t="shared" ca="1" si="0"/>
        <v>0</v>
      </c>
      <c r="C93" s="483" t="str">
        <f t="shared" si="1"/>
        <v>grantAchievementPlayTimesState2</v>
      </c>
      <c r="D93" s="484" t="e">
        <f>VLOOKUP($J93&amp;":", Catalog!$F$5:$BW127, COLUMNS(Catalog!$F$5:$BW127), FALSE)</f>
        <v>#N/A</v>
      </c>
      <c r="E93" s="485" t="e">
        <f>VLOOKUP($J93&amp;":", Catalog!$F$5:$BX127, COLUMNS(Catalog!$F$5:$BX127), FALSE)</f>
        <v>#N/A</v>
      </c>
      <c r="F93" s="484" t="e">
        <f>VLOOKUP($J93&amp;":", Catalog!$F$5:$BY127, COLUMNS(Catalog!$F$5:$BY127), FALSE)</f>
        <v>#N/A</v>
      </c>
      <c r="G93" s="484" t="e">
        <f>VLOOKUP($J93, Catalog!$E$5:$BZ127, COLUMNS(Catalog!$E$5:$BZ127), FALSE)</f>
        <v>#N/A</v>
      </c>
      <c r="H93" s="483" t="s">
        <v>808</v>
      </c>
      <c r="I93" s="483">
        <v>2</v>
      </c>
      <c r="J93" s="306" t="s">
        <v>1287</v>
      </c>
      <c r="K93" s="486">
        <v>1</v>
      </c>
      <c r="L93" s="100" t="s">
        <v>279</v>
      </c>
      <c r="M93" s="332">
        <v>2</v>
      </c>
      <c r="N93" s="100" t="s">
        <v>280</v>
      </c>
      <c r="O93" s="86"/>
      <c r="P93" s="86"/>
      <c r="Q93" s="86"/>
      <c r="R93" s="100" t="e">
        <f t="shared" si="2"/>
        <v>#N/A</v>
      </c>
      <c r="S93" s="487"/>
      <c r="T93" s="486"/>
      <c r="U93" s="488"/>
      <c r="V93" s="488"/>
      <c r="W93" s="488"/>
      <c r="X93" s="488"/>
      <c r="Y93" s="306"/>
      <c r="Z93" s="306"/>
      <c r="AA93" s="489"/>
      <c r="AB93" s="306" t="e">
        <f t="shared" si="3"/>
        <v>#N/A</v>
      </c>
      <c r="AC93" s="490" t="e">
        <f t="shared" si="4"/>
        <v>#N/A</v>
      </c>
      <c r="AD93" s="490" t="e">
        <f t="shared" si="5"/>
        <v>#N/A</v>
      </c>
      <c r="AE93" s="306"/>
      <c r="AF93" s="332" t="e">
        <f t="shared" si="6"/>
        <v>#N/A</v>
      </c>
      <c r="AG93" s="306"/>
      <c r="AH93" s="487"/>
      <c r="AI93" s="306"/>
      <c r="AJ93" s="306"/>
      <c r="AK93" s="306"/>
      <c r="AL93" s="306"/>
      <c r="AM93" s="306"/>
      <c r="AN93" s="491"/>
      <c r="AO93" s="306"/>
      <c r="AP93" s="306"/>
      <c r="AQ93" s="306"/>
      <c r="AR93" s="306"/>
      <c r="AS93" s="306"/>
      <c r="AT93" s="487"/>
      <c r="AU93" s="306"/>
      <c r="AV93" s="306"/>
      <c r="AW93" s="306"/>
      <c r="AX93" s="306"/>
      <c r="AY93" s="306"/>
      <c r="AZ93" s="491"/>
      <c r="BA93" s="306"/>
      <c r="BB93" s="306"/>
      <c r="BC93" s="487"/>
      <c r="BD93" s="306"/>
      <c r="BE93" s="306"/>
      <c r="BF93" s="492" t="str">
        <f ca="1">IFERROR(__xludf.DUMMYFUNCTION("IF(REGEXMATCH($G93, ""Any""), ""any"", IF(REGEXMATCH($G93, ""All""), ""all"", """"))"),"all")</f>
        <v>all</v>
      </c>
      <c r="BG93" s="499" t="s">
        <v>812</v>
      </c>
      <c r="BH93" s="332">
        <v>10</v>
      </c>
      <c r="BI93" s="306"/>
      <c r="BJ93" s="306"/>
      <c r="BK93" s="306"/>
      <c r="BL93" s="306"/>
      <c r="BM93" s="306"/>
      <c r="BN93" s="306"/>
      <c r="BO93" s="306"/>
      <c r="BP93" s="493"/>
      <c r="BQ93" s="306"/>
      <c r="BR93" s="306"/>
      <c r="BS93" s="494"/>
      <c r="BT93" s="487"/>
      <c r="BU93" s="306"/>
      <c r="BV93" s="306"/>
      <c r="BW93" s="306"/>
      <c r="BX93" s="306"/>
      <c r="BY93" s="306"/>
      <c r="BZ93" s="306"/>
      <c r="CA93" s="306"/>
      <c r="CB93" s="306"/>
      <c r="CC93" s="493"/>
      <c r="CD93" s="306"/>
      <c r="CE93" s="306"/>
      <c r="CF93" s="494"/>
      <c r="CG93" s="487"/>
      <c r="CH93" s="306"/>
      <c r="CI93" s="306"/>
      <c r="CJ93" s="306"/>
      <c r="CK93" s="306"/>
      <c r="CL93" s="306"/>
      <c r="CM93" s="306"/>
      <c r="CN93" s="306"/>
      <c r="CO93" s="306"/>
      <c r="CP93" s="306"/>
      <c r="CQ93" s="306"/>
      <c r="CR93" s="306"/>
      <c r="CS93" s="494"/>
      <c r="CT93" s="306"/>
      <c r="CU93" s="306"/>
      <c r="CV93" s="306"/>
      <c r="CW93" s="306"/>
      <c r="CX93" s="306"/>
      <c r="CY93" s="306"/>
      <c r="CZ93" s="306"/>
      <c r="DA93" s="306"/>
      <c r="DB93" s="306"/>
      <c r="DC93" s="493"/>
      <c r="DD93" s="306"/>
      <c r="DE93" s="306"/>
      <c r="DF93" s="494"/>
      <c r="DG93" s="306"/>
      <c r="DH93" s="306"/>
      <c r="DI93" s="306"/>
      <c r="DJ93" s="306"/>
      <c r="DK93" s="306"/>
      <c r="DL93" s="306"/>
      <c r="DM93" s="306"/>
      <c r="DN93" s="306"/>
      <c r="DO93" s="306"/>
      <c r="DP93" s="493"/>
      <c r="DQ93" s="306"/>
      <c r="DR93" s="306"/>
      <c r="DS93" s="489"/>
      <c r="DT93" s="306"/>
      <c r="DU93" s="306"/>
      <c r="DV93" s="306"/>
      <c r="DW93" s="306"/>
      <c r="DX93" s="306"/>
      <c r="DY93" s="306"/>
      <c r="DZ93" s="306"/>
      <c r="EA93" s="306"/>
      <c r="EB93" s="306"/>
      <c r="EC93" s="306"/>
      <c r="ED93" s="493"/>
      <c r="EE93" s="306"/>
      <c r="EF93" s="306"/>
      <c r="EG93" s="306"/>
      <c r="EH93" s="487"/>
      <c r="EI93" s="306"/>
      <c r="EJ93" s="306"/>
      <c r="EK93" s="306"/>
      <c r="EL93" s="306"/>
      <c r="EM93" s="306"/>
      <c r="EN93" s="306"/>
      <c r="EO93" s="306"/>
      <c r="EP93" s="306"/>
      <c r="EQ93" s="306"/>
      <c r="ER93" s="306"/>
      <c r="ES93" s="306"/>
      <c r="ET93" s="306"/>
      <c r="EU93" s="306"/>
      <c r="EV93" s="491"/>
      <c r="EW93" s="306"/>
      <c r="EX93" s="306"/>
      <c r="EY93" s="306"/>
      <c r="EZ93" s="306"/>
      <c r="FA93" s="306"/>
      <c r="FB93" s="306"/>
      <c r="FC93" s="306"/>
      <c r="FD93" s="306"/>
      <c r="FE93" s="306"/>
      <c r="FF93" s="306"/>
      <c r="FG93" s="306"/>
      <c r="FH93" s="306"/>
      <c r="FI93" s="306"/>
      <c r="FJ93" s="306"/>
      <c r="FK93" s="306"/>
      <c r="FL93" s="487"/>
      <c r="FM93" s="306"/>
      <c r="FN93" s="306"/>
      <c r="FO93" s="306"/>
      <c r="FP93" s="306"/>
      <c r="FQ93" s="306"/>
      <c r="FR93" s="306"/>
      <c r="FS93" s="306"/>
      <c r="FT93" s="306"/>
      <c r="FU93" s="306"/>
      <c r="FV93" s="306"/>
      <c r="FW93" s="306"/>
      <c r="FX93" s="306"/>
      <c r="FY93" s="306"/>
      <c r="FZ93" s="306"/>
      <c r="GA93" s="306"/>
      <c r="GB93" s="491"/>
      <c r="GC93" s="306"/>
      <c r="GD93" s="306"/>
      <c r="GE93" s="306"/>
      <c r="GF93" s="491"/>
      <c r="GG93" s="494"/>
      <c r="GH93" s="487"/>
      <c r="GI93" s="306"/>
      <c r="GJ93" s="491"/>
      <c r="GK93" s="306"/>
      <c r="GL93" s="306"/>
      <c r="GM93" s="497"/>
      <c r="GN93" s="306"/>
      <c r="GO93" s="306"/>
      <c r="GP93" s="306"/>
    </row>
    <row r="94" spans="1:198" ht="30" x14ac:dyDescent="0.15">
      <c r="A94" s="498" t="e">
        <f>VLOOKUP($J94&amp;":", Catalog!$F$5:$BV127, COLUMNS(Catalog!$F$5:$BV127), FALSE)</f>
        <v>#N/A</v>
      </c>
      <c r="B94" s="482" t="b">
        <f t="shared" ca="1" si="0"/>
        <v>0</v>
      </c>
      <c r="C94" s="483" t="str">
        <f t="shared" si="1"/>
        <v>grantAchievementPlayAmmoSwapState2</v>
      </c>
      <c r="D94" s="484" t="e">
        <f>VLOOKUP($J94&amp;":", Catalog!$F$5:$BW127, COLUMNS(Catalog!$F$5:$BW127), FALSE)</f>
        <v>#N/A</v>
      </c>
      <c r="E94" s="485" t="e">
        <f>VLOOKUP($J94&amp;":", Catalog!$F$5:$BX127, COLUMNS(Catalog!$F$5:$BX127), FALSE)</f>
        <v>#N/A</v>
      </c>
      <c r="F94" s="484" t="e">
        <f>VLOOKUP($J94&amp;":", Catalog!$F$5:$BY127, COLUMNS(Catalog!$F$5:$BY127), FALSE)</f>
        <v>#N/A</v>
      </c>
      <c r="G94" s="484" t="e">
        <f>VLOOKUP($J94, Catalog!$E$5:$BZ127, COLUMNS(Catalog!$E$5:$BZ127), FALSE)</f>
        <v>#N/A</v>
      </c>
      <c r="H94" s="483" t="s">
        <v>808</v>
      </c>
      <c r="I94" s="483">
        <v>2</v>
      </c>
      <c r="J94" s="306" t="s">
        <v>1297</v>
      </c>
      <c r="K94" s="486">
        <v>1</v>
      </c>
      <c r="L94" s="100" t="s">
        <v>279</v>
      </c>
      <c r="M94" s="332">
        <v>2</v>
      </c>
      <c r="N94" s="100" t="s">
        <v>280</v>
      </c>
      <c r="O94" s="86"/>
      <c r="P94" s="86"/>
      <c r="Q94" s="86"/>
      <c r="R94" s="100" t="e">
        <f t="shared" si="2"/>
        <v>#N/A</v>
      </c>
      <c r="S94" s="487"/>
      <c r="T94" s="486"/>
      <c r="U94" s="488"/>
      <c r="V94" s="488"/>
      <c r="W94" s="488"/>
      <c r="X94" s="488"/>
      <c r="Y94" s="306"/>
      <c r="Z94" s="306"/>
      <c r="AA94" s="489"/>
      <c r="AB94" s="306" t="e">
        <f t="shared" si="3"/>
        <v>#N/A</v>
      </c>
      <c r="AC94" s="490" t="e">
        <f t="shared" si="4"/>
        <v>#N/A</v>
      </c>
      <c r="AD94" s="490" t="e">
        <f t="shared" si="5"/>
        <v>#N/A</v>
      </c>
      <c r="AE94" s="306"/>
      <c r="AF94" s="332" t="e">
        <f t="shared" si="6"/>
        <v>#N/A</v>
      </c>
      <c r="AG94" s="306"/>
      <c r="AH94" s="487"/>
      <c r="AI94" s="306"/>
      <c r="AJ94" s="306"/>
      <c r="AK94" s="306"/>
      <c r="AL94" s="306"/>
      <c r="AM94" s="306"/>
      <c r="AN94" s="491"/>
      <c r="AO94" s="306"/>
      <c r="AP94" s="306"/>
      <c r="AQ94" s="306"/>
      <c r="AR94" s="306"/>
      <c r="AS94" s="306"/>
      <c r="AT94" s="487"/>
      <c r="AU94" s="306"/>
      <c r="AV94" s="306"/>
      <c r="AW94" s="306"/>
      <c r="AX94" s="306"/>
      <c r="AY94" s="306"/>
      <c r="AZ94" s="491"/>
      <c r="BA94" s="306"/>
      <c r="BB94" s="306"/>
      <c r="BC94" s="487"/>
      <c r="BD94" s="306"/>
      <c r="BE94" s="306"/>
      <c r="BF94" s="492" t="str">
        <f ca="1">IFERROR(__xludf.DUMMYFUNCTION("IF(REGEXMATCH($G94, ""Any""), ""any"", IF(REGEXMATCH($G94, ""All""), ""all"", """"))"),"all")</f>
        <v>all</v>
      </c>
      <c r="BG94" s="499" t="s">
        <v>1294</v>
      </c>
      <c r="BH94" s="332">
        <v>25</v>
      </c>
      <c r="BI94" s="306"/>
      <c r="BJ94" s="306"/>
      <c r="BK94" s="306"/>
      <c r="BL94" s="306"/>
      <c r="BM94" s="306"/>
      <c r="BN94" s="306"/>
      <c r="BO94" s="306"/>
      <c r="BP94" s="493"/>
      <c r="BQ94" s="306"/>
      <c r="BR94" s="306"/>
      <c r="BS94" s="494"/>
      <c r="BT94" s="487"/>
      <c r="BU94" s="306"/>
      <c r="BV94" s="306"/>
      <c r="BW94" s="306"/>
      <c r="BX94" s="306"/>
      <c r="BY94" s="306"/>
      <c r="BZ94" s="306"/>
      <c r="CA94" s="306"/>
      <c r="CB94" s="306"/>
      <c r="CC94" s="493"/>
      <c r="CD94" s="306"/>
      <c r="CE94" s="306"/>
      <c r="CF94" s="494"/>
      <c r="CG94" s="487"/>
      <c r="CH94" s="306"/>
      <c r="CI94" s="306"/>
      <c r="CJ94" s="306"/>
      <c r="CK94" s="306"/>
      <c r="CL94" s="306"/>
      <c r="CM94" s="306"/>
      <c r="CN94" s="306"/>
      <c r="CO94" s="306"/>
      <c r="CP94" s="306"/>
      <c r="CQ94" s="306"/>
      <c r="CR94" s="306"/>
      <c r="CS94" s="494"/>
      <c r="CT94" s="306"/>
      <c r="CU94" s="306"/>
      <c r="CV94" s="306"/>
      <c r="CW94" s="306"/>
      <c r="CX94" s="306"/>
      <c r="CY94" s="306"/>
      <c r="CZ94" s="306"/>
      <c r="DA94" s="306"/>
      <c r="DB94" s="306"/>
      <c r="DC94" s="493"/>
      <c r="DD94" s="306"/>
      <c r="DE94" s="306"/>
      <c r="DF94" s="494"/>
      <c r="DG94" s="306"/>
      <c r="DH94" s="306"/>
      <c r="DI94" s="306"/>
      <c r="DJ94" s="306"/>
      <c r="DK94" s="306"/>
      <c r="DL94" s="306"/>
      <c r="DM94" s="306"/>
      <c r="DN94" s="306"/>
      <c r="DO94" s="306"/>
      <c r="DP94" s="493"/>
      <c r="DQ94" s="306"/>
      <c r="DR94" s="306"/>
      <c r="DS94" s="489"/>
      <c r="DT94" s="306"/>
      <c r="DU94" s="306"/>
      <c r="DV94" s="306"/>
      <c r="DW94" s="306"/>
      <c r="DX94" s="306"/>
      <c r="DY94" s="306"/>
      <c r="DZ94" s="306"/>
      <c r="EA94" s="306"/>
      <c r="EB94" s="306"/>
      <c r="EC94" s="306"/>
      <c r="ED94" s="493"/>
      <c r="EE94" s="306"/>
      <c r="EF94" s="306"/>
      <c r="EG94" s="306"/>
      <c r="EH94" s="487"/>
      <c r="EI94" s="306"/>
      <c r="EJ94" s="306"/>
      <c r="EK94" s="306"/>
      <c r="EL94" s="306"/>
      <c r="EM94" s="306"/>
      <c r="EN94" s="306"/>
      <c r="EO94" s="306"/>
      <c r="EP94" s="306"/>
      <c r="EQ94" s="306"/>
      <c r="ER94" s="306"/>
      <c r="ES94" s="306"/>
      <c r="ET94" s="306"/>
      <c r="EU94" s="306"/>
      <c r="EV94" s="491"/>
      <c r="EW94" s="306"/>
      <c r="EX94" s="306"/>
      <c r="EY94" s="306"/>
      <c r="EZ94" s="306"/>
      <c r="FA94" s="306"/>
      <c r="FB94" s="306"/>
      <c r="FC94" s="306"/>
      <c r="FD94" s="306"/>
      <c r="FE94" s="306"/>
      <c r="FF94" s="306"/>
      <c r="FG94" s="306"/>
      <c r="FH94" s="306"/>
      <c r="FI94" s="306"/>
      <c r="FJ94" s="306"/>
      <c r="FK94" s="306"/>
      <c r="FL94" s="487"/>
      <c r="FM94" s="306"/>
      <c r="FN94" s="306"/>
      <c r="FO94" s="306"/>
      <c r="FP94" s="306"/>
      <c r="FQ94" s="306"/>
      <c r="FR94" s="306"/>
      <c r="FS94" s="306"/>
      <c r="FT94" s="306"/>
      <c r="FU94" s="306"/>
      <c r="FV94" s="306"/>
      <c r="FW94" s="306"/>
      <c r="FX94" s="306"/>
      <c r="FY94" s="306"/>
      <c r="FZ94" s="306"/>
      <c r="GA94" s="306"/>
      <c r="GB94" s="491"/>
      <c r="GC94" s="306"/>
      <c r="GD94" s="306"/>
      <c r="GE94" s="306"/>
      <c r="GF94" s="491"/>
      <c r="GG94" s="494"/>
      <c r="GH94" s="487"/>
      <c r="GI94" s="306"/>
      <c r="GJ94" s="491"/>
      <c r="GK94" s="306"/>
      <c r="GL94" s="306"/>
      <c r="GM94" s="497"/>
      <c r="GN94" s="306"/>
      <c r="GO94" s="306"/>
      <c r="GP94" s="306"/>
    </row>
    <row r="95" spans="1:198" ht="45" x14ac:dyDescent="0.15">
      <c r="A95" s="481" t="e">
        <f>VLOOKUP($J95&amp;":", Catalog!$F$5:$BV127, COLUMNS(Catalog!$F$5:$BV127), FALSE)</f>
        <v>#N/A</v>
      </c>
      <c r="B95" s="482" t="b">
        <f t="shared" ca="1" si="0"/>
        <v>0</v>
      </c>
      <c r="C95" s="483" t="str">
        <f t="shared" si="1"/>
        <v>grantAchievementPlayStrongholdTankHaywireState2</v>
      </c>
      <c r="D95" s="484" t="e">
        <f>VLOOKUP($J95&amp;":", Catalog!$F$5:$BW127, COLUMNS(Catalog!$F$5:$BW127), FALSE)</f>
        <v>#N/A</v>
      </c>
      <c r="E95" s="485" t="e">
        <f>VLOOKUP($J95&amp;":", Catalog!$F$5:$BX127, COLUMNS(Catalog!$F$5:$BX127), FALSE)</f>
        <v>#N/A</v>
      </c>
      <c r="F95" s="484" t="e">
        <f>VLOOKUP($J95&amp;":", Catalog!$F$5:$BY127, COLUMNS(Catalog!$F$5:$BY127), FALSE)</f>
        <v>#N/A</v>
      </c>
      <c r="G95" s="484" t="e">
        <f>VLOOKUP($J95, Catalog!$E$5:$BZ127, COLUMNS(Catalog!$E$5:$BZ127), FALSE)</f>
        <v>#N/A</v>
      </c>
      <c r="H95" s="483" t="s">
        <v>808</v>
      </c>
      <c r="I95" s="483">
        <v>2</v>
      </c>
      <c r="J95" s="306" t="s">
        <v>1311</v>
      </c>
      <c r="K95" s="486">
        <v>1</v>
      </c>
      <c r="L95" s="100" t="s">
        <v>279</v>
      </c>
      <c r="M95" s="332">
        <v>2</v>
      </c>
      <c r="N95" s="100" t="s">
        <v>280</v>
      </c>
      <c r="O95" s="86"/>
      <c r="P95" s="86"/>
      <c r="Q95" s="86"/>
      <c r="R95" s="100" t="e">
        <f t="shared" si="2"/>
        <v>#N/A</v>
      </c>
      <c r="S95" s="487"/>
      <c r="T95" s="486"/>
      <c r="U95" s="488"/>
      <c r="V95" s="488"/>
      <c r="W95" s="488"/>
      <c r="X95" s="488"/>
      <c r="Y95" s="306"/>
      <c r="Z95" s="306"/>
      <c r="AA95" s="489"/>
      <c r="AB95" s="306" t="e">
        <f t="shared" si="3"/>
        <v>#N/A</v>
      </c>
      <c r="AC95" s="490" t="e">
        <f t="shared" si="4"/>
        <v>#N/A</v>
      </c>
      <c r="AD95" s="490" t="e">
        <f t="shared" si="5"/>
        <v>#N/A</v>
      </c>
      <c r="AE95" s="306"/>
      <c r="AF95" s="332" t="e">
        <f t="shared" si="6"/>
        <v>#N/A</v>
      </c>
      <c r="AG95" s="306"/>
      <c r="AH95" s="487"/>
      <c r="AI95" s="306"/>
      <c r="AJ95" s="306"/>
      <c r="AK95" s="306"/>
      <c r="AL95" s="306"/>
      <c r="AM95" s="306"/>
      <c r="AN95" s="491"/>
      <c r="AO95" s="306"/>
      <c r="AP95" s="306"/>
      <c r="AQ95" s="306"/>
      <c r="AR95" s="306"/>
      <c r="AS95" s="306"/>
      <c r="AT95" s="487"/>
      <c r="AU95" s="306"/>
      <c r="AV95" s="306"/>
      <c r="AW95" s="306"/>
      <c r="AX95" s="306"/>
      <c r="AY95" s="306"/>
      <c r="AZ95" s="491"/>
      <c r="BA95" s="306"/>
      <c r="BB95" s="306"/>
      <c r="BC95" s="487"/>
      <c r="BD95" s="306"/>
      <c r="BE95" s="306"/>
      <c r="BF95" s="492" t="str">
        <f ca="1">IFERROR(__xludf.DUMMYFUNCTION("IF(REGEXMATCH($G95, ""Any""), ""any"", IF(REGEXMATCH($G95, ""All""), ""all"", """"))"),"all")</f>
        <v>all</v>
      </c>
      <c r="BG95" s="499" t="s">
        <v>1310</v>
      </c>
      <c r="BH95" s="306"/>
      <c r="BI95" s="306"/>
      <c r="BJ95" s="306"/>
      <c r="BK95" s="306"/>
      <c r="BL95" s="306"/>
      <c r="BM95" s="306"/>
      <c r="BN95" s="306"/>
      <c r="BO95" s="306"/>
      <c r="BP95" s="493"/>
      <c r="BQ95" s="306"/>
      <c r="BR95" s="306"/>
      <c r="BS95" s="494"/>
      <c r="BT95" s="487"/>
      <c r="BU95" s="306"/>
      <c r="BV95" s="306"/>
      <c r="BW95" s="306"/>
      <c r="BX95" s="306"/>
      <c r="BY95" s="306"/>
      <c r="BZ95" s="306"/>
      <c r="CA95" s="306"/>
      <c r="CB95" s="306"/>
      <c r="CC95" s="493"/>
      <c r="CD95" s="306"/>
      <c r="CE95" s="306"/>
      <c r="CF95" s="494"/>
      <c r="CG95" s="487"/>
      <c r="CH95" s="306"/>
      <c r="CI95" s="306"/>
      <c r="CJ95" s="306"/>
      <c r="CK95" s="306"/>
      <c r="CL95" s="306"/>
      <c r="CM95" s="306"/>
      <c r="CN95" s="306"/>
      <c r="CO95" s="306"/>
      <c r="CP95" s="306"/>
      <c r="CQ95" s="306"/>
      <c r="CR95" s="306"/>
      <c r="CS95" s="494"/>
      <c r="CT95" s="306"/>
      <c r="CU95" s="306"/>
      <c r="CV95" s="306"/>
      <c r="CW95" s="306"/>
      <c r="CX95" s="306"/>
      <c r="CY95" s="306"/>
      <c r="CZ95" s="306"/>
      <c r="DA95" s="306"/>
      <c r="DB95" s="306"/>
      <c r="DC95" s="493"/>
      <c r="DD95" s="306"/>
      <c r="DE95" s="306"/>
      <c r="DF95" s="494"/>
      <c r="DG95" s="306"/>
      <c r="DH95" s="306"/>
      <c r="DI95" s="306"/>
      <c r="DJ95" s="306"/>
      <c r="DK95" s="306"/>
      <c r="DL95" s="306"/>
      <c r="DM95" s="306"/>
      <c r="DN95" s="306"/>
      <c r="DO95" s="306"/>
      <c r="DP95" s="493"/>
      <c r="DQ95" s="306"/>
      <c r="DR95" s="306"/>
      <c r="DS95" s="489"/>
      <c r="DT95" s="306"/>
      <c r="DU95" s="306"/>
      <c r="DV95" s="306"/>
      <c r="DW95" s="306"/>
      <c r="DX95" s="306"/>
      <c r="DY95" s="306"/>
      <c r="DZ95" s="306"/>
      <c r="EA95" s="306"/>
      <c r="EB95" s="306"/>
      <c r="EC95" s="306"/>
      <c r="ED95" s="493"/>
      <c r="EE95" s="306"/>
      <c r="EF95" s="306"/>
      <c r="EG95" s="306"/>
      <c r="EH95" s="487"/>
      <c r="EI95" s="306"/>
      <c r="EJ95" s="306"/>
      <c r="EK95" s="306"/>
      <c r="EL95" s="306"/>
      <c r="EM95" s="306"/>
      <c r="EN95" s="306"/>
      <c r="EO95" s="306"/>
      <c r="EP95" s="306"/>
      <c r="EQ95" s="306"/>
      <c r="ER95" s="306"/>
      <c r="ES95" s="306"/>
      <c r="ET95" s="306"/>
      <c r="EU95" s="306"/>
      <c r="EV95" s="491"/>
      <c r="EW95" s="306"/>
      <c r="EX95" s="306"/>
      <c r="EY95" s="306"/>
      <c r="EZ95" s="306"/>
      <c r="FA95" s="306"/>
      <c r="FB95" s="306"/>
      <c r="FC95" s="306"/>
      <c r="FD95" s="306"/>
      <c r="FE95" s="306"/>
      <c r="FF95" s="306"/>
      <c r="FG95" s="306"/>
      <c r="FH95" s="306"/>
      <c r="FI95" s="306"/>
      <c r="FJ95" s="306"/>
      <c r="FK95" s="306"/>
      <c r="FL95" s="487"/>
      <c r="FM95" s="306"/>
      <c r="FN95" s="306"/>
      <c r="FO95" s="306"/>
      <c r="FP95" s="306"/>
      <c r="FQ95" s="306"/>
      <c r="FR95" s="306"/>
      <c r="FS95" s="306"/>
      <c r="FT95" s="306"/>
      <c r="FU95" s="306"/>
      <c r="FV95" s="306"/>
      <c r="FW95" s="306"/>
      <c r="FX95" s="306"/>
      <c r="FY95" s="306"/>
      <c r="FZ95" s="306"/>
      <c r="GA95" s="306"/>
      <c r="GB95" s="491"/>
      <c r="GC95" s="306"/>
      <c r="GD95" s="306"/>
      <c r="GE95" s="306"/>
      <c r="GF95" s="491"/>
      <c r="GG95" s="494"/>
      <c r="GH95" s="487"/>
      <c r="GI95" s="306"/>
      <c r="GJ95" s="491"/>
      <c r="GK95" s="306"/>
      <c r="GL95" s="306"/>
      <c r="GM95" s="497"/>
      <c r="GN95" s="306"/>
      <c r="GO95" s="306"/>
      <c r="GP95" s="306"/>
    </row>
    <row r="96" spans="1:198" ht="45" x14ac:dyDescent="0.15">
      <c r="A96" s="481" t="e">
        <f>VLOOKUP($J96&amp;":", Catalog!$F$5:$BV127, COLUMNS(Catalog!$F$5:$BV127), FALSE)</f>
        <v>#N/A</v>
      </c>
      <c r="B96" s="482" t="b">
        <f t="shared" ca="1" si="0"/>
        <v>0</v>
      </c>
      <c r="C96" s="483" t="str">
        <f t="shared" si="1"/>
        <v>grantAchievementPlayNunchuckMusicNotesState2</v>
      </c>
      <c r="D96" s="484" t="e">
        <f>VLOOKUP($J96&amp;":", Catalog!$F$5:$BW127, COLUMNS(Catalog!$F$5:$BW127), FALSE)</f>
        <v>#N/A</v>
      </c>
      <c r="E96" s="485" t="e">
        <f>VLOOKUP($J96&amp;":", Catalog!$F$5:$BX127, COLUMNS(Catalog!$F$5:$BX127), FALSE)</f>
        <v>#N/A</v>
      </c>
      <c r="F96" s="484" t="e">
        <f>VLOOKUP($J96&amp;":", Catalog!$F$5:$BY127, COLUMNS(Catalog!$F$5:$BY127), FALSE)</f>
        <v>#N/A</v>
      </c>
      <c r="G96" s="484" t="e">
        <f>VLOOKUP($J96, Catalog!$E$5:$BZ127, COLUMNS(Catalog!$E$5:$BZ127), FALSE)</f>
        <v>#N/A</v>
      </c>
      <c r="H96" s="483" t="s">
        <v>808</v>
      </c>
      <c r="I96" s="483">
        <v>2</v>
      </c>
      <c r="J96" s="306" t="s">
        <v>1320</v>
      </c>
      <c r="K96" s="486">
        <v>1</v>
      </c>
      <c r="L96" s="100" t="s">
        <v>279</v>
      </c>
      <c r="M96" s="332">
        <v>2</v>
      </c>
      <c r="N96" s="100" t="s">
        <v>280</v>
      </c>
      <c r="O96" s="86"/>
      <c r="P96" s="86"/>
      <c r="Q96" s="86"/>
      <c r="R96" s="100" t="e">
        <f t="shared" si="2"/>
        <v>#N/A</v>
      </c>
      <c r="S96" s="487"/>
      <c r="T96" s="486"/>
      <c r="U96" s="488"/>
      <c r="V96" s="488"/>
      <c r="W96" s="488"/>
      <c r="X96" s="488"/>
      <c r="Y96" s="306"/>
      <c r="Z96" s="306"/>
      <c r="AA96" s="489"/>
      <c r="AB96" s="306" t="e">
        <f t="shared" si="3"/>
        <v>#N/A</v>
      </c>
      <c r="AC96" s="490" t="e">
        <f t="shared" si="4"/>
        <v>#N/A</v>
      </c>
      <c r="AD96" s="490" t="e">
        <f t="shared" si="5"/>
        <v>#N/A</v>
      </c>
      <c r="AE96" s="306"/>
      <c r="AF96" s="332" t="e">
        <f t="shared" si="6"/>
        <v>#N/A</v>
      </c>
      <c r="AG96" s="306"/>
      <c r="AH96" s="487"/>
      <c r="AI96" s="306"/>
      <c r="AJ96" s="306"/>
      <c r="AK96" s="306"/>
      <c r="AL96" s="306"/>
      <c r="AM96" s="306"/>
      <c r="AN96" s="491"/>
      <c r="AO96" s="306"/>
      <c r="AP96" s="306"/>
      <c r="AQ96" s="306"/>
      <c r="AR96" s="306"/>
      <c r="AS96" s="306"/>
      <c r="AT96" s="487"/>
      <c r="AU96" s="306"/>
      <c r="AV96" s="306"/>
      <c r="AW96" s="306"/>
      <c r="AX96" s="306"/>
      <c r="AY96" s="306"/>
      <c r="AZ96" s="491"/>
      <c r="BA96" s="306"/>
      <c r="BB96" s="306"/>
      <c r="BC96" s="487"/>
      <c r="BD96" s="306"/>
      <c r="BE96" s="306"/>
      <c r="BF96" s="492" t="str">
        <f ca="1">IFERROR(__xludf.DUMMYFUNCTION("IF(REGEXMATCH($G96, ""Any""), ""any"", IF(REGEXMATCH($G96, ""All""), ""all"", """"))"),"all")</f>
        <v>all</v>
      </c>
      <c r="BG96" s="499" t="s">
        <v>1318</v>
      </c>
      <c r="BH96" s="332">
        <v>25</v>
      </c>
      <c r="BI96" s="306"/>
      <c r="BJ96" s="306"/>
      <c r="BK96" s="306"/>
      <c r="BL96" s="306"/>
      <c r="BM96" s="306"/>
      <c r="BN96" s="306"/>
      <c r="BO96" s="306"/>
      <c r="BP96" s="493"/>
      <c r="BQ96" s="306"/>
      <c r="BR96" s="306"/>
      <c r="BS96" s="494"/>
      <c r="BT96" s="487"/>
      <c r="BU96" s="306"/>
      <c r="BV96" s="306"/>
      <c r="BW96" s="306"/>
      <c r="BX96" s="306"/>
      <c r="BY96" s="306"/>
      <c r="BZ96" s="306"/>
      <c r="CA96" s="306"/>
      <c r="CB96" s="306"/>
      <c r="CC96" s="493"/>
      <c r="CD96" s="306"/>
      <c r="CE96" s="306"/>
      <c r="CF96" s="494"/>
      <c r="CG96" s="487"/>
      <c r="CH96" s="306"/>
      <c r="CI96" s="306"/>
      <c r="CJ96" s="306"/>
      <c r="CK96" s="306"/>
      <c r="CL96" s="306"/>
      <c r="CM96" s="306"/>
      <c r="CN96" s="306"/>
      <c r="CO96" s="306"/>
      <c r="CP96" s="306"/>
      <c r="CQ96" s="306"/>
      <c r="CR96" s="306"/>
      <c r="CS96" s="494"/>
      <c r="CT96" s="306"/>
      <c r="CU96" s="306"/>
      <c r="CV96" s="306"/>
      <c r="CW96" s="306"/>
      <c r="CX96" s="306"/>
      <c r="CY96" s="306"/>
      <c r="CZ96" s="306"/>
      <c r="DA96" s="306"/>
      <c r="DB96" s="306"/>
      <c r="DC96" s="493"/>
      <c r="DD96" s="306"/>
      <c r="DE96" s="306"/>
      <c r="DF96" s="494"/>
      <c r="DG96" s="306"/>
      <c r="DH96" s="306"/>
      <c r="DI96" s="306"/>
      <c r="DJ96" s="306"/>
      <c r="DK96" s="306"/>
      <c r="DL96" s="306"/>
      <c r="DM96" s="306"/>
      <c r="DN96" s="306"/>
      <c r="DO96" s="306"/>
      <c r="DP96" s="493"/>
      <c r="DQ96" s="306"/>
      <c r="DR96" s="306"/>
      <c r="DS96" s="489"/>
      <c r="DT96" s="306"/>
      <c r="DU96" s="306"/>
      <c r="DV96" s="306"/>
      <c r="DW96" s="306"/>
      <c r="DX96" s="306"/>
      <c r="DY96" s="306"/>
      <c r="DZ96" s="306"/>
      <c r="EA96" s="306"/>
      <c r="EB96" s="306"/>
      <c r="EC96" s="306"/>
      <c r="ED96" s="493"/>
      <c r="EE96" s="306"/>
      <c r="EF96" s="306"/>
      <c r="EG96" s="306"/>
      <c r="EH96" s="487"/>
      <c r="EI96" s="306"/>
      <c r="EJ96" s="306"/>
      <c r="EK96" s="306"/>
      <c r="EL96" s="306"/>
      <c r="EM96" s="306"/>
      <c r="EN96" s="306"/>
      <c r="EO96" s="306"/>
      <c r="EP96" s="306"/>
      <c r="EQ96" s="306"/>
      <c r="ER96" s="306"/>
      <c r="ES96" s="306"/>
      <c r="ET96" s="306"/>
      <c r="EU96" s="306"/>
      <c r="EV96" s="491"/>
      <c r="EW96" s="306"/>
      <c r="EX96" s="306"/>
      <c r="EY96" s="306"/>
      <c r="EZ96" s="306"/>
      <c r="FA96" s="306"/>
      <c r="FB96" s="306"/>
      <c r="FC96" s="306"/>
      <c r="FD96" s="306"/>
      <c r="FE96" s="306"/>
      <c r="FF96" s="306"/>
      <c r="FG96" s="306"/>
      <c r="FH96" s="306"/>
      <c r="FI96" s="306"/>
      <c r="FJ96" s="306"/>
      <c r="FK96" s="306"/>
      <c r="FL96" s="487"/>
      <c r="FM96" s="306"/>
      <c r="FN96" s="306"/>
      <c r="FO96" s="306"/>
      <c r="FP96" s="306"/>
      <c r="FQ96" s="306"/>
      <c r="FR96" s="306"/>
      <c r="FS96" s="306"/>
      <c r="FT96" s="306"/>
      <c r="FU96" s="306"/>
      <c r="FV96" s="306"/>
      <c r="FW96" s="306"/>
      <c r="FX96" s="306"/>
      <c r="FY96" s="306"/>
      <c r="FZ96" s="306"/>
      <c r="GA96" s="306"/>
      <c r="GB96" s="491"/>
      <c r="GC96" s="306"/>
      <c r="GD96" s="306"/>
      <c r="GE96" s="306"/>
      <c r="GF96" s="491"/>
      <c r="GG96" s="494"/>
      <c r="GH96" s="487"/>
      <c r="GI96" s="306"/>
      <c r="GJ96" s="491"/>
      <c r="GK96" s="306"/>
      <c r="GL96" s="306"/>
      <c r="GM96" s="497"/>
      <c r="GN96" s="306"/>
      <c r="GO96" s="306"/>
      <c r="GP96" s="306"/>
    </row>
    <row r="97" spans="1:198" ht="42" x14ac:dyDescent="0.15">
      <c r="A97" s="498" t="e">
        <f>VLOOKUP($J97&amp;":", Catalog!$F$5:$BV127, COLUMNS(Catalog!$F$5:$BV127), FALSE)</f>
        <v>#N/A</v>
      </c>
      <c r="B97" s="482" t="b">
        <f t="shared" ca="1" si="0"/>
        <v>0</v>
      </c>
      <c r="C97" s="483" t="str">
        <f t="shared" si="1"/>
        <v>grantAchievementPlayJeanClawedBathtubState2</v>
      </c>
      <c r="D97" s="484" t="e">
        <f>VLOOKUP($J97&amp;":", Catalog!$F$5:$BW127, COLUMNS(Catalog!$F$5:$BW127), FALSE)</f>
        <v>#N/A</v>
      </c>
      <c r="E97" s="485" t="e">
        <f>VLOOKUP($J97&amp;":", Catalog!$F$5:$BX127, COLUMNS(Catalog!$F$5:$BX127), FALSE)</f>
        <v>#N/A</v>
      </c>
      <c r="F97" s="484" t="e">
        <f>VLOOKUP($J97&amp;":", Catalog!$F$5:$BY127, COLUMNS(Catalog!$F$5:$BY127), FALSE)</f>
        <v>#N/A</v>
      </c>
      <c r="G97" s="484" t="e">
        <f>VLOOKUP($J97, Catalog!$E$5:$BZ127, COLUMNS(Catalog!$E$5:$BZ127), FALSE)</f>
        <v>#N/A</v>
      </c>
      <c r="H97" s="483" t="s">
        <v>808</v>
      </c>
      <c r="I97" s="483">
        <v>2</v>
      </c>
      <c r="J97" s="306" t="s">
        <v>1328</v>
      </c>
      <c r="K97" s="486">
        <v>1</v>
      </c>
      <c r="L97" s="100" t="s">
        <v>279</v>
      </c>
      <c r="M97" s="332">
        <v>2</v>
      </c>
      <c r="N97" s="100" t="s">
        <v>280</v>
      </c>
      <c r="O97" s="86"/>
      <c r="P97" s="86"/>
      <c r="Q97" s="86"/>
      <c r="R97" s="100" t="e">
        <f t="shared" si="2"/>
        <v>#N/A</v>
      </c>
      <c r="S97" s="487"/>
      <c r="T97" s="486"/>
      <c r="U97" s="488"/>
      <c r="V97" s="488"/>
      <c r="W97" s="488"/>
      <c r="X97" s="488"/>
      <c r="Y97" s="306"/>
      <c r="Z97" s="306"/>
      <c r="AA97" s="489"/>
      <c r="AB97" s="306" t="e">
        <f t="shared" si="3"/>
        <v>#N/A</v>
      </c>
      <c r="AC97" s="490" t="e">
        <f t="shared" si="4"/>
        <v>#N/A</v>
      </c>
      <c r="AD97" s="490" t="e">
        <f t="shared" si="5"/>
        <v>#N/A</v>
      </c>
      <c r="AE97" s="306"/>
      <c r="AF97" s="332" t="e">
        <f t="shared" si="6"/>
        <v>#N/A</v>
      </c>
      <c r="AG97" s="306"/>
      <c r="AH97" s="487"/>
      <c r="AI97" s="306"/>
      <c r="AJ97" s="306"/>
      <c r="AK97" s="306"/>
      <c r="AL97" s="306"/>
      <c r="AM97" s="306"/>
      <c r="AN97" s="491"/>
      <c r="AO97" s="306"/>
      <c r="AP97" s="306"/>
      <c r="AQ97" s="306"/>
      <c r="AR97" s="306"/>
      <c r="AS97" s="306"/>
      <c r="AT97" s="487"/>
      <c r="AU97" s="306"/>
      <c r="AV97" s="306"/>
      <c r="AW97" s="306"/>
      <c r="AX97" s="306"/>
      <c r="AY97" s="306"/>
      <c r="AZ97" s="491"/>
      <c r="BA97" s="306"/>
      <c r="BB97" s="306"/>
      <c r="BC97" s="487"/>
      <c r="BD97" s="306"/>
      <c r="BE97" s="306"/>
      <c r="BF97" s="492" t="str">
        <f ca="1">IFERROR(__xludf.DUMMYFUNCTION("IF(REGEXMATCH($G97, ""Any""), ""any"", IF(REGEXMATCH($G97, ""All""), ""all"", """"))"),"all")</f>
        <v>all</v>
      </c>
      <c r="BG97" s="499" t="s">
        <v>1327</v>
      </c>
      <c r="BH97" s="306"/>
      <c r="BI97" s="306"/>
      <c r="BJ97" s="306"/>
      <c r="BK97" s="306"/>
      <c r="BL97" s="306"/>
      <c r="BM97" s="306"/>
      <c r="BN97" s="306"/>
      <c r="BO97" s="306"/>
      <c r="BP97" s="493"/>
      <c r="BQ97" s="306"/>
      <c r="BR97" s="306"/>
      <c r="BS97" s="494"/>
      <c r="BT97" s="487"/>
      <c r="BU97" s="306"/>
      <c r="BV97" s="306"/>
      <c r="BW97" s="306"/>
      <c r="BX97" s="306"/>
      <c r="BY97" s="306"/>
      <c r="BZ97" s="306"/>
      <c r="CA97" s="306"/>
      <c r="CB97" s="306"/>
      <c r="CC97" s="493"/>
      <c r="CD97" s="306"/>
      <c r="CE97" s="306"/>
      <c r="CF97" s="494"/>
      <c r="CG97" s="487"/>
      <c r="CH97" s="306"/>
      <c r="CI97" s="306"/>
      <c r="CJ97" s="306"/>
      <c r="CK97" s="306"/>
      <c r="CL97" s="306"/>
      <c r="CM97" s="306"/>
      <c r="CN97" s="306"/>
      <c r="CO97" s="306"/>
      <c r="CP97" s="306"/>
      <c r="CQ97" s="306"/>
      <c r="CR97" s="306"/>
      <c r="CS97" s="494"/>
      <c r="CT97" s="306"/>
      <c r="CU97" s="306"/>
      <c r="CV97" s="306"/>
      <c r="CW97" s="306"/>
      <c r="CX97" s="306"/>
      <c r="CY97" s="306"/>
      <c r="CZ97" s="306"/>
      <c r="DA97" s="306"/>
      <c r="DB97" s="306"/>
      <c r="DC97" s="493"/>
      <c r="DD97" s="306"/>
      <c r="DE97" s="306"/>
      <c r="DF97" s="494"/>
      <c r="DG97" s="306"/>
      <c r="DH97" s="306"/>
      <c r="DI97" s="306"/>
      <c r="DJ97" s="306"/>
      <c r="DK97" s="306"/>
      <c r="DL97" s="306"/>
      <c r="DM97" s="306"/>
      <c r="DN97" s="306"/>
      <c r="DO97" s="306"/>
      <c r="DP97" s="493"/>
      <c r="DQ97" s="306"/>
      <c r="DR97" s="306"/>
      <c r="DS97" s="489"/>
      <c r="DT97" s="306"/>
      <c r="DU97" s="306"/>
      <c r="DV97" s="306"/>
      <c r="DW97" s="306"/>
      <c r="DX97" s="306"/>
      <c r="DY97" s="306"/>
      <c r="DZ97" s="306"/>
      <c r="EA97" s="306"/>
      <c r="EB97" s="306"/>
      <c r="EC97" s="306"/>
      <c r="ED97" s="493"/>
      <c r="EE97" s="306"/>
      <c r="EF97" s="306"/>
      <c r="EG97" s="306"/>
      <c r="EH97" s="487"/>
      <c r="EI97" s="306"/>
      <c r="EJ97" s="306"/>
      <c r="EK97" s="306"/>
      <c r="EL97" s="306"/>
      <c r="EM97" s="306"/>
      <c r="EN97" s="306"/>
      <c r="EO97" s="306"/>
      <c r="EP97" s="306"/>
      <c r="EQ97" s="306"/>
      <c r="ER97" s="306"/>
      <c r="ES97" s="306"/>
      <c r="ET97" s="306"/>
      <c r="EU97" s="306"/>
      <c r="EV97" s="491"/>
      <c r="EW97" s="306"/>
      <c r="EX97" s="306"/>
      <c r="EY97" s="306"/>
      <c r="EZ97" s="306"/>
      <c r="FA97" s="306"/>
      <c r="FB97" s="306"/>
      <c r="FC97" s="306"/>
      <c r="FD97" s="306"/>
      <c r="FE97" s="306"/>
      <c r="FF97" s="306"/>
      <c r="FG97" s="306"/>
      <c r="FH97" s="306"/>
      <c r="FI97" s="306"/>
      <c r="FJ97" s="306"/>
      <c r="FK97" s="306"/>
      <c r="FL97" s="487"/>
      <c r="FM97" s="306"/>
      <c r="FN97" s="306"/>
      <c r="FO97" s="306"/>
      <c r="FP97" s="306"/>
      <c r="FQ97" s="306"/>
      <c r="FR97" s="306"/>
      <c r="FS97" s="306"/>
      <c r="FT97" s="306"/>
      <c r="FU97" s="306"/>
      <c r="FV97" s="306"/>
      <c r="FW97" s="306"/>
      <c r="FX97" s="306"/>
      <c r="FY97" s="306"/>
      <c r="FZ97" s="306"/>
      <c r="GA97" s="306"/>
      <c r="GB97" s="491"/>
      <c r="GC97" s="306"/>
      <c r="GD97" s="306"/>
      <c r="GE97" s="306"/>
      <c r="GF97" s="491"/>
      <c r="GG97" s="494"/>
      <c r="GH97" s="487"/>
      <c r="GI97" s="306"/>
      <c r="GJ97" s="491"/>
      <c r="GK97" s="306"/>
      <c r="GL97" s="306"/>
      <c r="GM97" s="497"/>
      <c r="GN97" s="306"/>
      <c r="GO97" s="306"/>
      <c r="GP97" s="306"/>
    </row>
    <row r="98" spans="1:198" ht="45" x14ac:dyDescent="0.15">
      <c r="A98" s="481" t="e">
        <f>VLOOKUP($J98&amp;":", Catalog!$F$5:$BV127, COLUMNS(Catalog!$F$5:$BV127), FALSE)</f>
        <v>#N/A</v>
      </c>
      <c r="B98" s="482" t="b">
        <f t="shared" ca="1" si="0"/>
        <v>0</v>
      </c>
      <c r="C98" s="483" t="str">
        <f t="shared" si="1"/>
        <v>grantAchievementPlaySvengeanceSkaterbotsState2</v>
      </c>
      <c r="D98" s="484" t="e">
        <f>VLOOKUP($J98&amp;":", Catalog!$F$5:$BW127, COLUMNS(Catalog!$F$5:$BW127), FALSE)</f>
        <v>#N/A</v>
      </c>
      <c r="E98" s="485" t="e">
        <f>VLOOKUP($J98&amp;":", Catalog!$F$5:$BX127, COLUMNS(Catalog!$F$5:$BX127), FALSE)</f>
        <v>#N/A</v>
      </c>
      <c r="F98" s="484" t="e">
        <f>VLOOKUP($J98&amp;":", Catalog!$F$5:$BY127, COLUMNS(Catalog!$F$5:$BY127), FALSE)</f>
        <v>#N/A</v>
      </c>
      <c r="G98" s="484" t="e">
        <f>VLOOKUP($J98, Catalog!$E$5:$BZ127, COLUMNS(Catalog!$E$5:$BZ127), FALSE)</f>
        <v>#N/A</v>
      </c>
      <c r="H98" s="483" t="s">
        <v>808</v>
      </c>
      <c r="I98" s="483">
        <v>2</v>
      </c>
      <c r="J98" s="306" t="s">
        <v>1337</v>
      </c>
      <c r="K98" s="486">
        <v>1</v>
      </c>
      <c r="L98" s="100" t="s">
        <v>279</v>
      </c>
      <c r="M98" s="332">
        <v>2</v>
      </c>
      <c r="N98" s="100" t="s">
        <v>280</v>
      </c>
      <c r="O98" s="86"/>
      <c r="P98" s="86"/>
      <c r="Q98" s="86"/>
      <c r="R98" s="100" t="e">
        <f t="shared" si="2"/>
        <v>#N/A</v>
      </c>
      <c r="S98" s="487"/>
      <c r="T98" s="486"/>
      <c r="U98" s="488"/>
      <c r="V98" s="488"/>
      <c r="W98" s="488"/>
      <c r="X98" s="488"/>
      <c r="Y98" s="306"/>
      <c r="Z98" s="306"/>
      <c r="AA98" s="489"/>
      <c r="AB98" s="306" t="e">
        <f t="shared" si="3"/>
        <v>#N/A</v>
      </c>
      <c r="AC98" s="490" t="e">
        <f t="shared" si="4"/>
        <v>#N/A</v>
      </c>
      <c r="AD98" s="490" t="e">
        <f t="shared" si="5"/>
        <v>#N/A</v>
      </c>
      <c r="AE98" s="306"/>
      <c r="AF98" s="332" t="e">
        <f t="shared" si="6"/>
        <v>#N/A</v>
      </c>
      <c r="AG98" s="306"/>
      <c r="AH98" s="487"/>
      <c r="AI98" s="306"/>
      <c r="AJ98" s="306"/>
      <c r="AK98" s="306"/>
      <c r="AL98" s="306"/>
      <c r="AM98" s="306"/>
      <c r="AN98" s="491"/>
      <c r="AO98" s="306"/>
      <c r="AP98" s="306"/>
      <c r="AQ98" s="306"/>
      <c r="AR98" s="306"/>
      <c r="AS98" s="306"/>
      <c r="AT98" s="487"/>
      <c r="AU98" s="306"/>
      <c r="AV98" s="306"/>
      <c r="AW98" s="306"/>
      <c r="AX98" s="306"/>
      <c r="AY98" s="306"/>
      <c r="AZ98" s="491"/>
      <c r="BA98" s="306"/>
      <c r="BB98" s="306"/>
      <c r="BC98" s="487"/>
      <c r="BD98" s="306"/>
      <c r="BE98" s="306"/>
      <c r="BF98" s="492" t="str">
        <f ca="1">IFERROR(__xludf.DUMMYFUNCTION("IF(REGEXMATCH($G98, ""Any""), ""any"", IF(REGEXMATCH($G98, ""All""), ""all"", """"))"),"all")</f>
        <v>all</v>
      </c>
      <c r="BG98" s="499" t="s">
        <v>1335</v>
      </c>
      <c r="BH98" s="332">
        <v>25</v>
      </c>
      <c r="BI98" s="306"/>
      <c r="BJ98" s="306"/>
      <c r="BK98" s="306"/>
      <c r="BL98" s="306"/>
      <c r="BM98" s="306"/>
      <c r="BN98" s="306"/>
      <c r="BO98" s="306"/>
      <c r="BP98" s="493"/>
      <c r="BQ98" s="306"/>
      <c r="BR98" s="306"/>
      <c r="BS98" s="494"/>
      <c r="BT98" s="487"/>
      <c r="BU98" s="306"/>
      <c r="BV98" s="306"/>
      <c r="BW98" s="306"/>
      <c r="BX98" s="306"/>
      <c r="BY98" s="306"/>
      <c r="BZ98" s="306"/>
      <c r="CA98" s="306"/>
      <c r="CB98" s="306"/>
      <c r="CC98" s="493"/>
      <c r="CD98" s="306"/>
      <c r="CE98" s="306"/>
      <c r="CF98" s="494"/>
      <c r="CG98" s="487"/>
      <c r="CH98" s="306"/>
      <c r="CI98" s="306"/>
      <c r="CJ98" s="306"/>
      <c r="CK98" s="306"/>
      <c r="CL98" s="306"/>
      <c r="CM98" s="306"/>
      <c r="CN98" s="306"/>
      <c r="CO98" s="306"/>
      <c r="CP98" s="306"/>
      <c r="CQ98" s="306"/>
      <c r="CR98" s="306"/>
      <c r="CS98" s="494"/>
      <c r="CT98" s="306"/>
      <c r="CU98" s="306"/>
      <c r="CV98" s="306"/>
      <c r="CW98" s="306"/>
      <c r="CX98" s="306"/>
      <c r="CY98" s="306"/>
      <c r="CZ98" s="306"/>
      <c r="DA98" s="306"/>
      <c r="DB98" s="306"/>
      <c r="DC98" s="493"/>
      <c r="DD98" s="306"/>
      <c r="DE98" s="306"/>
      <c r="DF98" s="494"/>
      <c r="DG98" s="306"/>
      <c r="DH98" s="306"/>
      <c r="DI98" s="306"/>
      <c r="DJ98" s="306"/>
      <c r="DK98" s="306"/>
      <c r="DL98" s="306"/>
      <c r="DM98" s="306"/>
      <c r="DN98" s="306"/>
      <c r="DO98" s="306"/>
      <c r="DP98" s="493"/>
      <c r="DQ98" s="306"/>
      <c r="DR98" s="306"/>
      <c r="DS98" s="489"/>
      <c r="DT98" s="306"/>
      <c r="DU98" s="306"/>
      <c r="DV98" s="306"/>
      <c r="DW98" s="306"/>
      <c r="DX98" s="306"/>
      <c r="DY98" s="306"/>
      <c r="DZ98" s="306"/>
      <c r="EA98" s="306"/>
      <c r="EB98" s="306"/>
      <c r="EC98" s="306"/>
      <c r="ED98" s="493"/>
      <c r="EE98" s="306"/>
      <c r="EF98" s="306"/>
      <c r="EG98" s="306"/>
      <c r="EH98" s="487"/>
      <c r="EI98" s="306"/>
      <c r="EJ98" s="306"/>
      <c r="EK98" s="306"/>
      <c r="EL98" s="306"/>
      <c r="EM98" s="306"/>
      <c r="EN98" s="306"/>
      <c r="EO98" s="306"/>
      <c r="EP98" s="306"/>
      <c r="EQ98" s="306"/>
      <c r="ER98" s="306"/>
      <c r="ES98" s="306"/>
      <c r="ET98" s="306"/>
      <c r="EU98" s="306"/>
      <c r="EV98" s="491"/>
      <c r="EW98" s="306"/>
      <c r="EX98" s="306"/>
      <c r="EY98" s="306"/>
      <c r="EZ98" s="306"/>
      <c r="FA98" s="306"/>
      <c r="FB98" s="306"/>
      <c r="FC98" s="306"/>
      <c r="FD98" s="306"/>
      <c r="FE98" s="306"/>
      <c r="FF98" s="306"/>
      <c r="FG98" s="306"/>
      <c r="FH98" s="306"/>
      <c r="FI98" s="306"/>
      <c r="FJ98" s="306"/>
      <c r="FK98" s="306"/>
      <c r="FL98" s="487"/>
      <c r="FM98" s="306"/>
      <c r="FN98" s="306"/>
      <c r="FO98" s="306"/>
      <c r="FP98" s="306"/>
      <c r="FQ98" s="306"/>
      <c r="FR98" s="306"/>
      <c r="FS98" s="306"/>
      <c r="FT98" s="306"/>
      <c r="FU98" s="306"/>
      <c r="FV98" s="306"/>
      <c r="FW98" s="306"/>
      <c r="FX98" s="306"/>
      <c r="FY98" s="306"/>
      <c r="FZ98" s="306"/>
      <c r="GA98" s="306"/>
      <c r="GB98" s="491"/>
      <c r="GC98" s="306"/>
      <c r="GD98" s="306"/>
      <c r="GE98" s="306"/>
      <c r="GF98" s="491"/>
      <c r="GG98" s="494"/>
      <c r="GH98" s="487"/>
      <c r="GI98" s="306"/>
      <c r="GJ98" s="491"/>
      <c r="GK98" s="306"/>
      <c r="GL98" s="306"/>
      <c r="GM98" s="497"/>
      <c r="GN98" s="306"/>
      <c r="GO98" s="306"/>
      <c r="GP98" s="306"/>
    </row>
    <row r="99" spans="1:198" ht="45" x14ac:dyDescent="0.15">
      <c r="A99" s="481" t="e">
        <f>VLOOKUP($J99&amp;":", Catalog!$F$5:$BV127, COLUMNS(Catalog!$F$5:$BV127), FALSE)</f>
        <v>#N/A</v>
      </c>
      <c r="B99" s="482" t="b">
        <f t="shared" ca="1" si="0"/>
        <v>0</v>
      </c>
      <c r="C99" s="483" t="str">
        <f t="shared" si="1"/>
        <v>grantAchievementPlayBelleRecordBreakState2</v>
      </c>
      <c r="D99" s="484" t="e">
        <f>VLOOKUP($J99&amp;":", Catalog!$F$5:$BW127, COLUMNS(Catalog!$F$5:$BW127), FALSE)</f>
        <v>#N/A</v>
      </c>
      <c r="E99" s="485" t="e">
        <f>VLOOKUP($J99&amp;":", Catalog!$F$5:$BX127, COLUMNS(Catalog!$F$5:$BX127), FALSE)</f>
        <v>#N/A</v>
      </c>
      <c r="F99" s="484" t="e">
        <f>VLOOKUP($J99&amp;":", Catalog!$F$5:$BY127, COLUMNS(Catalog!$F$5:$BY127), FALSE)</f>
        <v>#N/A</v>
      </c>
      <c r="G99" s="484" t="e">
        <f>VLOOKUP($J99, Catalog!$E$5:$BZ127, COLUMNS(Catalog!$E$5:$BZ127), FALSE)</f>
        <v>#N/A</v>
      </c>
      <c r="H99" s="483" t="s">
        <v>808</v>
      </c>
      <c r="I99" s="483">
        <v>2</v>
      </c>
      <c r="J99" s="306" t="s">
        <v>1346</v>
      </c>
      <c r="K99" s="486">
        <v>1</v>
      </c>
      <c r="L99" s="100" t="s">
        <v>279</v>
      </c>
      <c r="M99" s="332">
        <v>2</v>
      </c>
      <c r="N99" s="100" t="s">
        <v>280</v>
      </c>
      <c r="O99" s="86"/>
      <c r="P99" s="86"/>
      <c r="Q99" s="86"/>
      <c r="R99" s="100" t="e">
        <f t="shared" si="2"/>
        <v>#N/A</v>
      </c>
      <c r="S99" s="487"/>
      <c r="T99" s="486"/>
      <c r="U99" s="488"/>
      <c r="V99" s="488"/>
      <c r="W99" s="488"/>
      <c r="X99" s="488"/>
      <c r="Y99" s="306"/>
      <c r="Z99" s="306"/>
      <c r="AA99" s="489"/>
      <c r="AB99" s="306" t="e">
        <f t="shared" si="3"/>
        <v>#N/A</v>
      </c>
      <c r="AC99" s="490" t="e">
        <f t="shared" si="4"/>
        <v>#N/A</v>
      </c>
      <c r="AD99" s="490" t="e">
        <f t="shared" si="5"/>
        <v>#N/A</v>
      </c>
      <c r="AE99" s="306"/>
      <c r="AF99" s="332" t="e">
        <f t="shared" si="6"/>
        <v>#N/A</v>
      </c>
      <c r="AG99" s="306"/>
      <c r="AH99" s="487"/>
      <c r="AI99" s="306"/>
      <c r="AJ99" s="306"/>
      <c r="AK99" s="306"/>
      <c r="AL99" s="306"/>
      <c r="AM99" s="306"/>
      <c r="AN99" s="491"/>
      <c r="AO99" s="306"/>
      <c r="AP99" s="306"/>
      <c r="AQ99" s="306"/>
      <c r="AR99" s="306"/>
      <c r="AS99" s="306"/>
      <c r="AT99" s="487"/>
      <c r="AU99" s="306"/>
      <c r="AV99" s="306"/>
      <c r="AW99" s="306"/>
      <c r="AX99" s="306"/>
      <c r="AY99" s="306"/>
      <c r="AZ99" s="491"/>
      <c r="BA99" s="306"/>
      <c r="BB99" s="306"/>
      <c r="BC99" s="487"/>
      <c r="BD99" s="306"/>
      <c r="BE99" s="306"/>
      <c r="BF99" s="492" t="str">
        <f ca="1">IFERROR(__xludf.DUMMYFUNCTION("IF(REGEXMATCH($G99, ""Any""), ""any"", IF(REGEXMATCH($G99, ""All""), ""all"", """"))"),"all")</f>
        <v>all</v>
      </c>
      <c r="BG99" s="499" t="s">
        <v>1344</v>
      </c>
      <c r="BH99" s="332">
        <v>25</v>
      </c>
      <c r="BI99" s="306"/>
      <c r="BJ99" s="306"/>
      <c r="BK99" s="306"/>
      <c r="BL99" s="306"/>
      <c r="BM99" s="306"/>
      <c r="BN99" s="306"/>
      <c r="BO99" s="306"/>
      <c r="BP99" s="493"/>
      <c r="BQ99" s="306"/>
      <c r="BR99" s="306"/>
      <c r="BS99" s="494"/>
      <c r="BT99" s="487"/>
      <c r="BU99" s="306"/>
      <c r="BV99" s="306"/>
      <c r="BW99" s="306"/>
      <c r="BX99" s="306"/>
      <c r="BY99" s="306"/>
      <c r="BZ99" s="306"/>
      <c r="CA99" s="306"/>
      <c r="CB99" s="306"/>
      <c r="CC99" s="493"/>
      <c r="CD99" s="306"/>
      <c r="CE99" s="306"/>
      <c r="CF99" s="494"/>
      <c r="CG99" s="487"/>
      <c r="CH99" s="306"/>
      <c r="CI99" s="306"/>
      <c r="CJ99" s="306"/>
      <c r="CK99" s="306"/>
      <c r="CL99" s="306"/>
      <c r="CM99" s="306"/>
      <c r="CN99" s="306"/>
      <c r="CO99" s="306"/>
      <c r="CP99" s="306"/>
      <c r="CQ99" s="306"/>
      <c r="CR99" s="306"/>
      <c r="CS99" s="494"/>
      <c r="CT99" s="306"/>
      <c r="CU99" s="306"/>
      <c r="CV99" s="306"/>
      <c r="CW99" s="306"/>
      <c r="CX99" s="306"/>
      <c r="CY99" s="306"/>
      <c r="CZ99" s="306"/>
      <c r="DA99" s="306"/>
      <c r="DB99" s="306"/>
      <c r="DC99" s="493"/>
      <c r="DD99" s="306"/>
      <c r="DE99" s="306"/>
      <c r="DF99" s="494"/>
      <c r="DG99" s="306"/>
      <c r="DH99" s="306"/>
      <c r="DI99" s="306"/>
      <c r="DJ99" s="306"/>
      <c r="DK99" s="306"/>
      <c r="DL99" s="306"/>
      <c r="DM99" s="306"/>
      <c r="DN99" s="306"/>
      <c r="DO99" s="306"/>
      <c r="DP99" s="493"/>
      <c r="DQ99" s="306"/>
      <c r="DR99" s="306"/>
      <c r="DS99" s="489"/>
      <c r="DT99" s="306"/>
      <c r="DU99" s="306"/>
      <c r="DV99" s="306"/>
      <c r="DW99" s="306"/>
      <c r="DX99" s="306"/>
      <c r="DY99" s="306"/>
      <c r="DZ99" s="306"/>
      <c r="EA99" s="306"/>
      <c r="EB99" s="306"/>
      <c r="EC99" s="306"/>
      <c r="ED99" s="493"/>
      <c r="EE99" s="306"/>
      <c r="EF99" s="306"/>
      <c r="EG99" s="306"/>
      <c r="EH99" s="487"/>
      <c r="EI99" s="306"/>
      <c r="EJ99" s="306"/>
      <c r="EK99" s="306"/>
      <c r="EL99" s="306"/>
      <c r="EM99" s="306"/>
      <c r="EN99" s="306"/>
      <c r="EO99" s="306"/>
      <c r="EP99" s="306"/>
      <c r="EQ99" s="306"/>
      <c r="ER99" s="306"/>
      <c r="ES99" s="306"/>
      <c r="ET99" s="306"/>
      <c r="EU99" s="306"/>
      <c r="EV99" s="491"/>
      <c r="EW99" s="306"/>
      <c r="EX99" s="306"/>
      <c r="EY99" s="306"/>
      <c r="EZ99" s="306"/>
      <c r="FA99" s="306"/>
      <c r="FB99" s="306"/>
      <c r="FC99" s="306"/>
      <c r="FD99" s="306"/>
      <c r="FE99" s="306"/>
      <c r="FF99" s="306"/>
      <c r="FG99" s="306"/>
      <c r="FH99" s="306"/>
      <c r="FI99" s="306"/>
      <c r="FJ99" s="306"/>
      <c r="FK99" s="306"/>
      <c r="FL99" s="487"/>
      <c r="FM99" s="306"/>
      <c r="FN99" s="306"/>
      <c r="FO99" s="306"/>
      <c r="FP99" s="306"/>
      <c r="FQ99" s="306"/>
      <c r="FR99" s="306"/>
      <c r="FS99" s="306"/>
      <c r="FT99" s="306"/>
      <c r="FU99" s="306"/>
      <c r="FV99" s="306"/>
      <c r="FW99" s="306"/>
      <c r="FX99" s="306"/>
      <c r="FY99" s="306"/>
      <c r="FZ99" s="306"/>
      <c r="GA99" s="306"/>
      <c r="GB99" s="491"/>
      <c r="GC99" s="306"/>
      <c r="GD99" s="306"/>
      <c r="GE99" s="306"/>
      <c r="GF99" s="491"/>
      <c r="GG99" s="494"/>
      <c r="GH99" s="487"/>
      <c r="GI99" s="306"/>
      <c r="GJ99" s="491"/>
      <c r="GK99" s="306"/>
      <c r="GL99" s="306"/>
      <c r="GM99" s="497"/>
      <c r="GN99" s="306"/>
      <c r="GO99" s="306"/>
      <c r="GP99" s="306"/>
    </row>
    <row r="100" spans="1:198" ht="42" x14ac:dyDescent="0.15">
      <c r="A100" s="481" t="e">
        <f>VLOOKUP($J100&amp;":", Catalog!$F$5:$BV127, COLUMNS(Catalog!$F$5:$BV127), FALSE)</f>
        <v>#N/A</v>
      </c>
      <c r="B100" s="482" t="b">
        <f t="shared" ca="1" si="0"/>
        <v>0</v>
      </c>
      <c r="C100" s="483" t="str">
        <f t="shared" si="1"/>
        <v>grantAchievementPlayVectorPiranhaState2</v>
      </c>
      <c r="D100" s="484" t="e">
        <f>VLOOKUP($J100&amp;":", Catalog!$F$5:$BW127, COLUMNS(Catalog!$F$5:$BW127), FALSE)</f>
        <v>#N/A</v>
      </c>
      <c r="E100" s="485" t="e">
        <f>VLOOKUP($J100&amp;":", Catalog!$F$5:$BX127, COLUMNS(Catalog!$F$5:$BX127), FALSE)</f>
        <v>#N/A</v>
      </c>
      <c r="F100" s="484" t="e">
        <f>VLOOKUP($J100&amp;":", Catalog!$F$5:$BY127, COLUMNS(Catalog!$F$5:$BY127), FALSE)</f>
        <v>#N/A</v>
      </c>
      <c r="G100" s="484" t="e">
        <f>VLOOKUP($J100, Catalog!$E$5:$BZ127, COLUMNS(Catalog!$E$5:$BZ127), FALSE)</f>
        <v>#N/A</v>
      </c>
      <c r="H100" s="483" t="s">
        <v>808</v>
      </c>
      <c r="I100" s="483">
        <v>2</v>
      </c>
      <c r="J100" s="306" t="s">
        <v>1378</v>
      </c>
      <c r="K100" s="486">
        <v>1</v>
      </c>
      <c r="L100" s="100" t="s">
        <v>279</v>
      </c>
      <c r="M100" s="332">
        <v>2</v>
      </c>
      <c r="N100" s="100" t="s">
        <v>280</v>
      </c>
      <c r="O100" s="86"/>
      <c r="P100" s="86"/>
      <c r="Q100" s="86"/>
      <c r="R100" s="100" t="e">
        <f t="shared" si="2"/>
        <v>#N/A</v>
      </c>
      <c r="S100" s="487"/>
      <c r="T100" s="486"/>
      <c r="U100" s="488"/>
      <c r="V100" s="488"/>
      <c r="W100" s="488"/>
      <c r="X100" s="488"/>
      <c r="Y100" s="306"/>
      <c r="Z100" s="306"/>
      <c r="AA100" s="489"/>
      <c r="AB100" s="306" t="e">
        <f t="shared" si="3"/>
        <v>#N/A</v>
      </c>
      <c r="AC100" s="490" t="e">
        <f t="shared" si="4"/>
        <v>#N/A</v>
      </c>
      <c r="AD100" s="490" t="e">
        <f t="shared" si="5"/>
        <v>#N/A</v>
      </c>
      <c r="AE100" s="306"/>
      <c r="AF100" s="332" t="e">
        <f t="shared" si="6"/>
        <v>#N/A</v>
      </c>
      <c r="AG100" s="306"/>
      <c r="AH100" s="487"/>
      <c r="AI100" s="306"/>
      <c r="AJ100" s="306"/>
      <c r="AK100" s="306"/>
      <c r="AL100" s="306"/>
      <c r="AM100" s="306"/>
      <c r="AN100" s="491"/>
      <c r="AO100" s="306"/>
      <c r="AP100" s="306"/>
      <c r="AQ100" s="306"/>
      <c r="AR100" s="306"/>
      <c r="AS100" s="306"/>
      <c r="AT100" s="487"/>
      <c r="AU100" s="306"/>
      <c r="AV100" s="306"/>
      <c r="AW100" s="306"/>
      <c r="AX100" s="306"/>
      <c r="AY100" s="306"/>
      <c r="AZ100" s="491"/>
      <c r="BA100" s="306"/>
      <c r="BB100" s="306"/>
      <c r="BC100" s="487"/>
      <c r="BD100" s="306"/>
      <c r="BE100" s="306"/>
      <c r="BF100" s="492" t="str">
        <f ca="1">IFERROR(__xludf.DUMMYFUNCTION("IF(REGEXMATCH($G100, ""Any""), ""any"", IF(REGEXMATCH($G100, ""All""), ""all"", """"))"),"all")</f>
        <v>all</v>
      </c>
      <c r="BG100" s="499" t="s">
        <v>1376</v>
      </c>
      <c r="BH100" s="332">
        <v>10</v>
      </c>
      <c r="BI100" s="306"/>
      <c r="BJ100" s="306"/>
      <c r="BK100" s="306"/>
      <c r="BL100" s="306"/>
      <c r="BM100" s="306"/>
      <c r="BN100" s="306"/>
      <c r="BO100" s="306"/>
      <c r="BP100" s="493"/>
      <c r="BQ100" s="306"/>
      <c r="BR100" s="306"/>
      <c r="BS100" s="494"/>
      <c r="BT100" s="487"/>
      <c r="BU100" s="306"/>
      <c r="BV100" s="306"/>
      <c r="BW100" s="306"/>
      <c r="BX100" s="306"/>
      <c r="BY100" s="306"/>
      <c r="BZ100" s="306"/>
      <c r="CA100" s="306"/>
      <c r="CB100" s="306"/>
      <c r="CC100" s="493"/>
      <c r="CD100" s="306"/>
      <c r="CE100" s="306"/>
      <c r="CF100" s="494"/>
      <c r="CG100" s="487"/>
      <c r="CH100" s="306"/>
      <c r="CI100" s="306"/>
      <c r="CJ100" s="306"/>
      <c r="CK100" s="306"/>
      <c r="CL100" s="306"/>
      <c r="CM100" s="306"/>
      <c r="CN100" s="306"/>
      <c r="CO100" s="306"/>
      <c r="CP100" s="306"/>
      <c r="CQ100" s="306"/>
      <c r="CR100" s="306"/>
      <c r="CS100" s="494"/>
      <c r="CT100" s="306"/>
      <c r="CU100" s="306"/>
      <c r="CV100" s="306"/>
      <c r="CW100" s="306"/>
      <c r="CX100" s="306"/>
      <c r="CY100" s="306"/>
      <c r="CZ100" s="306"/>
      <c r="DA100" s="306"/>
      <c r="DB100" s="306"/>
      <c r="DC100" s="493"/>
      <c r="DD100" s="306"/>
      <c r="DE100" s="306"/>
      <c r="DF100" s="494"/>
      <c r="DG100" s="306"/>
      <c r="DH100" s="306"/>
      <c r="DI100" s="306"/>
      <c r="DJ100" s="306"/>
      <c r="DK100" s="306"/>
      <c r="DL100" s="306"/>
      <c r="DM100" s="306"/>
      <c r="DN100" s="306"/>
      <c r="DO100" s="306"/>
      <c r="DP100" s="493"/>
      <c r="DQ100" s="306"/>
      <c r="DR100" s="306"/>
      <c r="DS100" s="489"/>
      <c r="DT100" s="306"/>
      <c r="DU100" s="306"/>
      <c r="DV100" s="306"/>
      <c r="DW100" s="306"/>
      <c r="DX100" s="306"/>
      <c r="DY100" s="306"/>
      <c r="DZ100" s="306"/>
      <c r="EA100" s="306"/>
      <c r="EB100" s="306"/>
      <c r="EC100" s="306"/>
      <c r="ED100" s="493"/>
      <c r="EE100" s="306"/>
      <c r="EF100" s="306"/>
      <c r="EG100" s="306"/>
      <c r="EH100" s="487"/>
      <c r="EI100" s="306"/>
      <c r="EJ100" s="306"/>
      <c r="EK100" s="306"/>
      <c r="EL100" s="306"/>
      <c r="EM100" s="306"/>
      <c r="EN100" s="306"/>
      <c r="EO100" s="306"/>
      <c r="EP100" s="306"/>
      <c r="EQ100" s="306"/>
      <c r="ER100" s="306"/>
      <c r="ES100" s="306"/>
      <c r="ET100" s="306"/>
      <c r="EU100" s="306"/>
      <c r="EV100" s="491"/>
      <c r="EW100" s="306"/>
      <c r="EX100" s="306"/>
      <c r="EY100" s="306"/>
      <c r="EZ100" s="306"/>
      <c r="FA100" s="306"/>
      <c r="FB100" s="306"/>
      <c r="FC100" s="306"/>
      <c r="FD100" s="306"/>
      <c r="FE100" s="306"/>
      <c r="FF100" s="306"/>
      <c r="FG100" s="306"/>
      <c r="FH100" s="306"/>
      <c r="FI100" s="306"/>
      <c r="FJ100" s="306"/>
      <c r="FK100" s="306"/>
      <c r="FL100" s="487"/>
      <c r="FM100" s="306"/>
      <c r="FN100" s="306"/>
      <c r="FO100" s="306"/>
      <c r="FP100" s="306"/>
      <c r="FQ100" s="306"/>
      <c r="FR100" s="306"/>
      <c r="FS100" s="306"/>
      <c r="FT100" s="306"/>
      <c r="FU100" s="306"/>
      <c r="FV100" s="306"/>
      <c r="FW100" s="306"/>
      <c r="FX100" s="306"/>
      <c r="FY100" s="306"/>
      <c r="FZ100" s="306"/>
      <c r="GA100" s="306"/>
      <c r="GB100" s="491"/>
      <c r="GC100" s="306"/>
      <c r="GD100" s="306"/>
      <c r="GE100" s="306"/>
      <c r="GF100" s="491"/>
      <c r="GG100" s="494"/>
      <c r="GH100" s="487"/>
      <c r="GI100" s="306"/>
      <c r="GJ100" s="491"/>
      <c r="GK100" s="306"/>
      <c r="GL100" s="306"/>
      <c r="GM100" s="497"/>
      <c r="GN100" s="306"/>
      <c r="GO100" s="306"/>
      <c r="GP100" s="306"/>
    </row>
    <row r="101" spans="1:198" ht="30" x14ac:dyDescent="0.15">
      <c r="A101" s="481" t="e">
        <f>VLOOKUP($J101&amp;":", Catalog!$F$5:$BV127, COLUMNS(Catalog!$F$5:$BV127), FALSE)</f>
        <v>#N/A</v>
      </c>
      <c r="B101" s="482" t="b">
        <f t="shared" ca="1" si="0"/>
        <v>0</v>
      </c>
      <c r="C101" s="483" t="str">
        <f t="shared" si="1"/>
        <v>grantLootTap1State2</v>
      </c>
      <c r="D101" s="484" t="e">
        <f>VLOOKUP($J101&amp;":", Catalog!$F$5:$BW127, COLUMNS(Catalog!$F$5:$BW127), FALSE)</f>
        <v>#N/A</v>
      </c>
      <c r="E101" s="485" t="e">
        <f>VLOOKUP($J101&amp;":", Catalog!$F$5:$BX127, COLUMNS(Catalog!$F$5:$BX127), FALSE)</f>
        <v>#N/A</v>
      </c>
      <c r="F101" s="484" t="e">
        <f>VLOOKUP($J101&amp;":", Catalog!$F$5:$BY127, COLUMNS(Catalog!$F$5:$BY127), FALSE)</f>
        <v>#N/A</v>
      </c>
      <c r="G101" s="483" t="e">
        <f>VLOOKUP($J101, Catalog!$E$5:$BZ127, COLUMNS(Catalog!$E$5:$BZ127), FALSE)</f>
        <v>#N/A</v>
      </c>
      <c r="H101" s="483" t="s">
        <v>1549</v>
      </c>
      <c r="I101" s="483">
        <v>2</v>
      </c>
      <c r="J101" s="306" t="s">
        <v>1550</v>
      </c>
      <c r="K101" s="486">
        <v>1</v>
      </c>
      <c r="L101" s="100" t="s">
        <v>279</v>
      </c>
      <c r="M101" s="332">
        <v>2</v>
      </c>
      <c r="N101" s="100" t="s">
        <v>280</v>
      </c>
      <c r="O101" s="86"/>
      <c r="P101" s="86"/>
      <c r="Q101" s="86"/>
      <c r="R101" s="100" t="e">
        <f t="shared" si="2"/>
        <v>#N/A</v>
      </c>
      <c r="S101" s="487"/>
      <c r="T101" s="486"/>
      <c r="U101" s="488"/>
      <c r="V101" s="488"/>
      <c r="W101" s="488"/>
      <c r="X101" s="488"/>
      <c r="Y101" s="306"/>
      <c r="Z101" s="306"/>
      <c r="AA101" s="489"/>
      <c r="AB101" s="306" t="e">
        <f t="shared" si="3"/>
        <v>#N/A</v>
      </c>
      <c r="AC101" s="490" t="e">
        <f t="shared" si="4"/>
        <v>#N/A</v>
      </c>
      <c r="AD101" s="490" t="e">
        <f t="shared" si="5"/>
        <v>#N/A</v>
      </c>
      <c r="AE101" s="306"/>
      <c r="AF101" s="332" t="e">
        <f t="shared" si="6"/>
        <v>#N/A</v>
      </c>
      <c r="AG101" s="306"/>
      <c r="AH101" s="487"/>
      <c r="AI101" s="306"/>
      <c r="AJ101" s="306"/>
      <c r="AK101" s="306"/>
      <c r="AL101" s="306"/>
      <c r="AM101" s="306"/>
      <c r="AN101" s="491"/>
      <c r="AO101" s="306"/>
      <c r="AP101" s="306"/>
      <c r="AQ101" s="306"/>
      <c r="AR101" s="306"/>
      <c r="AS101" s="306"/>
      <c r="AT101" s="487"/>
      <c r="AU101" s="306"/>
      <c r="AV101" s="306"/>
      <c r="AW101" s="306"/>
      <c r="AX101" s="306"/>
      <c r="AY101" s="306"/>
      <c r="AZ101" s="491"/>
      <c r="BA101" s="306"/>
      <c r="BB101" s="306"/>
      <c r="BC101" s="487"/>
      <c r="BD101" s="306"/>
      <c r="BE101" s="306"/>
      <c r="BF101" s="492" t="str">
        <f ca="1">IFERROR(__xludf.DUMMYFUNCTION("IF(REGEXMATCH($G101, ""Any""), ""any"", IF(REGEXMATCH($G101, ""All""), ""all"", """"))"),"all")</f>
        <v>all</v>
      </c>
      <c r="BG101" s="499" t="s">
        <v>1547</v>
      </c>
      <c r="BH101" s="306"/>
      <c r="BI101" s="306"/>
      <c r="BJ101" s="306"/>
      <c r="BK101" s="306"/>
      <c r="BL101" s="306"/>
      <c r="BM101" s="306"/>
      <c r="BN101" s="306"/>
      <c r="BO101" s="306"/>
      <c r="BP101" s="493"/>
      <c r="BQ101" s="306"/>
      <c r="BR101" s="306"/>
      <c r="BS101" s="494"/>
      <c r="BT101" s="487"/>
      <c r="BU101" s="306"/>
      <c r="BV101" s="306"/>
      <c r="BW101" s="306"/>
      <c r="BX101" s="306"/>
      <c r="BY101" s="306"/>
      <c r="BZ101" s="306"/>
      <c r="CA101" s="306"/>
      <c r="CB101" s="306"/>
      <c r="CC101" s="493"/>
      <c r="CD101" s="306"/>
      <c r="CE101" s="306"/>
      <c r="CF101" s="494"/>
      <c r="CG101" s="487"/>
      <c r="CH101" s="306"/>
      <c r="CI101" s="306"/>
      <c r="CJ101" s="306"/>
      <c r="CK101" s="306"/>
      <c r="CL101" s="306"/>
      <c r="CM101" s="306"/>
      <c r="CN101" s="306"/>
      <c r="CO101" s="306"/>
      <c r="CP101" s="306"/>
      <c r="CQ101" s="306"/>
      <c r="CR101" s="306"/>
      <c r="CS101" s="494"/>
      <c r="CT101" s="306"/>
      <c r="CU101" s="306"/>
      <c r="CV101" s="306"/>
      <c r="CW101" s="306"/>
      <c r="CX101" s="306"/>
      <c r="CY101" s="306"/>
      <c r="CZ101" s="306"/>
      <c r="DA101" s="306"/>
      <c r="DB101" s="306"/>
      <c r="DC101" s="493"/>
      <c r="DD101" s="306"/>
      <c r="DE101" s="306"/>
      <c r="DF101" s="494"/>
      <c r="DG101" s="306"/>
      <c r="DH101" s="306"/>
      <c r="DI101" s="306"/>
      <c r="DJ101" s="306"/>
      <c r="DK101" s="306"/>
      <c r="DL101" s="306"/>
      <c r="DM101" s="306"/>
      <c r="DN101" s="306"/>
      <c r="DO101" s="306"/>
      <c r="DP101" s="493"/>
      <c r="DQ101" s="306"/>
      <c r="DR101" s="306"/>
      <c r="DS101" s="489"/>
      <c r="DT101" s="306"/>
      <c r="DU101" s="306"/>
      <c r="DV101" s="306"/>
      <c r="DW101" s="306"/>
      <c r="DX101" s="306"/>
      <c r="DY101" s="306"/>
      <c r="DZ101" s="306"/>
      <c r="EA101" s="306"/>
      <c r="EB101" s="306"/>
      <c r="EC101" s="306"/>
      <c r="ED101" s="493"/>
      <c r="EE101" s="306"/>
      <c r="EF101" s="306"/>
      <c r="EG101" s="306"/>
      <c r="EH101" s="487"/>
      <c r="EI101" s="306"/>
      <c r="EJ101" s="306"/>
      <c r="EK101" s="306"/>
      <c r="EL101" s="306"/>
      <c r="EM101" s="306"/>
      <c r="EN101" s="306"/>
      <c r="EO101" s="306"/>
      <c r="EP101" s="306"/>
      <c r="EQ101" s="306"/>
      <c r="ER101" s="306"/>
      <c r="ES101" s="306"/>
      <c r="ET101" s="306"/>
      <c r="EU101" s="306"/>
      <c r="EV101" s="491"/>
      <c r="EW101" s="306"/>
      <c r="EX101" s="306"/>
      <c r="EY101" s="306"/>
      <c r="EZ101" s="306"/>
      <c r="FA101" s="306"/>
      <c r="FB101" s="306"/>
      <c r="FC101" s="306"/>
      <c r="FD101" s="306"/>
      <c r="FE101" s="306"/>
      <c r="FF101" s="306"/>
      <c r="FG101" s="306"/>
      <c r="FH101" s="306"/>
      <c r="FI101" s="306"/>
      <c r="FJ101" s="306"/>
      <c r="FK101" s="306"/>
      <c r="FL101" s="487"/>
      <c r="FM101" s="306"/>
      <c r="FN101" s="306"/>
      <c r="FO101" s="306"/>
      <c r="FP101" s="306"/>
      <c r="FQ101" s="306"/>
      <c r="FR101" s="306"/>
      <c r="FS101" s="306"/>
      <c r="FT101" s="306"/>
      <c r="FU101" s="306"/>
      <c r="FV101" s="306"/>
      <c r="FW101" s="306"/>
      <c r="FX101" s="306"/>
      <c r="FY101" s="306"/>
      <c r="FZ101" s="306"/>
      <c r="GA101" s="306"/>
      <c r="GB101" s="491"/>
      <c r="GC101" s="306"/>
      <c r="GD101" s="306"/>
      <c r="GE101" s="306"/>
      <c r="GF101" s="491"/>
      <c r="GG101" s="494"/>
      <c r="GH101" s="487"/>
      <c r="GI101" s="306"/>
      <c r="GJ101" s="491"/>
      <c r="GK101" s="306"/>
      <c r="GL101" s="306"/>
      <c r="GM101" s="497"/>
      <c r="GN101" s="306"/>
      <c r="GO101" s="306"/>
      <c r="GP101" s="306"/>
    </row>
    <row r="102" spans="1:198" ht="30" x14ac:dyDescent="0.15">
      <c r="A102" s="481" t="e">
        <f>VLOOKUP($J102&amp;":", Catalog!$F$5:$BV127, COLUMNS(Catalog!$F$5:$BV127), FALSE)</f>
        <v>#N/A</v>
      </c>
      <c r="B102" s="482" t="b">
        <f t="shared" ca="1" si="0"/>
        <v>0</v>
      </c>
      <c r="C102" s="483" t="str">
        <f t="shared" si="1"/>
        <v>grantLootTap2State2</v>
      </c>
      <c r="D102" s="484" t="e">
        <f>VLOOKUP($J102&amp;":", Catalog!$F$5:$BW127, COLUMNS(Catalog!$F$5:$BW127), FALSE)</f>
        <v>#N/A</v>
      </c>
      <c r="E102" s="485" t="e">
        <f>VLOOKUP($J102&amp;":", Catalog!$F$5:$BX127, COLUMNS(Catalog!$F$5:$BX127), FALSE)</f>
        <v>#N/A</v>
      </c>
      <c r="F102" s="484" t="e">
        <f>VLOOKUP($J102&amp;":", Catalog!$F$5:$BY127, COLUMNS(Catalog!$F$5:$BY127), FALSE)</f>
        <v>#N/A</v>
      </c>
      <c r="G102" s="483" t="e">
        <f>VLOOKUP($J102, Catalog!$E$5:$BZ127, COLUMNS(Catalog!$E$5:$BZ127), FALSE)</f>
        <v>#N/A</v>
      </c>
      <c r="H102" s="483" t="s">
        <v>1549</v>
      </c>
      <c r="I102" s="483">
        <v>2</v>
      </c>
      <c r="J102" s="306" t="s">
        <v>1563</v>
      </c>
      <c r="K102" s="486">
        <v>1</v>
      </c>
      <c r="L102" s="100" t="s">
        <v>279</v>
      </c>
      <c r="M102" s="332">
        <v>2</v>
      </c>
      <c r="N102" s="100" t="s">
        <v>280</v>
      </c>
      <c r="O102" s="86"/>
      <c r="P102" s="86"/>
      <c r="Q102" s="86"/>
      <c r="R102" s="100" t="e">
        <f t="shared" si="2"/>
        <v>#N/A</v>
      </c>
      <c r="S102" s="487"/>
      <c r="T102" s="486"/>
      <c r="U102" s="488"/>
      <c r="V102" s="488"/>
      <c r="W102" s="488"/>
      <c r="X102" s="488"/>
      <c r="Y102" s="306"/>
      <c r="Z102" s="306"/>
      <c r="AA102" s="489"/>
      <c r="AB102" s="306" t="e">
        <f t="shared" si="3"/>
        <v>#N/A</v>
      </c>
      <c r="AC102" s="490" t="e">
        <f t="shared" si="4"/>
        <v>#N/A</v>
      </c>
      <c r="AD102" s="490" t="e">
        <f t="shared" si="5"/>
        <v>#N/A</v>
      </c>
      <c r="AE102" s="306"/>
      <c r="AF102" s="332" t="e">
        <f t="shared" si="6"/>
        <v>#N/A</v>
      </c>
      <c r="AG102" s="306"/>
      <c r="AH102" s="487"/>
      <c r="AI102" s="306"/>
      <c r="AJ102" s="306"/>
      <c r="AK102" s="306"/>
      <c r="AL102" s="306"/>
      <c r="AM102" s="306"/>
      <c r="AN102" s="491"/>
      <c r="AO102" s="306"/>
      <c r="AP102" s="306"/>
      <c r="AQ102" s="306"/>
      <c r="AR102" s="306"/>
      <c r="AS102" s="306"/>
      <c r="AT102" s="487"/>
      <c r="AU102" s="306"/>
      <c r="AV102" s="306"/>
      <c r="AW102" s="306"/>
      <c r="AX102" s="306"/>
      <c r="AY102" s="306"/>
      <c r="AZ102" s="491"/>
      <c r="BA102" s="306"/>
      <c r="BB102" s="306"/>
      <c r="BC102" s="487"/>
      <c r="BD102" s="306"/>
      <c r="BE102" s="306"/>
      <c r="BF102" s="492" t="str">
        <f ca="1">IFERROR(__xludf.DUMMYFUNCTION("IF(REGEXMATCH($G102, ""Any""), ""any"", IF(REGEXMATCH($G102, ""All""), ""all"", """"))"),"all")</f>
        <v>all</v>
      </c>
      <c r="BG102" s="499" t="s">
        <v>1561</v>
      </c>
      <c r="BH102" s="306"/>
      <c r="BI102" s="306"/>
      <c r="BJ102" s="306"/>
      <c r="BK102" s="306"/>
      <c r="BL102" s="306"/>
      <c r="BM102" s="306"/>
      <c r="BN102" s="306"/>
      <c r="BO102" s="306"/>
      <c r="BP102" s="493"/>
      <c r="BQ102" s="306"/>
      <c r="BR102" s="306"/>
      <c r="BS102" s="494"/>
      <c r="BT102" s="487"/>
      <c r="BU102" s="306"/>
      <c r="BV102" s="306"/>
      <c r="BW102" s="306"/>
      <c r="BX102" s="306"/>
      <c r="BY102" s="306"/>
      <c r="BZ102" s="306"/>
      <c r="CA102" s="306"/>
      <c r="CB102" s="306"/>
      <c r="CC102" s="493"/>
      <c r="CD102" s="306"/>
      <c r="CE102" s="306"/>
      <c r="CF102" s="494"/>
      <c r="CG102" s="487"/>
      <c r="CH102" s="306"/>
      <c r="CI102" s="306"/>
      <c r="CJ102" s="306"/>
      <c r="CK102" s="306"/>
      <c r="CL102" s="306"/>
      <c r="CM102" s="306"/>
      <c r="CN102" s="306"/>
      <c r="CO102" s="306"/>
      <c r="CP102" s="306"/>
      <c r="CQ102" s="306"/>
      <c r="CR102" s="306"/>
      <c r="CS102" s="494"/>
      <c r="CT102" s="306"/>
      <c r="CU102" s="306"/>
      <c r="CV102" s="306"/>
      <c r="CW102" s="306"/>
      <c r="CX102" s="306"/>
      <c r="CY102" s="306"/>
      <c r="CZ102" s="306"/>
      <c r="DA102" s="306"/>
      <c r="DB102" s="306"/>
      <c r="DC102" s="493"/>
      <c r="DD102" s="306"/>
      <c r="DE102" s="306"/>
      <c r="DF102" s="494"/>
      <c r="DG102" s="306"/>
      <c r="DH102" s="306"/>
      <c r="DI102" s="306"/>
      <c r="DJ102" s="306"/>
      <c r="DK102" s="306"/>
      <c r="DL102" s="306"/>
      <c r="DM102" s="306"/>
      <c r="DN102" s="306"/>
      <c r="DO102" s="306"/>
      <c r="DP102" s="493"/>
      <c r="DQ102" s="306"/>
      <c r="DR102" s="306"/>
      <c r="DS102" s="489"/>
      <c r="DT102" s="306"/>
      <c r="DU102" s="306"/>
      <c r="DV102" s="306"/>
      <c r="DW102" s="306"/>
      <c r="DX102" s="306"/>
      <c r="DY102" s="306"/>
      <c r="DZ102" s="306"/>
      <c r="EA102" s="306"/>
      <c r="EB102" s="306"/>
      <c r="EC102" s="306"/>
      <c r="ED102" s="493"/>
      <c r="EE102" s="306"/>
      <c r="EF102" s="306"/>
      <c r="EG102" s="306"/>
      <c r="EH102" s="487"/>
      <c r="EI102" s="306"/>
      <c r="EJ102" s="306"/>
      <c r="EK102" s="306"/>
      <c r="EL102" s="306"/>
      <c r="EM102" s="306"/>
      <c r="EN102" s="306"/>
      <c r="EO102" s="306"/>
      <c r="EP102" s="306"/>
      <c r="EQ102" s="306"/>
      <c r="ER102" s="306"/>
      <c r="ES102" s="306"/>
      <c r="ET102" s="306"/>
      <c r="EU102" s="306"/>
      <c r="EV102" s="491"/>
      <c r="EW102" s="306"/>
      <c r="EX102" s="306"/>
      <c r="EY102" s="306"/>
      <c r="EZ102" s="306"/>
      <c r="FA102" s="306"/>
      <c r="FB102" s="306"/>
      <c r="FC102" s="306"/>
      <c r="FD102" s="306"/>
      <c r="FE102" s="306"/>
      <c r="FF102" s="306"/>
      <c r="FG102" s="306"/>
      <c r="FH102" s="306"/>
      <c r="FI102" s="306"/>
      <c r="FJ102" s="306"/>
      <c r="FK102" s="306"/>
      <c r="FL102" s="487"/>
      <c r="FM102" s="306"/>
      <c r="FN102" s="306"/>
      <c r="FO102" s="306"/>
      <c r="FP102" s="306"/>
      <c r="FQ102" s="306"/>
      <c r="FR102" s="306"/>
      <c r="FS102" s="306"/>
      <c r="FT102" s="306"/>
      <c r="FU102" s="306"/>
      <c r="FV102" s="306"/>
      <c r="FW102" s="306"/>
      <c r="FX102" s="306"/>
      <c r="FY102" s="306"/>
      <c r="FZ102" s="306"/>
      <c r="GA102" s="306"/>
      <c r="GB102" s="491"/>
      <c r="GC102" s="306"/>
      <c r="GD102" s="306"/>
      <c r="GE102" s="306"/>
      <c r="GF102" s="491"/>
      <c r="GG102" s="494"/>
      <c r="GH102" s="487"/>
      <c r="GI102" s="306"/>
      <c r="GJ102" s="491"/>
      <c r="GK102" s="306"/>
      <c r="GL102" s="306"/>
      <c r="GM102" s="497"/>
      <c r="GN102" s="306"/>
      <c r="GO102" s="306"/>
      <c r="GP102" s="306"/>
    </row>
    <row r="103" spans="1:198" ht="30" x14ac:dyDescent="0.15">
      <c r="A103" s="481" t="e">
        <f>VLOOKUP($J103&amp;":", Catalog!$F$5:$BV127, COLUMNS(Catalog!$F$5:$BV127), FALSE)</f>
        <v>#N/A</v>
      </c>
      <c r="B103" s="482" t="b">
        <f t="shared" ca="1" si="0"/>
        <v>0</v>
      </c>
      <c r="C103" s="483" t="str">
        <f t="shared" si="1"/>
        <v>grantLootTap3State2</v>
      </c>
      <c r="D103" s="484" t="e">
        <f>VLOOKUP($J103&amp;":", Catalog!$F$5:$BW127, COLUMNS(Catalog!$F$5:$BW127), FALSE)</f>
        <v>#N/A</v>
      </c>
      <c r="E103" s="485" t="e">
        <f>VLOOKUP($J103&amp;":", Catalog!$F$5:$BX127, COLUMNS(Catalog!$F$5:$BX127), FALSE)</f>
        <v>#N/A</v>
      </c>
      <c r="F103" s="484" t="e">
        <f>VLOOKUP($J103&amp;":", Catalog!$F$5:$BY127, COLUMNS(Catalog!$F$5:$BY127), FALSE)</f>
        <v>#N/A</v>
      </c>
      <c r="G103" s="483" t="e">
        <f>VLOOKUP($J103, Catalog!$E$5:$BZ127, COLUMNS(Catalog!$E$5:$BZ127), FALSE)</f>
        <v>#N/A</v>
      </c>
      <c r="H103" s="483" t="s">
        <v>1549</v>
      </c>
      <c r="I103" s="483">
        <v>2</v>
      </c>
      <c r="J103" s="306" t="s">
        <v>1572</v>
      </c>
      <c r="K103" s="486">
        <v>1</v>
      </c>
      <c r="L103" s="100" t="s">
        <v>279</v>
      </c>
      <c r="M103" s="332">
        <v>2</v>
      </c>
      <c r="N103" s="100" t="s">
        <v>280</v>
      </c>
      <c r="O103" s="86"/>
      <c r="P103" s="86"/>
      <c r="Q103" s="86"/>
      <c r="R103" s="100" t="e">
        <f t="shared" si="2"/>
        <v>#N/A</v>
      </c>
      <c r="S103" s="487"/>
      <c r="T103" s="486"/>
      <c r="U103" s="488"/>
      <c r="V103" s="488"/>
      <c r="W103" s="488"/>
      <c r="X103" s="488"/>
      <c r="Y103" s="306"/>
      <c r="Z103" s="306"/>
      <c r="AA103" s="489"/>
      <c r="AB103" s="306" t="e">
        <f t="shared" si="3"/>
        <v>#N/A</v>
      </c>
      <c r="AC103" s="490" t="e">
        <f t="shared" si="4"/>
        <v>#N/A</v>
      </c>
      <c r="AD103" s="490" t="e">
        <f t="shared" si="5"/>
        <v>#N/A</v>
      </c>
      <c r="AE103" s="306"/>
      <c r="AF103" s="332" t="e">
        <f t="shared" si="6"/>
        <v>#N/A</v>
      </c>
      <c r="AG103" s="306"/>
      <c r="AH103" s="487"/>
      <c r="AI103" s="306"/>
      <c r="AJ103" s="306"/>
      <c r="AK103" s="306"/>
      <c r="AL103" s="306"/>
      <c r="AM103" s="306"/>
      <c r="AN103" s="491"/>
      <c r="AO103" s="306"/>
      <c r="AP103" s="306"/>
      <c r="AQ103" s="306"/>
      <c r="AR103" s="306"/>
      <c r="AS103" s="306"/>
      <c r="AT103" s="487"/>
      <c r="AU103" s="306"/>
      <c r="AV103" s="306"/>
      <c r="AW103" s="306"/>
      <c r="AX103" s="306"/>
      <c r="AY103" s="306"/>
      <c r="AZ103" s="491"/>
      <c r="BA103" s="306"/>
      <c r="BB103" s="306"/>
      <c r="BC103" s="487"/>
      <c r="BD103" s="306"/>
      <c r="BE103" s="306"/>
      <c r="BF103" s="492" t="str">
        <f ca="1">IFERROR(__xludf.DUMMYFUNCTION("IF(REGEXMATCH($G103, ""Any""), ""any"", IF(REGEXMATCH($G103, ""All""), ""all"", """"))"),"all")</f>
        <v>all</v>
      </c>
      <c r="BG103" s="499" t="s">
        <v>1570</v>
      </c>
      <c r="BH103" s="306"/>
      <c r="BI103" s="306"/>
      <c r="BJ103" s="306"/>
      <c r="BK103" s="306"/>
      <c r="BL103" s="306"/>
      <c r="BM103" s="306"/>
      <c r="BN103" s="306"/>
      <c r="BO103" s="306"/>
      <c r="BP103" s="493"/>
      <c r="BQ103" s="306"/>
      <c r="BR103" s="306"/>
      <c r="BS103" s="494"/>
      <c r="BT103" s="487"/>
      <c r="BU103" s="306"/>
      <c r="BV103" s="306"/>
      <c r="BW103" s="306"/>
      <c r="BX103" s="306"/>
      <c r="BY103" s="306"/>
      <c r="BZ103" s="306"/>
      <c r="CA103" s="306"/>
      <c r="CB103" s="306"/>
      <c r="CC103" s="493"/>
      <c r="CD103" s="306"/>
      <c r="CE103" s="306"/>
      <c r="CF103" s="494"/>
      <c r="CG103" s="487"/>
      <c r="CH103" s="306"/>
      <c r="CI103" s="306"/>
      <c r="CJ103" s="306"/>
      <c r="CK103" s="306"/>
      <c r="CL103" s="306"/>
      <c r="CM103" s="306"/>
      <c r="CN103" s="306"/>
      <c r="CO103" s="306"/>
      <c r="CP103" s="306"/>
      <c r="CQ103" s="306"/>
      <c r="CR103" s="306"/>
      <c r="CS103" s="494"/>
      <c r="CT103" s="306"/>
      <c r="CU103" s="306"/>
      <c r="CV103" s="306"/>
      <c r="CW103" s="306"/>
      <c r="CX103" s="306"/>
      <c r="CY103" s="306"/>
      <c r="CZ103" s="306"/>
      <c r="DA103" s="306"/>
      <c r="DB103" s="306"/>
      <c r="DC103" s="493"/>
      <c r="DD103" s="306"/>
      <c r="DE103" s="306"/>
      <c r="DF103" s="494"/>
      <c r="DG103" s="306"/>
      <c r="DH103" s="306"/>
      <c r="DI103" s="306"/>
      <c r="DJ103" s="306"/>
      <c r="DK103" s="306"/>
      <c r="DL103" s="306"/>
      <c r="DM103" s="306"/>
      <c r="DN103" s="306"/>
      <c r="DO103" s="306"/>
      <c r="DP103" s="493"/>
      <c r="DQ103" s="306"/>
      <c r="DR103" s="306"/>
      <c r="DS103" s="489"/>
      <c r="DT103" s="306"/>
      <c r="DU103" s="306"/>
      <c r="DV103" s="306"/>
      <c r="DW103" s="306"/>
      <c r="DX103" s="306"/>
      <c r="DY103" s="306"/>
      <c r="DZ103" s="306"/>
      <c r="EA103" s="306"/>
      <c r="EB103" s="306"/>
      <c r="EC103" s="306"/>
      <c r="ED103" s="493"/>
      <c r="EE103" s="306"/>
      <c r="EF103" s="306"/>
      <c r="EG103" s="306"/>
      <c r="EH103" s="487"/>
      <c r="EI103" s="306"/>
      <c r="EJ103" s="306"/>
      <c r="EK103" s="306"/>
      <c r="EL103" s="306"/>
      <c r="EM103" s="306"/>
      <c r="EN103" s="306"/>
      <c r="EO103" s="306"/>
      <c r="EP103" s="306"/>
      <c r="EQ103" s="306"/>
      <c r="ER103" s="306"/>
      <c r="ES103" s="306"/>
      <c r="ET103" s="306"/>
      <c r="EU103" s="306"/>
      <c r="EV103" s="491"/>
      <c r="EW103" s="306"/>
      <c r="EX103" s="306"/>
      <c r="EY103" s="306"/>
      <c r="EZ103" s="306"/>
      <c r="FA103" s="306"/>
      <c r="FB103" s="306"/>
      <c r="FC103" s="306"/>
      <c r="FD103" s="306"/>
      <c r="FE103" s="306"/>
      <c r="FF103" s="306"/>
      <c r="FG103" s="306"/>
      <c r="FH103" s="306"/>
      <c r="FI103" s="306"/>
      <c r="FJ103" s="306"/>
      <c r="FK103" s="306"/>
      <c r="FL103" s="487"/>
      <c r="FM103" s="306"/>
      <c r="FN103" s="306"/>
      <c r="FO103" s="306"/>
      <c r="FP103" s="306"/>
      <c r="FQ103" s="306"/>
      <c r="FR103" s="306"/>
      <c r="FS103" s="306"/>
      <c r="FT103" s="306"/>
      <c r="FU103" s="306"/>
      <c r="FV103" s="306"/>
      <c r="FW103" s="306"/>
      <c r="FX103" s="306"/>
      <c r="FY103" s="306"/>
      <c r="FZ103" s="306"/>
      <c r="GA103" s="306"/>
      <c r="GB103" s="491"/>
      <c r="GC103" s="306"/>
      <c r="GD103" s="306"/>
      <c r="GE103" s="306"/>
      <c r="GF103" s="491"/>
      <c r="GG103" s="494"/>
      <c r="GH103" s="487"/>
      <c r="GI103" s="306"/>
      <c r="GJ103" s="491"/>
      <c r="GK103" s="306"/>
      <c r="GL103" s="306"/>
      <c r="GM103" s="497"/>
      <c r="GN103" s="306"/>
      <c r="GO103" s="306"/>
      <c r="GP103" s="306"/>
    </row>
    <row r="104" spans="1:198" ht="30" x14ac:dyDescent="0.15">
      <c r="A104" s="481" t="e">
        <f>VLOOKUP($J104&amp;":", Catalog!$F$5:$BV127, COLUMNS(Catalog!$F$5:$BV127), FALSE)</f>
        <v>#N/A</v>
      </c>
      <c r="B104" s="482" t="b">
        <f t="shared" ca="1" si="0"/>
        <v>0</v>
      </c>
      <c r="C104" s="483" t="str">
        <f t="shared" si="1"/>
        <v>grantLootTap4State2</v>
      </c>
      <c r="D104" s="484" t="e">
        <f>VLOOKUP($J104&amp;":", Catalog!$F$5:$BW127, COLUMNS(Catalog!$F$5:$BW127), FALSE)</f>
        <v>#N/A</v>
      </c>
      <c r="E104" s="485" t="e">
        <f>VLOOKUP($J104&amp;":", Catalog!$F$5:$BX127, COLUMNS(Catalog!$F$5:$BX127), FALSE)</f>
        <v>#N/A</v>
      </c>
      <c r="F104" s="484" t="e">
        <f>VLOOKUP($J104&amp;":", Catalog!$F$5:$BY127, COLUMNS(Catalog!$F$5:$BY127), FALSE)</f>
        <v>#N/A</v>
      </c>
      <c r="G104" s="483" t="e">
        <f>VLOOKUP($J104, Catalog!$E$5:$BZ127, COLUMNS(Catalog!$E$5:$BZ127), FALSE)</f>
        <v>#N/A</v>
      </c>
      <c r="H104" s="483" t="s">
        <v>1549</v>
      </c>
      <c r="I104" s="483">
        <v>2</v>
      </c>
      <c r="J104" s="306" t="s">
        <v>1582</v>
      </c>
      <c r="K104" s="486">
        <v>1</v>
      </c>
      <c r="L104" s="100" t="s">
        <v>279</v>
      </c>
      <c r="M104" s="332">
        <v>2</v>
      </c>
      <c r="N104" s="100" t="s">
        <v>280</v>
      </c>
      <c r="O104" s="86"/>
      <c r="P104" s="86"/>
      <c r="Q104" s="86"/>
      <c r="R104" s="100" t="e">
        <f t="shared" si="2"/>
        <v>#N/A</v>
      </c>
      <c r="S104" s="487"/>
      <c r="T104" s="486"/>
      <c r="U104" s="488"/>
      <c r="V104" s="488"/>
      <c r="W104" s="488"/>
      <c r="X104" s="488"/>
      <c r="Y104" s="306"/>
      <c r="Z104" s="306"/>
      <c r="AA104" s="489"/>
      <c r="AB104" s="306" t="e">
        <f t="shared" si="3"/>
        <v>#N/A</v>
      </c>
      <c r="AC104" s="490" t="e">
        <f t="shared" si="4"/>
        <v>#N/A</v>
      </c>
      <c r="AD104" s="490" t="e">
        <f t="shared" si="5"/>
        <v>#N/A</v>
      </c>
      <c r="AE104" s="306"/>
      <c r="AF104" s="332" t="e">
        <f t="shared" si="6"/>
        <v>#N/A</v>
      </c>
      <c r="AG104" s="306"/>
      <c r="AH104" s="487"/>
      <c r="AI104" s="306"/>
      <c r="AJ104" s="306"/>
      <c r="AK104" s="306"/>
      <c r="AL104" s="306"/>
      <c r="AM104" s="306"/>
      <c r="AN104" s="491"/>
      <c r="AO104" s="306"/>
      <c r="AP104" s="306"/>
      <c r="AQ104" s="306"/>
      <c r="AR104" s="306"/>
      <c r="AS104" s="306"/>
      <c r="AT104" s="487"/>
      <c r="AU104" s="306"/>
      <c r="AV104" s="306"/>
      <c r="AW104" s="306"/>
      <c r="AX104" s="306"/>
      <c r="AY104" s="306"/>
      <c r="AZ104" s="491"/>
      <c r="BA104" s="306"/>
      <c r="BB104" s="306"/>
      <c r="BC104" s="487"/>
      <c r="BD104" s="306"/>
      <c r="BE104" s="306"/>
      <c r="BF104" s="492" t="str">
        <f ca="1">IFERROR(__xludf.DUMMYFUNCTION("IF(REGEXMATCH($G104, ""Any""), ""any"", IF(REGEXMATCH($G104, ""All""), ""all"", """"))"),"all")</f>
        <v>all</v>
      </c>
      <c r="BG104" s="499" t="s">
        <v>1580</v>
      </c>
      <c r="BH104" s="306"/>
      <c r="BI104" s="306"/>
      <c r="BJ104" s="306"/>
      <c r="BK104" s="306"/>
      <c r="BL104" s="306"/>
      <c r="BM104" s="306"/>
      <c r="BN104" s="306"/>
      <c r="BO104" s="306"/>
      <c r="BP104" s="493"/>
      <c r="BQ104" s="306"/>
      <c r="BR104" s="306"/>
      <c r="BS104" s="494"/>
      <c r="BT104" s="487"/>
      <c r="BU104" s="306"/>
      <c r="BV104" s="306"/>
      <c r="BW104" s="306"/>
      <c r="BX104" s="306"/>
      <c r="BY104" s="306"/>
      <c r="BZ104" s="306"/>
      <c r="CA104" s="306"/>
      <c r="CB104" s="306"/>
      <c r="CC104" s="493"/>
      <c r="CD104" s="306"/>
      <c r="CE104" s="306"/>
      <c r="CF104" s="494"/>
      <c r="CG104" s="487"/>
      <c r="CH104" s="306"/>
      <c r="CI104" s="306"/>
      <c r="CJ104" s="306"/>
      <c r="CK104" s="306"/>
      <c r="CL104" s="306"/>
      <c r="CM104" s="306"/>
      <c r="CN104" s="306"/>
      <c r="CO104" s="306"/>
      <c r="CP104" s="306"/>
      <c r="CQ104" s="306"/>
      <c r="CR104" s="306"/>
      <c r="CS104" s="494"/>
      <c r="CT104" s="306"/>
      <c r="CU104" s="306"/>
      <c r="CV104" s="306"/>
      <c r="CW104" s="306"/>
      <c r="CX104" s="306"/>
      <c r="CY104" s="306"/>
      <c r="CZ104" s="306"/>
      <c r="DA104" s="306"/>
      <c r="DB104" s="306"/>
      <c r="DC104" s="493"/>
      <c r="DD104" s="306"/>
      <c r="DE104" s="306"/>
      <c r="DF104" s="494"/>
      <c r="DG104" s="306"/>
      <c r="DH104" s="306"/>
      <c r="DI104" s="306"/>
      <c r="DJ104" s="306"/>
      <c r="DK104" s="306"/>
      <c r="DL104" s="306"/>
      <c r="DM104" s="306"/>
      <c r="DN104" s="306"/>
      <c r="DO104" s="306"/>
      <c r="DP104" s="493"/>
      <c r="DQ104" s="306"/>
      <c r="DR104" s="306"/>
      <c r="DS104" s="489"/>
      <c r="DT104" s="306"/>
      <c r="DU104" s="306"/>
      <c r="DV104" s="306"/>
      <c r="DW104" s="306"/>
      <c r="DX104" s="306"/>
      <c r="DY104" s="306"/>
      <c r="DZ104" s="306"/>
      <c r="EA104" s="306"/>
      <c r="EB104" s="306"/>
      <c r="EC104" s="306"/>
      <c r="ED104" s="493"/>
      <c r="EE104" s="306"/>
      <c r="EF104" s="306"/>
      <c r="EG104" s="306"/>
      <c r="EH104" s="487"/>
      <c r="EI104" s="306"/>
      <c r="EJ104" s="306"/>
      <c r="EK104" s="306"/>
      <c r="EL104" s="306"/>
      <c r="EM104" s="306"/>
      <c r="EN104" s="306"/>
      <c r="EO104" s="306"/>
      <c r="EP104" s="306"/>
      <c r="EQ104" s="306"/>
      <c r="ER104" s="306"/>
      <c r="ES104" s="306"/>
      <c r="ET104" s="306"/>
      <c r="EU104" s="306"/>
      <c r="EV104" s="491"/>
      <c r="EW104" s="306"/>
      <c r="EX104" s="306"/>
      <c r="EY104" s="306"/>
      <c r="EZ104" s="306"/>
      <c r="FA104" s="306"/>
      <c r="FB104" s="306"/>
      <c r="FC104" s="306"/>
      <c r="FD104" s="306"/>
      <c r="FE104" s="306"/>
      <c r="FF104" s="306"/>
      <c r="FG104" s="306"/>
      <c r="FH104" s="306"/>
      <c r="FI104" s="306"/>
      <c r="FJ104" s="306"/>
      <c r="FK104" s="306"/>
      <c r="FL104" s="487"/>
      <c r="FM104" s="306"/>
      <c r="FN104" s="306"/>
      <c r="FO104" s="306"/>
      <c r="FP104" s="306"/>
      <c r="FQ104" s="306"/>
      <c r="FR104" s="306"/>
      <c r="FS104" s="306"/>
      <c r="FT104" s="306"/>
      <c r="FU104" s="306"/>
      <c r="FV104" s="306"/>
      <c r="FW104" s="306"/>
      <c r="FX104" s="306"/>
      <c r="FY104" s="306"/>
      <c r="FZ104" s="306"/>
      <c r="GA104" s="306"/>
      <c r="GB104" s="491"/>
      <c r="GC104" s="306"/>
      <c r="GD104" s="306"/>
      <c r="GE104" s="306"/>
      <c r="GF104" s="491"/>
      <c r="GG104" s="494"/>
      <c r="GH104" s="487"/>
      <c r="GI104" s="306"/>
      <c r="GJ104" s="491"/>
      <c r="GK104" s="306"/>
      <c r="GL104" s="306"/>
      <c r="GM104" s="497"/>
      <c r="GN104" s="306"/>
      <c r="GO104" s="306"/>
      <c r="GP104" s="306"/>
    </row>
    <row r="105" spans="1:198" ht="30" x14ac:dyDescent="0.15">
      <c r="A105" s="481" t="e">
        <f>VLOOKUP($J105&amp;":", Catalog!$F$5:$BV127, COLUMNS(Catalog!$F$5:$BV127), FALSE)</f>
        <v>#N/A</v>
      </c>
      <c r="B105" s="482" t="b">
        <f t="shared" ca="1" si="0"/>
        <v>0</v>
      </c>
      <c r="C105" s="483" t="str">
        <f t="shared" si="1"/>
        <v>grantLootTap5State2</v>
      </c>
      <c r="D105" s="484" t="e">
        <f>VLOOKUP($J105&amp;":", Catalog!$F$5:$BW127, COLUMNS(Catalog!$F$5:$BW127), FALSE)</f>
        <v>#N/A</v>
      </c>
      <c r="E105" s="485" t="e">
        <f>VLOOKUP($J105&amp;":", Catalog!$F$5:$BX127, COLUMNS(Catalog!$F$5:$BX127), FALSE)</f>
        <v>#N/A</v>
      </c>
      <c r="F105" s="484" t="e">
        <f>VLOOKUP($J105&amp;":", Catalog!$F$5:$BY127, COLUMNS(Catalog!$F$5:$BY127), FALSE)</f>
        <v>#N/A</v>
      </c>
      <c r="G105" s="484" t="e">
        <f>VLOOKUP($J105, Catalog!$E$5:$BZ127, COLUMNS(Catalog!$E$5:$BZ127), FALSE)</f>
        <v>#N/A</v>
      </c>
      <c r="H105" s="483" t="s">
        <v>1549</v>
      </c>
      <c r="I105" s="483">
        <v>2</v>
      </c>
      <c r="J105" s="306" t="s">
        <v>1592</v>
      </c>
      <c r="K105" s="486">
        <v>1</v>
      </c>
      <c r="L105" s="100" t="s">
        <v>279</v>
      </c>
      <c r="M105" s="332">
        <v>2</v>
      </c>
      <c r="N105" s="100" t="s">
        <v>280</v>
      </c>
      <c r="O105" s="86"/>
      <c r="P105" s="86"/>
      <c r="Q105" s="86"/>
      <c r="R105" s="100" t="e">
        <f t="shared" si="2"/>
        <v>#N/A</v>
      </c>
      <c r="S105" s="487"/>
      <c r="T105" s="486"/>
      <c r="U105" s="488"/>
      <c r="V105" s="488"/>
      <c r="W105" s="488"/>
      <c r="X105" s="488"/>
      <c r="Y105" s="306"/>
      <c r="Z105" s="306"/>
      <c r="AA105" s="489"/>
      <c r="AB105" s="306" t="e">
        <f t="shared" si="3"/>
        <v>#N/A</v>
      </c>
      <c r="AC105" s="490" t="e">
        <f t="shared" si="4"/>
        <v>#N/A</v>
      </c>
      <c r="AD105" s="490" t="e">
        <f t="shared" si="5"/>
        <v>#N/A</v>
      </c>
      <c r="AE105" s="306"/>
      <c r="AF105" s="332" t="e">
        <f t="shared" si="6"/>
        <v>#N/A</v>
      </c>
      <c r="AG105" s="306"/>
      <c r="AH105" s="487"/>
      <c r="AI105" s="306"/>
      <c r="AJ105" s="306"/>
      <c r="AK105" s="306"/>
      <c r="AL105" s="306"/>
      <c r="AM105" s="306"/>
      <c r="AN105" s="491"/>
      <c r="AO105" s="306"/>
      <c r="AP105" s="306"/>
      <c r="AQ105" s="306"/>
      <c r="AR105" s="306"/>
      <c r="AS105" s="306"/>
      <c r="AT105" s="487"/>
      <c r="AU105" s="306"/>
      <c r="AV105" s="306"/>
      <c r="AW105" s="306"/>
      <c r="AX105" s="306"/>
      <c r="AY105" s="306"/>
      <c r="AZ105" s="491"/>
      <c r="BA105" s="306"/>
      <c r="BB105" s="306"/>
      <c r="BC105" s="487"/>
      <c r="BD105" s="306"/>
      <c r="BE105" s="306"/>
      <c r="BF105" s="492" t="str">
        <f ca="1">IFERROR(__xludf.DUMMYFUNCTION("IF(REGEXMATCH($G105, ""Any""), ""any"", IF(REGEXMATCH($G105, ""All""), ""all"", """"))"),"all")</f>
        <v>all</v>
      </c>
      <c r="BG105" s="499" t="s">
        <v>1590</v>
      </c>
      <c r="BH105" s="306"/>
      <c r="BI105" s="306"/>
      <c r="BJ105" s="306"/>
      <c r="BK105" s="306"/>
      <c r="BL105" s="306"/>
      <c r="BM105" s="306"/>
      <c r="BN105" s="306"/>
      <c r="BO105" s="306"/>
      <c r="BP105" s="493"/>
      <c r="BQ105" s="306"/>
      <c r="BR105" s="306"/>
      <c r="BS105" s="494"/>
      <c r="BT105" s="487"/>
      <c r="BU105" s="306"/>
      <c r="BV105" s="306"/>
      <c r="BW105" s="306"/>
      <c r="BX105" s="306"/>
      <c r="BY105" s="306"/>
      <c r="BZ105" s="306"/>
      <c r="CA105" s="306"/>
      <c r="CB105" s="306"/>
      <c r="CC105" s="493"/>
      <c r="CD105" s="306"/>
      <c r="CE105" s="306"/>
      <c r="CF105" s="494"/>
      <c r="CG105" s="487"/>
      <c r="CH105" s="306"/>
      <c r="CI105" s="306"/>
      <c r="CJ105" s="306"/>
      <c r="CK105" s="306"/>
      <c r="CL105" s="306"/>
      <c r="CM105" s="306"/>
      <c r="CN105" s="306"/>
      <c r="CO105" s="306"/>
      <c r="CP105" s="306"/>
      <c r="CQ105" s="306"/>
      <c r="CR105" s="306"/>
      <c r="CS105" s="494"/>
      <c r="CT105" s="306"/>
      <c r="CU105" s="306"/>
      <c r="CV105" s="306"/>
      <c r="CW105" s="306"/>
      <c r="CX105" s="306"/>
      <c r="CY105" s="306"/>
      <c r="CZ105" s="306"/>
      <c r="DA105" s="306"/>
      <c r="DB105" s="306"/>
      <c r="DC105" s="493"/>
      <c r="DD105" s="306"/>
      <c r="DE105" s="306"/>
      <c r="DF105" s="494"/>
      <c r="DG105" s="306"/>
      <c r="DH105" s="306"/>
      <c r="DI105" s="306"/>
      <c r="DJ105" s="306"/>
      <c r="DK105" s="306"/>
      <c r="DL105" s="306"/>
      <c r="DM105" s="306"/>
      <c r="DN105" s="306"/>
      <c r="DO105" s="306"/>
      <c r="DP105" s="493"/>
      <c r="DQ105" s="306"/>
      <c r="DR105" s="306"/>
      <c r="DS105" s="489"/>
      <c r="DT105" s="306"/>
      <c r="DU105" s="306"/>
      <c r="DV105" s="306"/>
      <c r="DW105" s="306"/>
      <c r="DX105" s="306"/>
      <c r="DY105" s="306"/>
      <c r="DZ105" s="306"/>
      <c r="EA105" s="306"/>
      <c r="EB105" s="306"/>
      <c r="EC105" s="306"/>
      <c r="ED105" s="493"/>
      <c r="EE105" s="306"/>
      <c r="EF105" s="306"/>
      <c r="EG105" s="306"/>
      <c r="EH105" s="487"/>
      <c r="EI105" s="306"/>
      <c r="EJ105" s="306"/>
      <c r="EK105" s="306"/>
      <c r="EL105" s="306"/>
      <c r="EM105" s="306"/>
      <c r="EN105" s="306"/>
      <c r="EO105" s="306"/>
      <c r="EP105" s="306"/>
      <c r="EQ105" s="306"/>
      <c r="ER105" s="306"/>
      <c r="ES105" s="306"/>
      <c r="ET105" s="306"/>
      <c r="EU105" s="306"/>
      <c r="EV105" s="491"/>
      <c r="EW105" s="306"/>
      <c r="EX105" s="306"/>
      <c r="EY105" s="306"/>
      <c r="EZ105" s="306"/>
      <c r="FA105" s="306"/>
      <c r="FB105" s="306"/>
      <c r="FC105" s="306"/>
      <c r="FD105" s="306"/>
      <c r="FE105" s="306"/>
      <c r="FF105" s="306"/>
      <c r="FG105" s="306"/>
      <c r="FH105" s="306"/>
      <c r="FI105" s="306"/>
      <c r="FJ105" s="306"/>
      <c r="FK105" s="306"/>
      <c r="FL105" s="487"/>
      <c r="FM105" s="306"/>
      <c r="FN105" s="306"/>
      <c r="FO105" s="306"/>
      <c r="FP105" s="306"/>
      <c r="FQ105" s="306"/>
      <c r="FR105" s="306"/>
      <c r="FS105" s="306"/>
      <c r="FT105" s="306"/>
      <c r="FU105" s="306"/>
      <c r="FV105" s="306"/>
      <c r="FW105" s="306"/>
      <c r="FX105" s="306"/>
      <c r="FY105" s="306"/>
      <c r="FZ105" s="306"/>
      <c r="GA105" s="306"/>
      <c r="GB105" s="491"/>
      <c r="GC105" s="306"/>
      <c r="GD105" s="306"/>
      <c r="GE105" s="306"/>
      <c r="GF105" s="491"/>
      <c r="GG105" s="494"/>
      <c r="GH105" s="487"/>
      <c r="GI105" s="306"/>
      <c r="GJ105" s="491"/>
      <c r="GK105" s="306"/>
      <c r="GL105" s="306"/>
      <c r="GM105" s="497"/>
      <c r="GN105" s="306"/>
      <c r="GO105" s="306"/>
      <c r="GP105" s="306"/>
    </row>
    <row r="106" spans="1:198" ht="30" x14ac:dyDescent="0.15">
      <c r="A106" s="481" t="e">
        <f>VLOOKUP($J106&amp;":", Catalog!$F$5:$BV127, COLUMNS(Catalog!$F$5:$BV127), FALSE)</f>
        <v>#N/A</v>
      </c>
      <c r="B106" s="482" t="b">
        <f t="shared" ca="1" si="0"/>
        <v>0</v>
      </c>
      <c r="C106" s="483" t="str">
        <f t="shared" si="1"/>
        <v>grantLootTap6State2</v>
      </c>
      <c r="D106" s="484" t="e">
        <f>VLOOKUP($J106&amp;":", Catalog!$F$5:$BW127, COLUMNS(Catalog!$F$5:$BW127), FALSE)</f>
        <v>#N/A</v>
      </c>
      <c r="E106" s="485" t="e">
        <f>VLOOKUP($J106&amp;":", Catalog!$F$5:$BX127, COLUMNS(Catalog!$F$5:$BX127), FALSE)</f>
        <v>#N/A</v>
      </c>
      <c r="F106" s="484" t="e">
        <f>VLOOKUP($J106&amp;":", Catalog!$F$5:$BY127, COLUMNS(Catalog!$F$5:$BY127), FALSE)</f>
        <v>#N/A</v>
      </c>
      <c r="G106" s="484" t="e">
        <f>VLOOKUP($J106, Catalog!$E$5:$BZ127, COLUMNS(Catalog!$E$5:$BZ127), FALSE)</f>
        <v>#N/A</v>
      </c>
      <c r="H106" s="483" t="s">
        <v>1549</v>
      </c>
      <c r="I106" s="483">
        <v>2</v>
      </c>
      <c r="J106" s="306" t="s">
        <v>1602</v>
      </c>
      <c r="K106" s="486">
        <v>1</v>
      </c>
      <c r="L106" s="100" t="s">
        <v>279</v>
      </c>
      <c r="M106" s="332">
        <v>2</v>
      </c>
      <c r="N106" s="100" t="s">
        <v>280</v>
      </c>
      <c r="O106" s="86"/>
      <c r="P106" s="86"/>
      <c r="Q106" s="86"/>
      <c r="R106" s="100" t="e">
        <f t="shared" si="2"/>
        <v>#N/A</v>
      </c>
      <c r="S106" s="487"/>
      <c r="T106" s="486"/>
      <c r="U106" s="488"/>
      <c r="V106" s="488"/>
      <c r="W106" s="488"/>
      <c r="X106" s="488"/>
      <c r="Y106" s="306"/>
      <c r="Z106" s="306"/>
      <c r="AA106" s="489"/>
      <c r="AB106" s="306" t="e">
        <f t="shared" si="3"/>
        <v>#N/A</v>
      </c>
      <c r="AC106" s="490" t="e">
        <f t="shared" si="4"/>
        <v>#N/A</v>
      </c>
      <c r="AD106" s="490" t="e">
        <f t="shared" si="5"/>
        <v>#N/A</v>
      </c>
      <c r="AE106" s="306"/>
      <c r="AF106" s="332" t="e">
        <f t="shared" si="6"/>
        <v>#N/A</v>
      </c>
      <c r="AG106" s="306"/>
      <c r="AH106" s="487"/>
      <c r="AI106" s="306"/>
      <c r="AJ106" s="306"/>
      <c r="AK106" s="306"/>
      <c r="AL106" s="306"/>
      <c r="AM106" s="306"/>
      <c r="AN106" s="491"/>
      <c r="AO106" s="306"/>
      <c r="AP106" s="306"/>
      <c r="AQ106" s="306"/>
      <c r="AR106" s="306"/>
      <c r="AS106" s="306"/>
      <c r="AT106" s="487"/>
      <c r="AU106" s="306"/>
      <c r="AV106" s="306"/>
      <c r="AW106" s="306"/>
      <c r="AX106" s="306"/>
      <c r="AY106" s="306"/>
      <c r="AZ106" s="491"/>
      <c r="BA106" s="306"/>
      <c r="BB106" s="306"/>
      <c r="BC106" s="487"/>
      <c r="BD106" s="306"/>
      <c r="BE106" s="306"/>
      <c r="BF106" s="492" t="str">
        <f ca="1">IFERROR(__xludf.DUMMYFUNCTION("IF(REGEXMATCH($G106, ""Any""), ""any"", IF(REGEXMATCH($G106, ""All""), ""all"", """"))"),"all")</f>
        <v>all</v>
      </c>
      <c r="BG106" s="499" t="s">
        <v>1600</v>
      </c>
      <c r="BH106" s="306"/>
      <c r="BI106" s="306"/>
      <c r="BJ106" s="306"/>
      <c r="BK106" s="306"/>
      <c r="BL106" s="306"/>
      <c r="BM106" s="306"/>
      <c r="BN106" s="306"/>
      <c r="BO106" s="306"/>
      <c r="BP106" s="493"/>
      <c r="BQ106" s="306"/>
      <c r="BR106" s="306"/>
      <c r="BS106" s="494"/>
      <c r="BT106" s="487"/>
      <c r="BU106" s="306"/>
      <c r="BV106" s="306"/>
      <c r="BW106" s="306"/>
      <c r="BX106" s="306"/>
      <c r="BY106" s="306"/>
      <c r="BZ106" s="306"/>
      <c r="CA106" s="306"/>
      <c r="CB106" s="306"/>
      <c r="CC106" s="493"/>
      <c r="CD106" s="306"/>
      <c r="CE106" s="306"/>
      <c r="CF106" s="494"/>
      <c r="CG106" s="487"/>
      <c r="CH106" s="306"/>
      <c r="CI106" s="306"/>
      <c r="CJ106" s="306"/>
      <c r="CK106" s="306"/>
      <c r="CL106" s="306"/>
      <c r="CM106" s="306"/>
      <c r="CN106" s="306"/>
      <c r="CO106" s="306"/>
      <c r="CP106" s="306"/>
      <c r="CQ106" s="306"/>
      <c r="CR106" s="306"/>
      <c r="CS106" s="494"/>
      <c r="CT106" s="306"/>
      <c r="CU106" s="306"/>
      <c r="CV106" s="306"/>
      <c r="CW106" s="306"/>
      <c r="CX106" s="306"/>
      <c r="CY106" s="306"/>
      <c r="CZ106" s="306"/>
      <c r="DA106" s="306"/>
      <c r="DB106" s="306"/>
      <c r="DC106" s="493"/>
      <c r="DD106" s="306"/>
      <c r="DE106" s="306"/>
      <c r="DF106" s="494"/>
      <c r="DG106" s="306"/>
      <c r="DH106" s="306"/>
      <c r="DI106" s="306"/>
      <c r="DJ106" s="306"/>
      <c r="DK106" s="306"/>
      <c r="DL106" s="306"/>
      <c r="DM106" s="306"/>
      <c r="DN106" s="306"/>
      <c r="DO106" s="306"/>
      <c r="DP106" s="493"/>
      <c r="DQ106" s="306"/>
      <c r="DR106" s="306"/>
      <c r="DS106" s="489"/>
      <c r="DT106" s="306"/>
      <c r="DU106" s="306"/>
      <c r="DV106" s="306"/>
      <c r="DW106" s="306"/>
      <c r="DX106" s="306"/>
      <c r="DY106" s="306"/>
      <c r="DZ106" s="306"/>
      <c r="EA106" s="306"/>
      <c r="EB106" s="306"/>
      <c r="EC106" s="306"/>
      <c r="ED106" s="493"/>
      <c r="EE106" s="306"/>
      <c r="EF106" s="306"/>
      <c r="EG106" s="306"/>
      <c r="EH106" s="487"/>
      <c r="EI106" s="306"/>
      <c r="EJ106" s="306"/>
      <c r="EK106" s="306"/>
      <c r="EL106" s="306"/>
      <c r="EM106" s="306"/>
      <c r="EN106" s="306"/>
      <c r="EO106" s="306"/>
      <c r="EP106" s="306"/>
      <c r="EQ106" s="306"/>
      <c r="ER106" s="306"/>
      <c r="ES106" s="306"/>
      <c r="ET106" s="306"/>
      <c r="EU106" s="306"/>
      <c r="EV106" s="491"/>
      <c r="EW106" s="306"/>
      <c r="EX106" s="306"/>
      <c r="EY106" s="306"/>
      <c r="EZ106" s="306"/>
      <c r="FA106" s="306"/>
      <c r="FB106" s="306"/>
      <c r="FC106" s="306"/>
      <c r="FD106" s="306"/>
      <c r="FE106" s="306"/>
      <c r="FF106" s="306"/>
      <c r="FG106" s="306"/>
      <c r="FH106" s="306"/>
      <c r="FI106" s="306"/>
      <c r="FJ106" s="306"/>
      <c r="FK106" s="306"/>
      <c r="FL106" s="487"/>
      <c r="FM106" s="306"/>
      <c r="FN106" s="306"/>
      <c r="FO106" s="306"/>
      <c r="FP106" s="306"/>
      <c r="FQ106" s="306"/>
      <c r="FR106" s="306"/>
      <c r="FS106" s="306"/>
      <c r="FT106" s="306"/>
      <c r="FU106" s="306"/>
      <c r="FV106" s="306"/>
      <c r="FW106" s="306"/>
      <c r="FX106" s="306"/>
      <c r="FY106" s="306"/>
      <c r="FZ106" s="306"/>
      <c r="GA106" s="306"/>
      <c r="GB106" s="491"/>
      <c r="GC106" s="306"/>
      <c r="GD106" s="306"/>
      <c r="GE106" s="306"/>
      <c r="GF106" s="491"/>
      <c r="GG106" s="494"/>
      <c r="GH106" s="487"/>
      <c r="GI106" s="306"/>
      <c r="GJ106" s="491"/>
      <c r="GK106" s="306"/>
      <c r="GL106" s="306"/>
      <c r="GM106" s="497"/>
      <c r="GN106" s="306"/>
      <c r="GO106" s="306"/>
      <c r="GP106" s="306"/>
    </row>
    <row r="107" spans="1:198" ht="30" x14ac:dyDescent="0.15">
      <c r="A107" s="481" t="e">
        <f>VLOOKUP($J107&amp;":", Catalog!$F$5:$BV127, COLUMNS(Catalog!$F$5:$BV127), FALSE)</f>
        <v>#N/A</v>
      </c>
      <c r="B107" s="482" t="b">
        <f t="shared" ca="1" si="0"/>
        <v>0</v>
      </c>
      <c r="C107" s="483" t="str">
        <f t="shared" si="1"/>
        <v>grantLootTap7State2</v>
      </c>
      <c r="D107" s="484" t="e">
        <f>VLOOKUP($J107&amp;":", Catalog!$F$5:$BW127, COLUMNS(Catalog!$F$5:$BW127), FALSE)</f>
        <v>#N/A</v>
      </c>
      <c r="E107" s="485" t="e">
        <f>VLOOKUP($J107&amp;":", Catalog!$F$5:$BX127, COLUMNS(Catalog!$F$5:$BX127), FALSE)</f>
        <v>#N/A</v>
      </c>
      <c r="F107" s="484" t="e">
        <f>VLOOKUP($J107&amp;":", Catalog!$F$5:$BY127, COLUMNS(Catalog!$F$5:$BY127), FALSE)</f>
        <v>#N/A</v>
      </c>
      <c r="G107" s="484" t="e">
        <f>VLOOKUP($J107, Catalog!$E$5:$BZ127, COLUMNS(Catalog!$E$5:$BZ127), FALSE)</f>
        <v>#N/A</v>
      </c>
      <c r="H107" s="483" t="s">
        <v>1549</v>
      </c>
      <c r="I107" s="483">
        <v>2</v>
      </c>
      <c r="J107" s="306" t="s">
        <v>1612</v>
      </c>
      <c r="K107" s="486">
        <v>1</v>
      </c>
      <c r="L107" s="100" t="s">
        <v>279</v>
      </c>
      <c r="M107" s="332">
        <v>2</v>
      </c>
      <c r="N107" s="100" t="s">
        <v>280</v>
      </c>
      <c r="O107" s="86"/>
      <c r="P107" s="86"/>
      <c r="Q107" s="86"/>
      <c r="R107" s="100" t="e">
        <f t="shared" si="2"/>
        <v>#N/A</v>
      </c>
      <c r="S107" s="487"/>
      <c r="T107" s="486"/>
      <c r="U107" s="488"/>
      <c r="V107" s="488"/>
      <c r="W107" s="488"/>
      <c r="X107" s="488"/>
      <c r="Y107" s="306"/>
      <c r="Z107" s="306"/>
      <c r="AA107" s="489"/>
      <c r="AB107" s="306" t="e">
        <f t="shared" si="3"/>
        <v>#N/A</v>
      </c>
      <c r="AC107" s="490" t="e">
        <f t="shared" si="4"/>
        <v>#N/A</v>
      </c>
      <c r="AD107" s="490" t="e">
        <f t="shared" si="5"/>
        <v>#N/A</v>
      </c>
      <c r="AE107" s="306"/>
      <c r="AF107" s="332" t="e">
        <f t="shared" si="6"/>
        <v>#N/A</v>
      </c>
      <c r="AG107" s="306"/>
      <c r="AH107" s="487"/>
      <c r="AI107" s="306"/>
      <c r="AJ107" s="306"/>
      <c r="AK107" s="306"/>
      <c r="AL107" s="306"/>
      <c r="AM107" s="306"/>
      <c r="AN107" s="491"/>
      <c r="AO107" s="306"/>
      <c r="AP107" s="306"/>
      <c r="AQ107" s="306"/>
      <c r="AR107" s="306"/>
      <c r="AS107" s="306"/>
      <c r="AT107" s="487"/>
      <c r="AU107" s="306"/>
      <c r="AV107" s="306"/>
      <c r="AW107" s="306"/>
      <c r="AX107" s="306"/>
      <c r="AY107" s="306"/>
      <c r="AZ107" s="491"/>
      <c r="BA107" s="306"/>
      <c r="BB107" s="306"/>
      <c r="BC107" s="487"/>
      <c r="BD107" s="306"/>
      <c r="BE107" s="306"/>
      <c r="BF107" s="492" t="str">
        <f ca="1">IFERROR(__xludf.DUMMYFUNCTION("IF(REGEXMATCH($G107, ""Any""), ""any"", IF(REGEXMATCH($G107, ""All""), ""all"", """"))"),"all")</f>
        <v>all</v>
      </c>
      <c r="BG107" s="499" t="s">
        <v>1610</v>
      </c>
      <c r="BH107" s="306"/>
      <c r="BI107" s="306"/>
      <c r="BJ107" s="306"/>
      <c r="BK107" s="306"/>
      <c r="BL107" s="306"/>
      <c r="BM107" s="306"/>
      <c r="BN107" s="306"/>
      <c r="BO107" s="306"/>
      <c r="BP107" s="493"/>
      <c r="BQ107" s="306"/>
      <c r="BR107" s="306"/>
      <c r="BS107" s="494"/>
      <c r="BT107" s="487"/>
      <c r="BU107" s="306"/>
      <c r="BV107" s="306"/>
      <c r="BW107" s="306"/>
      <c r="BX107" s="306"/>
      <c r="BY107" s="306"/>
      <c r="BZ107" s="306"/>
      <c r="CA107" s="306"/>
      <c r="CB107" s="306"/>
      <c r="CC107" s="493"/>
      <c r="CD107" s="306"/>
      <c r="CE107" s="306"/>
      <c r="CF107" s="494"/>
      <c r="CG107" s="487"/>
      <c r="CH107" s="306"/>
      <c r="CI107" s="306"/>
      <c r="CJ107" s="306"/>
      <c r="CK107" s="306"/>
      <c r="CL107" s="306"/>
      <c r="CM107" s="306"/>
      <c r="CN107" s="306"/>
      <c r="CO107" s="306"/>
      <c r="CP107" s="306"/>
      <c r="CQ107" s="306"/>
      <c r="CR107" s="306"/>
      <c r="CS107" s="494"/>
      <c r="CT107" s="306"/>
      <c r="CU107" s="306"/>
      <c r="CV107" s="306"/>
      <c r="CW107" s="306"/>
      <c r="CX107" s="306"/>
      <c r="CY107" s="306"/>
      <c r="CZ107" s="306"/>
      <c r="DA107" s="306"/>
      <c r="DB107" s="306"/>
      <c r="DC107" s="493"/>
      <c r="DD107" s="306"/>
      <c r="DE107" s="306"/>
      <c r="DF107" s="494"/>
      <c r="DG107" s="306"/>
      <c r="DH107" s="306"/>
      <c r="DI107" s="306"/>
      <c r="DJ107" s="306"/>
      <c r="DK107" s="306"/>
      <c r="DL107" s="306"/>
      <c r="DM107" s="306"/>
      <c r="DN107" s="306"/>
      <c r="DO107" s="306"/>
      <c r="DP107" s="493"/>
      <c r="DQ107" s="306"/>
      <c r="DR107" s="306"/>
      <c r="DS107" s="489"/>
      <c r="DT107" s="306"/>
      <c r="DU107" s="306"/>
      <c r="DV107" s="306"/>
      <c r="DW107" s="306"/>
      <c r="DX107" s="306"/>
      <c r="DY107" s="306"/>
      <c r="DZ107" s="306"/>
      <c r="EA107" s="306"/>
      <c r="EB107" s="306"/>
      <c r="EC107" s="306"/>
      <c r="ED107" s="493"/>
      <c r="EE107" s="306"/>
      <c r="EF107" s="306"/>
      <c r="EG107" s="306"/>
      <c r="EH107" s="487"/>
      <c r="EI107" s="306"/>
      <c r="EJ107" s="306"/>
      <c r="EK107" s="306"/>
      <c r="EL107" s="306"/>
      <c r="EM107" s="306"/>
      <c r="EN107" s="306"/>
      <c r="EO107" s="306"/>
      <c r="EP107" s="306"/>
      <c r="EQ107" s="306"/>
      <c r="ER107" s="306"/>
      <c r="ES107" s="306"/>
      <c r="ET107" s="306"/>
      <c r="EU107" s="306"/>
      <c r="EV107" s="491"/>
      <c r="EW107" s="306"/>
      <c r="EX107" s="306"/>
      <c r="EY107" s="306"/>
      <c r="EZ107" s="306"/>
      <c r="FA107" s="306"/>
      <c r="FB107" s="306"/>
      <c r="FC107" s="306"/>
      <c r="FD107" s="306"/>
      <c r="FE107" s="306"/>
      <c r="FF107" s="306"/>
      <c r="FG107" s="306"/>
      <c r="FH107" s="306"/>
      <c r="FI107" s="306"/>
      <c r="FJ107" s="306"/>
      <c r="FK107" s="306"/>
      <c r="FL107" s="487"/>
      <c r="FM107" s="306"/>
      <c r="FN107" s="306"/>
      <c r="FO107" s="306"/>
      <c r="FP107" s="306"/>
      <c r="FQ107" s="306"/>
      <c r="FR107" s="306"/>
      <c r="FS107" s="306"/>
      <c r="FT107" s="306"/>
      <c r="FU107" s="306"/>
      <c r="FV107" s="306"/>
      <c r="FW107" s="306"/>
      <c r="FX107" s="306"/>
      <c r="FY107" s="306"/>
      <c r="FZ107" s="306"/>
      <c r="GA107" s="306"/>
      <c r="GB107" s="491"/>
      <c r="GC107" s="306"/>
      <c r="GD107" s="306"/>
      <c r="GE107" s="306"/>
      <c r="GF107" s="491"/>
      <c r="GG107" s="494"/>
      <c r="GH107" s="487"/>
      <c r="GI107" s="306"/>
      <c r="GJ107" s="491"/>
      <c r="GK107" s="306"/>
      <c r="GL107" s="306"/>
      <c r="GM107" s="497"/>
      <c r="GN107" s="306"/>
      <c r="GO107" s="306"/>
      <c r="GP107" s="306"/>
    </row>
    <row r="108" spans="1:198" ht="30" x14ac:dyDescent="0.15">
      <c r="A108" s="481" t="e">
        <f>VLOOKUP($J108&amp;":", Catalog!$F$5:$BV127, COLUMNS(Catalog!$F$5:$BV127), FALSE)</f>
        <v>#N/A</v>
      </c>
      <c r="B108" s="482" t="b">
        <f t="shared" ca="1" si="0"/>
        <v>0</v>
      </c>
      <c r="C108" s="483" t="str">
        <f t="shared" si="1"/>
        <v>grantLootTap9State2</v>
      </c>
      <c r="D108" s="484" t="e">
        <f>VLOOKUP($J108&amp;":", Catalog!$F$5:$BW127, COLUMNS(Catalog!$F$5:$BW127), FALSE)</f>
        <v>#N/A</v>
      </c>
      <c r="E108" s="485" t="e">
        <f>VLOOKUP($J108&amp;":", Catalog!$F$5:$BX127, COLUMNS(Catalog!$F$5:$BX127), FALSE)</f>
        <v>#N/A</v>
      </c>
      <c r="F108" s="484" t="e">
        <f>VLOOKUP($J108&amp;":", Catalog!$F$5:$BY127, COLUMNS(Catalog!$F$5:$BY127), FALSE)</f>
        <v>#N/A</v>
      </c>
      <c r="G108" s="484" t="e">
        <f>VLOOKUP($J108, Catalog!$E$5:$BZ127, COLUMNS(Catalog!$E$5:$BZ127), FALSE)</f>
        <v>#N/A</v>
      </c>
      <c r="H108" s="483" t="s">
        <v>1549</v>
      </c>
      <c r="I108" s="483">
        <v>2</v>
      </c>
      <c r="J108" s="306" t="s">
        <v>1631</v>
      </c>
      <c r="K108" s="486">
        <v>1</v>
      </c>
      <c r="L108" s="100" t="s">
        <v>279</v>
      </c>
      <c r="M108" s="332">
        <v>2</v>
      </c>
      <c r="N108" s="100" t="s">
        <v>280</v>
      </c>
      <c r="O108" s="86"/>
      <c r="P108" s="86"/>
      <c r="Q108" s="86"/>
      <c r="R108" s="100" t="e">
        <f t="shared" si="2"/>
        <v>#N/A</v>
      </c>
      <c r="S108" s="487"/>
      <c r="T108" s="486"/>
      <c r="U108" s="488"/>
      <c r="V108" s="488"/>
      <c r="W108" s="488"/>
      <c r="X108" s="488"/>
      <c r="Y108" s="306"/>
      <c r="Z108" s="306"/>
      <c r="AA108" s="489"/>
      <c r="AB108" s="306" t="e">
        <f t="shared" si="3"/>
        <v>#N/A</v>
      </c>
      <c r="AC108" s="490" t="e">
        <f t="shared" si="4"/>
        <v>#N/A</v>
      </c>
      <c r="AD108" s="490" t="e">
        <f t="shared" si="5"/>
        <v>#N/A</v>
      </c>
      <c r="AE108" s="306"/>
      <c r="AF108" s="332" t="e">
        <f t="shared" si="6"/>
        <v>#N/A</v>
      </c>
      <c r="AG108" s="306"/>
      <c r="AH108" s="487"/>
      <c r="AI108" s="306"/>
      <c r="AJ108" s="306"/>
      <c r="AK108" s="306"/>
      <c r="AL108" s="306"/>
      <c r="AM108" s="306"/>
      <c r="AN108" s="491"/>
      <c r="AO108" s="306"/>
      <c r="AP108" s="306"/>
      <c r="AQ108" s="306"/>
      <c r="AR108" s="306"/>
      <c r="AS108" s="306"/>
      <c r="AT108" s="487"/>
      <c r="AU108" s="306"/>
      <c r="AV108" s="306"/>
      <c r="AW108" s="306"/>
      <c r="AX108" s="306"/>
      <c r="AY108" s="306"/>
      <c r="AZ108" s="491"/>
      <c r="BA108" s="306"/>
      <c r="BB108" s="306"/>
      <c r="BC108" s="487"/>
      <c r="BD108" s="306"/>
      <c r="BE108" s="306"/>
      <c r="BF108" s="492" t="str">
        <f ca="1">IFERROR(__xludf.DUMMYFUNCTION("IF(REGEXMATCH($G108, ""Any""), ""any"", IF(REGEXMATCH($G108, ""All""), ""all"", """"))"),"all")</f>
        <v>all</v>
      </c>
      <c r="BG108" s="499" t="s">
        <v>1629</v>
      </c>
      <c r="BH108" s="306"/>
      <c r="BI108" s="306"/>
      <c r="BJ108" s="306"/>
      <c r="BK108" s="306"/>
      <c r="BL108" s="306"/>
      <c r="BM108" s="306"/>
      <c r="BN108" s="306"/>
      <c r="BO108" s="306"/>
      <c r="BP108" s="493"/>
      <c r="BQ108" s="306"/>
      <c r="BR108" s="306"/>
      <c r="BS108" s="494"/>
      <c r="BT108" s="487"/>
      <c r="BU108" s="306"/>
      <c r="BV108" s="306"/>
      <c r="BW108" s="306"/>
      <c r="BX108" s="306"/>
      <c r="BY108" s="306"/>
      <c r="BZ108" s="306"/>
      <c r="CA108" s="306"/>
      <c r="CB108" s="306"/>
      <c r="CC108" s="493"/>
      <c r="CD108" s="306"/>
      <c r="CE108" s="306"/>
      <c r="CF108" s="494"/>
      <c r="CG108" s="487"/>
      <c r="CH108" s="306"/>
      <c r="CI108" s="306"/>
      <c r="CJ108" s="306"/>
      <c r="CK108" s="306"/>
      <c r="CL108" s="306"/>
      <c r="CM108" s="306"/>
      <c r="CN108" s="306"/>
      <c r="CO108" s="306"/>
      <c r="CP108" s="306"/>
      <c r="CQ108" s="306"/>
      <c r="CR108" s="306"/>
      <c r="CS108" s="494"/>
      <c r="CT108" s="306"/>
      <c r="CU108" s="306"/>
      <c r="CV108" s="306"/>
      <c r="CW108" s="306"/>
      <c r="CX108" s="306"/>
      <c r="CY108" s="306"/>
      <c r="CZ108" s="306"/>
      <c r="DA108" s="306"/>
      <c r="DB108" s="306"/>
      <c r="DC108" s="493"/>
      <c r="DD108" s="306"/>
      <c r="DE108" s="306"/>
      <c r="DF108" s="494"/>
      <c r="DG108" s="306"/>
      <c r="DH108" s="306"/>
      <c r="DI108" s="306"/>
      <c r="DJ108" s="306"/>
      <c r="DK108" s="306"/>
      <c r="DL108" s="306"/>
      <c r="DM108" s="306"/>
      <c r="DN108" s="306"/>
      <c r="DO108" s="306"/>
      <c r="DP108" s="493"/>
      <c r="DQ108" s="306"/>
      <c r="DR108" s="306"/>
      <c r="DS108" s="489"/>
      <c r="DT108" s="306"/>
      <c r="DU108" s="306"/>
      <c r="DV108" s="306"/>
      <c r="DW108" s="306"/>
      <c r="DX108" s="306"/>
      <c r="DY108" s="306"/>
      <c r="DZ108" s="306"/>
      <c r="EA108" s="306"/>
      <c r="EB108" s="306"/>
      <c r="EC108" s="306"/>
      <c r="ED108" s="493"/>
      <c r="EE108" s="306"/>
      <c r="EF108" s="306"/>
      <c r="EG108" s="306"/>
      <c r="EH108" s="487"/>
      <c r="EI108" s="306"/>
      <c r="EJ108" s="306"/>
      <c r="EK108" s="306"/>
      <c r="EL108" s="306"/>
      <c r="EM108" s="306"/>
      <c r="EN108" s="306"/>
      <c r="EO108" s="306"/>
      <c r="EP108" s="306"/>
      <c r="EQ108" s="306"/>
      <c r="ER108" s="306"/>
      <c r="ES108" s="306"/>
      <c r="ET108" s="306"/>
      <c r="EU108" s="306"/>
      <c r="EV108" s="491"/>
      <c r="EW108" s="306"/>
      <c r="EX108" s="306"/>
      <c r="EY108" s="306"/>
      <c r="EZ108" s="306"/>
      <c r="FA108" s="306"/>
      <c r="FB108" s="306"/>
      <c r="FC108" s="306"/>
      <c r="FD108" s="306"/>
      <c r="FE108" s="306"/>
      <c r="FF108" s="306"/>
      <c r="FG108" s="306"/>
      <c r="FH108" s="306"/>
      <c r="FI108" s="306"/>
      <c r="FJ108" s="306"/>
      <c r="FK108" s="306"/>
      <c r="FL108" s="487"/>
      <c r="FM108" s="306"/>
      <c r="FN108" s="306"/>
      <c r="FO108" s="306"/>
      <c r="FP108" s="306"/>
      <c r="FQ108" s="306"/>
      <c r="FR108" s="306"/>
      <c r="FS108" s="306"/>
      <c r="FT108" s="306"/>
      <c r="FU108" s="306"/>
      <c r="FV108" s="306"/>
      <c r="FW108" s="306"/>
      <c r="FX108" s="306"/>
      <c r="FY108" s="306"/>
      <c r="FZ108" s="306"/>
      <c r="GA108" s="306"/>
      <c r="GB108" s="491"/>
      <c r="GC108" s="306"/>
      <c r="GD108" s="306"/>
      <c r="GE108" s="306"/>
      <c r="GF108" s="491"/>
      <c r="GG108" s="494"/>
      <c r="GH108" s="487"/>
      <c r="GI108" s="306"/>
      <c r="GJ108" s="491"/>
      <c r="GK108" s="306"/>
      <c r="GL108" s="306"/>
      <c r="GM108" s="497"/>
      <c r="GN108" s="306"/>
      <c r="GO108" s="306"/>
      <c r="GP108" s="306"/>
    </row>
    <row r="109" spans="1:198" ht="30" x14ac:dyDescent="0.15">
      <c r="A109" s="481" t="e">
        <f>VLOOKUP($J109&amp;":", Catalog!$F$5:$BV127, COLUMNS(Catalog!$F$5:$BV127), FALSE)</f>
        <v>#N/A</v>
      </c>
      <c r="B109" s="482" t="b">
        <f t="shared" ca="1" si="0"/>
        <v>0</v>
      </c>
      <c r="C109" s="483" t="str">
        <f t="shared" si="1"/>
        <v>grantLootTap10State2</v>
      </c>
      <c r="D109" s="484" t="e">
        <f>VLOOKUP($J109&amp;":", Catalog!$F$5:$BW127, COLUMNS(Catalog!$F$5:$BW127), FALSE)</f>
        <v>#N/A</v>
      </c>
      <c r="E109" s="485" t="e">
        <f>VLOOKUP($J109&amp;":", Catalog!$F$5:$BX127, COLUMNS(Catalog!$F$5:$BX127), FALSE)</f>
        <v>#N/A</v>
      </c>
      <c r="F109" s="484" t="e">
        <f>VLOOKUP($J109&amp;":", Catalog!$F$5:$BY127, COLUMNS(Catalog!$F$5:$BY127), FALSE)</f>
        <v>#N/A</v>
      </c>
      <c r="G109" s="484" t="e">
        <f>VLOOKUP($J109, Catalog!$E$5:$BZ127, COLUMNS(Catalog!$E$5:$BZ127), FALSE)</f>
        <v>#N/A</v>
      </c>
      <c r="H109" s="483" t="s">
        <v>1549</v>
      </c>
      <c r="I109" s="483">
        <v>2</v>
      </c>
      <c r="J109" s="306" t="s">
        <v>1641</v>
      </c>
      <c r="K109" s="486">
        <v>1</v>
      </c>
      <c r="L109" s="100" t="s">
        <v>279</v>
      </c>
      <c r="M109" s="332">
        <v>2</v>
      </c>
      <c r="N109" s="100" t="s">
        <v>280</v>
      </c>
      <c r="O109" s="86"/>
      <c r="P109" s="86"/>
      <c r="Q109" s="86"/>
      <c r="R109" s="100" t="e">
        <f t="shared" si="2"/>
        <v>#N/A</v>
      </c>
      <c r="S109" s="487"/>
      <c r="T109" s="486"/>
      <c r="U109" s="488"/>
      <c r="V109" s="488"/>
      <c r="W109" s="488"/>
      <c r="X109" s="488"/>
      <c r="Y109" s="306"/>
      <c r="Z109" s="306"/>
      <c r="AA109" s="489"/>
      <c r="AB109" s="306" t="e">
        <f t="shared" si="3"/>
        <v>#N/A</v>
      </c>
      <c r="AC109" s="490" t="e">
        <f t="shared" si="4"/>
        <v>#N/A</v>
      </c>
      <c r="AD109" s="490" t="e">
        <f t="shared" si="5"/>
        <v>#N/A</v>
      </c>
      <c r="AE109" s="306"/>
      <c r="AF109" s="332" t="e">
        <f t="shared" si="6"/>
        <v>#N/A</v>
      </c>
      <c r="AG109" s="306"/>
      <c r="AH109" s="487"/>
      <c r="AI109" s="306"/>
      <c r="AJ109" s="306"/>
      <c r="AK109" s="306"/>
      <c r="AL109" s="306"/>
      <c r="AM109" s="306"/>
      <c r="AN109" s="491"/>
      <c r="AO109" s="306"/>
      <c r="AP109" s="306"/>
      <c r="AQ109" s="306"/>
      <c r="AR109" s="306"/>
      <c r="AS109" s="306"/>
      <c r="AT109" s="487"/>
      <c r="AU109" s="306"/>
      <c r="AV109" s="306"/>
      <c r="AW109" s="306"/>
      <c r="AX109" s="306"/>
      <c r="AY109" s="306"/>
      <c r="AZ109" s="491"/>
      <c r="BA109" s="306"/>
      <c r="BB109" s="306"/>
      <c r="BC109" s="487"/>
      <c r="BD109" s="306"/>
      <c r="BE109" s="306"/>
      <c r="BF109" s="492" t="str">
        <f ca="1">IFERROR(__xludf.DUMMYFUNCTION("IF(REGEXMATCH($G109, ""Any""), ""any"", IF(REGEXMATCH($G109, ""All""), ""all"", """"))"),"all")</f>
        <v>all</v>
      </c>
      <c r="BG109" s="499" t="s">
        <v>1639</v>
      </c>
      <c r="BH109" s="306"/>
      <c r="BI109" s="306"/>
      <c r="BJ109" s="306"/>
      <c r="BK109" s="306"/>
      <c r="BL109" s="306"/>
      <c r="BM109" s="306"/>
      <c r="BN109" s="306"/>
      <c r="BO109" s="306"/>
      <c r="BP109" s="493"/>
      <c r="BQ109" s="306"/>
      <c r="BR109" s="306"/>
      <c r="BS109" s="494"/>
      <c r="BT109" s="487"/>
      <c r="BU109" s="306"/>
      <c r="BV109" s="306"/>
      <c r="BW109" s="306"/>
      <c r="BX109" s="306"/>
      <c r="BY109" s="306"/>
      <c r="BZ109" s="306"/>
      <c r="CA109" s="306"/>
      <c r="CB109" s="306"/>
      <c r="CC109" s="493"/>
      <c r="CD109" s="306"/>
      <c r="CE109" s="306"/>
      <c r="CF109" s="494"/>
      <c r="CG109" s="487"/>
      <c r="CH109" s="306"/>
      <c r="CI109" s="306"/>
      <c r="CJ109" s="306"/>
      <c r="CK109" s="306"/>
      <c r="CL109" s="306"/>
      <c r="CM109" s="306"/>
      <c r="CN109" s="306"/>
      <c r="CO109" s="306"/>
      <c r="CP109" s="306"/>
      <c r="CQ109" s="306"/>
      <c r="CR109" s="306"/>
      <c r="CS109" s="494"/>
      <c r="CT109" s="306"/>
      <c r="CU109" s="306"/>
      <c r="CV109" s="306"/>
      <c r="CW109" s="306"/>
      <c r="CX109" s="306"/>
      <c r="CY109" s="306"/>
      <c r="CZ109" s="306"/>
      <c r="DA109" s="306"/>
      <c r="DB109" s="306"/>
      <c r="DC109" s="493"/>
      <c r="DD109" s="306"/>
      <c r="DE109" s="306"/>
      <c r="DF109" s="494"/>
      <c r="DG109" s="306"/>
      <c r="DH109" s="306"/>
      <c r="DI109" s="306"/>
      <c r="DJ109" s="306"/>
      <c r="DK109" s="306"/>
      <c r="DL109" s="306"/>
      <c r="DM109" s="306"/>
      <c r="DN109" s="306"/>
      <c r="DO109" s="306"/>
      <c r="DP109" s="493"/>
      <c r="DQ109" s="306"/>
      <c r="DR109" s="306"/>
      <c r="DS109" s="489"/>
      <c r="DT109" s="306"/>
      <c r="DU109" s="306"/>
      <c r="DV109" s="306"/>
      <c r="DW109" s="306"/>
      <c r="DX109" s="306"/>
      <c r="DY109" s="306"/>
      <c r="DZ109" s="306"/>
      <c r="EA109" s="306"/>
      <c r="EB109" s="306"/>
      <c r="EC109" s="306"/>
      <c r="ED109" s="493"/>
      <c r="EE109" s="306"/>
      <c r="EF109" s="306"/>
      <c r="EG109" s="306"/>
      <c r="EH109" s="487"/>
      <c r="EI109" s="306"/>
      <c r="EJ109" s="306"/>
      <c r="EK109" s="306"/>
      <c r="EL109" s="306"/>
      <c r="EM109" s="306"/>
      <c r="EN109" s="306"/>
      <c r="EO109" s="306"/>
      <c r="EP109" s="306"/>
      <c r="EQ109" s="306"/>
      <c r="ER109" s="306"/>
      <c r="ES109" s="306"/>
      <c r="ET109" s="306"/>
      <c r="EU109" s="306"/>
      <c r="EV109" s="491"/>
      <c r="EW109" s="306"/>
      <c r="EX109" s="306"/>
      <c r="EY109" s="306"/>
      <c r="EZ109" s="306"/>
      <c r="FA109" s="306"/>
      <c r="FB109" s="306"/>
      <c r="FC109" s="306"/>
      <c r="FD109" s="306"/>
      <c r="FE109" s="306"/>
      <c r="FF109" s="306"/>
      <c r="FG109" s="306"/>
      <c r="FH109" s="306"/>
      <c r="FI109" s="306"/>
      <c r="FJ109" s="306"/>
      <c r="FK109" s="306"/>
      <c r="FL109" s="487"/>
      <c r="FM109" s="306"/>
      <c r="FN109" s="306"/>
      <c r="FO109" s="306"/>
      <c r="FP109" s="306"/>
      <c r="FQ109" s="306"/>
      <c r="FR109" s="306"/>
      <c r="FS109" s="306"/>
      <c r="FT109" s="306"/>
      <c r="FU109" s="306"/>
      <c r="FV109" s="306"/>
      <c r="FW109" s="306"/>
      <c r="FX109" s="306"/>
      <c r="FY109" s="306"/>
      <c r="FZ109" s="306"/>
      <c r="GA109" s="306"/>
      <c r="GB109" s="491"/>
      <c r="GC109" s="306"/>
      <c r="GD109" s="306"/>
      <c r="GE109" s="306"/>
      <c r="GF109" s="491"/>
      <c r="GG109" s="494"/>
      <c r="GH109" s="487"/>
      <c r="GI109" s="306"/>
      <c r="GJ109" s="491"/>
      <c r="GK109" s="306"/>
      <c r="GL109" s="306"/>
      <c r="GM109" s="497"/>
      <c r="GN109" s="306"/>
      <c r="GO109" s="306"/>
      <c r="GP109" s="306"/>
    </row>
    <row r="110" spans="1:198" ht="30" x14ac:dyDescent="0.15">
      <c r="A110" s="481" t="e">
        <f>VLOOKUP($J110&amp;":", Catalog!$F$5:$BV127, COLUMNS(Catalog!$F$5:$BV127), FALSE)</f>
        <v>#N/A</v>
      </c>
      <c r="B110" s="482" t="b">
        <f t="shared" ca="1" si="0"/>
        <v>0</v>
      </c>
      <c r="C110" s="483" t="str">
        <f t="shared" si="1"/>
        <v>grantLootTap12State2</v>
      </c>
      <c r="D110" s="484" t="e">
        <f>VLOOKUP($J110&amp;":", Catalog!$F$5:$BW127, COLUMNS(Catalog!$F$5:$BW127), FALSE)</f>
        <v>#N/A</v>
      </c>
      <c r="E110" s="485" t="e">
        <f>VLOOKUP($J110&amp;":", Catalog!$F$5:$BX127, COLUMNS(Catalog!$F$5:$BX127), FALSE)</f>
        <v>#N/A</v>
      </c>
      <c r="F110" s="484" t="e">
        <f>VLOOKUP($J110&amp;":", Catalog!$F$5:$BY127, COLUMNS(Catalog!$F$5:$BY127), FALSE)</f>
        <v>#N/A</v>
      </c>
      <c r="G110" s="484" t="e">
        <f>VLOOKUP($J110, Catalog!$E$5:$BZ127, COLUMNS(Catalog!$E$5:$BZ127), FALSE)</f>
        <v>#N/A</v>
      </c>
      <c r="H110" s="483" t="s">
        <v>1549</v>
      </c>
      <c r="I110" s="483">
        <v>2</v>
      </c>
      <c r="J110" s="306" t="s">
        <v>1661</v>
      </c>
      <c r="K110" s="486">
        <v>1</v>
      </c>
      <c r="L110" s="100" t="s">
        <v>279</v>
      </c>
      <c r="M110" s="332">
        <v>2</v>
      </c>
      <c r="N110" s="100" t="s">
        <v>280</v>
      </c>
      <c r="O110" s="86"/>
      <c r="P110" s="86"/>
      <c r="Q110" s="86"/>
      <c r="R110" s="100" t="e">
        <f t="shared" si="2"/>
        <v>#N/A</v>
      </c>
      <c r="S110" s="487"/>
      <c r="T110" s="486"/>
      <c r="U110" s="488"/>
      <c r="V110" s="488"/>
      <c r="W110" s="488"/>
      <c r="X110" s="488"/>
      <c r="Y110" s="306"/>
      <c r="Z110" s="306"/>
      <c r="AA110" s="489"/>
      <c r="AB110" s="306" t="e">
        <f t="shared" si="3"/>
        <v>#N/A</v>
      </c>
      <c r="AC110" s="490" t="e">
        <f t="shared" si="4"/>
        <v>#N/A</v>
      </c>
      <c r="AD110" s="490" t="e">
        <f t="shared" si="5"/>
        <v>#N/A</v>
      </c>
      <c r="AE110" s="306"/>
      <c r="AF110" s="332" t="e">
        <f t="shared" si="6"/>
        <v>#N/A</v>
      </c>
      <c r="AG110" s="306"/>
      <c r="AH110" s="487"/>
      <c r="AI110" s="306"/>
      <c r="AJ110" s="306"/>
      <c r="AK110" s="306"/>
      <c r="AL110" s="306"/>
      <c r="AM110" s="306"/>
      <c r="AN110" s="491"/>
      <c r="AO110" s="306"/>
      <c r="AP110" s="306"/>
      <c r="AQ110" s="306"/>
      <c r="AR110" s="306"/>
      <c r="AS110" s="306"/>
      <c r="AT110" s="487"/>
      <c r="AU110" s="306"/>
      <c r="AV110" s="306"/>
      <c r="AW110" s="306"/>
      <c r="AX110" s="306"/>
      <c r="AY110" s="306"/>
      <c r="AZ110" s="491"/>
      <c r="BA110" s="306"/>
      <c r="BB110" s="306"/>
      <c r="BC110" s="487"/>
      <c r="BD110" s="306"/>
      <c r="BE110" s="306"/>
      <c r="BF110" s="492" t="str">
        <f ca="1">IFERROR(__xludf.DUMMYFUNCTION("IF(REGEXMATCH($G110, ""Any""), ""any"", IF(REGEXMATCH($G110, ""All""), ""all"", """"))"),"all")</f>
        <v>all</v>
      </c>
      <c r="BG110" s="499" t="s">
        <v>1659</v>
      </c>
      <c r="BH110" s="306"/>
      <c r="BI110" s="306"/>
      <c r="BJ110" s="306"/>
      <c r="BK110" s="306"/>
      <c r="BL110" s="306"/>
      <c r="BM110" s="306"/>
      <c r="BN110" s="306"/>
      <c r="BO110" s="306"/>
      <c r="BP110" s="493"/>
      <c r="BQ110" s="306"/>
      <c r="BR110" s="306"/>
      <c r="BS110" s="494"/>
      <c r="BT110" s="487"/>
      <c r="BU110" s="306"/>
      <c r="BV110" s="306"/>
      <c r="BW110" s="306"/>
      <c r="BX110" s="306"/>
      <c r="BY110" s="306"/>
      <c r="BZ110" s="306"/>
      <c r="CA110" s="306"/>
      <c r="CB110" s="306"/>
      <c r="CC110" s="493"/>
      <c r="CD110" s="306"/>
      <c r="CE110" s="306"/>
      <c r="CF110" s="494"/>
      <c r="CG110" s="487"/>
      <c r="CH110" s="306"/>
      <c r="CI110" s="306"/>
      <c r="CJ110" s="306"/>
      <c r="CK110" s="306"/>
      <c r="CL110" s="306"/>
      <c r="CM110" s="306"/>
      <c r="CN110" s="306"/>
      <c r="CO110" s="306"/>
      <c r="CP110" s="306"/>
      <c r="CQ110" s="306"/>
      <c r="CR110" s="306"/>
      <c r="CS110" s="494"/>
      <c r="CT110" s="306"/>
      <c r="CU110" s="306"/>
      <c r="CV110" s="306"/>
      <c r="CW110" s="306"/>
      <c r="CX110" s="306"/>
      <c r="CY110" s="306"/>
      <c r="CZ110" s="306"/>
      <c r="DA110" s="306"/>
      <c r="DB110" s="306"/>
      <c r="DC110" s="493"/>
      <c r="DD110" s="306"/>
      <c r="DE110" s="306"/>
      <c r="DF110" s="494"/>
      <c r="DG110" s="306"/>
      <c r="DH110" s="306"/>
      <c r="DI110" s="306"/>
      <c r="DJ110" s="306"/>
      <c r="DK110" s="306"/>
      <c r="DL110" s="306"/>
      <c r="DM110" s="306"/>
      <c r="DN110" s="306"/>
      <c r="DO110" s="306"/>
      <c r="DP110" s="493"/>
      <c r="DQ110" s="306"/>
      <c r="DR110" s="306"/>
      <c r="DS110" s="489"/>
      <c r="DT110" s="306"/>
      <c r="DU110" s="306"/>
      <c r="DV110" s="306"/>
      <c r="DW110" s="306"/>
      <c r="DX110" s="306"/>
      <c r="DY110" s="306"/>
      <c r="DZ110" s="306"/>
      <c r="EA110" s="306"/>
      <c r="EB110" s="306"/>
      <c r="EC110" s="306"/>
      <c r="ED110" s="493"/>
      <c r="EE110" s="306"/>
      <c r="EF110" s="306"/>
      <c r="EG110" s="306"/>
      <c r="EH110" s="487"/>
      <c r="EI110" s="306"/>
      <c r="EJ110" s="306"/>
      <c r="EK110" s="306"/>
      <c r="EL110" s="306"/>
      <c r="EM110" s="306"/>
      <c r="EN110" s="306"/>
      <c r="EO110" s="306"/>
      <c r="EP110" s="306"/>
      <c r="EQ110" s="306"/>
      <c r="ER110" s="306"/>
      <c r="ES110" s="306"/>
      <c r="ET110" s="306"/>
      <c r="EU110" s="306"/>
      <c r="EV110" s="491"/>
      <c r="EW110" s="306"/>
      <c r="EX110" s="306"/>
      <c r="EY110" s="306"/>
      <c r="EZ110" s="306"/>
      <c r="FA110" s="306"/>
      <c r="FB110" s="306"/>
      <c r="FC110" s="306"/>
      <c r="FD110" s="306"/>
      <c r="FE110" s="306"/>
      <c r="FF110" s="306"/>
      <c r="FG110" s="306"/>
      <c r="FH110" s="306"/>
      <c r="FI110" s="306"/>
      <c r="FJ110" s="306"/>
      <c r="FK110" s="306"/>
      <c r="FL110" s="487"/>
      <c r="FM110" s="306"/>
      <c r="FN110" s="306"/>
      <c r="FO110" s="306"/>
      <c r="FP110" s="306"/>
      <c r="FQ110" s="306"/>
      <c r="FR110" s="306"/>
      <c r="FS110" s="306"/>
      <c r="FT110" s="306"/>
      <c r="FU110" s="306"/>
      <c r="FV110" s="306"/>
      <c r="FW110" s="306"/>
      <c r="FX110" s="306"/>
      <c r="FY110" s="306"/>
      <c r="FZ110" s="306"/>
      <c r="GA110" s="306"/>
      <c r="GB110" s="491"/>
      <c r="GC110" s="306"/>
      <c r="GD110" s="306"/>
      <c r="GE110" s="306"/>
      <c r="GF110" s="491"/>
      <c r="GG110" s="494"/>
      <c r="GH110" s="487"/>
      <c r="GI110" s="306"/>
      <c r="GJ110" s="491"/>
      <c r="GK110" s="306"/>
      <c r="GL110" s="306"/>
      <c r="GM110" s="497"/>
      <c r="GN110" s="306"/>
      <c r="GO110" s="306"/>
      <c r="GP110" s="306"/>
    </row>
    <row r="111" spans="1:198" ht="90" x14ac:dyDescent="0.15">
      <c r="A111" s="481" t="e">
        <f>VLOOKUP($J111&amp;":", Catalog!$F$5:$BV127, COLUMNS(Catalog!$F$5:$BV127), FALSE)</f>
        <v>#N/A</v>
      </c>
      <c r="B111" s="482" t="b">
        <f t="shared" ca="1" si="0"/>
        <v>0</v>
      </c>
      <c r="C111" s="483" t="str">
        <f t="shared" si="1"/>
        <v>grantAchievementPlayBestStudentState2</v>
      </c>
      <c r="D111" s="484" t="e">
        <f>VLOOKUP($J111&amp;":", Catalog!$F$5:$BW127, COLUMNS(Catalog!$F$5:$BW127), FALSE)</f>
        <v>#N/A</v>
      </c>
      <c r="E111" s="485" t="e">
        <f>VLOOKUP($J111&amp;":", Catalog!$F$5:$BX127, COLUMNS(Catalog!$F$5:$BX127), FALSE)</f>
        <v>#N/A</v>
      </c>
      <c r="F111" s="484" t="e">
        <f>VLOOKUP($J111&amp;":", Catalog!$F$5:$BY127, COLUMNS(Catalog!$F$5:$BY127), FALSE)</f>
        <v>#N/A</v>
      </c>
      <c r="G111" s="484" t="e">
        <f>VLOOKUP($J111, Catalog!$E$5:$BZ127, COLUMNS(Catalog!$E$5:$BZ127), FALSE)</f>
        <v>#N/A</v>
      </c>
      <c r="H111" s="483" t="s">
        <v>808</v>
      </c>
      <c r="I111" s="483">
        <v>2</v>
      </c>
      <c r="J111" s="306" t="s">
        <v>2225</v>
      </c>
      <c r="K111" s="486">
        <v>1</v>
      </c>
      <c r="L111" s="100" t="s">
        <v>279</v>
      </c>
      <c r="M111" s="332">
        <v>2</v>
      </c>
      <c r="N111" s="100" t="s">
        <v>280</v>
      </c>
      <c r="O111" s="86"/>
      <c r="P111" s="86"/>
      <c r="Q111" s="86"/>
      <c r="R111" s="100" t="e">
        <f t="shared" si="2"/>
        <v>#N/A</v>
      </c>
      <c r="S111" s="487"/>
      <c r="T111" s="486"/>
      <c r="U111" s="488"/>
      <c r="V111" s="488"/>
      <c r="W111" s="488"/>
      <c r="X111" s="488"/>
      <c r="Y111" s="306"/>
      <c r="Z111" s="306"/>
      <c r="AA111" s="489"/>
      <c r="AB111" s="306" t="e">
        <f t="shared" si="3"/>
        <v>#N/A</v>
      </c>
      <c r="AC111" s="490" t="e">
        <f t="shared" si="4"/>
        <v>#N/A</v>
      </c>
      <c r="AD111" s="490" t="e">
        <f t="shared" si="5"/>
        <v>#N/A</v>
      </c>
      <c r="AE111" s="306"/>
      <c r="AF111" s="332" t="e">
        <f t="shared" si="6"/>
        <v>#N/A</v>
      </c>
      <c r="AG111" s="306"/>
      <c r="AH111" s="487"/>
      <c r="AI111" s="306"/>
      <c r="AJ111" s="306"/>
      <c r="AK111" s="306"/>
      <c r="AL111" s="306"/>
      <c r="AM111" s="306"/>
      <c r="AN111" s="491"/>
      <c r="AO111" s="306"/>
      <c r="AP111" s="306"/>
      <c r="AQ111" s="306"/>
      <c r="AR111" s="306"/>
      <c r="AS111" s="306"/>
      <c r="AT111" s="487"/>
      <c r="AU111" s="306"/>
      <c r="AV111" s="306"/>
      <c r="AW111" s="306"/>
      <c r="AX111" s="306"/>
      <c r="AY111" s="306"/>
      <c r="AZ111" s="491"/>
      <c r="BA111" s="306"/>
      <c r="BB111" s="306"/>
      <c r="BC111" s="487"/>
      <c r="BD111" s="306"/>
      <c r="BE111" s="306"/>
      <c r="BF111" s="492" t="str">
        <f ca="1">IFERROR(__xludf.DUMMYFUNCTION("IF(REGEXMATCH($G111, ""Any""), ""any"", IF(REGEXMATCH($G111, ""All""), ""all"", """"))"),"all")</f>
        <v>all</v>
      </c>
      <c r="BG111" s="499" t="s">
        <v>1020</v>
      </c>
      <c r="BH111" s="306"/>
      <c r="BI111" s="100" t="s">
        <v>279</v>
      </c>
      <c r="BJ111" s="100">
        <v>2</v>
      </c>
      <c r="BK111" s="306"/>
      <c r="BL111" s="306"/>
      <c r="BM111" s="306"/>
      <c r="BN111" s="306"/>
      <c r="BO111" s="306"/>
      <c r="BP111" s="493"/>
      <c r="BQ111" s="306"/>
      <c r="BR111" s="306"/>
      <c r="BS111" s="494"/>
      <c r="BT111" s="503" t="s">
        <v>1047</v>
      </c>
      <c r="BU111" s="306"/>
      <c r="BV111" s="100" t="s">
        <v>279</v>
      </c>
      <c r="BW111" s="100">
        <v>2</v>
      </c>
      <c r="BX111" s="306"/>
      <c r="BY111" s="306"/>
      <c r="BZ111" s="306"/>
      <c r="CA111" s="306"/>
      <c r="CB111" s="306"/>
      <c r="CC111" s="493"/>
      <c r="CD111" s="306"/>
      <c r="CE111" s="306"/>
      <c r="CF111" s="494"/>
      <c r="CG111" s="503" t="s">
        <v>1101</v>
      </c>
      <c r="CH111" s="306"/>
      <c r="CI111" s="100" t="s">
        <v>279</v>
      </c>
      <c r="CJ111" s="100">
        <v>2</v>
      </c>
      <c r="CK111" s="306"/>
      <c r="CL111" s="306"/>
      <c r="CM111" s="306"/>
      <c r="CN111" s="306"/>
      <c r="CO111" s="306"/>
      <c r="CP111" s="306"/>
      <c r="CQ111" s="306"/>
      <c r="CR111" s="306"/>
      <c r="CS111" s="494"/>
      <c r="CT111" s="332" t="s">
        <v>1074</v>
      </c>
      <c r="CU111" s="306"/>
      <c r="CV111" s="100" t="s">
        <v>279</v>
      </c>
      <c r="CW111" s="100">
        <v>2</v>
      </c>
      <c r="CX111" s="306"/>
      <c r="CY111" s="306"/>
      <c r="CZ111" s="306"/>
      <c r="DA111" s="306"/>
      <c r="DB111" s="306"/>
      <c r="DC111" s="493"/>
      <c r="DD111" s="306"/>
      <c r="DE111" s="306"/>
      <c r="DF111" s="494"/>
      <c r="DG111" s="332" t="s">
        <v>993</v>
      </c>
      <c r="DH111" s="306"/>
      <c r="DI111" s="100" t="s">
        <v>279</v>
      </c>
      <c r="DJ111" s="100">
        <v>2</v>
      </c>
      <c r="DK111" s="306"/>
      <c r="DL111" s="306"/>
      <c r="DM111" s="306"/>
      <c r="DN111" s="306"/>
      <c r="DO111" s="306"/>
      <c r="DP111" s="493"/>
      <c r="DQ111" s="306"/>
      <c r="DR111" s="306"/>
      <c r="DS111" s="489"/>
      <c r="DT111" s="306"/>
      <c r="DU111" s="306"/>
      <c r="DV111" s="306"/>
      <c r="DW111" s="306"/>
      <c r="DX111" s="306"/>
      <c r="DY111" s="306"/>
      <c r="DZ111" s="306"/>
      <c r="EA111" s="306"/>
      <c r="EB111" s="306"/>
      <c r="EC111" s="306"/>
      <c r="ED111" s="493"/>
      <c r="EE111" s="306"/>
      <c r="EF111" s="306"/>
      <c r="EG111" s="306"/>
      <c r="EH111" s="487"/>
      <c r="EI111" s="306"/>
      <c r="EJ111" s="306"/>
      <c r="EK111" s="306"/>
      <c r="EL111" s="306"/>
      <c r="EM111" s="306"/>
      <c r="EN111" s="306"/>
      <c r="EO111" s="306"/>
      <c r="EP111" s="306"/>
      <c r="EQ111" s="306"/>
      <c r="ER111" s="306"/>
      <c r="ES111" s="306"/>
      <c r="ET111" s="306"/>
      <c r="EU111" s="306"/>
      <c r="EV111" s="491"/>
      <c r="EW111" s="306"/>
      <c r="EX111" s="306"/>
      <c r="EY111" s="306"/>
      <c r="EZ111" s="306"/>
      <c r="FA111" s="306"/>
      <c r="FB111" s="306"/>
      <c r="FC111" s="306"/>
      <c r="FD111" s="306"/>
      <c r="FE111" s="306"/>
      <c r="FF111" s="306"/>
      <c r="FG111" s="306"/>
      <c r="FH111" s="306"/>
      <c r="FI111" s="306"/>
      <c r="FJ111" s="306"/>
      <c r="FK111" s="306"/>
      <c r="FL111" s="487"/>
      <c r="FM111" s="306"/>
      <c r="FN111" s="306"/>
      <c r="FO111" s="306"/>
      <c r="FP111" s="306"/>
      <c r="FQ111" s="306"/>
      <c r="FR111" s="306"/>
      <c r="FS111" s="306"/>
      <c r="FT111" s="306"/>
      <c r="FU111" s="306"/>
      <c r="FV111" s="306"/>
      <c r="FW111" s="306"/>
      <c r="FX111" s="306"/>
      <c r="FY111" s="306"/>
      <c r="FZ111" s="306"/>
      <c r="GA111" s="306"/>
      <c r="GB111" s="491"/>
      <c r="GC111" s="306"/>
      <c r="GD111" s="306"/>
      <c r="GE111" s="306"/>
      <c r="GF111" s="491"/>
      <c r="GG111" s="494"/>
      <c r="GH111" s="487"/>
      <c r="GI111" s="306"/>
      <c r="GJ111" s="491"/>
      <c r="GK111" s="306"/>
      <c r="GL111" s="306"/>
      <c r="GM111" s="497"/>
      <c r="GN111" s="306"/>
      <c r="GO111" s="306"/>
      <c r="GP111" s="306"/>
    </row>
    <row r="112" spans="1:198" ht="30" x14ac:dyDescent="0.15">
      <c r="A112" s="481" t="e">
        <f>VLOOKUP($J112&amp;":", Catalog!$F$5:$BV127, COLUMNS(Catalog!$F$5:$BV127), FALSE)</f>
        <v>#N/A</v>
      </c>
      <c r="B112" s="482" t="b">
        <f t="shared" ca="1" si="0"/>
        <v>0</v>
      </c>
      <c r="C112" s="483" t="str">
        <f t="shared" si="1"/>
        <v>grantAchievementMissionAllState2</v>
      </c>
      <c r="D112" s="484" t="e">
        <f>VLOOKUP($J112&amp;":", Catalog!$F$5:$BW127, COLUMNS(Catalog!$F$5:$BW127), FALSE)</f>
        <v>#N/A</v>
      </c>
      <c r="E112" s="485" t="e">
        <f>VLOOKUP($J112&amp;":", Catalog!$F$5:$BX127, COLUMNS(Catalog!$F$5:$BX127), FALSE)</f>
        <v>#N/A</v>
      </c>
      <c r="F112" s="484" t="e">
        <f>VLOOKUP($J112&amp;":", Catalog!$F$5:$BY127, COLUMNS(Catalog!$F$5:$BY127), FALSE)</f>
        <v>#N/A</v>
      </c>
      <c r="G112" s="484" t="e">
        <f>VLOOKUP($J112, Catalog!$E$5:$BZ127, COLUMNS(Catalog!$E$5:$BZ127), FALSE)</f>
        <v>#N/A</v>
      </c>
      <c r="H112" s="483" t="s">
        <v>808</v>
      </c>
      <c r="I112" s="483">
        <v>2</v>
      </c>
      <c r="J112" s="306" t="s">
        <v>2298</v>
      </c>
      <c r="K112" s="486">
        <v>1</v>
      </c>
      <c r="L112" s="100" t="s">
        <v>279</v>
      </c>
      <c r="M112" s="332">
        <v>2</v>
      </c>
      <c r="N112" s="100" t="s">
        <v>280</v>
      </c>
      <c r="O112" s="86"/>
      <c r="P112" s="86"/>
      <c r="Q112" s="86"/>
      <c r="R112" s="100" t="e">
        <f t="shared" si="2"/>
        <v>#N/A</v>
      </c>
      <c r="S112" s="487"/>
      <c r="T112" s="486"/>
      <c r="U112" s="488"/>
      <c r="V112" s="488"/>
      <c r="W112" s="488"/>
      <c r="X112" s="488"/>
      <c r="Y112" s="306"/>
      <c r="Z112" s="306"/>
      <c r="AA112" s="489"/>
      <c r="AB112" s="306" t="e">
        <f t="shared" si="3"/>
        <v>#N/A</v>
      </c>
      <c r="AC112" s="490" t="e">
        <f t="shared" si="4"/>
        <v>#N/A</v>
      </c>
      <c r="AD112" s="490" t="e">
        <f t="shared" si="5"/>
        <v>#N/A</v>
      </c>
      <c r="AE112" s="306"/>
      <c r="AF112" s="332" t="e">
        <f t="shared" si="6"/>
        <v>#N/A</v>
      </c>
      <c r="AG112" s="306"/>
      <c r="AH112" s="487"/>
      <c r="AI112" s="306"/>
      <c r="AJ112" s="306"/>
      <c r="AK112" s="306"/>
      <c r="AL112" s="306"/>
      <c r="AM112" s="306"/>
      <c r="AN112" s="491"/>
      <c r="AO112" s="306"/>
      <c r="AP112" s="306"/>
      <c r="AQ112" s="306"/>
      <c r="AR112" s="306"/>
      <c r="AS112" s="306"/>
      <c r="AT112" s="487"/>
      <c r="AU112" s="306"/>
      <c r="AV112" s="306"/>
      <c r="AW112" s="306"/>
      <c r="AX112" s="306"/>
      <c r="AY112" s="306"/>
      <c r="AZ112" s="491"/>
      <c r="BA112" s="306"/>
      <c r="BB112" s="306"/>
      <c r="BC112" s="487"/>
      <c r="BD112" s="306"/>
      <c r="BE112" s="306"/>
      <c r="BF112" s="492" t="str">
        <f ca="1">IFERROR(__xludf.DUMMYFUNCTION("IF(REGEXMATCH($G112, ""Any""), ""any"", IF(REGEXMATCH($G112, ""All""), ""all"", """"))"),"all")</f>
        <v>all</v>
      </c>
      <c r="BG112" s="491"/>
      <c r="BH112" s="306"/>
      <c r="BI112" s="306"/>
      <c r="BJ112" s="306"/>
      <c r="BK112" s="306"/>
      <c r="BL112" s="306"/>
      <c r="BM112" s="306"/>
      <c r="BN112" s="306"/>
      <c r="BO112" s="306"/>
      <c r="BP112" s="493"/>
      <c r="BQ112" s="306"/>
      <c r="BR112" s="306"/>
      <c r="BS112" s="494"/>
      <c r="BT112" s="487"/>
      <c r="BU112" s="306"/>
      <c r="BV112" s="306"/>
      <c r="BW112" s="306"/>
      <c r="BX112" s="306"/>
      <c r="BY112" s="306"/>
      <c r="BZ112" s="306"/>
      <c r="CA112" s="306"/>
      <c r="CB112" s="306"/>
      <c r="CC112" s="493"/>
      <c r="CD112" s="306"/>
      <c r="CE112" s="306"/>
      <c r="CF112" s="494"/>
      <c r="CG112" s="487"/>
      <c r="CH112" s="306"/>
      <c r="CI112" s="306"/>
      <c r="CJ112" s="306"/>
      <c r="CK112" s="306"/>
      <c r="CL112" s="306"/>
      <c r="CM112" s="306"/>
      <c r="CN112" s="306"/>
      <c r="CO112" s="306"/>
      <c r="CP112" s="306"/>
      <c r="CQ112" s="306"/>
      <c r="CR112" s="306"/>
      <c r="CS112" s="494"/>
      <c r="CT112" s="306"/>
      <c r="CU112" s="306"/>
      <c r="CV112" s="306"/>
      <c r="CW112" s="306"/>
      <c r="CX112" s="306"/>
      <c r="CY112" s="306"/>
      <c r="CZ112" s="306"/>
      <c r="DA112" s="306"/>
      <c r="DB112" s="306"/>
      <c r="DC112" s="493"/>
      <c r="DD112" s="306"/>
      <c r="DE112" s="306"/>
      <c r="DF112" s="494"/>
      <c r="DG112" s="306"/>
      <c r="DH112" s="306"/>
      <c r="DI112" s="306"/>
      <c r="DJ112" s="306"/>
      <c r="DK112" s="306"/>
      <c r="DL112" s="306"/>
      <c r="DM112" s="306"/>
      <c r="DN112" s="306"/>
      <c r="DO112" s="306"/>
      <c r="DP112" s="493"/>
      <c r="DQ112" s="306"/>
      <c r="DR112" s="306"/>
      <c r="DS112" s="489"/>
      <c r="DT112" s="332" t="s">
        <v>851</v>
      </c>
      <c r="DU112" s="306"/>
      <c r="DV112" s="100" t="s">
        <v>279</v>
      </c>
      <c r="DW112" s="100">
        <v>2</v>
      </c>
      <c r="DX112" s="306"/>
      <c r="DY112" s="306"/>
      <c r="DZ112" s="306"/>
      <c r="EA112" s="306"/>
      <c r="EB112" s="306"/>
      <c r="EC112" s="306"/>
      <c r="ED112" s="493"/>
      <c r="EE112" s="306"/>
      <c r="EF112" s="306"/>
      <c r="EG112" s="306"/>
      <c r="EH112" s="487"/>
      <c r="EI112" s="306"/>
      <c r="EJ112" s="306"/>
      <c r="EK112" s="306"/>
      <c r="EL112" s="306"/>
      <c r="EM112" s="306"/>
      <c r="EN112" s="306"/>
      <c r="EO112" s="306"/>
      <c r="EP112" s="306"/>
      <c r="EQ112" s="306"/>
      <c r="ER112" s="306"/>
      <c r="ES112" s="306"/>
      <c r="ET112" s="306"/>
      <c r="EU112" s="306"/>
      <c r="EV112" s="491"/>
      <c r="EW112" s="306"/>
      <c r="EX112" s="306"/>
      <c r="EY112" s="306"/>
      <c r="EZ112" s="306"/>
      <c r="FA112" s="306"/>
      <c r="FB112" s="306"/>
      <c r="FC112" s="306"/>
      <c r="FD112" s="306"/>
      <c r="FE112" s="306"/>
      <c r="FF112" s="306"/>
      <c r="FG112" s="306"/>
      <c r="FH112" s="306"/>
      <c r="FI112" s="306"/>
      <c r="FJ112" s="306"/>
      <c r="FK112" s="306"/>
      <c r="FL112" s="487"/>
      <c r="FM112" s="306"/>
      <c r="FN112" s="306"/>
      <c r="FO112" s="306"/>
      <c r="FP112" s="306"/>
      <c r="FQ112" s="306"/>
      <c r="FR112" s="306"/>
      <c r="FS112" s="306"/>
      <c r="FT112" s="306"/>
      <c r="FU112" s="306"/>
      <c r="FV112" s="306"/>
      <c r="FW112" s="306"/>
      <c r="FX112" s="306"/>
      <c r="FY112" s="306"/>
      <c r="FZ112" s="306"/>
      <c r="GA112" s="306"/>
      <c r="GB112" s="491"/>
      <c r="GC112" s="306"/>
      <c r="GD112" s="306"/>
      <c r="GE112" s="306"/>
      <c r="GF112" s="491"/>
      <c r="GG112" s="494"/>
      <c r="GH112" s="487"/>
      <c r="GI112" s="306"/>
      <c r="GJ112" s="491"/>
      <c r="GK112" s="306"/>
      <c r="GL112" s="306"/>
      <c r="GM112" s="497"/>
      <c r="GN112" s="306"/>
      <c r="GO112" s="306"/>
      <c r="GP112" s="306"/>
    </row>
    <row r="113" spans="1:198" ht="15" x14ac:dyDescent="0.15">
      <c r="A113" s="498" t="e">
        <f>VLOOKUP($J113&amp;":", Catalog!$F$5:$BV127, COLUMNS(Catalog!$F$5:$BV127), FALSE)</f>
        <v>#N/A</v>
      </c>
      <c r="B113" s="482" t="b">
        <f t="shared" ca="1" si="0"/>
        <v>1</v>
      </c>
      <c r="C113" s="483" t="e">
        <f t="shared" si="1"/>
        <v>#VALUE!</v>
      </c>
      <c r="D113" s="483" t="e">
        <f>VLOOKUP($J113&amp;":", Catalog!$F$5:$BW127, COLUMNS(Catalog!$F$5:$BW127), FALSE)</f>
        <v>#N/A</v>
      </c>
      <c r="E113" s="33" t="e">
        <f>VLOOKUP($J113&amp;":", Catalog!$F$5:$BX127, COLUMNS(Catalog!$F$5:$BX127), FALSE)</f>
        <v>#N/A</v>
      </c>
      <c r="F113" s="483" t="e">
        <f>VLOOKUP($J113&amp;":", Catalog!$F$5:$BY127, COLUMNS(Catalog!$F$5:$BY127), FALSE)</f>
        <v>#N/A</v>
      </c>
      <c r="G113" s="483" t="e">
        <f>VLOOKUP($J113, Catalog!$E$5:$BZ127, COLUMNS(Catalog!$E$5:$BZ127), FALSE)</f>
        <v>#N/A</v>
      </c>
      <c r="H113" s="483" t="s">
        <v>7278</v>
      </c>
      <c r="I113" s="483">
        <v>2</v>
      </c>
      <c r="J113" s="306"/>
      <c r="K113" s="486">
        <v>1</v>
      </c>
      <c r="L113" s="100" t="s">
        <v>279</v>
      </c>
      <c r="M113" s="306"/>
      <c r="N113" s="100" t="s">
        <v>280</v>
      </c>
      <c r="O113" s="86"/>
      <c r="P113" s="86"/>
      <c r="Q113" s="86"/>
      <c r="R113" s="100" t="e">
        <f t="shared" si="2"/>
        <v>#N/A</v>
      </c>
      <c r="S113" s="487"/>
      <c r="T113" s="486"/>
      <c r="U113" s="488"/>
      <c r="V113" s="488"/>
      <c r="W113" s="488"/>
      <c r="X113" s="488"/>
      <c r="Y113" s="306"/>
      <c r="Z113" s="306"/>
      <c r="AA113" s="489"/>
      <c r="AB113" s="306" t="e">
        <f t="shared" si="3"/>
        <v>#N/A</v>
      </c>
      <c r="AC113" s="306" t="e">
        <f t="shared" si="4"/>
        <v>#N/A</v>
      </c>
      <c r="AD113" s="306" t="e">
        <f t="shared" si="5"/>
        <v>#N/A</v>
      </c>
      <c r="AE113" s="306"/>
      <c r="AF113" s="332" t="e">
        <f t="shared" si="6"/>
        <v>#N/A</v>
      </c>
      <c r="AG113" s="306"/>
      <c r="AH113" s="487"/>
      <c r="AI113" s="306"/>
      <c r="AJ113" s="306"/>
      <c r="AK113" s="306"/>
      <c r="AL113" s="306"/>
      <c r="AM113" s="306"/>
      <c r="AN113" s="491"/>
      <c r="AO113" s="306"/>
      <c r="AP113" s="306"/>
      <c r="AQ113" s="306"/>
      <c r="AR113" s="306"/>
      <c r="AS113" s="306"/>
      <c r="AT113" s="487"/>
      <c r="AU113" s="306"/>
      <c r="AV113" s="306"/>
      <c r="AW113" s="306"/>
      <c r="AX113" s="306"/>
      <c r="AY113" s="306"/>
      <c r="AZ113" s="491"/>
      <c r="BA113" s="306"/>
      <c r="BB113" s="306"/>
      <c r="BC113" s="487"/>
      <c r="BD113" s="306"/>
      <c r="BE113" s="306"/>
      <c r="BF113" s="492" t="str">
        <f ca="1">IFERROR(__xludf.DUMMYFUNCTION("IF(REGEXMATCH($G113, ""Any""), ""any"", IF(REGEXMATCH($G113, ""All""), ""all"", """"))"),"#N/A")</f>
        <v>#N/A</v>
      </c>
      <c r="BG113" s="491"/>
      <c r="BH113" s="306"/>
      <c r="BI113" s="306"/>
      <c r="BJ113" s="306"/>
      <c r="BK113" s="306"/>
      <c r="BL113" s="306"/>
      <c r="BM113" s="306"/>
      <c r="BN113" s="306"/>
      <c r="BO113" s="306"/>
      <c r="BP113" s="493"/>
      <c r="BQ113" s="306"/>
      <c r="BR113" s="306"/>
      <c r="BS113" s="494"/>
      <c r="BT113" s="487"/>
      <c r="BU113" s="306"/>
      <c r="BV113" s="306"/>
      <c r="BW113" s="306"/>
      <c r="BX113" s="306"/>
      <c r="BY113" s="306"/>
      <c r="BZ113" s="306"/>
      <c r="CA113" s="306"/>
      <c r="CB113" s="306"/>
      <c r="CC113" s="493"/>
      <c r="CD113" s="306"/>
      <c r="CE113" s="306"/>
      <c r="CF113" s="494"/>
      <c r="CG113" s="487"/>
      <c r="CH113" s="306"/>
      <c r="CI113" s="306"/>
      <c r="CJ113" s="306"/>
      <c r="CK113" s="306"/>
      <c r="CL113" s="306"/>
      <c r="CM113" s="306"/>
      <c r="CN113" s="306"/>
      <c r="CO113" s="306"/>
      <c r="CP113" s="306"/>
      <c r="CQ113" s="306"/>
      <c r="CR113" s="306"/>
      <c r="CS113" s="494"/>
      <c r="CT113" s="306"/>
      <c r="CU113" s="306"/>
      <c r="CV113" s="306"/>
      <c r="CW113" s="306"/>
      <c r="CX113" s="306"/>
      <c r="CY113" s="306"/>
      <c r="CZ113" s="306"/>
      <c r="DA113" s="306"/>
      <c r="DB113" s="306"/>
      <c r="DC113" s="493"/>
      <c r="DD113" s="306"/>
      <c r="DE113" s="306"/>
      <c r="DF113" s="494"/>
      <c r="DG113" s="306"/>
      <c r="DH113" s="306"/>
      <c r="DI113" s="306"/>
      <c r="DJ113" s="306"/>
      <c r="DK113" s="306"/>
      <c r="DL113" s="306"/>
      <c r="DM113" s="306"/>
      <c r="DN113" s="306"/>
      <c r="DO113" s="306"/>
      <c r="DP113" s="493"/>
      <c r="DQ113" s="306"/>
      <c r="DR113" s="306"/>
      <c r="DS113" s="489"/>
      <c r="DT113" s="306"/>
      <c r="DU113" s="306"/>
      <c r="DV113" s="306"/>
      <c r="DW113" s="306"/>
      <c r="DX113" s="306"/>
      <c r="DY113" s="306"/>
      <c r="DZ113" s="306"/>
      <c r="EA113" s="306"/>
      <c r="EB113" s="306"/>
      <c r="EC113" s="306"/>
      <c r="ED113" s="493"/>
      <c r="EE113" s="306"/>
      <c r="EF113" s="306"/>
      <c r="EG113" s="306"/>
      <c r="EH113" s="487"/>
      <c r="EI113" s="306"/>
      <c r="EJ113" s="306"/>
      <c r="EK113" s="306"/>
      <c r="EL113" s="306"/>
      <c r="EM113" s="306"/>
      <c r="EN113" s="306"/>
      <c r="EO113" s="306"/>
      <c r="EP113" s="306"/>
      <c r="EQ113" s="306"/>
      <c r="ER113" s="306"/>
      <c r="ES113" s="306"/>
      <c r="ET113" s="306"/>
      <c r="EU113" s="306"/>
      <c r="EV113" s="491"/>
      <c r="EW113" s="306"/>
      <c r="EX113" s="306"/>
      <c r="EY113" s="306"/>
      <c r="EZ113" s="306"/>
      <c r="FA113" s="306"/>
      <c r="FB113" s="306"/>
      <c r="FC113" s="306"/>
      <c r="FD113" s="306"/>
      <c r="FE113" s="306"/>
      <c r="FF113" s="306"/>
      <c r="FG113" s="306"/>
      <c r="FH113" s="306"/>
      <c r="FI113" s="306"/>
      <c r="FJ113" s="306"/>
      <c r="FK113" s="306"/>
      <c r="FL113" s="487"/>
      <c r="FM113" s="306"/>
      <c r="FN113" s="306"/>
      <c r="FO113" s="306"/>
      <c r="FP113" s="306"/>
      <c r="FQ113" s="306"/>
      <c r="FR113" s="306"/>
      <c r="FS113" s="306"/>
      <c r="FT113" s="306"/>
      <c r="FU113" s="306"/>
      <c r="FV113" s="306"/>
      <c r="FW113" s="306"/>
      <c r="FX113" s="306"/>
      <c r="FY113" s="306"/>
      <c r="FZ113" s="306"/>
      <c r="GA113" s="306"/>
      <c r="GB113" s="491"/>
      <c r="GC113" s="306"/>
      <c r="GD113" s="306"/>
      <c r="GE113" s="306"/>
      <c r="GF113" s="491"/>
      <c r="GG113" s="494"/>
      <c r="GH113" s="487"/>
      <c r="GI113" s="306"/>
      <c r="GJ113" s="491"/>
      <c r="GK113" s="306"/>
      <c r="GL113" s="306"/>
      <c r="GM113" s="497"/>
      <c r="GN113" s="306"/>
      <c r="GO113" s="306"/>
      <c r="GP113" s="306"/>
    </row>
    <row r="114" spans="1:198" ht="15" x14ac:dyDescent="0.15">
      <c r="A114" s="498" t="e">
        <f>VLOOKUP($J114&amp;":", Catalog!$F$5:$BV127, COLUMNS(Catalog!$F$5:$BV127), FALSE)</f>
        <v>#N/A</v>
      </c>
      <c r="B114" s="482" t="b">
        <f t="shared" ca="1" si="0"/>
        <v>1</v>
      </c>
      <c r="C114" s="483" t="e">
        <f t="shared" si="1"/>
        <v>#VALUE!</v>
      </c>
      <c r="D114" s="483" t="e">
        <f>VLOOKUP($J114&amp;":", Catalog!$F$5:$BW127, COLUMNS(Catalog!$F$5:$BW127), FALSE)</f>
        <v>#N/A</v>
      </c>
      <c r="E114" s="33" t="e">
        <f>VLOOKUP($J114&amp;":", Catalog!$F$5:$BX127, COLUMNS(Catalog!$F$5:$BX127), FALSE)</f>
        <v>#N/A</v>
      </c>
      <c r="F114" s="483" t="e">
        <f>VLOOKUP($J114&amp;":", Catalog!$F$5:$BY127, COLUMNS(Catalog!$F$5:$BY127), FALSE)</f>
        <v>#N/A</v>
      </c>
      <c r="G114" s="483" t="e">
        <f>VLOOKUP($J114, Catalog!$E$5:$BZ127, COLUMNS(Catalog!$E$5:$BZ127), FALSE)</f>
        <v>#N/A</v>
      </c>
      <c r="H114" s="483" t="s">
        <v>7278</v>
      </c>
      <c r="I114" s="483">
        <v>2</v>
      </c>
      <c r="J114" s="306"/>
      <c r="K114" s="486">
        <v>1</v>
      </c>
      <c r="L114" s="100" t="s">
        <v>279</v>
      </c>
      <c r="M114" s="306"/>
      <c r="N114" s="100" t="s">
        <v>280</v>
      </c>
      <c r="O114" s="86"/>
      <c r="P114" s="86"/>
      <c r="Q114" s="86"/>
      <c r="R114" s="100" t="e">
        <f t="shared" si="2"/>
        <v>#N/A</v>
      </c>
      <c r="S114" s="487"/>
      <c r="T114" s="486"/>
      <c r="U114" s="488"/>
      <c r="V114" s="488"/>
      <c r="W114" s="488"/>
      <c r="X114" s="488"/>
      <c r="Y114" s="306"/>
      <c r="Z114" s="306"/>
      <c r="AA114" s="489"/>
      <c r="AB114" s="306" t="e">
        <f t="shared" si="3"/>
        <v>#N/A</v>
      </c>
      <c r="AC114" s="306" t="e">
        <f t="shared" si="4"/>
        <v>#N/A</v>
      </c>
      <c r="AD114" s="306" t="e">
        <f t="shared" si="5"/>
        <v>#N/A</v>
      </c>
      <c r="AE114" s="306"/>
      <c r="AF114" s="332" t="e">
        <f t="shared" si="6"/>
        <v>#N/A</v>
      </c>
      <c r="AG114" s="306"/>
      <c r="AH114" s="487"/>
      <c r="AI114" s="306"/>
      <c r="AJ114" s="306"/>
      <c r="AK114" s="306"/>
      <c r="AL114" s="306"/>
      <c r="AM114" s="306"/>
      <c r="AN114" s="491"/>
      <c r="AO114" s="306"/>
      <c r="AP114" s="306"/>
      <c r="AQ114" s="306"/>
      <c r="AR114" s="306"/>
      <c r="AS114" s="306"/>
      <c r="AT114" s="487"/>
      <c r="AU114" s="306"/>
      <c r="AV114" s="306"/>
      <c r="AW114" s="306"/>
      <c r="AX114" s="306"/>
      <c r="AY114" s="306"/>
      <c r="AZ114" s="491"/>
      <c r="BA114" s="306"/>
      <c r="BB114" s="306"/>
      <c r="BC114" s="487"/>
      <c r="BD114" s="306"/>
      <c r="BE114" s="306"/>
      <c r="BF114" s="492" t="str">
        <f ca="1">IFERROR(__xludf.DUMMYFUNCTION("IF(REGEXMATCH($G114, ""Any""), ""any"", IF(REGEXMATCH($G114, ""All""), ""all"", """"))"),"#N/A")</f>
        <v>#N/A</v>
      </c>
      <c r="BG114" s="491"/>
      <c r="BH114" s="306"/>
      <c r="BI114" s="306"/>
      <c r="BJ114" s="306"/>
      <c r="BK114" s="306"/>
      <c r="BL114" s="306"/>
      <c r="BM114" s="306"/>
      <c r="BN114" s="306"/>
      <c r="BO114" s="306"/>
      <c r="BP114" s="493"/>
      <c r="BQ114" s="306"/>
      <c r="BR114" s="306"/>
      <c r="BS114" s="494"/>
      <c r="BT114" s="487"/>
      <c r="BU114" s="306"/>
      <c r="BV114" s="306"/>
      <c r="BW114" s="306"/>
      <c r="BX114" s="306"/>
      <c r="BY114" s="306"/>
      <c r="BZ114" s="306"/>
      <c r="CA114" s="306"/>
      <c r="CB114" s="306"/>
      <c r="CC114" s="493"/>
      <c r="CD114" s="306"/>
      <c r="CE114" s="306"/>
      <c r="CF114" s="494"/>
      <c r="CG114" s="487"/>
      <c r="CH114" s="306"/>
      <c r="CI114" s="306"/>
      <c r="CJ114" s="306"/>
      <c r="CK114" s="306"/>
      <c r="CL114" s="306"/>
      <c r="CM114" s="306"/>
      <c r="CN114" s="306"/>
      <c r="CO114" s="306"/>
      <c r="CP114" s="306"/>
      <c r="CQ114" s="306"/>
      <c r="CR114" s="306"/>
      <c r="CS114" s="494"/>
      <c r="CT114" s="306"/>
      <c r="CU114" s="306"/>
      <c r="CV114" s="306"/>
      <c r="CW114" s="306"/>
      <c r="CX114" s="306"/>
      <c r="CY114" s="306"/>
      <c r="CZ114" s="306"/>
      <c r="DA114" s="306"/>
      <c r="DB114" s="306"/>
      <c r="DC114" s="493"/>
      <c r="DD114" s="306"/>
      <c r="DE114" s="306"/>
      <c r="DF114" s="494"/>
      <c r="DG114" s="306"/>
      <c r="DH114" s="306"/>
      <c r="DI114" s="306"/>
      <c r="DJ114" s="306"/>
      <c r="DK114" s="306"/>
      <c r="DL114" s="306"/>
      <c r="DM114" s="306"/>
      <c r="DN114" s="306"/>
      <c r="DO114" s="306"/>
      <c r="DP114" s="493"/>
      <c r="DQ114" s="306"/>
      <c r="DR114" s="306"/>
      <c r="DS114" s="489"/>
      <c r="DT114" s="306"/>
      <c r="DU114" s="306"/>
      <c r="DV114" s="306"/>
      <c r="DW114" s="306"/>
      <c r="DX114" s="306"/>
      <c r="DY114" s="306"/>
      <c r="DZ114" s="306"/>
      <c r="EA114" s="306"/>
      <c r="EB114" s="306"/>
      <c r="EC114" s="306"/>
      <c r="ED114" s="493"/>
      <c r="EE114" s="306"/>
      <c r="EF114" s="306"/>
      <c r="EG114" s="306"/>
      <c r="EH114" s="487"/>
      <c r="EI114" s="306"/>
      <c r="EJ114" s="306"/>
      <c r="EK114" s="306"/>
      <c r="EL114" s="306"/>
      <c r="EM114" s="306"/>
      <c r="EN114" s="306"/>
      <c r="EO114" s="306"/>
      <c r="EP114" s="306"/>
      <c r="EQ114" s="306"/>
      <c r="ER114" s="306"/>
      <c r="ES114" s="306"/>
      <c r="ET114" s="306"/>
      <c r="EU114" s="306"/>
      <c r="EV114" s="491"/>
      <c r="EW114" s="306"/>
      <c r="EX114" s="306"/>
      <c r="EY114" s="306"/>
      <c r="EZ114" s="306"/>
      <c r="FA114" s="306"/>
      <c r="FB114" s="306"/>
      <c r="FC114" s="306"/>
      <c r="FD114" s="306"/>
      <c r="FE114" s="306"/>
      <c r="FF114" s="306"/>
      <c r="FG114" s="306"/>
      <c r="FH114" s="306"/>
      <c r="FI114" s="306"/>
      <c r="FJ114" s="306"/>
      <c r="FK114" s="306"/>
      <c r="FL114" s="487"/>
      <c r="FM114" s="306"/>
      <c r="FN114" s="306"/>
      <c r="FO114" s="306"/>
      <c r="FP114" s="306"/>
      <c r="FQ114" s="306"/>
      <c r="FR114" s="306"/>
      <c r="FS114" s="306"/>
      <c r="FT114" s="306"/>
      <c r="FU114" s="306"/>
      <c r="FV114" s="306"/>
      <c r="FW114" s="306"/>
      <c r="FX114" s="306"/>
      <c r="FY114" s="306"/>
      <c r="FZ114" s="306"/>
      <c r="GA114" s="306"/>
      <c r="GB114" s="491"/>
      <c r="GC114" s="306"/>
      <c r="GD114" s="306"/>
      <c r="GE114" s="306"/>
      <c r="GF114" s="491"/>
      <c r="GG114" s="494"/>
      <c r="GH114" s="487"/>
      <c r="GI114" s="306"/>
      <c r="GJ114" s="491"/>
      <c r="GK114" s="306"/>
      <c r="GL114" s="306"/>
      <c r="GM114" s="497"/>
      <c r="GN114" s="306"/>
      <c r="GO114" s="306"/>
      <c r="GP114" s="306"/>
    </row>
    <row r="115" spans="1:198" ht="15" x14ac:dyDescent="0.15">
      <c r="A115" s="498" t="e">
        <f>VLOOKUP($J115&amp;":", Catalog!$F$5:$BV127, COLUMNS(Catalog!$F$5:$BV127), FALSE)</f>
        <v>#N/A</v>
      </c>
      <c r="B115" s="482" t="b">
        <f t="shared" ca="1" si="0"/>
        <v>1</v>
      </c>
      <c r="C115" s="483" t="e">
        <f t="shared" si="1"/>
        <v>#VALUE!</v>
      </c>
      <c r="D115" s="483" t="e">
        <f>VLOOKUP($J115&amp;":", Catalog!$F$5:$BW127, COLUMNS(Catalog!$F$5:$BW127), FALSE)</f>
        <v>#N/A</v>
      </c>
      <c r="E115" s="33" t="e">
        <f>VLOOKUP($J115&amp;":", Catalog!$F$5:$BX127, COLUMNS(Catalog!$F$5:$BX127), FALSE)</f>
        <v>#N/A</v>
      </c>
      <c r="F115" s="483" t="e">
        <f>VLOOKUP($J115&amp;":", Catalog!$F$5:$BY127, COLUMNS(Catalog!$F$5:$BY127), FALSE)</f>
        <v>#N/A</v>
      </c>
      <c r="G115" s="483" t="e">
        <f>VLOOKUP($J115, Catalog!$E$5:$BZ127, COLUMNS(Catalog!$E$5:$BZ127), FALSE)</f>
        <v>#N/A</v>
      </c>
      <c r="H115" s="483" t="s">
        <v>7278</v>
      </c>
      <c r="I115" s="483">
        <v>2</v>
      </c>
      <c r="J115" s="306"/>
      <c r="K115" s="486">
        <v>1</v>
      </c>
      <c r="L115" s="100" t="s">
        <v>279</v>
      </c>
      <c r="M115" s="306"/>
      <c r="N115" s="100" t="s">
        <v>280</v>
      </c>
      <c r="O115" s="86"/>
      <c r="P115" s="86"/>
      <c r="Q115" s="86"/>
      <c r="R115" s="100" t="e">
        <f t="shared" si="2"/>
        <v>#N/A</v>
      </c>
      <c r="S115" s="487"/>
      <c r="T115" s="486"/>
      <c r="U115" s="488"/>
      <c r="V115" s="488"/>
      <c r="W115" s="488"/>
      <c r="X115" s="488"/>
      <c r="Y115" s="306"/>
      <c r="Z115" s="306"/>
      <c r="AA115" s="489"/>
      <c r="AB115" s="306" t="e">
        <f t="shared" si="3"/>
        <v>#N/A</v>
      </c>
      <c r="AC115" s="306" t="e">
        <f t="shared" si="4"/>
        <v>#N/A</v>
      </c>
      <c r="AD115" s="306" t="e">
        <f t="shared" si="5"/>
        <v>#N/A</v>
      </c>
      <c r="AE115" s="306"/>
      <c r="AF115" s="332" t="e">
        <f t="shared" si="6"/>
        <v>#N/A</v>
      </c>
      <c r="AG115" s="306"/>
      <c r="AH115" s="487"/>
      <c r="AI115" s="306"/>
      <c r="AJ115" s="306"/>
      <c r="AK115" s="306"/>
      <c r="AL115" s="306"/>
      <c r="AM115" s="306"/>
      <c r="AN115" s="491"/>
      <c r="AO115" s="306"/>
      <c r="AP115" s="306"/>
      <c r="AQ115" s="306"/>
      <c r="AR115" s="306"/>
      <c r="AS115" s="306"/>
      <c r="AT115" s="487"/>
      <c r="AU115" s="306"/>
      <c r="AV115" s="306"/>
      <c r="AW115" s="306"/>
      <c r="AX115" s="306"/>
      <c r="AY115" s="306"/>
      <c r="AZ115" s="491"/>
      <c r="BA115" s="306"/>
      <c r="BB115" s="306"/>
      <c r="BC115" s="487"/>
      <c r="BD115" s="306"/>
      <c r="BE115" s="306"/>
      <c r="BF115" s="492" t="str">
        <f ca="1">IFERROR(__xludf.DUMMYFUNCTION("IF(REGEXMATCH($G115, ""Any""), ""any"", IF(REGEXMATCH($G115, ""All""), ""all"", """"))"),"#N/A")</f>
        <v>#N/A</v>
      </c>
      <c r="BG115" s="491"/>
      <c r="BH115" s="306"/>
      <c r="BI115" s="306"/>
      <c r="BJ115" s="306"/>
      <c r="BK115" s="306"/>
      <c r="BL115" s="306"/>
      <c r="BM115" s="306"/>
      <c r="BN115" s="306"/>
      <c r="BO115" s="306"/>
      <c r="BP115" s="493"/>
      <c r="BQ115" s="306"/>
      <c r="BR115" s="306"/>
      <c r="BS115" s="494"/>
      <c r="BT115" s="487"/>
      <c r="BU115" s="306"/>
      <c r="BV115" s="306"/>
      <c r="BW115" s="306"/>
      <c r="BX115" s="306"/>
      <c r="BY115" s="306"/>
      <c r="BZ115" s="306"/>
      <c r="CA115" s="306"/>
      <c r="CB115" s="306"/>
      <c r="CC115" s="493"/>
      <c r="CD115" s="306"/>
      <c r="CE115" s="306"/>
      <c r="CF115" s="494"/>
      <c r="CG115" s="487"/>
      <c r="CH115" s="306"/>
      <c r="CI115" s="306"/>
      <c r="CJ115" s="306"/>
      <c r="CK115" s="306"/>
      <c r="CL115" s="306"/>
      <c r="CM115" s="306"/>
      <c r="CN115" s="306"/>
      <c r="CO115" s="306"/>
      <c r="CP115" s="306"/>
      <c r="CQ115" s="306"/>
      <c r="CR115" s="306"/>
      <c r="CS115" s="494"/>
      <c r="CT115" s="306"/>
      <c r="CU115" s="306"/>
      <c r="CV115" s="306"/>
      <c r="CW115" s="306"/>
      <c r="CX115" s="306"/>
      <c r="CY115" s="306"/>
      <c r="CZ115" s="306"/>
      <c r="DA115" s="306"/>
      <c r="DB115" s="306"/>
      <c r="DC115" s="493"/>
      <c r="DD115" s="306"/>
      <c r="DE115" s="306"/>
      <c r="DF115" s="494"/>
      <c r="DG115" s="306"/>
      <c r="DH115" s="306"/>
      <c r="DI115" s="306"/>
      <c r="DJ115" s="306"/>
      <c r="DK115" s="306"/>
      <c r="DL115" s="306"/>
      <c r="DM115" s="306"/>
      <c r="DN115" s="306"/>
      <c r="DO115" s="306"/>
      <c r="DP115" s="493"/>
      <c r="DQ115" s="306"/>
      <c r="DR115" s="306"/>
      <c r="DS115" s="489"/>
      <c r="DT115" s="306"/>
      <c r="DU115" s="306"/>
      <c r="DV115" s="306"/>
      <c r="DW115" s="306"/>
      <c r="DX115" s="306"/>
      <c r="DY115" s="306"/>
      <c r="DZ115" s="306"/>
      <c r="EA115" s="306"/>
      <c r="EB115" s="306"/>
      <c r="EC115" s="306"/>
      <c r="ED115" s="493"/>
      <c r="EE115" s="306"/>
      <c r="EF115" s="306"/>
      <c r="EG115" s="306"/>
      <c r="EH115" s="487"/>
      <c r="EI115" s="306"/>
      <c r="EJ115" s="306"/>
      <c r="EK115" s="306"/>
      <c r="EL115" s="306"/>
      <c r="EM115" s="306"/>
      <c r="EN115" s="306"/>
      <c r="EO115" s="306"/>
      <c r="EP115" s="306"/>
      <c r="EQ115" s="306"/>
      <c r="ER115" s="306"/>
      <c r="ES115" s="306"/>
      <c r="ET115" s="306"/>
      <c r="EU115" s="306"/>
      <c r="EV115" s="491"/>
      <c r="EW115" s="306"/>
      <c r="EX115" s="306"/>
      <c r="EY115" s="306"/>
      <c r="EZ115" s="306"/>
      <c r="FA115" s="306"/>
      <c r="FB115" s="306"/>
      <c r="FC115" s="306"/>
      <c r="FD115" s="306"/>
      <c r="FE115" s="306"/>
      <c r="FF115" s="306"/>
      <c r="FG115" s="306"/>
      <c r="FH115" s="306"/>
      <c r="FI115" s="306"/>
      <c r="FJ115" s="306"/>
      <c r="FK115" s="306"/>
      <c r="FL115" s="487"/>
      <c r="FM115" s="306"/>
      <c r="FN115" s="306"/>
      <c r="FO115" s="306"/>
      <c r="FP115" s="306"/>
      <c r="FQ115" s="306"/>
      <c r="FR115" s="306"/>
      <c r="FS115" s="306"/>
      <c r="FT115" s="306"/>
      <c r="FU115" s="306"/>
      <c r="FV115" s="306"/>
      <c r="FW115" s="306"/>
      <c r="FX115" s="306"/>
      <c r="FY115" s="306"/>
      <c r="FZ115" s="306"/>
      <c r="GA115" s="306"/>
      <c r="GB115" s="491"/>
      <c r="GC115" s="306"/>
      <c r="GD115" s="306"/>
      <c r="GE115" s="306"/>
      <c r="GF115" s="491"/>
      <c r="GG115" s="494"/>
      <c r="GH115" s="487"/>
      <c r="GI115" s="306"/>
      <c r="GJ115" s="491"/>
      <c r="GK115" s="306"/>
      <c r="GL115" s="306"/>
      <c r="GM115" s="497"/>
      <c r="GN115" s="306"/>
      <c r="GO115" s="306"/>
      <c r="GP115" s="306"/>
    </row>
    <row r="116" spans="1:198" ht="15" x14ac:dyDescent="0.15">
      <c r="A116" s="498" t="e">
        <f>VLOOKUP($J116&amp;":", Catalog!$F$5:$BV127, COLUMNS(Catalog!$F$5:$BV127), FALSE)</f>
        <v>#N/A</v>
      </c>
      <c r="B116" s="482" t="b">
        <f t="shared" ca="1" si="0"/>
        <v>1</v>
      </c>
      <c r="C116" s="483" t="e">
        <f t="shared" si="1"/>
        <v>#VALUE!</v>
      </c>
      <c r="D116" s="483" t="e">
        <f>VLOOKUP($J116&amp;":", Catalog!$F$5:$BW127, COLUMNS(Catalog!$F$5:$BW127), FALSE)</f>
        <v>#N/A</v>
      </c>
      <c r="E116" s="33" t="e">
        <f>VLOOKUP($J116&amp;":", Catalog!$F$5:$BX127, COLUMNS(Catalog!$F$5:$BX127), FALSE)</f>
        <v>#N/A</v>
      </c>
      <c r="F116" s="483" t="e">
        <f>VLOOKUP($J116&amp;":", Catalog!$F$5:$BY127, COLUMNS(Catalog!$F$5:$BY127), FALSE)</f>
        <v>#N/A</v>
      </c>
      <c r="G116" s="483" t="e">
        <f>VLOOKUP($J116, Catalog!$E$5:$BZ127, COLUMNS(Catalog!$E$5:$BZ127), FALSE)</f>
        <v>#N/A</v>
      </c>
      <c r="H116" s="483" t="s">
        <v>7278</v>
      </c>
      <c r="I116" s="483">
        <v>2</v>
      </c>
      <c r="J116" s="306"/>
      <c r="K116" s="486">
        <v>1</v>
      </c>
      <c r="L116" s="100" t="s">
        <v>279</v>
      </c>
      <c r="M116" s="306"/>
      <c r="N116" s="100" t="s">
        <v>280</v>
      </c>
      <c r="O116" s="86"/>
      <c r="P116" s="86"/>
      <c r="Q116" s="86"/>
      <c r="R116" s="100" t="e">
        <f t="shared" si="2"/>
        <v>#N/A</v>
      </c>
      <c r="S116" s="487"/>
      <c r="T116" s="486"/>
      <c r="U116" s="488"/>
      <c r="V116" s="488"/>
      <c r="W116" s="488"/>
      <c r="X116" s="488"/>
      <c r="Y116" s="306"/>
      <c r="Z116" s="306"/>
      <c r="AA116" s="489"/>
      <c r="AB116" s="306" t="e">
        <f t="shared" si="3"/>
        <v>#N/A</v>
      </c>
      <c r="AC116" s="306" t="e">
        <f t="shared" si="4"/>
        <v>#N/A</v>
      </c>
      <c r="AD116" s="306" t="e">
        <f t="shared" si="5"/>
        <v>#N/A</v>
      </c>
      <c r="AE116" s="306"/>
      <c r="AF116" s="332" t="e">
        <f t="shared" si="6"/>
        <v>#N/A</v>
      </c>
      <c r="AG116" s="306"/>
      <c r="AH116" s="487"/>
      <c r="AI116" s="306"/>
      <c r="AJ116" s="306"/>
      <c r="AK116" s="306"/>
      <c r="AL116" s="306"/>
      <c r="AM116" s="306"/>
      <c r="AN116" s="491"/>
      <c r="AO116" s="306"/>
      <c r="AP116" s="306"/>
      <c r="AQ116" s="306"/>
      <c r="AR116" s="306"/>
      <c r="AS116" s="306"/>
      <c r="AT116" s="487"/>
      <c r="AU116" s="306"/>
      <c r="AV116" s="306"/>
      <c r="AW116" s="306"/>
      <c r="AX116" s="306"/>
      <c r="AY116" s="306"/>
      <c r="AZ116" s="491"/>
      <c r="BA116" s="306"/>
      <c r="BB116" s="306"/>
      <c r="BC116" s="487"/>
      <c r="BD116" s="306"/>
      <c r="BE116" s="306"/>
      <c r="BF116" s="492" t="str">
        <f ca="1">IFERROR(__xludf.DUMMYFUNCTION("IF(REGEXMATCH($G116, ""Any""), ""any"", IF(REGEXMATCH($G116, ""All""), ""all"", """"))"),"#N/A")</f>
        <v>#N/A</v>
      </c>
      <c r="BG116" s="491"/>
      <c r="BH116" s="306"/>
      <c r="BI116" s="306"/>
      <c r="BJ116" s="306"/>
      <c r="BK116" s="306"/>
      <c r="BL116" s="306"/>
      <c r="BM116" s="306"/>
      <c r="BN116" s="306"/>
      <c r="BO116" s="306"/>
      <c r="BP116" s="493"/>
      <c r="BQ116" s="306"/>
      <c r="BR116" s="306"/>
      <c r="BS116" s="494"/>
      <c r="BT116" s="487"/>
      <c r="BU116" s="306"/>
      <c r="BV116" s="306"/>
      <c r="BW116" s="306"/>
      <c r="BX116" s="306"/>
      <c r="BY116" s="306"/>
      <c r="BZ116" s="306"/>
      <c r="CA116" s="306"/>
      <c r="CB116" s="306"/>
      <c r="CC116" s="493"/>
      <c r="CD116" s="306"/>
      <c r="CE116" s="306"/>
      <c r="CF116" s="494"/>
      <c r="CG116" s="487"/>
      <c r="CH116" s="306"/>
      <c r="CI116" s="306"/>
      <c r="CJ116" s="306"/>
      <c r="CK116" s="306"/>
      <c r="CL116" s="306"/>
      <c r="CM116" s="306"/>
      <c r="CN116" s="306"/>
      <c r="CO116" s="306"/>
      <c r="CP116" s="306"/>
      <c r="CQ116" s="306"/>
      <c r="CR116" s="306"/>
      <c r="CS116" s="494"/>
      <c r="CT116" s="306"/>
      <c r="CU116" s="306"/>
      <c r="CV116" s="306"/>
      <c r="CW116" s="306"/>
      <c r="CX116" s="306"/>
      <c r="CY116" s="306"/>
      <c r="CZ116" s="306"/>
      <c r="DA116" s="306"/>
      <c r="DB116" s="306"/>
      <c r="DC116" s="493"/>
      <c r="DD116" s="306"/>
      <c r="DE116" s="306"/>
      <c r="DF116" s="494"/>
      <c r="DG116" s="306"/>
      <c r="DH116" s="306"/>
      <c r="DI116" s="306"/>
      <c r="DJ116" s="306"/>
      <c r="DK116" s="306"/>
      <c r="DL116" s="306"/>
      <c r="DM116" s="306"/>
      <c r="DN116" s="306"/>
      <c r="DO116" s="306"/>
      <c r="DP116" s="493"/>
      <c r="DQ116" s="306"/>
      <c r="DR116" s="306"/>
      <c r="DS116" s="489"/>
      <c r="DT116" s="306"/>
      <c r="DU116" s="306"/>
      <c r="DV116" s="306"/>
      <c r="DW116" s="306"/>
      <c r="DX116" s="306"/>
      <c r="DY116" s="306"/>
      <c r="DZ116" s="306"/>
      <c r="EA116" s="306"/>
      <c r="EB116" s="306"/>
      <c r="EC116" s="306"/>
      <c r="ED116" s="493"/>
      <c r="EE116" s="306"/>
      <c r="EF116" s="306"/>
      <c r="EG116" s="306"/>
      <c r="EH116" s="487"/>
      <c r="EI116" s="306"/>
      <c r="EJ116" s="306"/>
      <c r="EK116" s="306"/>
      <c r="EL116" s="306"/>
      <c r="EM116" s="306"/>
      <c r="EN116" s="306"/>
      <c r="EO116" s="306"/>
      <c r="EP116" s="306"/>
      <c r="EQ116" s="306"/>
      <c r="ER116" s="306"/>
      <c r="ES116" s="306"/>
      <c r="ET116" s="306"/>
      <c r="EU116" s="306"/>
      <c r="EV116" s="491"/>
      <c r="EW116" s="306"/>
      <c r="EX116" s="306"/>
      <c r="EY116" s="306"/>
      <c r="EZ116" s="306"/>
      <c r="FA116" s="306"/>
      <c r="FB116" s="306"/>
      <c r="FC116" s="306"/>
      <c r="FD116" s="306"/>
      <c r="FE116" s="306"/>
      <c r="FF116" s="306"/>
      <c r="FG116" s="306"/>
      <c r="FH116" s="306"/>
      <c r="FI116" s="306"/>
      <c r="FJ116" s="306"/>
      <c r="FK116" s="306"/>
      <c r="FL116" s="487"/>
      <c r="FM116" s="306"/>
      <c r="FN116" s="306"/>
      <c r="FO116" s="306"/>
      <c r="FP116" s="306"/>
      <c r="FQ116" s="306"/>
      <c r="FR116" s="306"/>
      <c r="FS116" s="306"/>
      <c r="FT116" s="306"/>
      <c r="FU116" s="306"/>
      <c r="FV116" s="306"/>
      <c r="FW116" s="306"/>
      <c r="FX116" s="306"/>
      <c r="FY116" s="306"/>
      <c r="FZ116" s="306"/>
      <c r="GA116" s="306"/>
      <c r="GB116" s="491"/>
      <c r="GC116" s="306"/>
      <c r="GD116" s="306"/>
      <c r="GE116" s="306"/>
      <c r="GF116" s="491"/>
      <c r="GG116" s="494"/>
      <c r="GH116" s="487"/>
      <c r="GI116" s="306"/>
      <c r="GJ116" s="491"/>
      <c r="GK116" s="306"/>
      <c r="GL116" s="306"/>
      <c r="GM116" s="497"/>
      <c r="GN116" s="306"/>
      <c r="GO116" s="306"/>
      <c r="GP116" s="306"/>
    </row>
    <row r="117" spans="1:198" ht="15" x14ac:dyDescent="0.15">
      <c r="A117" s="498" t="e">
        <f>VLOOKUP($J117&amp;":", Catalog!$F$5:$BV127, COLUMNS(Catalog!$F$5:$BV127), FALSE)</f>
        <v>#N/A</v>
      </c>
      <c r="B117" s="482" t="b">
        <f t="shared" ca="1" si="0"/>
        <v>1</v>
      </c>
      <c r="C117" s="483" t="e">
        <f t="shared" si="1"/>
        <v>#VALUE!</v>
      </c>
      <c r="D117" s="483" t="e">
        <f>VLOOKUP($J117&amp;":", Catalog!$F$5:$BW127, COLUMNS(Catalog!$F$5:$BW127), FALSE)</f>
        <v>#N/A</v>
      </c>
      <c r="E117" s="33" t="e">
        <f>VLOOKUP($J117&amp;":", Catalog!$F$5:$BX127, COLUMNS(Catalog!$F$5:$BX127), FALSE)</f>
        <v>#N/A</v>
      </c>
      <c r="F117" s="483" t="e">
        <f>VLOOKUP($J117&amp;":", Catalog!$F$5:$BY127, COLUMNS(Catalog!$F$5:$BY127), FALSE)</f>
        <v>#N/A</v>
      </c>
      <c r="G117" s="483" t="e">
        <f>VLOOKUP($J117, Catalog!$E$5:$BZ127, COLUMNS(Catalog!$E$5:$BZ127), FALSE)</f>
        <v>#N/A</v>
      </c>
      <c r="H117" s="483" t="s">
        <v>7278</v>
      </c>
      <c r="I117" s="483">
        <v>2</v>
      </c>
      <c r="J117" s="306"/>
      <c r="K117" s="486">
        <v>1</v>
      </c>
      <c r="L117" s="100" t="s">
        <v>279</v>
      </c>
      <c r="M117" s="306"/>
      <c r="N117" s="100" t="s">
        <v>280</v>
      </c>
      <c r="O117" s="86"/>
      <c r="P117" s="86"/>
      <c r="Q117" s="86"/>
      <c r="R117" s="100" t="e">
        <f t="shared" si="2"/>
        <v>#N/A</v>
      </c>
      <c r="S117" s="487"/>
      <c r="T117" s="486"/>
      <c r="U117" s="488"/>
      <c r="V117" s="488"/>
      <c r="W117" s="488"/>
      <c r="X117" s="488"/>
      <c r="Y117" s="306"/>
      <c r="Z117" s="306"/>
      <c r="AA117" s="489"/>
      <c r="AB117" s="306" t="e">
        <f t="shared" si="3"/>
        <v>#N/A</v>
      </c>
      <c r="AC117" s="306" t="e">
        <f t="shared" si="4"/>
        <v>#N/A</v>
      </c>
      <c r="AD117" s="306" t="e">
        <f t="shared" si="5"/>
        <v>#N/A</v>
      </c>
      <c r="AE117" s="306"/>
      <c r="AF117" s="332" t="e">
        <f t="shared" si="6"/>
        <v>#N/A</v>
      </c>
      <c r="AG117" s="306"/>
      <c r="AH117" s="487"/>
      <c r="AI117" s="306"/>
      <c r="AJ117" s="306"/>
      <c r="AK117" s="306"/>
      <c r="AL117" s="306"/>
      <c r="AM117" s="306"/>
      <c r="AN117" s="491"/>
      <c r="AO117" s="306"/>
      <c r="AP117" s="306"/>
      <c r="AQ117" s="306"/>
      <c r="AR117" s="306"/>
      <c r="AS117" s="306"/>
      <c r="AT117" s="487"/>
      <c r="AU117" s="306"/>
      <c r="AV117" s="306"/>
      <c r="AW117" s="306"/>
      <c r="AX117" s="306"/>
      <c r="AY117" s="306"/>
      <c r="AZ117" s="491"/>
      <c r="BA117" s="306"/>
      <c r="BB117" s="306"/>
      <c r="BC117" s="487"/>
      <c r="BD117" s="306"/>
      <c r="BE117" s="306"/>
      <c r="BF117" s="492" t="str">
        <f ca="1">IFERROR(__xludf.DUMMYFUNCTION("IF(REGEXMATCH($G117, ""Any""), ""any"", IF(REGEXMATCH($G117, ""All""), ""all"", """"))"),"#N/A")</f>
        <v>#N/A</v>
      </c>
      <c r="BG117" s="491"/>
      <c r="BH117" s="306"/>
      <c r="BI117" s="306"/>
      <c r="BJ117" s="306"/>
      <c r="BK117" s="306"/>
      <c r="BL117" s="306"/>
      <c r="BM117" s="306"/>
      <c r="BN117" s="306"/>
      <c r="BO117" s="306"/>
      <c r="BP117" s="493"/>
      <c r="BQ117" s="306"/>
      <c r="BR117" s="306"/>
      <c r="BS117" s="494"/>
      <c r="BT117" s="487"/>
      <c r="BU117" s="306"/>
      <c r="BV117" s="306"/>
      <c r="BW117" s="306"/>
      <c r="BX117" s="306"/>
      <c r="BY117" s="306"/>
      <c r="BZ117" s="306"/>
      <c r="CA117" s="306"/>
      <c r="CB117" s="306"/>
      <c r="CC117" s="493"/>
      <c r="CD117" s="306"/>
      <c r="CE117" s="306"/>
      <c r="CF117" s="494"/>
      <c r="CG117" s="487"/>
      <c r="CH117" s="306"/>
      <c r="CI117" s="306"/>
      <c r="CJ117" s="306"/>
      <c r="CK117" s="306"/>
      <c r="CL117" s="306"/>
      <c r="CM117" s="306"/>
      <c r="CN117" s="306"/>
      <c r="CO117" s="306"/>
      <c r="CP117" s="306"/>
      <c r="CQ117" s="306"/>
      <c r="CR117" s="306"/>
      <c r="CS117" s="494"/>
      <c r="CT117" s="306"/>
      <c r="CU117" s="306"/>
      <c r="CV117" s="306"/>
      <c r="CW117" s="306"/>
      <c r="CX117" s="306"/>
      <c r="CY117" s="306"/>
      <c r="CZ117" s="306"/>
      <c r="DA117" s="306"/>
      <c r="DB117" s="306"/>
      <c r="DC117" s="493"/>
      <c r="DD117" s="306"/>
      <c r="DE117" s="306"/>
      <c r="DF117" s="494"/>
      <c r="DG117" s="306"/>
      <c r="DH117" s="306"/>
      <c r="DI117" s="306"/>
      <c r="DJ117" s="306"/>
      <c r="DK117" s="306"/>
      <c r="DL117" s="306"/>
      <c r="DM117" s="306"/>
      <c r="DN117" s="306"/>
      <c r="DO117" s="306"/>
      <c r="DP117" s="493"/>
      <c r="DQ117" s="306"/>
      <c r="DR117" s="306"/>
      <c r="DS117" s="489"/>
      <c r="DT117" s="306"/>
      <c r="DU117" s="306"/>
      <c r="DV117" s="306"/>
      <c r="DW117" s="306"/>
      <c r="DX117" s="306"/>
      <c r="DY117" s="306"/>
      <c r="DZ117" s="306"/>
      <c r="EA117" s="306"/>
      <c r="EB117" s="306"/>
      <c r="EC117" s="306"/>
      <c r="ED117" s="493"/>
      <c r="EE117" s="306"/>
      <c r="EF117" s="306"/>
      <c r="EG117" s="306"/>
      <c r="EH117" s="487"/>
      <c r="EI117" s="306"/>
      <c r="EJ117" s="306"/>
      <c r="EK117" s="306"/>
      <c r="EL117" s="306"/>
      <c r="EM117" s="306"/>
      <c r="EN117" s="306"/>
      <c r="EO117" s="306"/>
      <c r="EP117" s="306"/>
      <c r="EQ117" s="306"/>
      <c r="ER117" s="306"/>
      <c r="ES117" s="306"/>
      <c r="ET117" s="306"/>
      <c r="EU117" s="306"/>
      <c r="EV117" s="491"/>
      <c r="EW117" s="306"/>
      <c r="EX117" s="306"/>
      <c r="EY117" s="306"/>
      <c r="EZ117" s="306"/>
      <c r="FA117" s="306"/>
      <c r="FB117" s="306"/>
      <c r="FC117" s="306"/>
      <c r="FD117" s="306"/>
      <c r="FE117" s="306"/>
      <c r="FF117" s="306"/>
      <c r="FG117" s="306"/>
      <c r="FH117" s="306"/>
      <c r="FI117" s="306"/>
      <c r="FJ117" s="306"/>
      <c r="FK117" s="306"/>
      <c r="FL117" s="487"/>
      <c r="FM117" s="306"/>
      <c r="FN117" s="306"/>
      <c r="FO117" s="306"/>
      <c r="FP117" s="306"/>
      <c r="FQ117" s="306"/>
      <c r="FR117" s="306"/>
      <c r="FS117" s="306"/>
      <c r="FT117" s="306"/>
      <c r="FU117" s="306"/>
      <c r="FV117" s="306"/>
      <c r="FW117" s="306"/>
      <c r="FX117" s="306"/>
      <c r="FY117" s="306"/>
      <c r="FZ117" s="306"/>
      <c r="GA117" s="306"/>
      <c r="GB117" s="491"/>
      <c r="GC117" s="306"/>
      <c r="GD117" s="306"/>
      <c r="GE117" s="306"/>
      <c r="GF117" s="491"/>
      <c r="GG117" s="494"/>
      <c r="GH117" s="487"/>
      <c r="GI117" s="306"/>
      <c r="GJ117" s="491"/>
      <c r="GK117" s="306"/>
      <c r="GL117" s="306"/>
      <c r="GM117" s="497"/>
      <c r="GN117" s="306"/>
      <c r="GO117" s="306"/>
      <c r="GP117" s="306"/>
    </row>
    <row r="118" spans="1:198" ht="15" x14ac:dyDescent="0.15">
      <c r="A118" s="498" t="e">
        <f>VLOOKUP($J118&amp;":", Catalog!$F$5:$BV127, COLUMNS(Catalog!$F$5:$BV127), FALSE)</f>
        <v>#N/A</v>
      </c>
      <c r="B118" s="482" t="b">
        <f t="shared" ca="1" si="0"/>
        <v>1</v>
      </c>
      <c r="C118" s="483" t="e">
        <f t="shared" si="1"/>
        <v>#VALUE!</v>
      </c>
      <c r="D118" s="483" t="e">
        <f>VLOOKUP($J118&amp;":", Catalog!$F$5:$BW127, COLUMNS(Catalog!$F$5:$BW127), FALSE)</f>
        <v>#N/A</v>
      </c>
      <c r="E118" s="33" t="e">
        <f>VLOOKUP($J118&amp;":", Catalog!$F$5:$BX127, COLUMNS(Catalog!$F$5:$BX127), FALSE)</f>
        <v>#N/A</v>
      </c>
      <c r="F118" s="483" t="e">
        <f>VLOOKUP($J118&amp;":", Catalog!$F$5:$BY127, COLUMNS(Catalog!$F$5:$BY127), FALSE)</f>
        <v>#N/A</v>
      </c>
      <c r="G118" s="483" t="e">
        <f>VLOOKUP($J118, Catalog!$E$5:$BZ127, COLUMNS(Catalog!$E$5:$BZ127), FALSE)</f>
        <v>#N/A</v>
      </c>
      <c r="H118" s="483" t="s">
        <v>7278</v>
      </c>
      <c r="I118" s="483">
        <v>2</v>
      </c>
      <c r="J118" s="306"/>
      <c r="K118" s="486">
        <v>1</v>
      </c>
      <c r="L118" s="100" t="s">
        <v>279</v>
      </c>
      <c r="M118" s="306"/>
      <c r="N118" s="100" t="s">
        <v>280</v>
      </c>
      <c r="O118" s="86"/>
      <c r="P118" s="86"/>
      <c r="Q118" s="86"/>
      <c r="R118" s="100" t="e">
        <f t="shared" si="2"/>
        <v>#N/A</v>
      </c>
      <c r="S118" s="487"/>
      <c r="T118" s="486"/>
      <c r="U118" s="488"/>
      <c r="V118" s="488"/>
      <c r="W118" s="488"/>
      <c r="X118" s="488"/>
      <c r="Y118" s="306"/>
      <c r="Z118" s="306"/>
      <c r="AA118" s="489"/>
      <c r="AB118" s="306" t="e">
        <f t="shared" si="3"/>
        <v>#N/A</v>
      </c>
      <c r="AC118" s="306" t="e">
        <f t="shared" si="4"/>
        <v>#N/A</v>
      </c>
      <c r="AD118" s="306" t="e">
        <f t="shared" si="5"/>
        <v>#N/A</v>
      </c>
      <c r="AE118" s="306"/>
      <c r="AF118" s="332" t="e">
        <f t="shared" si="6"/>
        <v>#N/A</v>
      </c>
      <c r="AG118" s="306"/>
      <c r="AH118" s="487"/>
      <c r="AI118" s="306"/>
      <c r="AJ118" s="306"/>
      <c r="AK118" s="306"/>
      <c r="AL118" s="306"/>
      <c r="AM118" s="306"/>
      <c r="AN118" s="491"/>
      <c r="AO118" s="306"/>
      <c r="AP118" s="306"/>
      <c r="AQ118" s="306"/>
      <c r="AR118" s="306"/>
      <c r="AS118" s="306"/>
      <c r="AT118" s="487"/>
      <c r="AU118" s="306"/>
      <c r="AV118" s="306"/>
      <c r="AW118" s="306"/>
      <c r="AX118" s="306"/>
      <c r="AY118" s="306"/>
      <c r="AZ118" s="491"/>
      <c r="BA118" s="306"/>
      <c r="BB118" s="306"/>
      <c r="BC118" s="487"/>
      <c r="BD118" s="306"/>
      <c r="BE118" s="306"/>
      <c r="BF118" s="492" t="str">
        <f ca="1">IFERROR(__xludf.DUMMYFUNCTION("IF(REGEXMATCH($G118, ""Any""), ""any"", IF(REGEXMATCH($G118, ""All""), ""all"", """"))"),"#N/A")</f>
        <v>#N/A</v>
      </c>
      <c r="BG118" s="491"/>
      <c r="BH118" s="306"/>
      <c r="BI118" s="306"/>
      <c r="BJ118" s="306"/>
      <c r="BK118" s="306"/>
      <c r="BL118" s="306"/>
      <c r="BM118" s="306"/>
      <c r="BN118" s="306"/>
      <c r="BO118" s="306"/>
      <c r="BP118" s="493"/>
      <c r="BQ118" s="306"/>
      <c r="BR118" s="306"/>
      <c r="BS118" s="494"/>
      <c r="BT118" s="487"/>
      <c r="BU118" s="306"/>
      <c r="BV118" s="306"/>
      <c r="BW118" s="306"/>
      <c r="BX118" s="306"/>
      <c r="BY118" s="306"/>
      <c r="BZ118" s="306"/>
      <c r="CA118" s="306"/>
      <c r="CB118" s="306"/>
      <c r="CC118" s="493"/>
      <c r="CD118" s="306"/>
      <c r="CE118" s="306"/>
      <c r="CF118" s="494"/>
      <c r="CG118" s="487"/>
      <c r="CH118" s="306"/>
      <c r="CI118" s="306"/>
      <c r="CJ118" s="306"/>
      <c r="CK118" s="306"/>
      <c r="CL118" s="306"/>
      <c r="CM118" s="306"/>
      <c r="CN118" s="306"/>
      <c r="CO118" s="306"/>
      <c r="CP118" s="306"/>
      <c r="CQ118" s="306"/>
      <c r="CR118" s="306"/>
      <c r="CS118" s="494"/>
      <c r="CT118" s="306"/>
      <c r="CU118" s="306"/>
      <c r="CV118" s="306"/>
      <c r="CW118" s="306"/>
      <c r="CX118" s="306"/>
      <c r="CY118" s="306"/>
      <c r="CZ118" s="306"/>
      <c r="DA118" s="306"/>
      <c r="DB118" s="306"/>
      <c r="DC118" s="493"/>
      <c r="DD118" s="306"/>
      <c r="DE118" s="306"/>
      <c r="DF118" s="494"/>
      <c r="DG118" s="306"/>
      <c r="DH118" s="306"/>
      <c r="DI118" s="306"/>
      <c r="DJ118" s="306"/>
      <c r="DK118" s="306"/>
      <c r="DL118" s="306"/>
      <c r="DM118" s="306"/>
      <c r="DN118" s="306"/>
      <c r="DO118" s="306"/>
      <c r="DP118" s="493"/>
      <c r="DQ118" s="306"/>
      <c r="DR118" s="306"/>
      <c r="DS118" s="489"/>
      <c r="DT118" s="306"/>
      <c r="DU118" s="306"/>
      <c r="DV118" s="306"/>
      <c r="DW118" s="306"/>
      <c r="DX118" s="306"/>
      <c r="DY118" s="306"/>
      <c r="DZ118" s="306"/>
      <c r="EA118" s="306"/>
      <c r="EB118" s="306"/>
      <c r="EC118" s="306"/>
      <c r="ED118" s="493"/>
      <c r="EE118" s="306"/>
      <c r="EF118" s="306"/>
      <c r="EG118" s="306"/>
      <c r="EH118" s="487"/>
      <c r="EI118" s="306"/>
      <c r="EJ118" s="306"/>
      <c r="EK118" s="306"/>
      <c r="EL118" s="306"/>
      <c r="EM118" s="306"/>
      <c r="EN118" s="306"/>
      <c r="EO118" s="306"/>
      <c r="EP118" s="306"/>
      <c r="EQ118" s="306"/>
      <c r="ER118" s="306"/>
      <c r="ES118" s="306"/>
      <c r="ET118" s="306"/>
      <c r="EU118" s="306"/>
      <c r="EV118" s="491"/>
      <c r="EW118" s="306"/>
      <c r="EX118" s="306"/>
      <c r="EY118" s="306"/>
      <c r="EZ118" s="306"/>
      <c r="FA118" s="306"/>
      <c r="FB118" s="306"/>
      <c r="FC118" s="306"/>
      <c r="FD118" s="306"/>
      <c r="FE118" s="306"/>
      <c r="FF118" s="306"/>
      <c r="FG118" s="306"/>
      <c r="FH118" s="306"/>
      <c r="FI118" s="306"/>
      <c r="FJ118" s="306"/>
      <c r="FK118" s="306"/>
      <c r="FL118" s="487"/>
      <c r="FM118" s="306"/>
      <c r="FN118" s="306"/>
      <c r="FO118" s="306"/>
      <c r="FP118" s="306"/>
      <c r="FQ118" s="306"/>
      <c r="FR118" s="306"/>
      <c r="FS118" s="306"/>
      <c r="FT118" s="306"/>
      <c r="FU118" s="306"/>
      <c r="FV118" s="306"/>
      <c r="FW118" s="306"/>
      <c r="FX118" s="306"/>
      <c r="FY118" s="306"/>
      <c r="FZ118" s="306"/>
      <c r="GA118" s="306"/>
      <c r="GB118" s="491"/>
      <c r="GC118" s="306"/>
      <c r="GD118" s="306"/>
      <c r="GE118" s="306"/>
      <c r="GF118" s="491"/>
      <c r="GG118" s="494"/>
      <c r="GH118" s="487"/>
      <c r="GI118" s="306"/>
      <c r="GJ118" s="491"/>
      <c r="GK118" s="306"/>
      <c r="GL118" s="306"/>
      <c r="GM118" s="497"/>
      <c r="GN118" s="306"/>
      <c r="GO118" s="306"/>
      <c r="GP118" s="306"/>
    </row>
    <row r="119" spans="1:198" ht="15" x14ac:dyDescent="0.15">
      <c r="A119" s="498" t="e">
        <f>VLOOKUP($J119&amp;":", Catalog!$F$5:$BV127, COLUMNS(Catalog!$F$5:$BV127), FALSE)</f>
        <v>#N/A</v>
      </c>
      <c r="B119" s="482" t="b">
        <f t="shared" ca="1" si="0"/>
        <v>1</v>
      </c>
      <c r="C119" s="483" t="e">
        <f t="shared" si="1"/>
        <v>#VALUE!</v>
      </c>
      <c r="D119" s="483" t="e">
        <f>VLOOKUP($J119&amp;":", Catalog!$F$5:$BW127, COLUMNS(Catalog!$F$5:$BW127), FALSE)</f>
        <v>#N/A</v>
      </c>
      <c r="E119" s="33" t="e">
        <f>VLOOKUP($J119&amp;":", Catalog!$F$5:$BX127, COLUMNS(Catalog!$F$5:$BX127), FALSE)</f>
        <v>#N/A</v>
      </c>
      <c r="F119" s="483" t="e">
        <f>VLOOKUP($J119&amp;":", Catalog!$F$5:$BY127, COLUMNS(Catalog!$F$5:$BY127), FALSE)</f>
        <v>#N/A</v>
      </c>
      <c r="G119" s="483" t="e">
        <f>VLOOKUP($J119, Catalog!$E$5:$BZ127, COLUMNS(Catalog!$E$5:$BZ127), FALSE)</f>
        <v>#N/A</v>
      </c>
      <c r="H119" s="483" t="s">
        <v>7278</v>
      </c>
      <c r="I119" s="483">
        <v>2</v>
      </c>
      <c r="J119" s="306"/>
      <c r="K119" s="486">
        <v>1</v>
      </c>
      <c r="L119" s="100" t="s">
        <v>279</v>
      </c>
      <c r="M119" s="306"/>
      <c r="N119" s="100" t="s">
        <v>280</v>
      </c>
      <c r="O119" s="86"/>
      <c r="P119" s="86"/>
      <c r="Q119" s="86"/>
      <c r="R119" s="100" t="e">
        <f t="shared" si="2"/>
        <v>#N/A</v>
      </c>
      <c r="S119" s="487"/>
      <c r="T119" s="486"/>
      <c r="U119" s="488"/>
      <c r="V119" s="488"/>
      <c r="W119" s="488"/>
      <c r="X119" s="488"/>
      <c r="Y119" s="306"/>
      <c r="Z119" s="306"/>
      <c r="AA119" s="489"/>
      <c r="AB119" s="306" t="e">
        <f t="shared" si="3"/>
        <v>#N/A</v>
      </c>
      <c r="AC119" s="306" t="e">
        <f t="shared" si="4"/>
        <v>#N/A</v>
      </c>
      <c r="AD119" s="306" t="e">
        <f t="shared" si="5"/>
        <v>#N/A</v>
      </c>
      <c r="AE119" s="306"/>
      <c r="AF119" s="332" t="e">
        <f t="shared" si="6"/>
        <v>#N/A</v>
      </c>
      <c r="AG119" s="306"/>
      <c r="AH119" s="487"/>
      <c r="AI119" s="306"/>
      <c r="AJ119" s="306"/>
      <c r="AK119" s="306"/>
      <c r="AL119" s="306"/>
      <c r="AM119" s="306"/>
      <c r="AN119" s="491"/>
      <c r="AO119" s="306"/>
      <c r="AP119" s="306"/>
      <c r="AQ119" s="306"/>
      <c r="AR119" s="306"/>
      <c r="AS119" s="306"/>
      <c r="AT119" s="487"/>
      <c r="AU119" s="306"/>
      <c r="AV119" s="306"/>
      <c r="AW119" s="306"/>
      <c r="AX119" s="306"/>
      <c r="AY119" s="306"/>
      <c r="AZ119" s="491"/>
      <c r="BA119" s="306"/>
      <c r="BB119" s="306"/>
      <c r="BC119" s="487"/>
      <c r="BD119" s="306"/>
      <c r="BE119" s="306"/>
      <c r="BF119" s="492" t="str">
        <f ca="1">IFERROR(__xludf.DUMMYFUNCTION("IF(REGEXMATCH($G119, ""Any""), ""any"", IF(REGEXMATCH($G119, ""All""), ""all"", """"))"),"#N/A")</f>
        <v>#N/A</v>
      </c>
      <c r="BG119" s="491"/>
      <c r="BH119" s="306"/>
      <c r="BI119" s="306"/>
      <c r="BJ119" s="306"/>
      <c r="BK119" s="306"/>
      <c r="BL119" s="306"/>
      <c r="BM119" s="306"/>
      <c r="BN119" s="306"/>
      <c r="BO119" s="306"/>
      <c r="BP119" s="493"/>
      <c r="BQ119" s="306"/>
      <c r="BR119" s="306"/>
      <c r="BS119" s="494"/>
      <c r="BT119" s="487"/>
      <c r="BU119" s="306"/>
      <c r="BV119" s="306"/>
      <c r="BW119" s="306"/>
      <c r="BX119" s="306"/>
      <c r="BY119" s="306"/>
      <c r="BZ119" s="306"/>
      <c r="CA119" s="306"/>
      <c r="CB119" s="306"/>
      <c r="CC119" s="493"/>
      <c r="CD119" s="306"/>
      <c r="CE119" s="306"/>
      <c r="CF119" s="494"/>
      <c r="CG119" s="487"/>
      <c r="CH119" s="306"/>
      <c r="CI119" s="306"/>
      <c r="CJ119" s="306"/>
      <c r="CK119" s="306"/>
      <c r="CL119" s="306"/>
      <c r="CM119" s="306"/>
      <c r="CN119" s="306"/>
      <c r="CO119" s="306"/>
      <c r="CP119" s="306"/>
      <c r="CQ119" s="306"/>
      <c r="CR119" s="306"/>
      <c r="CS119" s="494"/>
      <c r="CT119" s="306"/>
      <c r="CU119" s="306"/>
      <c r="CV119" s="306"/>
      <c r="CW119" s="306"/>
      <c r="CX119" s="306"/>
      <c r="CY119" s="306"/>
      <c r="CZ119" s="306"/>
      <c r="DA119" s="306"/>
      <c r="DB119" s="306"/>
      <c r="DC119" s="493"/>
      <c r="DD119" s="306"/>
      <c r="DE119" s="306"/>
      <c r="DF119" s="494"/>
      <c r="DG119" s="306"/>
      <c r="DH119" s="306"/>
      <c r="DI119" s="306"/>
      <c r="DJ119" s="306"/>
      <c r="DK119" s="306"/>
      <c r="DL119" s="306"/>
      <c r="DM119" s="306"/>
      <c r="DN119" s="306"/>
      <c r="DO119" s="306"/>
      <c r="DP119" s="493"/>
      <c r="DQ119" s="306"/>
      <c r="DR119" s="306"/>
      <c r="DS119" s="489"/>
      <c r="DT119" s="306"/>
      <c r="DU119" s="306"/>
      <c r="DV119" s="306"/>
      <c r="DW119" s="306"/>
      <c r="DX119" s="306"/>
      <c r="DY119" s="306"/>
      <c r="DZ119" s="306"/>
      <c r="EA119" s="306"/>
      <c r="EB119" s="306"/>
      <c r="EC119" s="306"/>
      <c r="ED119" s="493"/>
      <c r="EE119" s="306"/>
      <c r="EF119" s="306"/>
      <c r="EG119" s="306"/>
      <c r="EH119" s="487"/>
      <c r="EI119" s="306"/>
      <c r="EJ119" s="306"/>
      <c r="EK119" s="306"/>
      <c r="EL119" s="306"/>
      <c r="EM119" s="306"/>
      <c r="EN119" s="306"/>
      <c r="EO119" s="306"/>
      <c r="EP119" s="306"/>
      <c r="EQ119" s="306"/>
      <c r="ER119" s="306"/>
      <c r="ES119" s="306"/>
      <c r="ET119" s="306"/>
      <c r="EU119" s="306"/>
      <c r="EV119" s="491"/>
      <c r="EW119" s="306"/>
      <c r="EX119" s="306"/>
      <c r="EY119" s="306"/>
      <c r="EZ119" s="306"/>
      <c r="FA119" s="306"/>
      <c r="FB119" s="306"/>
      <c r="FC119" s="306"/>
      <c r="FD119" s="306"/>
      <c r="FE119" s="306"/>
      <c r="FF119" s="306"/>
      <c r="FG119" s="306"/>
      <c r="FH119" s="306"/>
      <c r="FI119" s="306"/>
      <c r="FJ119" s="306"/>
      <c r="FK119" s="306"/>
      <c r="FL119" s="487"/>
      <c r="FM119" s="306"/>
      <c r="FN119" s="306"/>
      <c r="FO119" s="306"/>
      <c r="FP119" s="306"/>
      <c r="FQ119" s="306"/>
      <c r="FR119" s="306"/>
      <c r="FS119" s="306"/>
      <c r="FT119" s="306"/>
      <c r="FU119" s="306"/>
      <c r="FV119" s="306"/>
      <c r="FW119" s="306"/>
      <c r="FX119" s="306"/>
      <c r="FY119" s="306"/>
      <c r="FZ119" s="306"/>
      <c r="GA119" s="306"/>
      <c r="GB119" s="491"/>
      <c r="GC119" s="306"/>
      <c r="GD119" s="306"/>
      <c r="GE119" s="306"/>
      <c r="GF119" s="491"/>
      <c r="GG119" s="494"/>
      <c r="GH119" s="487"/>
      <c r="GI119" s="306"/>
      <c r="GJ119" s="491"/>
      <c r="GK119" s="306"/>
      <c r="GL119" s="306"/>
      <c r="GM119" s="497"/>
      <c r="GN119" s="306"/>
      <c r="GO119" s="306"/>
      <c r="GP119" s="306"/>
    </row>
    <row r="120" spans="1:198" ht="15" x14ac:dyDescent="0.15">
      <c r="A120" s="498" t="e">
        <f>VLOOKUP($J120&amp;":", Catalog!$F$5:$BV127, COLUMNS(Catalog!$F$5:$BV127), FALSE)</f>
        <v>#N/A</v>
      </c>
      <c r="B120" s="482" t="b">
        <f t="shared" ca="1" si="0"/>
        <v>1</v>
      </c>
      <c r="C120" s="483" t="e">
        <f t="shared" si="1"/>
        <v>#VALUE!</v>
      </c>
      <c r="D120" s="483" t="e">
        <f>VLOOKUP($J120&amp;":", Catalog!$F$5:$BW127, COLUMNS(Catalog!$F$5:$BW127), FALSE)</f>
        <v>#N/A</v>
      </c>
      <c r="E120" s="33" t="e">
        <f>VLOOKUP($J120&amp;":", Catalog!$F$5:$BX127, COLUMNS(Catalog!$F$5:$BX127), FALSE)</f>
        <v>#N/A</v>
      </c>
      <c r="F120" s="483" t="e">
        <f>VLOOKUP($J120&amp;":", Catalog!$F$5:$BY127, COLUMNS(Catalog!$F$5:$BY127), FALSE)</f>
        <v>#N/A</v>
      </c>
      <c r="G120" s="483" t="e">
        <f>VLOOKUP($J120, Catalog!$E$5:$BZ127, COLUMNS(Catalog!$E$5:$BZ127), FALSE)</f>
        <v>#N/A</v>
      </c>
      <c r="H120" s="483" t="s">
        <v>7278</v>
      </c>
      <c r="I120" s="483">
        <v>2</v>
      </c>
      <c r="J120" s="306"/>
      <c r="K120" s="486">
        <v>1</v>
      </c>
      <c r="L120" s="100" t="s">
        <v>279</v>
      </c>
      <c r="M120" s="306"/>
      <c r="N120" s="100" t="s">
        <v>280</v>
      </c>
      <c r="O120" s="86"/>
      <c r="P120" s="86"/>
      <c r="Q120" s="86"/>
      <c r="R120" s="100" t="e">
        <f t="shared" si="2"/>
        <v>#N/A</v>
      </c>
      <c r="S120" s="487"/>
      <c r="T120" s="486"/>
      <c r="U120" s="488"/>
      <c r="V120" s="488"/>
      <c r="W120" s="488"/>
      <c r="X120" s="488"/>
      <c r="Y120" s="306"/>
      <c r="Z120" s="306"/>
      <c r="AA120" s="489"/>
      <c r="AB120" s="306" t="e">
        <f t="shared" si="3"/>
        <v>#N/A</v>
      </c>
      <c r="AC120" s="306" t="e">
        <f t="shared" si="4"/>
        <v>#N/A</v>
      </c>
      <c r="AD120" s="306" t="e">
        <f t="shared" si="5"/>
        <v>#N/A</v>
      </c>
      <c r="AE120" s="306"/>
      <c r="AF120" s="332" t="e">
        <f t="shared" si="6"/>
        <v>#N/A</v>
      </c>
      <c r="AG120" s="306"/>
      <c r="AH120" s="487"/>
      <c r="AI120" s="306"/>
      <c r="AJ120" s="306"/>
      <c r="AK120" s="306"/>
      <c r="AL120" s="306"/>
      <c r="AM120" s="306"/>
      <c r="AN120" s="491"/>
      <c r="AO120" s="306"/>
      <c r="AP120" s="306"/>
      <c r="AQ120" s="306"/>
      <c r="AR120" s="306"/>
      <c r="AS120" s="306"/>
      <c r="AT120" s="487"/>
      <c r="AU120" s="306"/>
      <c r="AV120" s="306"/>
      <c r="AW120" s="306"/>
      <c r="AX120" s="306"/>
      <c r="AY120" s="306"/>
      <c r="AZ120" s="491"/>
      <c r="BA120" s="306"/>
      <c r="BB120" s="306"/>
      <c r="BC120" s="487"/>
      <c r="BD120" s="306"/>
      <c r="BE120" s="306"/>
      <c r="BF120" s="492" t="str">
        <f ca="1">IFERROR(__xludf.DUMMYFUNCTION("IF(REGEXMATCH($G120, ""Any""), ""any"", IF(REGEXMATCH($G120, ""All""), ""all"", """"))"),"#N/A")</f>
        <v>#N/A</v>
      </c>
      <c r="BG120" s="491"/>
      <c r="BH120" s="306"/>
      <c r="BI120" s="306"/>
      <c r="BJ120" s="306"/>
      <c r="BK120" s="306"/>
      <c r="BL120" s="306"/>
      <c r="BM120" s="306"/>
      <c r="BN120" s="306"/>
      <c r="BO120" s="306"/>
      <c r="BP120" s="493"/>
      <c r="BQ120" s="306"/>
      <c r="BR120" s="306"/>
      <c r="BS120" s="494"/>
      <c r="BT120" s="487"/>
      <c r="BU120" s="306"/>
      <c r="BV120" s="306"/>
      <c r="BW120" s="306"/>
      <c r="BX120" s="306"/>
      <c r="BY120" s="306"/>
      <c r="BZ120" s="306"/>
      <c r="CA120" s="306"/>
      <c r="CB120" s="306"/>
      <c r="CC120" s="493"/>
      <c r="CD120" s="306"/>
      <c r="CE120" s="306"/>
      <c r="CF120" s="494"/>
      <c r="CG120" s="487"/>
      <c r="CH120" s="306"/>
      <c r="CI120" s="306"/>
      <c r="CJ120" s="306"/>
      <c r="CK120" s="306"/>
      <c r="CL120" s="306"/>
      <c r="CM120" s="306"/>
      <c r="CN120" s="306"/>
      <c r="CO120" s="306"/>
      <c r="CP120" s="306"/>
      <c r="CQ120" s="306"/>
      <c r="CR120" s="306"/>
      <c r="CS120" s="494"/>
      <c r="CT120" s="306"/>
      <c r="CU120" s="306"/>
      <c r="CV120" s="306"/>
      <c r="CW120" s="306"/>
      <c r="CX120" s="306"/>
      <c r="CY120" s="306"/>
      <c r="CZ120" s="306"/>
      <c r="DA120" s="306"/>
      <c r="DB120" s="306"/>
      <c r="DC120" s="493"/>
      <c r="DD120" s="306"/>
      <c r="DE120" s="306"/>
      <c r="DF120" s="494"/>
      <c r="DG120" s="306"/>
      <c r="DH120" s="306"/>
      <c r="DI120" s="306"/>
      <c r="DJ120" s="306"/>
      <c r="DK120" s="306"/>
      <c r="DL120" s="306"/>
      <c r="DM120" s="306"/>
      <c r="DN120" s="306"/>
      <c r="DO120" s="306"/>
      <c r="DP120" s="493"/>
      <c r="DQ120" s="306"/>
      <c r="DR120" s="306"/>
      <c r="DS120" s="489"/>
      <c r="DT120" s="306"/>
      <c r="DU120" s="306"/>
      <c r="DV120" s="306"/>
      <c r="DW120" s="306"/>
      <c r="DX120" s="306"/>
      <c r="DY120" s="306"/>
      <c r="DZ120" s="306"/>
      <c r="EA120" s="306"/>
      <c r="EB120" s="306"/>
      <c r="EC120" s="306"/>
      <c r="ED120" s="493"/>
      <c r="EE120" s="306"/>
      <c r="EF120" s="306"/>
      <c r="EG120" s="306"/>
      <c r="EH120" s="487"/>
      <c r="EI120" s="306"/>
      <c r="EJ120" s="306"/>
      <c r="EK120" s="306"/>
      <c r="EL120" s="306"/>
      <c r="EM120" s="306"/>
      <c r="EN120" s="306"/>
      <c r="EO120" s="306"/>
      <c r="EP120" s="306"/>
      <c r="EQ120" s="306"/>
      <c r="ER120" s="306"/>
      <c r="ES120" s="306"/>
      <c r="ET120" s="306"/>
      <c r="EU120" s="306"/>
      <c r="EV120" s="491"/>
      <c r="EW120" s="306"/>
      <c r="EX120" s="306"/>
      <c r="EY120" s="306"/>
      <c r="EZ120" s="306"/>
      <c r="FA120" s="306"/>
      <c r="FB120" s="306"/>
      <c r="FC120" s="306"/>
      <c r="FD120" s="306"/>
      <c r="FE120" s="306"/>
      <c r="FF120" s="306"/>
      <c r="FG120" s="306"/>
      <c r="FH120" s="306"/>
      <c r="FI120" s="306"/>
      <c r="FJ120" s="306"/>
      <c r="FK120" s="306"/>
      <c r="FL120" s="487"/>
      <c r="FM120" s="306"/>
      <c r="FN120" s="306"/>
      <c r="FO120" s="306"/>
      <c r="FP120" s="306"/>
      <c r="FQ120" s="306"/>
      <c r="FR120" s="306"/>
      <c r="FS120" s="306"/>
      <c r="FT120" s="306"/>
      <c r="FU120" s="306"/>
      <c r="FV120" s="306"/>
      <c r="FW120" s="306"/>
      <c r="FX120" s="306"/>
      <c r="FY120" s="306"/>
      <c r="FZ120" s="306"/>
      <c r="GA120" s="306"/>
      <c r="GB120" s="491"/>
      <c r="GC120" s="306"/>
      <c r="GD120" s="306"/>
      <c r="GE120" s="306"/>
      <c r="GF120" s="491"/>
      <c r="GG120" s="494"/>
      <c r="GH120" s="487"/>
      <c r="GI120" s="306"/>
      <c r="GJ120" s="491"/>
      <c r="GK120" s="306"/>
      <c r="GL120" s="306"/>
      <c r="GM120" s="497"/>
      <c r="GN120" s="306"/>
      <c r="GO120" s="306"/>
      <c r="GP120" s="306"/>
    </row>
    <row r="121" spans="1:198" ht="15" x14ac:dyDescent="0.15">
      <c r="A121" s="498" t="e">
        <f>VLOOKUP($J121&amp;":", Catalog!$F$5:$BV127, COLUMNS(Catalog!$F$5:$BV127), FALSE)</f>
        <v>#N/A</v>
      </c>
      <c r="B121" s="482" t="b">
        <f t="shared" ca="1" si="0"/>
        <v>1</v>
      </c>
      <c r="C121" s="483" t="e">
        <f t="shared" si="1"/>
        <v>#VALUE!</v>
      </c>
      <c r="D121" s="483" t="e">
        <f>VLOOKUP($J121&amp;":", Catalog!$F$5:$BW127, COLUMNS(Catalog!$F$5:$BW127), FALSE)</f>
        <v>#N/A</v>
      </c>
      <c r="E121" s="33" t="e">
        <f>VLOOKUP($J121&amp;":", Catalog!$F$5:$BX127, COLUMNS(Catalog!$F$5:$BX127), FALSE)</f>
        <v>#N/A</v>
      </c>
      <c r="F121" s="483" t="e">
        <f>VLOOKUP($J121&amp;":", Catalog!$F$5:$BY127, COLUMNS(Catalog!$F$5:$BY127), FALSE)</f>
        <v>#N/A</v>
      </c>
      <c r="G121" s="483" t="e">
        <f>VLOOKUP($J121, Catalog!$E$5:$BZ127, COLUMNS(Catalog!$E$5:$BZ127), FALSE)</f>
        <v>#N/A</v>
      </c>
      <c r="H121" s="483" t="s">
        <v>7278</v>
      </c>
      <c r="I121" s="483">
        <v>2</v>
      </c>
      <c r="J121" s="306"/>
      <c r="K121" s="486">
        <v>1</v>
      </c>
      <c r="L121" s="100" t="s">
        <v>279</v>
      </c>
      <c r="M121" s="306"/>
      <c r="N121" s="100" t="s">
        <v>280</v>
      </c>
      <c r="O121" s="86"/>
      <c r="P121" s="86"/>
      <c r="Q121" s="86"/>
      <c r="R121" s="100" t="e">
        <f t="shared" si="2"/>
        <v>#N/A</v>
      </c>
      <c r="S121" s="487"/>
      <c r="T121" s="486"/>
      <c r="U121" s="488"/>
      <c r="V121" s="488"/>
      <c r="W121" s="488"/>
      <c r="X121" s="488"/>
      <c r="Y121" s="306"/>
      <c r="Z121" s="306"/>
      <c r="AA121" s="489"/>
      <c r="AB121" s="306" t="e">
        <f t="shared" si="3"/>
        <v>#N/A</v>
      </c>
      <c r="AC121" s="306" t="e">
        <f t="shared" si="4"/>
        <v>#N/A</v>
      </c>
      <c r="AD121" s="306" t="e">
        <f t="shared" si="5"/>
        <v>#N/A</v>
      </c>
      <c r="AE121" s="306"/>
      <c r="AF121" s="332" t="e">
        <f t="shared" si="6"/>
        <v>#N/A</v>
      </c>
      <c r="AG121" s="306"/>
      <c r="AH121" s="487"/>
      <c r="AI121" s="306"/>
      <c r="AJ121" s="306"/>
      <c r="AK121" s="306"/>
      <c r="AL121" s="306"/>
      <c r="AM121" s="306"/>
      <c r="AN121" s="491"/>
      <c r="AO121" s="306"/>
      <c r="AP121" s="306"/>
      <c r="AQ121" s="306"/>
      <c r="AR121" s="306"/>
      <c r="AS121" s="306"/>
      <c r="AT121" s="487"/>
      <c r="AU121" s="306"/>
      <c r="AV121" s="306"/>
      <c r="AW121" s="306"/>
      <c r="AX121" s="306"/>
      <c r="AY121" s="306"/>
      <c r="AZ121" s="491"/>
      <c r="BA121" s="306"/>
      <c r="BB121" s="306"/>
      <c r="BC121" s="487"/>
      <c r="BD121" s="306"/>
      <c r="BE121" s="306"/>
      <c r="BF121" s="492" t="str">
        <f ca="1">IFERROR(__xludf.DUMMYFUNCTION("IF(REGEXMATCH($G121, ""Any""), ""any"", IF(REGEXMATCH($G121, ""All""), ""all"", """"))"),"#N/A")</f>
        <v>#N/A</v>
      </c>
      <c r="BG121" s="491"/>
      <c r="BH121" s="306"/>
      <c r="BI121" s="306"/>
      <c r="BJ121" s="306"/>
      <c r="BK121" s="306"/>
      <c r="BL121" s="306"/>
      <c r="BM121" s="306"/>
      <c r="BN121" s="306"/>
      <c r="BO121" s="306"/>
      <c r="BP121" s="493"/>
      <c r="BQ121" s="306"/>
      <c r="BR121" s="306"/>
      <c r="BS121" s="494"/>
      <c r="BT121" s="487"/>
      <c r="BU121" s="306"/>
      <c r="BV121" s="306"/>
      <c r="BW121" s="306"/>
      <c r="BX121" s="306"/>
      <c r="BY121" s="306"/>
      <c r="BZ121" s="306"/>
      <c r="CA121" s="306"/>
      <c r="CB121" s="306"/>
      <c r="CC121" s="493"/>
      <c r="CD121" s="306"/>
      <c r="CE121" s="306"/>
      <c r="CF121" s="494"/>
      <c r="CG121" s="487"/>
      <c r="CH121" s="306"/>
      <c r="CI121" s="306"/>
      <c r="CJ121" s="306"/>
      <c r="CK121" s="306"/>
      <c r="CL121" s="306"/>
      <c r="CM121" s="306"/>
      <c r="CN121" s="306"/>
      <c r="CO121" s="306"/>
      <c r="CP121" s="306"/>
      <c r="CQ121" s="306"/>
      <c r="CR121" s="306"/>
      <c r="CS121" s="494"/>
      <c r="CT121" s="306"/>
      <c r="CU121" s="306"/>
      <c r="CV121" s="306"/>
      <c r="CW121" s="306"/>
      <c r="CX121" s="306"/>
      <c r="CY121" s="306"/>
      <c r="CZ121" s="306"/>
      <c r="DA121" s="306"/>
      <c r="DB121" s="306"/>
      <c r="DC121" s="493"/>
      <c r="DD121" s="306"/>
      <c r="DE121" s="306"/>
      <c r="DF121" s="494"/>
      <c r="DG121" s="306"/>
      <c r="DH121" s="306"/>
      <c r="DI121" s="306"/>
      <c r="DJ121" s="306"/>
      <c r="DK121" s="306"/>
      <c r="DL121" s="306"/>
      <c r="DM121" s="306"/>
      <c r="DN121" s="306"/>
      <c r="DO121" s="306"/>
      <c r="DP121" s="493"/>
      <c r="DQ121" s="306"/>
      <c r="DR121" s="306"/>
      <c r="DS121" s="489"/>
      <c r="DT121" s="306"/>
      <c r="DU121" s="306"/>
      <c r="DV121" s="306"/>
      <c r="DW121" s="306"/>
      <c r="DX121" s="306"/>
      <c r="DY121" s="306"/>
      <c r="DZ121" s="306"/>
      <c r="EA121" s="306"/>
      <c r="EB121" s="306"/>
      <c r="EC121" s="306"/>
      <c r="ED121" s="493"/>
      <c r="EE121" s="306"/>
      <c r="EF121" s="306"/>
      <c r="EG121" s="306"/>
      <c r="EH121" s="487"/>
      <c r="EI121" s="306"/>
      <c r="EJ121" s="306"/>
      <c r="EK121" s="306"/>
      <c r="EL121" s="306"/>
      <c r="EM121" s="306"/>
      <c r="EN121" s="306"/>
      <c r="EO121" s="306"/>
      <c r="EP121" s="306"/>
      <c r="EQ121" s="306"/>
      <c r="ER121" s="306"/>
      <c r="ES121" s="306"/>
      <c r="ET121" s="306"/>
      <c r="EU121" s="306"/>
      <c r="EV121" s="491"/>
      <c r="EW121" s="306"/>
      <c r="EX121" s="306"/>
      <c r="EY121" s="306"/>
      <c r="EZ121" s="306"/>
      <c r="FA121" s="306"/>
      <c r="FB121" s="306"/>
      <c r="FC121" s="306"/>
      <c r="FD121" s="306"/>
      <c r="FE121" s="306"/>
      <c r="FF121" s="306"/>
      <c r="FG121" s="306"/>
      <c r="FH121" s="306"/>
      <c r="FI121" s="306"/>
      <c r="FJ121" s="306"/>
      <c r="FK121" s="306"/>
      <c r="FL121" s="487"/>
      <c r="FM121" s="306"/>
      <c r="FN121" s="306"/>
      <c r="FO121" s="306"/>
      <c r="FP121" s="306"/>
      <c r="FQ121" s="306"/>
      <c r="FR121" s="306"/>
      <c r="FS121" s="306"/>
      <c r="FT121" s="306"/>
      <c r="FU121" s="306"/>
      <c r="FV121" s="306"/>
      <c r="FW121" s="306"/>
      <c r="FX121" s="306"/>
      <c r="FY121" s="306"/>
      <c r="FZ121" s="306"/>
      <c r="GA121" s="306"/>
      <c r="GB121" s="491"/>
      <c r="GC121" s="306"/>
      <c r="GD121" s="306"/>
      <c r="GE121" s="306"/>
      <c r="GF121" s="491"/>
      <c r="GG121" s="494"/>
      <c r="GH121" s="487"/>
      <c r="GI121" s="306"/>
      <c r="GJ121" s="491"/>
      <c r="GK121" s="306"/>
      <c r="GL121" s="306"/>
      <c r="GM121" s="497"/>
      <c r="GN121" s="306"/>
      <c r="GO121" s="306"/>
      <c r="GP121" s="306"/>
    </row>
    <row r="122" spans="1:198" ht="15" x14ac:dyDescent="0.15">
      <c r="A122" s="498" t="e">
        <f>VLOOKUP($J122&amp;":", Catalog!$F$5:$BV127, COLUMNS(Catalog!$F$5:$BV127), FALSE)</f>
        <v>#N/A</v>
      </c>
      <c r="B122" s="482" t="b">
        <f t="shared" ca="1" si="0"/>
        <v>1</v>
      </c>
      <c r="C122" s="483" t="e">
        <f t="shared" si="1"/>
        <v>#VALUE!</v>
      </c>
      <c r="D122" s="483" t="e">
        <f>VLOOKUP($J122&amp;":", Catalog!$F$5:$BW127, COLUMNS(Catalog!$F$5:$BW127), FALSE)</f>
        <v>#N/A</v>
      </c>
      <c r="E122" s="33" t="e">
        <f>VLOOKUP($J122&amp;":", Catalog!$F$5:$BX127, COLUMNS(Catalog!$F$5:$BX127), FALSE)</f>
        <v>#N/A</v>
      </c>
      <c r="F122" s="483" t="e">
        <f>VLOOKUP($J122&amp;":", Catalog!$F$5:$BY127, COLUMNS(Catalog!$F$5:$BY127), FALSE)</f>
        <v>#N/A</v>
      </c>
      <c r="G122" s="483" t="e">
        <f>VLOOKUP($J122, Catalog!$E$5:$BZ127, COLUMNS(Catalog!$E$5:$BZ127), FALSE)</f>
        <v>#N/A</v>
      </c>
      <c r="H122" s="483" t="s">
        <v>7278</v>
      </c>
      <c r="I122" s="483">
        <v>2</v>
      </c>
      <c r="J122" s="306"/>
      <c r="K122" s="486">
        <v>1</v>
      </c>
      <c r="L122" s="100" t="s">
        <v>279</v>
      </c>
      <c r="M122" s="306"/>
      <c r="N122" s="100" t="s">
        <v>280</v>
      </c>
      <c r="O122" s="86"/>
      <c r="P122" s="86"/>
      <c r="Q122" s="86"/>
      <c r="R122" s="100" t="e">
        <f t="shared" si="2"/>
        <v>#N/A</v>
      </c>
      <c r="S122" s="487"/>
      <c r="T122" s="486"/>
      <c r="U122" s="488"/>
      <c r="V122" s="488"/>
      <c r="W122" s="488"/>
      <c r="X122" s="488"/>
      <c r="Y122" s="306"/>
      <c r="Z122" s="306"/>
      <c r="AA122" s="489"/>
      <c r="AB122" s="306" t="e">
        <f t="shared" si="3"/>
        <v>#N/A</v>
      </c>
      <c r="AC122" s="306" t="e">
        <f t="shared" si="4"/>
        <v>#N/A</v>
      </c>
      <c r="AD122" s="306" t="e">
        <f t="shared" si="5"/>
        <v>#N/A</v>
      </c>
      <c r="AE122" s="306"/>
      <c r="AF122" s="332" t="e">
        <f t="shared" si="6"/>
        <v>#N/A</v>
      </c>
      <c r="AG122" s="306"/>
      <c r="AH122" s="487"/>
      <c r="AI122" s="306"/>
      <c r="AJ122" s="306"/>
      <c r="AK122" s="306"/>
      <c r="AL122" s="306"/>
      <c r="AM122" s="306"/>
      <c r="AN122" s="491"/>
      <c r="AO122" s="306"/>
      <c r="AP122" s="306"/>
      <c r="AQ122" s="306"/>
      <c r="AR122" s="306"/>
      <c r="AS122" s="306"/>
      <c r="AT122" s="487"/>
      <c r="AU122" s="306"/>
      <c r="AV122" s="306"/>
      <c r="AW122" s="306"/>
      <c r="AX122" s="306"/>
      <c r="AY122" s="306"/>
      <c r="AZ122" s="491"/>
      <c r="BA122" s="306"/>
      <c r="BB122" s="306"/>
      <c r="BC122" s="487"/>
      <c r="BD122" s="306"/>
      <c r="BE122" s="306"/>
      <c r="BF122" s="492" t="str">
        <f ca="1">IFERROR(__xludf.DUMMYFUNCTION("IF(REGEXMATCH($G122, ""Any""), ""any"", IF(REGEXMATCH($G122, ""All""), ""all"", """"))"),"#N/A")</f>
        <v>#N/A</v>
      </c>
      <c r="BG122" s="491"/>
      <c r="BH122" s="306"/>
      <c r="BI122" s="306"/>
      <c r="BJ122" s="306"/>
      <c r="BK122" s="306"/>
      <c r="BL122" s="306"/>
      <c r="BM122" s="306"/>
      <c r="BN122" s="306"/>
      <c r="BO122" s="306"/>
      <c r="BP122" s="493"/>
      <c r="BQ122" s="306"/>
      <c r="BR122" s="306"/>
      <c r="BS122" s="494"/>
      <c r="BT122" s="487"/>
      <c r="BU122" s="306"/>
      <c r="BV122" s="306"/>
      <c r="BW122" s="306"/>
      <c r="BX122" s="306"/>
      <c r="BY122" s="306"/>
      <c r="BZ122" s="306"/>
      <c r="CA122" s="306"/>
      <c r="CB122" s="306"/>
      <c r="CC122" s="493"/>
      <c r="CD122" s="306"/>
      <c r="CE122" s="306"/>
      <c r="CF122" s="494"/>
      <c r="CG122" s="487"/>
      <c r="CH122" s="306"/>
      <c r="CI122" s="306"/>
      <c r="CJ122" s="306"/>
      <c r="CK122" s="306"/>
      <c r="CL122" s="306"/>
      <c r="CM122" s="306"/>
      <c r="CN122" s="306"/>
      <c r="CO122" s="306"/>
      <c r="CP122" s="306"/>
      <c r="CQ122" s="306"/>
      <c r="CR122" s="306"/>
      <c r="CS122" s="494"/>
      <c r="CT122" s="306"/>
      <c r="CU122" s="306"/>
      <c r="CV122" s="306"/>
      <c r="CW122" s="306"/>
      <c r="CX122" s="306"/>
      <c r="CY122" s="306"/>
      <c r="CZ122" s="306"/>
      <c r="DA122" s="306"/>
      <c r="DB122" s="306"/>
      <c r="DC122" s="493"/>
      <c r="DD122" s="306"/>
      <c r="DE122" s="306"/>
      <c r="DF122" s="494"/>
      <c r="DG122" s="306"/>
      <c r="DH122" s="306"/>
      <c r="DI122" s="306"/>
      <c r="DJ122" s="306"/>
      <c r="DK122" s="306"/>
      <c r="DL122" s="306"/>
      <c r="DM122" s="306"/>
      <c r="DN122" s="306"/>
      <c r="DO122" s="306"/>
      <c r="DP122" s="493"/>
      <c r="DQ122" s="306"/>
      <c r="DR122" s="306"/>
      <c r="DS122" s="489"/>
      <c r="DT122" s="306"/>
      <c r="DU122" s="306"/>
      <c r="DV122" s="306"/>
      <c r="DW122" s="306"/>
      <c r="DX122" s="306"/>
      <c r="DY122" s="306"/>
      <c r="DZ122" s="306"/>
      <c r="EA122" s="306"/>
      <c r="EB122" s="306"/>
      <c r="EC122" s="306"/>
      <c r="ED122" s="493"/>
      <c r="EE122" s="306"/>
      <c r="EF122" s="306"/>
      <c r="EG122" s="306"/>
      <c r="EH122" s="487"/>
      <c r="EI122" s="306"/>
      <c r="EJ122" s="306"/>
      <c r="EK122" s="306"/>
      <c r="EL122" s="306"/>
      <c r="EM122" s="306"/>
      <c r="EN122" s="306"/>
      <c r="EO122" s="306"/>
      <c r="EP122" s="306"/>
      <c r="EQ122" s="306"/>
      <c r="ER122" s="306"/>
      <c r="ES122" s="306"/>
      <c r="ET122" s="306"/>
      <c r="EU122" s="306"/>
      <c r="EV122" s="491"/>
      <c r="EW122" s="306"/>
      <c r="EX122" s="306"/>
      <c r="EY122" s="306"/>
      <c r="EZ122" s="306"/>
      <c r="FA122" s="306"/>
      <c r="FB122" s="306"/>
      <c r="FC122" s="306"/>
      <c r="FD122" s="306"/>
      <c r="FE122" s="306"/>
      <c r="FF122" s="306"/>
      <c r="FG122" s="306"/>
      <c r="FH122" s="306"/>
      <c r="FI122" s="306"/>
      <c r="FJ122" s="306"/>
      <c r="FK122" s="306"/>
      <c r="FL122" s="487"/>
      <c r="FM122" s="306"/>
      <c r="FN122" s="306"/>
      <c r="FO122" s="306"/>
      <c r="FP122" s="306"/>
      <c r="FQ122" s="306"/>
      <c r="FR122" s="306"/>
      <c r="FS122" s="306"/>
      <c r="FT122" s="306"/>
      <c r="FU122" s="306"/>
      <c r="FV122" s="306"/>
      <c r="FW122" s="306"/>
      <c r="FX122" s="306"/>
      <c r="FY122" s="306"/>
      <c r="FZ122" s="306"/>
      <c r="GA122" s="306"/>
      <c r="GB122" s="491"/>
      <c r="GC122" s="306"/>
      <c r="GD122" s="306"/>
      <c r="GE122" s="306"/>
      <c r="GF122" s="491"/>
      <c r="GG122" s="494"/>
      <c r="GH122" s="487"/>
      <c r="GI122" s="306"/>
      <c r="GJ122" s="491"/>
      <c r="GK122" s="306"/>
      <c r="GL122" s="306"/>
      <c r="GM122" s="497"/>
      <c r="GN122" s="306"/>
      <c r="GO122" s="306"/>
      <c r="GP122" s="306"/>
    </row>
    <row r="123" spans="1:198" ht="15" x14ac:dyDescent="0.15">
      <c r="A123" s="498" t="e">
        <f>VLOOKUP($J123&amp;":", Catalog!$F$5:$BV127, COLUMNS(Catalog!$F$5:$BV127), FALSE)</f>
        <v>#N/A</v>
      </c>
      <c r="B123" s="482" t="b">
        <f t="shared" ca="1" si="0"/>
        <v>1</v>
      </c>
      <c r="C123" s="483" t="e">
        <f t="shared" si="1"/>
        <v>#VALUE!</v>
      </c>
      <c r="D123" s="483" t="e">
        <f>VLOOKUP($J123&amp;":", Catalog!$F$5:$BW127, COLUMNS(Catalog!$F$5:$BW127), FALSE)</f>
        <v>#N/A</v>
      </c>
      <c r="E123" s="33" t="e">
        <f>VLOOKUP($J123&amp;":", Catalog!$F$5:$BX127, COLUMNS(Catalog!$F$5:$BX127), FALSE)</f>
        <v>#N/A</v>
      </c>
      <c r="F123" s="483" t="e">
        <f>VLOOKUP($J123&amp;":", Catalog!$F$5:$BY127, COLUMNS(Catalog!$F$5:$BY127), FALSE)</f>
        <v>#N/A</v>
      </c>
      <c r="G123" s="483" t="e">
        <f>VLOOKUP($J123, Catalog!$E$5:$BZ127, COLUMNS(Catalog!$E$5:$BZ127), FALSE)</f>
        <v>#N/A</v>
      </c>
      <c r="H123" s="483" t="s">
        <v>7278</v>
      </c>
      <c r="I123" s="483">
        <v>2</v>
      </c>
      <c r="J123" s="306"/>
      <c r="K123" s="486">
        <v>1</v>
      </c>
      <c r="L123" s="100" t="s">
        <v>279</v>
      </c>
      <c r="M123" s="306"/>
      <c r="N123" s="100" t="s">
        <v>280</v>
      </c>
      <c r="O123" s="86"/>
      <c r="P123" s="86"/>
      <c r="Q123" s="86"/>
      <c r="R123" s="100" t="e">
        <f t="shared" si="2"/>
        <v>#N/A</v>
      </c>
      <c r="S123" s="487"/>
      <c r="T123" s="486"/>
      <c r="U123" s="488"/>
      <c r="V123" s="488"/>
      <c r="W123" s="488"/>
      <c r="X123" s="488"/>
      <c r="Y123" s="306"/>
      <c r="Z123" s="306"/>
      <c r="AA123" s="489"/>
      <c r="AB123" s="306" t="e">
        <f t="shared" si="3"/>
        <v>#N/A</v>
      </c>
      <c r="AC123" s="306" t="e">
        <f t="shared" si="4"/>
        <v>#N/A</v>
      </c>
      <c r="AD123" s="306" t="e">
        <f t="shared" si="5"/>
        <v>#N/A</v>
      </c>
      <c r="AE123" s="306"/>
      <c r="AF123" s="332" t="e">
        <f t="shared" si="6"/>
        <v>#N/A</v>
      </c>
      <c r="AG123" s="306"/>
      <c r="AH123" s="487"/>
      <c r="AI123" s="306"/>
      <c r="AJ123" s="306"/>
      <c r="AK123" s="306"/>
      <c r="AL123" s="306"/>
      <c r="AM123" s="306"/>
      <c r="AN123" s="491"/>
      <c r="AO123" s="306"/>
      <c r="AP123" s="306"/>
      <c r="AQ123" s="306"/>
      <c r="AR123" s="306"/>
      <c r="AS123" s="306"/>
      <c r="AT123" s="487"/>
      <c r="AU123" s="306"/>
      <c r="AV123" s="306"/>
      <c r="AW123" s="306"/>
      <c r="AX123" s="306"/>
      <c r="AY123" s="306"/>
      <c r="AZ123" s="491"/>
      <c r="BA123" s="306"/>
      <c r="BB123" s="306"/>
      <c r="BC123" s="487"/>
      <c r="BD123" s="306"/>
      <c r="BE123" s="306"/>
      <c r="BF123" s="492" t="str">
        <f ca="1">IFERROR(__xludf.DUMMYFUNCTION("IF(REGEXMATCH($G123, ""Any""), ""any"", IF(REGEXMATCH($G123, ""All""), ""all"", """"))"),"#N/A")</f>
        <v>#N/A</v>
      </c>
      <c r="BG123" s="491"/>
      <c r="BH123" s="306"/>
      <c r="BI123" s="306"/>
      <c r="BJ123" s="306"/>
      <c r="BK123" s="306"/>
      <c r="BL123" s="306"/>
      <c r="BM123" s="306"/>
      <c r="BN123" s="306"/>
      <c r="BO123" s="306"/>
      <c r="BP123" s="493"/>
      <c r="BQ123" s="306"/>
      <c r="BR123" s="306"/>
      <c r="BS123" s="494"/>
      <c r="BT123" s="487"/>
      <c r="BU123" s="306"/>
      <c r="BV123" s="306"/>
      <c r="BW123" s="306"/>
      <c r="BX123" s="306"/>
      <c r="BY123" s="306"/>
      <c r="BZ123" s="306"/>
      <c r="CA123" s="306"/>
      <c r="CB123" s="306"/>
      <c r="CC123" s="493"/>
      <c r="CD123" s="306"/>
      <c r="CE123" s="306"/>
      <c r="CF123" s="494"/>
      <c r="CG123" s="487"/>
      <c r="CH123" s="306"/>
      <c r="CI123" s="306"/>
      <c r="CJ123" s="306"/>
      <c r="CK123" s="306"/>
      <c r="CL123" s="306"/>
      <c r="CM123" s="306"/>
      <c r="CN123" s="306"/>
      <c r="CO123" s="306"/>
      <c r="CP123" s="306"/>
      <c r="CQ123" s="306"/>
      <c r="CR123" s="306"/>
      <c r="CS123" s="494"/>
      <c r="CT123" s="306"/>
      <c r="CU123" s="306"/>
      <c r="CV123" s="306"/>
      <c r="CW123" s="306"/>
      <c r="CX123" s="306"/>
      <c r="CY123" s="306"/>
      <c r="CZ123" s="306"/>
      <c r="DA123" s="306"/>
      <c r="DB123" s="306"/>
      <c r="DC123" s="493"/>
      <c r="DD123" s="306"/>
      <c r="DE123" s="306"/>
      <c r="DF123" s="494"/>
      <c r="DG123" s="306"/>
      <c r="DH123" s="306"/>
      <c r="DI123" s="306"/>
      <c r="DJ123" s="306"/>
      <c r="DK123" s="306"/>
      <c r="DL123" s="306"/>
      <c r="DM123" s="306"/>
      <c r="DN123" s="306"/>
      <c r="DO123" s="306"/>
      <c r="DP123" s="493"/>
      <c r="DQ123" s="306"/>
      <c r="DR123" s="306"/>
      <c r="DS123" s="489"/>
      <c r="DT123" s="306"/>
      <c r="DU123" s="306"/>
      <c r="DV123" s="306"/>
      <c r="DW123" s="306"/>
      <c r="DX123" s="306"/>
      <c r="DY123" s="306"/>
      <c r="DZ123" s="306"/>
      <c r="EA123" s="306"/>
      <c r="EB123" s="306"/>
      <c r="EC123" s="306"/>
      <c r="ED123" s="493"/>
      <c r="EE123" s="306"/>
      <c r="EF123" s="306"/>
      <c r="EG123" s="306"/>
      <c r="EH123" s="487"/>
      <c r="EI123" s="306"/>
      <c r="EJ123" s="306"/>
      <c r="EK123" s="306"/>
      <c r="EL123" s="306"/>
      <c r="EM123" s="306"/>
      <c r="EN123" s="306"/>
      <c r="EO123" s="306"/>
      <c r="EP123" s="306"/>
      <c r="EQ123" s="306"/>
      <c r="ER123" s="306"/>
      <c r="ES123" s="306"/>
      <c r="ET123" s="306"/>
      <c r="EU123" s="306"/>
      <c r="EV123" s="491"/>
      <c r="EW123" s="306"/>
      <c r="EX123" s="306"/>
      <c r="EY123" s="306"/>
      <c r="EZ123" s="306"/>
      <c r="FA123" s="306"/>
      <c r="FB123" s="306"/>
      <c r="FC123" s="306"/>
      <c r="FD123" s="306"/>
      <c r="FE123" s="306"/>
      <c r="FF123" s="306"/>
      <c r="FG123" s="306"/>
      <c r="FH123" s="306"/>
      <c r="FI123" s="306"/>
      <c r="FJ123" s="306"/>
      <c r="FK123" s="306"/>
      <c r="FL123" s="487"/>
      <c r="FM123" s="306"/>
      <c r="FN123" s="306"/>
      <c r="FO123" s="306"/>
      <c r="FP123" s="306"/>
      <c r="FQ123" s="306"/>
      <c r="FR123" s="306"/>
      <c r="FS123" s="306"/>
      <c r="FT123" s="306"/>
      <c r="FU123" s="306"/>
      <c r="FV123" s="306"/>
      <c r="FW123" s="306"/>
      <c r="FX123" s="306"/>
      <c r="FY123" s="306"/>
      <c r="FZ123" s="306"/>
      <c r="GA123" s="306"/>
      <c r="GB123" s="491"/>
      <c r="GC123" s="306"/>
      <c r="GD123" s="306"/>
      <c r="GE123" s="306"/>
      <c r="GF123" s="491"/>
      <c r="GG123" s="494"/>
      <c r="GH123" s="487"/>
      <c r="GI123" s="306"/>
      <c r="GJ123" s="491"/>
      <c r="GK123" s="306"/>
      <c r="GL123" s="306"/>
      <c r="GM123" s="497"/>
      <c r="GN123" s="306"/>
      <c r="GO123" s="306"/>
      <c r="GP123" s="306"/>
    </row>
    <row r="124" spans="1:198" ht="15" x14ac:dyDescent="0.15">
      <c r="A124" s="498" t="e">
        <f>VLOOKUP($J124&amp;":", Catalog!$F$5:$BV127, COLUMNS(Catalog!$F$5:$BV127), FALSE)</f>
        <v>#N/A</v>
      </c>
      <c r="B124" s="482" t="b">
        <f t="shared" ca="1" si="0"/>
        <v>1</v>
      </c>
      <c r="C124" s="483" t="e">
        <f t="shared" si="1"/>
        <v>#VALUE!</v>
      </c>
      <c r="D124" s="483" t="e">
        <f>VLOOKUP($J124&amp;":", Catalog!$F$5:$BW127, COLUMNS(Catalog!$F$5:$BW127), FALSE)</f>
        <v>#N/A</v>
      </c>
      <c r="E124" s="33" t="e">
        <f>VLOOKUP($J124&amp;":", Catalog!$F$5:$BX127, COLUMNS(Catalog!$F$5:$BX127), FALSE)</f>
        <v>#N/A</v>
      </c>
      <c r="F124" s="483" t="e">
        <f>VLOOKUP($J124&amp;":", Catalog!$F$5:$BY127, COLUMNS(Catalog!$F$5:$BY127), FALSE)</f>
        <v>#N/A</v>
      </c>
      <c r="G124" s="483" t="e">
        <f>VLOOKUP($J124, Catalog!$E$5:$BZ127, COLUMNS(Catalog!$E$5:$BZ127), FALSE)</f>
        <v>#N/A</v>
      </c>
      <c r="H124" s="483" t="s">
        <v>7278</v>
      </c>
      <c r="I124" s="483">
        <v>2</v>
      </c>
      <c r="J124" s="306"/>
      <c r="K124" s="486">
        <v>1</v>
      </c>
      <c r="L124" s="100" t="s">
        <v>279</v>
      </c>
      <c r="M124" s="306"/>
      <c r="N124" s="100" t="s">
        <v>280</v>
      </c>
      <c r="O124" s="86"/>
      <c r="P124" s="86"/>
      <c r="Q124" s="86"/>
      <c r="R124" s="100" t="e">
        <f t="shared" si="2"/>
        <v>#N/A</v>
      </c>
      <c r="S124" s="487"/>
      <c r="T124" s="486"/>
      <c r="U124" s="488"/>
      <c r="V124" s="488"/>
      <c r="W124" s="488"/>
      <c r="X124" s="488"/>
      <c r="Y124" s="306"/>
      <c r="Z124" s="306"/>
      <c r="AA124" s="489"/>
      <c r="AB124" s="306" t="e">
        <f t="shared" si="3"/>
        <v>#N/A</v>
      </c>
      <c r="AC124" s="306" t="e">
        <f t="shared" si="4"/>
        <v>#N/A</v>
      </c>
      <c r="AD124" s="306" t="e">
        <f t="shared" si="5"/>
        <v>#N/A</v>
      </c>
      <c r="AE124" s="306"/>
      <c r="AF124" s="332" t="e">
        <f t="shared" si="6"/>
        <v>#N/A</v>
      </c>
      <c r="AG124" s="306"/>
      <c r="AH124" s="487"/>
      <c r="AI124" s="306"/>
      <c r="AJ124" s="306"/>
      <c r="AK124" s="306"/>
      <c r="AL124" s="306"/>
      <c r="AM124" s="306"/>
      <c r="AN124" s="491"/>
      <c r="AO124" s="306"/>
      <c r="AP124" s="306"/>
      <c r="AQ124" s="306"/>
      <c r="AR124" s="306"/>
      <c r="AS124" s="306"/>
      <c r="AT124" s="487"/>
      <c r="AU124" s="306"/>
      <c r="AV124" s="306"/>
      <c r="AW124" s="306"/>
      <c r="AX124" s="306"/>
      <c r="AY124" s="306"/>
      <c r="AZ124" s="491"/>
      <c r="BA124" s="306"/>
      <c r="BB124" s="306"/>
      <c r="BC124" s="487"/>
      <c r="BD124" s="306"/>
      <c r="BE124" s="306"/>
      <c r="BF124" s="492" t="str">
        <f ca="1">IFERROR(__xludf.DUMMYFUNCTION("IF(REGEXMATCH($G124, ""Any""), ""any"", IF(REGEXMATCH($G124, ""All""), ""all"", """"))"),"#N/A")</f>
        <v>#N/A</v>
      </c>
      <c r="BG124" s="491"/>
      <c r="BH124" s="306"/>
      <c r="BI124" s="306"/>
      <c r="BJ124" s="306"/>
      <c r="BK124" s="306"/>
      <c r="BL124" s="306"/>
      <c r="BM124" s="306"/>
      <c r="BN124" s="306"/>
      <c r="BO124" s="306"/>
      <c r="BP124" s="493"/>
      <c r="BQ124" s="306"/>
      <c r="BR124" s="306"/>
      <c r="BS124" s="494"/>
      <c r="BT124" s="487"/>
      <c r="BU124" s="306"/>
      <c r="BV124" s="306"/>
      <c r="BW124" s="306"/>
      <c r="BX124" s="306"/>
      <c r="BY124" s="306"/>
      <c r="BZ124" s="306"/>
      <c r="CA124" s="306"/>
      <c r="CB124" s="306"/>
      <c r="CC124" s="493"/>
      <c r="CD124" s="306"/>
      <c r="CE124" s="306"/>
      <c r="CF124" s="494"/>
      <c r="CG124" s="487"/>
      <c r="CH124" s="306"/>
      <c r="CI124" s="306"/>
      <c r="CJ124" s="306"/>
      <c r="CK124" s="306"/>
      <c r="CL124" s="306"/>
      <c r="CM124" s="306"/>
      <c r="CN124" s="306"/>
      <c r="CO124" s="306"/>
      <c r="CP124" s="306"/>
      <c r="CQ124" s="306"/>
      <c r="CR124" s="306"/>
      <c r="CS124" s="494"/>
      <c r="CT124" s="306"/>
      <c r="CU124" s="306"/>
      <c r="CV124" s="306"/>
      <c r="CW124" s="306"/>
      <c r="CX124" s="306"/>
      <c r="CY124" s="306"/>
      <c r="CZ124" s="306"/>
      <c r="DA124" s="306"/>
      <c r="DB124" s="306"/>
      <c r="DC124" s="493"/>
      <c r="DD124" s="306"/>
      <c r="DE124" s="306"/>
      <c r="DF124" s="494"/>
      <c r="DG124" s="306"/>
      <c r="DH124" s="306"/>
      <c r="DI124" s="306"/>
      <c r="DJ124" s="306"/>
      <c r="DK124" s="306"/>
      <c r="DL124" s="306"/>
      <c r="DM124" s="306"/>
      <c r="DN124" s="306"/>
      <c r="DO124" s="306"/>
      <c r="DP124" s="493"/>
      <c r="DQ124" s="306"/>
      <c r="DR124" s="306"/>
      <c r="DS124" s="489"/>
      <c r="DT124" s="306"/>
      <c r="DU124" s="306"/>
      <c r="DV124" s="306"/>
      <c r="DW124" s="306"/>
      <c r="DX124" s="306"/>
      <c r="DY124" s="306"/>
      <c r="DZ124" s="306"/>
      <c r="EA124" s="306"/>
      <c r="EB124" s="306"/>
      <c r="EC124" s="306"/>
      <c r="ED124" s="493"/>
      <c r="EE124" s="306"/>
      <c r="EF124" s="306"/>
      <c r="EG124" s="306"/>
      <c r="EH124" s="487"/>
      <c r="EI124" s="306"/>
      <c r="EJ124" s="306"/>
      <c r="EK124" s="306"/>
      <c r="EL124" s="306"/>
      <c r="EM124" s="306"/>
      <c r="EN124" s="306"/>
      <c r="EO124" s="306"/>
      <c r="EP124" s="306"/>
      <c r="EQ124" s="306"/>
      <c r="ER124" s="306"/>
      <c r="ES124" s="306"/>
      <c r="ET124" s="306"/>
      <c r="EU124" s="306"/>
      <c r="EV124" s="491"/>
      <c r="EW124" s="306"/>
      <c r="EX124" s="306"/>
      <c r="EY124" s="306"/>
      <c r="EZ124" s="306"/>
      <c r="FA124" s="306"/>
      <c r="FB124" s="306"/>
      <c r="FC124" s="306"/>
      <c r="FD124" s="306"/>
      <c r="FE124" s="306"/>
      <c r="FF124" s="306"/>
      <c r="FG124" s="306"/>
      <c r="FH124" s="306"/>
      <c r="FI124" s="306"/>
      <c r="FJ124" s="306"/>
      <c r="FK124" s="306"/>
      <c r="FL124" s="487"/>
      <c r="FM124" s="306"/>
      <c r="FN124" s="306"/>
      <c r="FO124" s="306"/>
      <c r="FP124" s="306"/>
      <c r="FQ124" s="306"/>
      <c r="FR124" s="306"/>
      <c r="FS124" s="306"/>
      <c r="FT124" s="306"/>
      <c r="FU124" s="306"/>
      <c r="FV124" s="306"/>
      <c r="FW124" s="306"/>
      <c r="FX124" s="306"/>
      <c r="FY124" s="306"/>
      <c r="FZ124" s="306"/>
      <c r="GA124" s="306"/>
      <c r="GB124" s="491"/>
      <c r="GC124" s="306"/>
      <c r="GD124" s="306"/>
      <c r="GE124" s="306"/>
      <c r="GF124" s="491"/>
      <c r="GG124" s="494"/>
      <c r="GH124" s="487"/>
      <c r="GI124" s="306"/>
      <c r="GJ124" s="491"/>
      <c r="GK124" s="306"/>
      <c r="GL124" s="306"/>
      <c r="GM124" s="497"/>
      <c r="GN124" s="306"/>
      <c r="GO124" s="306"/>
      <c r="GP124" s="306"/>
    </row>
    <row r="125" spans="1:198" ht="15" x14ac:dyDescent="0.15">
      <c r="A125" s="498" t="e">
        <f>VLOOKUP($J125&amp;":", Catalog!$F$5:$BV127, COLUMNS(Catalog!$F$5:$BV127), FALSE)</f>
        <v>#N/A</v>
      </c>
      <c r="B125" s="482" t="b">
        <f t="shared" ca="1" si="0"/>
        <v>1</v>
      </c>
      <c r="C125" s="483" t="e">
        <f t="shared" si="1"/>
        <v>#VALUE!</v>
      </c>
      <c r="D125" s="483" t="e">
        <f>VLOOKUP($J125&amp;":", Catalog!$F$5:$BW127, COLUMNS(Catalog!$F$5:$BW127), FALSE)</f>
        <v>#N/A</v>
      </c>
      <c r="E125" s="33" t="e">
        <f>VLOOKUP($J125&amp;":", Catalog!$F$5:$BX127, COLUMNS(Catalog!$F$5:$BX127), FALSE)</f>
        <v>#N/A</v>
      </c>
      <c r="F125" s="483" t="e">
        <f>VLOOKUP($J125&amp;":", Catalog!$F$5:$BY127, COLUMNS(Catalog!$F$5:$BY127), FALSE)</f>
        <v>#N/A</v>
      </c>
      <c r="G125" s="483" t="e">
        <f>VLOOKUP($J125, Catalog!$E$5:$BZ127, COLUMNS(Catalog!$E$5:$BZ127), FALSE)</f>
        <v>#N/A</v>
      </c>
      <c r="H125" s="483" t="s">
        <v>7278</v>
      </c>
      <c r="I125" s="483">
        <v>2</v>
      </c>
      <c r="J125" s="306"/>
      <c r="K125" s="486">
        <v>1</v>
      </c>
      <c r="L125" s="100" t="s">
        <v>279</v>
      </c>
      <c r="M125" s="306"/>
      <c r="N125" s="100" t="s">
        <v>280</v>
      </c>
      <c r="O125" s="86"/>
      <c r="P125" s="86"/>
      <c r="Q125" s="86"/>
      <c r="R125" s="100" t="e">
        <f t="shared" si="2"/>
        <v>#N/A</v>
      </c>
      <c r="S125" s="487"/>
      <c r="T125" s="486"/>
      <c r="U125" s="488"/>
      <c r="V125" s="488"/>
      <c r="W125" s="488"/>
      <c r="X125" s="488"/>
      <c r="Y125" s="306"/>
      <c r="Z125" s="306"/>
      <c r="AA125" s="489"/>
      <c r="AB125" s="306" t="e">
        <f t="shared" si="3"/>
        <v>#N/A</v>
      </c>
      <c r="AC125" s="306" t="e">
        <f t="shared" si="4"/>
        <v>#N/A</v>
      </c>
      <c r="AD125" s="306" t="e">
        <f t="shared" si="5"/>
        <v>#N/A</v>
      </c>
      <c r="AE125" s="306"/>
      <c r="AF125" s="332" t="e">
        <f t="shared" si="6"/>
        <v>#N/A</v>
      </c>
      <c r="AG125" s="306"/>
      <c r="AH125" s="487"/>
      <c r="AI125" s="306"/>
      <c r="AJ125" s="306"/>
      <c r="AK125" s="306"/>
      <c r="AL125" s="306"/>
      <c r="AM125" s="306"/>
      <c r="AN125" s="491"/>
      <c r="AO125" s="306"/>
      <c r="AP125" s="306"/>
      <c r="AQ125" s="306"/>
      <c r="AR125" s="306"/>
      <c r="AS125" s="306"/>
      <c r="AT125" s="487"/>
      <c r="AU125" s="306"/>
      <c r="AV125" s="306"/>
      <c r="AW125" s="306"/>
      <c r="AX125" s="306"/>
      <c r="AY125" s="306"/>
      <c r="AZ125" s="491"/>
      <c r="BA125" s="306"/>
      <c r="BB125" s="306"/>
      <c r="BC125" s="487"/>
      <c r="BD125" s="306"/>
      <c r="BE125" s="306"/>
      <c r="BF125" s="492" t="str">
        <f ca="1">IFERROR(__xludf.DUMMYFUNCTION("IF(REGEXMATCH($G125, ""Any""), ""any"", IF(REGEXMATCH($G125, ""All""), ""all"", """"))"),"#N/A")</f>
        <v>#N/A</v>
      </c>
      <c r="BG125" s="491"/>
      <c r="BH125" s="306"/>
      <c r="BI125" s="306"/>
      <c r="BJ125" s="306"/>
      <c r="BK125" s="306"/>
      <c r="BL125" s="306"/>
      <c r="BM125" s="306"/>
      <c r="BN125" s="306"/>
      <c r="BO125" s="306"/>
      <c r="BP125" s="493"/>
      <c r="BQ125" s="306"/>
      <c r="BR125" s="306"/>
      <c r="BS125" s="494"/>
      <c r="BT125" s="487"/>
      <c r="BU125" s="306"/>
      <c r="BV125" s="306"/>
      <c r="BW125" s="306"/>
      <c r="BX125" s="306"/>
      <c r="BY125" s="306"/>
      <c r="BZ125" s="306"/>
      <c r="CA125" s="306"/>
      <c r="CB125" s="306"/>
      <c r="CC125" s="493"/>
      <c r="CD125" s="306"/>
      <c r="CE125" s="306"/>
      <c r="CF125" s="494"/>
      <c r="CG125" s="487"/>
      <c r="CH125" s="306"/>
      <c r="CI125" s="306"/>
      <c r="CJ125" s="306"/>
      <c r="CK125" s="306"/>
      <c r="CL125" s="306"/>
      <c r="CM125" s="306"/>
      <c r="CN125" s="306"/>
      <c r="CO125" s="306"/>
      <c r="CP125" s="306"/>
      <c r="CQ125" s="306"/>
      <c r="CR125" s="306"/>
      <c r="CS125" s="494"/>
      <c r="CT125" s="306"/>
      <c r="CU125" s="306"/>
      <c r="CV125" s="306"/>
      <c r="CW125" s="306"/>
      <c r="CX125" s="306"/>
      <c r="CY125" s="306"/>
      <c r="CZ125" s="306"/>
      <c r="DA125" s="306"/>
      <c r="DB125" s="306"/>
      <c r="DC125" s="493"/>
      <c r="DD125" s="306"/>
      <c r="DE125" s="306"/>
      <c r="DF125" s="494"/>
      <c r="DG125" s="306"/>
      <c r="DH125" s="306"/>
      <c r="DI125" s="306"/>
      <c r="DJ125" s="306"/>
      <c r="DK125" s="306"/>
      <c r="DL125" s="306"/>
      <c r="DM125" s="306"/>
      <c r="DN125" s="306"/>
      <c r="DO125" s="306"/>
      <c r="DP125" s="493"/>
      <c r="DQ125" s="306"/>
      <c r="DR125" s="306"/>
      <c r="DS125" s="489"/>
      <c r="DT125" s="306"/>
      <c r="DU125" s="306"/>
      <c r="DV125" s="306"/>
      <c r="DW125" s="306"/>
      <c r="DX125" s="306"/>
      <c r="DY125" s="306"/>
      <c r="DZ125" s="306"/>
      <c r="EA125" s="306"/>
      <c r="EB125" s="306"/>
      <c r="EC125" s="306"/>
      <c r="ED125" s="493"/>
      <c r="EE125" s="306"/>
      <c r="EF125" s="306"/>
      <c r="EG125" s="306"/>
      <c r="EH125" s="487"/>
      <c r="EI125" s="306"/>
      <c r="EJ125" s="306"/>
      <c r="EK125" s="306"/>
      <c r="EL125" s="306"/>
      <c r="EM125" s="306"/>
      <c r="EN125" s="306"/>
      <c r="EO125" s="306"/>
      <c r="EP125" s="306"/>
      <c r="EQ125" s="306"/>
      <c r="ER125" s="306"/>
      <c r="ES125" s="306"/>
      <c r="ET125" s="306"/>
      <c r="EU125" s="306"/>
      <c r="EV125" s="491"/>
      <c r="EW125" s="306"/>
      <c r="EX125" s="306"/>
      <c r="EY125" s="306"/>
      <c r="EZ125" s="306"/>
      <c r="FA125" s="306"/>
      <c r="FB125" s="306"/>
      <c r="FC125" s="306"/>
      <c r="FD125" s="306"/>
      <c r="FE125" s="306"/>
      <c r="FF125" s="306"/>
      <c r="FG125" s="306"/>
      <c r="FH125" s="306"/>
      <c r="FI125" s="306"/>
      <c r="FJ125" s="306"/>
      <c r="FK125" s="306"/>
      <c r="FL125" s="487"/>
      <c r="FM125" s="306"/>
      <c r="FN125" s="306"/>
      <c r="FO125" s="306"/>
      <c r="FP125" s="306"/>
      <c r="FQ125" s="306"/>
      <c r="FR125" s="306"/>
      <c r="FS125" s="306"/>
      <c r="FT125" s="306"/>
      <c r="FU125" s="306"/>
      <c r="FV125" s="306"/>
      <c r="FW125" s="306"/>
      <c r="FX125" s="306"/>
      <c r="FY125" s="306"/>
      <c r="FZ125" s="306"/>
      <c r="GA125" s="306"/>
      <c r="GB125" s="491"/>
      <c r="GC125" s="306"/>
      <c r="GD125" s="306"/>
      <c r="GE125" s="306"/>
      <c r="GF125" s="491"/>
      <c r="GG125" s="494"/>
      <c r="GH125" s="487"/>
      <c r="GI125" s="306"/>
      <c r="GJ125" s="491"/>
      <c r="GK125" s="306"/>
      <c r="GL125" s="306"/>
      <c r="GM125" s="497"/>
      <c r="GN125" s="306"/>
      <c r="GO125" s="306"/>
      <c r="GP125" s="306"/>
    </row>
    <row r="126" spans="1:198" ht="15" x14ac:dyDescent="0.15">
      <c r="A126" s="498" t="e">
        <f>VLOOKUP($J126&amp;":", Catalog!$F$5:$BV127, COLUMNS(Catalog!$F$5:$BV127), FALSE)</f>
        <v>#N/A</v>
      </c>
      <c r="B126" s="482" t="b">
        <f t="shared" ca="1" si="0"/>
        <v>1</v>
      </c>
      <c r="C126" s="483" t="e">
        <f t="shared" si="1"/>
        <v>#VALUE!</v>
      </c>
      <c r="D126" s="483" t="e">
        <f>VLOOKUP($J126&amp;":", Catalog!$F$5:$BW127, COLUMNS(Catalog!$F$5:$BW127), FALSE)</f>
        <v>#N/A</v>
      </c>
      <c r="E126" s="33" t="e">
        <f>VLOOKUP($J126&amp;":", Catalog!$F$5:$BX127, COLUMNS(Catalog!$F$5:$BX127), FALSE)</f>
        <v>#N/A</v>
      </c>
      <c r="F126" s="483" t="e">
        <f>VLOOKUP($J126&amp;":", Catalog!$F$5:$BY127, COLUMNS(Catalog!$F$5:$BY127), FALSE)</f>
        <v>#N/A</v>
      </c>
      <c r="G126" s="483" t="e">
        <f>VLOOKUP($J126, Catalog!$E$5:$BZ127, COLUMNS(Catalog!$E$5:$BZ127), FALSE)</f>
        <v>#N/A</v>
      </c>
      <c r="H126" s="483" t="s">
        <v>7278</v>
      </c>
      <c r="I126" s="483">
        <v>2</v>
      </c>
      <c r="J126" s="306"/>
      <c r="K126" s="486">
        <v>1</v>
      </c>
      <c r="L126" s="100" t="s">
        <v>279</v>
      </c>
      <c r="M126" s="306"/>
      <c r="N126" s="100" t="s">
        <v>280</v>
      </c>
      <c r="O126" s="86"/>
      <c r="P126" s="86"/>
      <c r="Q126" s="86"/>
      <c r="R126" s="100" t="e">
        <f t="shared" si="2"/>
        <v>#N/A</v>
      </c>
      <c r="S126" s="487"/>
      <c r="T126" s="486"/>
      <c r="U126" s="488"/>
      <c r="V126" s="488"/>
      <c r="W126" s="488"/>
      <c r="X126" s="488"/>
      <c r="Y126" s="306"/>
      <c r="Z126" s="306"/>
      <c r="AA126" s="489"/>
      <c r="AB126" s="306" t="e">
        <f t="shared" si="3"/>
        <v>#N/A</v>
      </c>
      <c r="AC126" s="306" t="e">
        <f t="shared" si="4"/>
        <v>#N/A</v>
      </c>
      <c r="AD126" s="306" t="e">
        <f t="shared" si="5"/>
        <v>#N/A</v>
      </c>
      <c r="AE126" s="306"/>
      <c r="AF126" s="332" t="e">
        <f t="shared" si="6"/>
        <v>#N/A</v>
      </c>
      <c r="AG126" s="306"/>
      <c r="AH126" s="487"/>
      <c r="AI126" s="306"/>
      <c r="AJ126" s="306"/>
      <c r="AK126" s="306"/>
      <c r="AL126" s="306"/>
      <c r="AM126" s="306"/>
      <c r="AN126" s="491"/>
      <c r="AO126" s="306"/>
      <c r="AP126" s="306"/>
      <c r="AQ126" s="306"/>
      <c r="AR126" s="306"/>
      <c r="AS126" s="306"/>
      <c r="AT126" s="487"/>
      <c r="AU126" s="306"/>
      <c r="AV126" s="306"/>
      <c r="AW126" s="306"/>
      <c r="AX126" s="306"/>
      <c r="AY126" s="306"/>
      <c r="AZ126" s="491"/>
      <c r="BA126" s="306"/>
      <c r="BB126" s="306"/>
      <c r="BC126" s="487"/>
      <c r="BD126" s="306"/>
      <c r="BE126" s="306"/>
      <c r="BF126" s="492" t="str">
        <f ca="1">IFERROR(__xludf.DUMMYFUNCTION("IF(REGEXMATCH($G126, ""Any""), ""any"", IF(REGEXMATCH($G126, ""All""), ""all"", """"))"),"#N/A")</f>
        <v>#N/A</v>
      </c>
      <c r="BG126" s="491"/>
      <c r="BH126" s="306"/>
      <c r="BI126" s="306"/>
      <c r="BJ126" s="306"/>
      <c r="BK126" s="306"/>
      <c r="BL126" s="306"/>
      <c r="BM126" s="306"/>
      <c r="BN126" s="306"/>
      <c r="BO126" s="306"/>
      <c r="BP126" s="493"/>
      <c r="BQ126" s="306"/>
      <c r="BR126" s="306"/>
      <c r="BS126" s="494"/>
      <c r="BT126" s="487"/>
      <c r="BU126" s="306"/>
      <c r="BV126" s="306"/>
      <c r="BW126" s="306"/>
      <c r="BX126" s="306"/>
      <c r="BY126" s="306"/>
      <c r="BZ126" s="306"/>
      <c r="CA126" s="306"/>
      <c r="CB126" s="306"/>
      <c r="CC126" s="493"/>
      <c r="CD126" s="306"/>
      <c r="CE126" s="306"/>
      <c r="CF126" s="494"/>
      <c r="CG126" s="487"/>
      <c r="CH126" s="306"/>
      <c r="CI126" s="306"/>
      <c r="CJ126" s="306"/>
      <c r="CK126" s="306"/>
      <c r="CL126" s="306"/>
      <c r="CM126" s="306"/>
      <c r="CN126" s="306"/>
      <c r="CO126" s="306"/>
      <c r="CP126" s="306"/>
      <c r="CQ126" s="306"/>
      <c r="CR126" s="306"/>
      <c r="CS126" s="494"/>
      <c r="CT126" s="306"/>
      <c r="CU126" s="306"/>
      <c r="CV126" s="306"/>
      <c r="CW126" s="306"/>
      <c r="CX126" s="306"/>
      <c r="CY126" s="306"/>
      <c r="CZ126" s="306"/>
      <c r="DA126" s="306"/>
      <c r="DB126" s="306"/>
      <c r="DC126" s="493"/>
      <c r="DD126" s="306"/>
      <c r="DE126" s="306"/>
      <c r="DF126" s="494"/>
      <c r="DG126" s="306"/>
      <c r="DH126" s="306"/>
      <c r="DI126" s="306"/>
      <c r="DJ126" s="306"/>
      <c r="DK126" s="306"/>
      <c r="DL126" s="306"/>
      <c r="DM126" s="306"/>
      <c r="DN126" s="306"/>
      <c r="DO126" s="306"/>
      <c r="DP126" s="493"/>
      <c r="DQ126" s="306"/>
      <c r="DR126" s="306"/>
      <c r="DS126" s="489"/>
      <c r="DT126" s="306"/>
      <c r="DU126" s="306"/>
      <c r="DV126" s="306"/>
      <c r="DW126" s="306"/>
      <c r="DX126" s="306"/>
      <c r="DY126" s="306"/>
      <c r="DZ126" s="306"/>
      <c r="EA126" s="306"/>
      <c r="EB126" s="306"/>
      <c r="EC126" s="306"/>
      <c r="ED126" s="493"/>
      <c r="EE126" s="306"/>
      <c r="EF126" s="306"/>
      <c r="EG126" s="306"/>
      <c r="EH126" s="487"/>
      <c r="EI126" s="306"/>
      <c r="EJ126" s="306"/>
      <c r="EK126" s="306"/>
      <c r="EL126" s="306"/>
      <c r="EM126" s="306"/>
      <c r="EN126" s="306"/>
      <c r="EO126" s="306"/>
      <c r="EP126" s="306"/>
      <c r="EQ126" s="306"/>
      <c r="ER126" s="306"/>
      <c r="ES126" s="306"/>
      <c r="ET126" s="306"/>
      <c r="EU126" s="306"/>
      <c r="EV126" s="491"/>
      <c r="EW126" s="306"/>
      <c r="EX126" s="306"/>
      <c r="EY126" s="306"/>
      <c r="EZ126" s="306"/>
      <c r="FA126" s="306"/>
      <c r="FB126" s="306"/>
      <c r="FC126" s="306"/>
      <c r="FD126" s="306"/>
      <c r="FE126" s="306"/>
      <c r="FF126" s="306"/>
      <c r="FG126" s="306"/>
      <c r="FH126" s="306"/>
      <c r="FI126" s="306"/>
      <c r="FJ126" s="306"/>
      <c r="FK126" s="306"/>
      <c r="FL126" s="487"/>
      <c r="FM126" s="306"/>
      <c r="FN126" s="306"/>
      <c r="FO126" s="306"/>
      <c r="FP126" s="306"/>
      <c r="FQ126" s="306"/>
      <c r="FR126" s="306"/>
      <c r="FS126" s="306"/>
      <c r="FT126" s="306"/>
      <c r="FU126" s="306"/>
      <c r="FV126" s="306"/>
      <c r="FW126" s="306"/>
      <c r="FX126" s="306"/>
      <c r="FY126" s="306"/>
      <c r="FZ126" s="306"/>
      <c r="GA126" s="306"/>
      <c r="GB126" s="491"/>
      <c r="GC126" s="306"/>
      <c r="GD126" s="306"/>
      <c r="GE126" s="306"/>
      <c r="GF126" s="491"/>
      <c r="GG126" s="494"/>
      <c r="GH126" s="487"/>
      <c r="GI126" s="306"/>
      <c r="GJ126" s="491"/>
      <c r="GK126" s="306"/>
      <c r="GL126" s="306"/>
      <c r="GM126" s="497"/>
      <c r="GN126" s="306"/>
      <c r="GO126" s="306"/>
      <c r="GP126" s="306"/>
    </row>
    <row r="127" spans="1:198" ht="15" x14ac:dyDescent="0.15">
      <c r="A127" s="498" t="e">
        <f>VLOOKUP($J127&amp;":", Catalog!$F$5:$BV127, COLUMNS(Catalog!$F$5:$BV127), FALSE)</f>
        <v>#N/A</v>
      </c>
      <c r="B127" s="482" t="b">
        <f t="shared" ca="1" si="0"/>
        <v>1</v>
      </c>
      <c r="C127" s="483" t="e">
        <f t="shared" si="1"/>
        <v>#VALUE!</v>
      </c>
      <c r="D127" s="483" t="e">
        <f>VLOOKUP($J127&amp;":", Catalog!$F$5:$BW127, COLUMNS(Catalog!$F$5:$BW127), FALSE)</f>
        <v>#N/A</v>
      </c>
      <c r="E127" s="33" t="e">
        <f>VLOOKUP($J127&amp;":", Catalog!$F$5:$BX127, COLUMNS(Catalog!$F$5:$BX127), FALSE)</f>
        <v>#N/A</v>
      </c>
      <c r="F127" s="483" t="e">
        <f>VLOOKUP($J127&amp;":", Catalog!$F$5:$BY127, COLUMNS(Catalog!$F$5:$BY127), FALSE)</f>
        <v>#N/A</v>
      </c>
      <c r="G127" s="483" t="e">
        <f>VLOOKUP($J127, Catalog!$E$5:$BZ127, COLUMNS(Catalog!$E$5:$BZ127), FALSE)</f>
        <v>#N/A</v>
      </c>
      <c r="H127" s="483" t="s">
        <v>7278</v>
      </c>
      <c r="I127" s="483">
        <v>2</v>
      </c>
      <c r="J127" s="306"/>
      <c r="K127" s="486">
        <v>1</v>
      </c>
      <c r="L127" s="100" t="s">
        <v>279</v>
      </c>
      <c r="M127" s="306"/>
      <c r="N127" s="100" t="s">
        <v>280</v>
      </c>
      <c r="O127" s="86"/>
      <c r="P127" s="86"/>
      <c r="Q127" s="86"/>
      <c r="R127" s="100" t="e">
        <f t="shared" si="2"/>
        <v>#N/A</v>
      </c>
      <c r="S127" s="487"/>
      <c r="T127" s="486"/>
      <c r="U127" s="488"/>
      <c r="V127" s="488"/>
      <c r="W127" s="488"/>
      <c r="X127" s="488"/>
      <c r="Y127" s="306"/>
      <c r="Z127" s="306"/>
      <c r="AA127" s="489"/>
      <c r="AB127" s="306" t="e">
        <f t="shared" si="3"/>
        <v>#N/A</v>
      </c>
      <c r="AC127" s="306" t="e">
        <f t="shared" si="4"/>
        <v>#N/A</v>
      </c>
      <c r="AD127" s="306" t="e">
        <f t="shared" si="5"/>
        <v>#N/A</v>
      </c>
      <c r="AE127" s="306"/>
      <c r="AF127" s="332" t="e">
        <f t="shared" si="6"/>
        <v>#N/A</v>
      </c>
      <c r="AG127" s="306"/>
      <c r="AH127" s="487"/>
      <c r="AI127" s="306"/>
      <c r="AJ127" s="306"/>
      <c r="AK127" s="306"/>
      <c r="AL127" s="306"/>
      <c r="AM127" s="306"/>
      <c r="AN127" s="491"/>
      <c r="AO127" s="306"/>
      <c r="AP127" s="306"/>
      <c r="AQ127" s="306"/>
      <c r="AR127" s="306"/>
      <c r="AS127" s="306"/>
      <c r="AT127" s="487"/>
      <c r="AU127" s="306"/>
      <c r="AV127" s="306"/>
      <c r="AW127" s="306"/>
      <c r="AX127" s="306"/>
      <c r="AY127" s="306"/>
      <c r="AZ127" s="491"/>
      <c r="BA127" s="306"/>
      <c r="BB127" s="306"/>
      <c r="BC127" s="487"/>
      <c r="BD127" s="306"/>
      <c r="BE127" s="306"/>
      <c r="BF127" s="492" t="str">
        <f ca="1">IFERROR(__xludf.DUMMYFUNCTION("IF(REGEXMATCH($G127, ""Any""), ""any"", IF(REGEXMATCH($G127, ""All""), ""all"", """"))"),"#N/A")</f>
        <v>#N/A</v>
      </c>
      <c r="BG127" s="491"/>
      <c r="BH127" s="306"/>
      <c r="BI127" s="306"/>
      <c r="BJ127" s="306"/>
      <c r="BK127" s="306"/>
      <c r="BL127" s="306"/>
      <c r="BM127" s="306"/>
      <c r="BN127" s="306"/>
      <c r="BO127" s="306"/>
      <c r="BP127" s="493"/>
      <c r="BQ127" s="306"/>
      <c r="BR127" s="306"/>
      <c r="BS127" s="494"/>
      <c r="BT127" s="487"/>
      <c r="BU127" s="306"/>
      <c r="BV127" s="306"/>
      <c r="BW127" s="306"/>
      <c r="BX127" s="306"/>
      <c r="BY127" s="306"/>
      <c r="BZ127" s="306"/>
      <c r="CA127" s="306"/>
      <c r="CB127" s="306"/>
      <c r="CC127" s="493"/>
      <c r="CD127" s="306"/>
      <c r="CE127" s="306"/>
      <c r="CF127" s="494"/>
      <c r="CG127" s="487"/>
      <c r="CH127" s="306"/>
      <c r="CI127" s="306"/>
      <c r="CJ127" s="306"/>
      <c r="CK127" s="306"/>
      <c r="CL127" s="306"/>
      <c r="CM127" s="306"/>
      <c r="CN127" s="306"/>
      <c r="CO127" s="306"/>
      <c r="CP127" s="306"/>
      <c r="CQ127" s="306"/>
      <c r="CR127" s="306"/>
      <c r="CS127" s="494"/>
      <c r="CT127" s="306"/>
      <c r="CU127" s="306"/>
      <c r="CV127" s="306"/>
      <c r="CW127" s="306"/>
      <c r="CX127" s="306"/>
      <c r="CY127" s="306"/>
      <c r="CZ127" s="306"/>
      <c r="DA127" s="306"/>
      <c r="DB127" s="306"/>
      <c r="DC127" s="493"/>
      <c r="DD127" s="306"/>
      <c r="DE127" s="306"/>
      <c r="DF127" s="494"/>
      <c r="DG127" s="306"/>
      <c r="DH127" s="306"/>
      <c r="DI127" s="306"/>
      <c r="DJ127" s="306"/>
      <c r="DK127" s="306"/>
      <c r="DL127" s="306"/>
      <c r="DM127" s="306"/>
      <c r="DN127" s="306"/>
      <c r="DO127" s="306"/>
      <c r="DP127" s="493"/>
      <c r="DQ127" s="306"/>
      <c r="DR127" s="306"/>
      <c r="DS127" s="489"/>
      <c r="DT127" s="306"/>
      <c r="DU127" s="306"/>
      <c r="DV127" s="306"/>
      <c r="DW127" s="306"/>
      <c r="DX127" s="306"/>
      <c r="DY127" s="306"/>
      <c r="DZ127" s="306"/>
      <c r="EA127" s="306"/>
      <c r="EB127" s="306"/>
      <c r="EC127" s="306"/>
      <c r="ED127" s="493"/>
      <c r="EE127" s="306"/>
      <c r="EF127" s="306"/>
      <c r="EG127" s="306"/>
      <c r="EH127" s="487"/>
      <c r="EI127" s="306"/>
      <c r="EJ127" s="306"/>
      <c r="EK127" s="306"/>
      <c r="EL127" s="306"/>
      <c r="EM127" s="306"/>
      <c r="EN127" s="306"/>
      <c r="EO127" s="306"/>
      <c r="EP127" s="306"/>
      <c r="EQ127" s="306"/>
      <c r="ER127" s="306"/>
      <c r="ES127" s="306"/>
      <c r="ET127" s="306"/>
      <c r="EU127" s="306"/>
      <c r="EV127" s="491"/>
      <c r="EW127" s="306"/>
      <c r="EX127" s="306"/>
      <c r="EY127" s="306"/>
      <c r="EZ127" s="306"/>
      <c r="FA127" s="306"/>
      <c r="FB127" s="306"/>
      <c r="FC127" s="306"/>
      <c r="FD127" s="306"/>
      <c r="FE127" s="306"/>
      <c r="FF127" s="306"/>
      <c r="FG127" s="306"/>
      <c r="FH127" s="306"/>
      <c r="FI127" s="306"/>
      <c r="FJ127" s="306"/>
      <c r="FK127" s="306"/>
      <c r="FL127" s="487"/>
      <c r="FM127" s="306"/>
      <c r="FN127" s="306"/>
      <c r="FO127" s="306"/>
      <c r="FP127" s="306"/>
      <c r="FQ127" s="306"/>
      <c r="FR127" s="306"/>
      <c r="FS127" s="306"/>
      <c r="FT127" s="306"/>
      <c r="FU127" s="306"/>
      <c r="FV127" s="306"/>
      <c r="FW127" s="306"/>
      <c r="FX127" s="306"/>
      <c r="FY127" s="306"/>
      <c r="FZ127" s="306"/>
      <c r="GA127" s="306"/>
      <c r="GB127" s="491"/>
      <c r="GC127" s="306"/>
      <c r="GD127" s="306"/>
      <c r="GE127" s="306"/>
      <c r="GF127" s="491"/>
      <c r="GG127" s="494"/>
      <c r="GH127" s="487"/>
      <c r="GI127" s="306"/>
      <c r="GJ127" s="491"/>
      <c r="GK127" s="306"/>
      <c r="GL127" s="306"/>
      <c r="GM127" s="497"/>
      <c r="GN127" s="306"/>
      <c r="GO127" s="306"/>
      <c r="GP127" s="306"/>
    </row>
  </sheetData>
  <customSheetViews>
    <customSheetView guid="{1F2046D8-6F9E-480B-8ED7-8C6E5BEA05C3}" filter="1" showAutoFilter="1">
      <pageMargins left="0.7" right="0.7" top="0.75" bottom="0.75" header="0.3" footer="0.3"/>
      <autoFilter ref="H6:H127" xr:uid="{FD96517E-619A-CB4F-AAA3-A3C0F4E1E5E1}">
        <filterColumn colId="0">
          <filters>
            <filter val="mission"/>
          </filters>
        </filterColumn>
      </autoFilter>
    </customSheetView>
    <customSheetView guid="{9DE7E426-0473-44B2-A4B9-4683CD70F241}" filter="1" showAutoFilter="1">
      <pageMargins left="0.7" right="0.7" top="0.75" bottom="0.75" header="0.3" footer="0.3"/>
      <autoFilter ref="H6:H127" xr:uid="{7FF691E2-BBDC-D54B-9096-6B8C155B661D}">
        <filterColumn colId="0">
          <filters>
            <filter val="perk"/>
          </filters>
        </filterColumn>
      </autoFilter>
    </customSheetView>
  </customSheetViews>
  <conditionalFormatting sqref="L9:L127 M9:M48 N9:R127 BF9:BF127 DT9:DT20 EC9:ED20 BI21:BJ29 GK37:GL45 BI47:BJ48 GL48 BI51:BJ52 GL52 BI55:BJ56 GL56 BI59:BJ59 GL60 BI63:BJ63 GL64 BI67:BJ67 GL68 BI71:BJ71 GL72 BI75:BJ75 GL76 BI79:BJ79 BI111:BJ111 BV111:BW111 CI111:CJ111 CV111:CW111 DI111:DJ111 DV112:DW112">
    <cfRule type="expression" dxfId="60" priority="1">
      <formula>$M9="Game"</formula>
    </cfRule>
  </conditionalFormatting>
  <conditionalFormatting sqref="GK31:GL36">
    <cfRule type="expression" dxfId="59" priority="2">
      <formula>$B31=TRUE</formula>
    </cfRule>
  </conditionalFormatting>
  <conditionalFormatting sqref="L9:L127 M9:M48 N9:R127 BF9:BF127 DT9:DT20 EC9:ED20 BI21:BJ29 GK37:GL45 BI47:BJ48 GL48 BI51:BJ52 GL52 BI55:BJ56 GL56 BI59:BJ59 GL60 BI63:BJ63 GL64 BI67:BJ67 GL68 BI71:BJ71 GL72 BI75:BJ75 GL76 BI79:BJ79 BI111:BJ111 BV111:BW111 CI111:CJ111 CV111:CW111 DI111:DJ111 DV112:DW112">
    <cfRule type="expression" dxfId="58" priority="3">
      <formula>$M9="Mobile"</formula>
    </cfRule>
  </conditionalFormatting>
  <conditionalFormatting sqref="GK30:GL30">
    <cfRule type="expression" dxfId="57" priority="4">
      <formula>$B30=TRUE</formula>
    </cfRule>
  </conditionalFormatting>
  <conditionalFormatting sqref="L9:L127 M9:M48 N9:R127 BF9:BF127 DT9:DT20 EC9:ED20 BI21:BJ29 GK31:GL36 BI47:BJ48 BI51:BJ52 BI55:BJ56 BI59:BJ59 BI63:BJ63 BI67:BJ67 BI71:BJ71 BI75:BJ75 BI79:BJ79 BI111:BJ111 BV111:BW111 CI111:CJ111 CV111:CW111 DI111:DJ111 DV112:DW112">
    <cfRule type="expression" dxfId="56" priority="5">
      <formula>$M9="Mobile"</formula>
    </cfRule>
  </conditionalFormatting>
  <conditionalFormatting sqref="A9:GP127">
    <cfRule type="expression" dxfId="55" priority="6">
      <formula>$B9</formula>
    </cfRule>
  </conditionalFormatting>
  <conditionalFormatting sqref="L9:L127 M9:M48 N9:R127 BF9:BF127 DT9:DT20 EC9:ED20 BI21:BJ29 GK30:GL30 BI47:BJ48 BI51:BJ52 BI55:BJ56 BI59:BJ59 BI63:BJ63 BI67:BJ67 BI71:BJ71 BI75:BJ75 BI79:BJ79 BI111:BJ111 BV111:BW111 CI111:CJ111 CV111:CW111 DI111:DJ111 DV112:DW112">
    <cfRule type="expression" dxfId="54" priority="7">
      <formula>$M9="Mobile"</formula>
    </cfRule>
  </conditionalFormatting>
  <conditionalFormatting sqref="A9:GP127">
    <cfRule type="expression" dxfId="53" priority="8">
      <formula>_xludf.ISFORMULA(A9)</formula>
    </cfRule>
  </conditionalFormatting>
  <conditionalFormatting sqref="A9:GP127">
    <cfRule type="expression" dxfId="52" priority="9">
      <formula>NOT(_xludf.ISFORMULA(A9))</formula>
    </cfRule>
  </conditionalFormatting>
  <dataValidations count="19">
    <dataValidation type="list" allowBlank="1" sqref="G9:G127" xr:uid="{00000000-0002-0000-1100-000000000000}">
      <formula1>DataValidation_RewardType</formula1>
    </dataValidation>
    <dataValidation type="list" allowBlank="1" sqref="N9:N127 Q9:Q127 W9:W127 Z9:Z127" xr:uid="{00000000-0002-0000-1100-000001000000}">
      <formula1>DataValidation_DataUpdateType</formula1>
    </dataValidation>
    <dataValidation type="list" allowBlank="1" sqref="AB9:AB127" xr:uid="{00000000-0002-0000-1100-000002000000}">
      <formula1>DataValidation_StatisticPrimary</formula1>
    </dataValidation>
    <dataValidation type="list" allowBlank="1" sqref="GJ9:GJ127 GN9:GN127" xr:uid="{00000000-0002-0000-1100-000004000000}">
      <formula1>DataValidation_PlayerDataKey</formula1>
    </dataValidation>
    <dataValidation type="list" allowBlank="1" sqref="BG9:BG127 BT9:BT127 CG9:CG127 CT9:CT127 DG9:DG127" xr:uid="{00000000-0002-0000-1100-000005000000}">
      <formula1>DataValidation_ItemAll</formula1>
    </dataValidation>
    <dataValidation type="list" allowBlank="1" sqref="EB9:EB127 EP9:EP127 FV9:FV127" xr:uid="{00000000-0002-0000-1100-000006000000}">
      <formula1>DataValidation_RewardCountMethod</formula1>
    </dataValidation>
    <dataValidation type="decimal" operator="greaterThanOrEqual" allowBlank="1" showDropDown="1" sqref="K9:K127 T9:T127" xr:uid="{00000000-0002-0000-1100-000007000000}">
      <formula1>0</formula1>
    </dataValidation>
    <dataValidation type="list" allowBlank="1" sqref="J21:J127 S9:S127 AF9:AG127 AL9:AM127" xr:uid="{00000000-0002-0000-1100-000008000000}">
      <formula1>DataValidation_ItemReward</formula1>
    </dataValidation>
    <dataValidation type="list" allowBlank="1" sqref="AE9:AE127 AK9:AK127 AQ9:AQ127 AW9:AW127" xr:uid="{00000000-0002-0000-1100-000009000000}">
      <formula1>DataValidation_AnyOrAll</formula1>
    </dataValidation>
    <dataValidation type="list" allowBlank="1" sqref="BR9:BR127 CE9:CE127 CR9:CR127 DE9:DE127 DR9:DR127 EF9:EF127 FJ9:FJ127" xr:uid="{00000000-0002-0000-1100-00000A000000}">
      <formula1>DataValidation_ItemUpdateType</formula1>
    </dataValidation>
    <dataValidation type="list" allowBlank="1" sqref="B9:B127" xr:uid="{00000000-0002-0000-1100-00000B000000}">
      <formula1>DataValidation_TrueOrFalse</formula1>
    </dataValidation>
    <dataValidation type="list" allowBlank="1" sqref="A89 CF9:CF127 CS9:CS127 DF9:DF127 DS9:DS127 EG9:EG127 EQ9:EU127 FW9:GA127" xr:uid="{00000000-0002-0000-1100-00000C000000}">
      <formula1>DataValidation_WithinSame</formula1>
    </dataValidation>
    <dataValidation type="decimal" operator="greaterThan" allowBlank="1" showDropDown="1" sqref="AC9:AC127 AI9:AI127 BH9:BH127 BU9:BU127 CH9:CH127 CU9:CU127 DH9:DH127" xr:uid="{00000000-0002-0000-1100-00000D000000}">
      <formula1>0</formula1>
    </dataValidation>
    <dataValidation type="list" allowBlank="1" sqref="BS9:BS127" xr:uid="{00000000-0002-0000-1100-00000E000000}">
      <formula1>DataValidation_RewardWithinSame</formula1>
    </dataValidation>
    <dataValidation type="list" allowBlank="1" sqref="BI9:BI68 U9:U127 X9:X127 BI70:BI127 BL9:BL127 BV9:BV127 BY9:BY127 CI9:CI127 CL9:CL127 CV9:CV127 CY9:CY127 DI9:DI127 DL9:DL127 DV9:DV127 DY9:DY127 EJ9:EJ127 EM9:EM127 FP9:FP127 FS9:FS127" xr:uid="{00000000-0002-0000-1100-00000F000000}">
      <formula1>DataValidation_ItemDataKey</formula1>
    </dataValidation>
    <dataValidation type="list" allowBlank="1" sqref="BO9:BO127 CB9:CB127 CO9:CO127 DB9:DB127 DO9:DO127 EC9:EC127 FG9:FG127" xr:uid="{00000000-0002-0000-1100-000011000000}">
      <formula1>DataValidation_DateTimeKey</formula1>
    </dataValidation>
    <dataValidation type="list" allowBlank="1" sqref="DT9:DT127 EH9:EH127" xr:uid="{00000000-0002-0000-1100-000013000000}">
      <formula1>DataValidation_CatalogClass</formula1>
    </dataValidation>
    <dataValidation type="list" allowBlank="1" sqref="BK9:BK68 BK70:BK127 BN9:BN127 BQ9:BQ127 BX9:BX127 CA9:CA127 CD9:CD127 CK9:CK127 CN9:CN127 CQ9:CQ127 CX9:CX127 DA9:DA127 DD9:DD127 DK9:DK127 DN9:DN127 DQ9:DQ127 DX9:DX127 EA9:EA127 EE9:EE127 EL9:EL127 EO9:EO127 FB9:FB127 FE9:FE127 FI9:FI127 FR9:FR127 FU9:FU127 GL9:GL127 GP9:GP127" xr:uid="{00000000-0002-0000-1100-000014000000}">
      <formula1>DataValidation_ComparisonType</formula1>
    </dataValidation>
    <dataValidation type="list" allowBlank="1" sqref="D9:D127 F9:F127 R9:R127 AA9:AA127 AD9:AD127 AJ9:AJ127 AP9:AP127 AV9:AV127" xr:uid="{00000000-0002-0000-1100-000015000000}">
      <formula1>DataValidation_RewardRepeat</formula1>
    </dataValidation>
  </dataValidations>
  <hyperlinks>
    <hyperlink ref="AH6" r:id="rId1" xr:uid="{00000000-0004-0000-1100-000000000000}"/>
    <hyperlink ref="AN6" r:id="rId2" xr:uid="{00000000-0004-0000-1100-000001000000}"/>
    <hyperlink ref="AT6" r:id="rId3" xr:uid="{00000000-0004-0000-1100-000002000000}"/>
    <hyperlink ref="BG6" r:id="rId4" xr:uid="{00000000-0004-0000-1100-000003000000}"/>
    <hyperlink ref="BT6" r:id="rId5" xr:uid="{00000000-0004-0000-1100-000004000000}"/>
    <hyperlink ref="CG6" r:id="rId6" xr:uid="{00000000-0004-0000-1100-000005000000}"/>
    <hyperlink ref="CT6" r:id="rId7" xr:uid="{00000000-0004-0000-1100-000006000000}"/>
    <hyperlink ref="DG6" r:id="rId8" xr:uid="{00000000-0004-0000-1100-000007000000}"/>
    <hyperlink ref="EH6" r:id="rId9" xr:uid="{00000000-0004-0000-1100-000008000000}"/>
    <hyperlink ref="EV6" r:id="rId10" xr:uid="{00000000-0004-0000-1100-000009000000}"/>
    <hyperlink ref="FL6" r:id="rId11" xr:uid="{00000000-0004-0000-1100-00000A000000}"/>
    <hyperlink ref="GB6" r:id="rId12" xr:uid="{00000000-0004-0000-1100-00000B000000}"/>
    <hyperlink ref="GD6" r:id="rId13" xr:uid="{00000000-0004-0000-1100-00000C000000}"/>
    <hyperlink ref="GF6" r:id="rId14" xr:uid="{00000000-0004-0000-1100-00000D000000}"/>
    <hyperlink ref="GH6" r:id="rId15" xr:uid="{00000000-0004-0000-1100-00000E000000}"/>
    <hyperlink ref="GJ6" r:id="rId16" xr:uid="{00000000-0004-0000-1100-00000F000000}"/>
    <hyperlink ref="GN6" r:id="rId17" xr:uid="{00000000-0004-0000-1100-000010000000}"/>
    <hyperlink ref="S8" r:id="rId18" xr:uid="{00000000-0004-0000-1100-000011000000}"/>
    <hyperlink ref="AH8" r:id="rId19" xr:uid="{00000000-0004-0000-1100-000012000000}"/>
    <hyperlink ref="AN8" r:id="rId20" xr:uid="{00000000-0004-0000-1100-000013000000}"/>
    <hyperlink ref="AT8" r:id="rId21" xr:uid="{00000000-0004-0000-1100-000014000000}"/>
    <hyperlink ref="BG8" r:id="rId22" xr:uid="{00000000-0004-0000-1100-000015000000}"/>
    <hyperlink ref="BT8" r:id="rId23" xr:uid="{00000000-0004-0000-1100-000016000000}"/>
    <hyperlink ref="CG8" r:id="rId24" xr:uid="{00000000-0004-0000-1100-000017000000}"/>
    <hyperlink ref="CT8" r:id="rId25" xr:uid="{00000000-0004-0000-1100-000018000000}"/>
    <hyperlink ref="DG8" r:id="rId26" xr:uid="{00000000-0004-0000-1100-000019000000}"/>
    <hyperlink ref="EH8" r:id="rId27" xr:uid="{00000000-0004-0000-1100-00001A000000}"/>
    <hyperlink ref="EV8" r:id="rId28" xr:uid="{00000000-0004-0000-1100-00001B000000}"/>
    <hyperlink ref="FL8" r:id="rId29" xr:uid="{00000000-0004-0000-1100-00001C000000}"/>
    <hyperlink ref="GB8" r:id="rId30" xr:uid="{00000000-0004-0000-1100-00001D000000}"/>
    <hyperlink ref="GD8" r:id="rId31" xr:uid="{00000000-0004-0000-1100-00001E000000}"/>
    <hyperlink ref="GF8" r:id="rId32" xr:uid="{00000000-0004-0000-1100-00001F000000}"/>
    <hyperlink ref="GH8" r:id="rId33" xr:uid="{00000000-0004-0000-1100-000020000000}"/>
    <hyperlink ref="GJ8" r:id="rId34" xr:uid="{00000000-0004-0000-1100-000021000000}"/>
    <hyperlink ref="GN8" r:id="rId35" xr:uid="{00000000-0004-0000-1100-000022000000}"/>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00000000-0002-0000-1100-000003000000}">
          <x14:formula1>
            <xm:f>'_REF Data Validation for All Sh'!$AP$6:$AP$12</xm:f>
          </x14:formula1>
          <xm:sqref>L9:L127 O9:O127</xm:sqref>
        </x14:dataValidation>
        <x14:dataValidation type="list" allowBlank="1" xr:uid="{00000000-0002-0000-1100-000010000000}">
          <x14:formula1>
            <xm:f>'_REF Data Validation for All Sh'!$AH$6:$AH$13</xm:f>
          </x14:formula1>
          <xm:sqref>AH9:AH127</xm:sqref>
        </x14:dataValidation>
        <x14:dataValidation type="list" allowBlank="1" xr:uid="{00000000-0002-0000-1100-000012000000}">
          <x14:formula1>
            <xm:f>'_REF Data Validation for All Sh'!$O$6:$O$12</xm:f>
          </x14:formula1>
          <xm:sqref>BE9:BE49 BB9:BB127 BE79:BE127</xm:sqref>
        </x14:dataValidation>
        <x14:dataValidation type="list" allowBlank="1" xr:uid="{00000000-0002-0000-1100-000016000000}">
          <x14:formula1>
            <xm:f>'_REF Data Validation for All Sh'!$B$6:$B$7</xm:f>
          </x14:formula1>
          <xm:sqref>BF9:BF127</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900FF"/>
    <outlinePr summaryBelow="0" summaryRight="0"/>
  </sheetPr>
  <dimension ref="A1:GK61"/>
  <sheetViews>
    <sheetView workbookViewId="0">
      <pane xSplit="4" ySplit="6" topLeftCell="E7" activePane="bottomRight" state="frozen"/>
      <selection activeCell="B7" sqref="B7"/>
      <selection pane="topRight" activeCell="B7" sqref="B7"/>
      <selection pane="bottomLeft" activeCell="B7" sqref="B7"/>
      <selection pane="bottomRight" activeCell="B7" sqref="B7"/>
    </sheetView>
  </sheetViews>
  <sheetFormatPr baseColWidth="10" defaultColWidth="12.6640625" defaultRowHeight="15.75" customHeight="1" outlineLevelRow="1" outlineLevelCol="3" x14ac:dyDescent="0.15"/>
  <cols>
    <col min="1" max="2" width="28.6640625" customWidth="1"/>
    <col min="3" max="4" width="29.33203125" customWidth="1"/>
    <col min="5" max="5" width="12.6640625" collapsed="1"/>
    <col min="6" max="7" width="12.6640625" hidden="1" outlineLevel="1"/>
    <col min="8" max="9" width="12.6640625" hidden="1" outlineLevel="2"/>
    <col min="10" max="10" width="12.6640625" hidden="1" outlineLevel="1"/>
    <col min="11" max="12" width="12.6640625" hidden="1" outlineLevel="2"/>
    <col min="13" max="13" width="12.6640625" hidden="1" outlineLevel="1"/>
    <col min="14" max="14" width="12.6640625" collapsed="1"/>
    <col min="15" max="16" width="12.6640625" hidden="1" outlineLevel="1"/>
    <col min="17" max="18" width="12.6640625" hidden="1" outlineLevel="2"/>
    <col min="19" max="19" width="12.6640625" hidden="1" outlineLevel="1"/>
    <col min="20" max="21" width="12.6640625" hidden="1" outlineLevel="2"/>
    <col min="22" max="22" width="12.6640625" hidden="1" outlineLevel="1"/>
    <col min="23" max="23" width="12.6640625" collapsed="1"/>
    <col min="24" max="28" width="12.6640625" hidden="1" outlineLevel="1"/>
    <col min="29" max="29" width="12.6640625" collapsed="1"/>
    <col min="30" max="34" width="12.6640625" hidden="1" outlineLevel="1"/>
    <col min="35" max="35" width="12.6640625" collapsed="1"/>
    <col min="36" max="40" width="12.6640625" hidden="1" outlineLevel="1"/>
    <col min="41" max="41" width="12.6640625" collapsed="1"/>
    <col min="42" max="46" width="12.6640625" hidden="1" outlineLevel="1"/>
    <col min="48" max="48" width="22.83203125" customWidth="1" outlineLevel="1"/>
    <col min="49" max="49" width="12.6640625" outlineLevel="1"/>
    <col min="51" max="52" width="12.6640625" outlineLevel="1"/>
    <col min="54" max="54" width="12.6640625" collapsed="1"/>
    <col min="55" max="56" width="12.6640625" hidden="1" outlineLevel="2"/>
    <col min="57" max="58" width="12.6640625" hidden="1" outlineLevel="3"/>
    <col min="59" max="59" width="12.6640625" hidden="1" outlineLevel="2"/>
    <col min="60" max="61" width="12.6640625" hidden="1" outlineLevel="3"/>
    <col min="62" max="62" width="12.6640625" hidden="1" outlineLevel="2"/>
    <col min="63" max="65" width="12.6640625" hidden="1" outlineLevel="3"/>
    <col min="66" max="66" width="12.6640625" hidden="1" outlineLevel="2"/>
    <col min="67" max="67" width="12.6640625" hidden="1" outlineLevel="1" collapsed="1"/>
    <col min="68" max="69" width="12.6640625" hidden="1" outlineLevel="2"/>
    <col min="70" max="71" width="12.6640625" hidden="1" outlineLevel="3"/>
    <col min="72" max="72" width="12.6640625" hidden="1" outlineLevel="2"/>
    <col min="73" max="74" width="12.6640625" hidden="1" outlineLevel="3"/>
    <col min="75" max="75" width="12.6640625" hidden="1" outlineLevel="2"/>
    <col min="76" max="78" width="12.6640625" hidden="1" outlineLevel="3"/>
    <col min="79" max="79" width="12.6640625" hidden="1" outlineLevel="2"/>
    <col min="80" max="80" width="12.6640625" hidden="1" outlineLevel="1" collapsed="1"/>
    <col min="81" max="82" width="12.6640625" hidden="1" outlineLevel="2"/>
    <col min="83" max="84" width="12.6640625" hidden="1" outlineLevel="3"/>
    <col min="85" max="85" width="12.6640625" hidden="1" outlineLevel="2"/>
    <col min="86" max="87" width="12.6640625" hidden="1" outlineLevel="3"/>
    <col min="88" max="88" width="12.6640625" hidden="1" outlineLevel="2"/>
    <col min="89" max="91" width="12.6640625" hidden="1" outlineLevel="3"/>
    <col min="92" max="92" width="12.6640625" hidden="1" outlineLevel="2"/>
    <col min="93" max="93" width="12.6640625" hidden="1" outlineLevel="1" collapsed="1"/>
    <col min="94" max="95" width="12.6640625" hidden="1" outlineLevel="2"/>
    <col min="96" max="97" width="12.6640625" hidden="1" outlineLevel="3"/>
    <col min="98" max="98" width="12.6640625" hidden="1" outlineLevel="2"/>
    <col min="99" max="100" width="12.6640625" hidden="1" outlineLevel="3"/>
    <col min="101" max="101" width="12.6640625" hidden="1" outlineLevel="2"/>
    <col min="102" max="104" width="12.6640625" hidden="1" outlineLevel="3"/>
    <col min="105" max="105" width="12.6640625" hidden="1" outlineLevel="2"/>
    <col min="106" max="106" width="12.6640625" hidden="1" outlineLevel="1" collapsed="1"/>
    <col min="107" max="108" width="12.6640625" hidden="1" outlineLevel="2"/>
    <col min="109" max="110" width="12.6640625" hidden="1" outlineLevel="3"/>
    <col min="111" max="111" width="12.6640625" hidden="1" outlineLevel="2"/>
    <col min="112" max="113" width="12.6640625" hidden="1" outlineLevel="3"/>
    <col min="114" max="114" width="12.6640625" hidden="1" outlineLevel="2"/>
    <col min="115" max="117" width="12.6640625" hidden="1" outlineLevel="3"/>
    <col min="118" max="118" width="12.6640625" hidden="1" outlineLevel="2"/>
    <col min="119" max="119" width="12.6640625" collapsed="1"/>
    <col min="120" max="121" width="12.6640625" hidden="1" outlineLevel="1"/>
    <col min="122" max="123" width="12.6640625" hidden="1" outlineLevel="2"/>
    <col min="124" max="124" width="12.6640625" hidden="1" outlineLevel="1"/>
    <col min="125" max="126" width="12.6640625" hidden="1" outlineLevel="2"/>
    <col min="127" max="128" width="12.6640625" hidden="1" outlineLevel="1"/>
    <col min="129" max="131" width="12.6640625" hidden="1" outlineLevel="2"/>
    <col min="132" max="132" width="12.6640625" hidden="1" outlineLevel="1"/>
    <col min="133" max="133" width="12.6640625" collapsed="1"/>
    <col min="134" max="135" width="12.6640625" hidden="1" outlineLevel="1"/>
    <col min="136" max="137" width="12.6640625" hidden="1" outlineLevel="2"/>
    <col min="138" max="138" width="12.6640625" hidden="1" outlineLevel="1"/>
    <col min="139" max="140" width="12.6640625" hidden="1" outlineLevel="2"/>
    <col min="141" max="142" width="12.6640625" hidden="1" outlineLevel="1"/>
    <col min="143" max="145" width="12.6640625" hidden="1" outlineLevel="2"/>
    <col min="146" max="146" width="12.6640625" hidden="1" outlineLevel="1"/>
    <col min="147" max="147" width="12.6640625" collapsed="1"/>
    <col min="148" max="151" width="12.6640625" hidden="1" outlineLevel="1"/>
    <col min="152" max="153" width="12.6640625" hidden="1" outlineLevel="2"/>
    <col min="154" max="154" width="12.6640625" hidden="1" outlineLevel="1"/>
    <col min="155" max="156" width="12.6640625" hidden="1" outlineLevel="2"/>
    <col min="157" max="158" width="12.6640625" hidden="1" outlineLevel="1"/>
    <col min="159" max="161" width="12.6640625" hidden="1" outlineLevel="2"/>
    <col min="162" max="162" width="12.6640625" hidden="1" outlineLevel="1"/>
    <col min="163" max="163" width="12.6640625" collapsed="1"/>
    <col min="164" max="167" width="12.6640625" hidden="1" outlineLevel="1"/>
    <col min="168" max="169" width="12.6640625" hidden="1" outlineLevel="2"/>
    <col min="170" max="170" width="12.6640625" hidden="1" outlineLevel="1"/>
    <col min="171" max="172" width="12.6640625" hidden="1" outlineLevel="2"/>
    <col min="173" max="174" width="12.6640625" hidden="1" outlineLevel="1"/>
    <col min="175" max="177" width="12.6640625" hidden="1" outlineLevel="2"/>
    <col min="178" max="178" width="12.6640625" hidden="1" outlineLevel="1"/>
    <col min="179" max="179" width="12.6640625" collapsed="1"/>
    <col min="180" max="182" width="12.6640625" hidden="1" outlineLevel="1"/>
  </cols>
  <sheetData>
    <row r="1" spans="1:193" ht="15.75" customHeight="1" x14ac:dyDescent="0.15">
      <c r="A1" s="438" t="s">
        <v>4829</v>
      </c>
      <c r="B1" s="438"/>
      <c r="C1" s="438"/>
      <c r="D1" s="438"/>
      <c r="E1" s="438"/>
      <c r="F1" s="438"/>
      <c r="G1" s="438"/>
      <c r="H1" s="438"/>
      <c r="I1" s="438"/>
      <c r="J1" s="438"/>
      <c r="K1" s="438"/>
      <c r="L1" s="438"/>
      <c r="M1" s="438"/>
      <c r="N1" s="438"/>
      <c r="O1" s="438"/>
      <c r="P1" s="438"/>
      <c r="Q1" s="438"/>
      <c r="R1" s="438"/>
      <c r="S1" s="438"/>
      <c r="T1" s="438"/>
      <c r="U1" s="438"/>
      <c r="V1" s="438"/>
      <c r="W1" s="438"/>
      <c r="X1" s="438"/>
      <c r="Y1" s="438"/>
      <c r="Z1" s="438"/>
      <c r="AA1" s="438"/>
      <c r="AB1" s="438"/>
      <c r="AC1" s="438"/>
      <c r="AD1" s="438"/>
      <c r="AE1" s="438"/>
      <c r="AF1" s="438"/>
      <c r="AG1" s="438"/>
      <c r="AH1" s="438"/>
      <c r="AI1" s="438"/>
      <c r="AJ1" s="438"/>
      <c r="AK1" s="438"/>
      <c r="AL1" s="438"/>
      <c r="AM1" s="438"/>
      <c r="AN1" s="438"/>
      <c r="AO1" s="438"/>
      <c r="AP1" s="438"/>
      <c r="AQ1" s="438"/>
      <c r="AR1" s="438"/>
      <c r="AS1" s="438"/>
      <c r="AT1" s="438"/>
      <c r="AU1" s="438"/>
      <c r="AV1" s="438"/>
      <c r="AW1" s="438"/>
      <c r="AX1" s="438"/>
      <c r="AY1" s="438"/>
      <c r="AZ1" s="438"/>
      <c r="BA1" s="438"/>
      <c r="BB1" s="438"/>
      <c r="BC1" s="438"/>
      <c r="BD1" s="438"/>
      <c r="BE1" s="438"/>
      <c r="BF1" s="438"/>
      <c r="BG1" s="438"/>
      <c r="BH1" s="438"/>
      <c r="BI1" s="438"/>
      <c r="BJ1" s="438"/>
      <c r="BK1" s="438"/>
      <c r="BL1" s="438"/>
      <c r="BM1" s="438"/>
      <c r="BN1" s="438"/>
      <c r="BO1" s="438"/>
      <c r="BP1" s="438"/>
      <c r="BQ1" s="438"/>
      <c r="BR1" s="438"/>
      <c r="BS1" s="438"/>
      <c r="BT1" s="438"/>
      <c r="BU1" s="438"/>
      <c r="BV1" s="438"/>
      <c r="BW1" s="438"/>
      <c r="BX1" s="438"/>
      <c r="BY1" s="438"/>
      <c r="BZ1" s="438"/>
      <c r="CA1" s="438"/>
      <c r="CB1" s="438"/>
      <c r="CC1" s="438"/>
      <c r="CD1" s="438"/>
      <c r="CE1" s="438"/>
      <c r="CF1" s="438"/>
      <c r="CG1" s="438"/>
      <c r="CH1" s="438"/>
      <c r="CI1" s="438"/>
      <c r="CJ1" s="438"/>
      <c r="CK1" s="438"/>
      <c r="CL1" s="438"/>
      <c r="CM1" s="438"/>
      <c r="CN1" s="438"/>
      <c r="CO1" s="438"/>
      <c r="CP1" s="438"/>
      <c r="CQ1" s="438"/>
      <c r="CR1" s="438"/>
      <c r="CS1" s="438"/>
      <c r="CT1" s="438"/>
      <c r="CU1" s="438"/>
      <c r="CV1" s="438"/>
      <c r="CW1" s="438"/>
      <c r="CX1" s="438"/>
      <c r="CY1" s="438"/>
      <c r="CZ1" s="438"/>
      <c r="DA1" s="438"/>
      <c r="DB1" s="438"/>
      <c r="DC1" s="438"/>
      <c r="DD1" s="438"/>
      <c r="DE1" s="438"/>
      <c r="DF1" s="438"/>
      <c r="DG1" s="438"/>
      <c r="DH1" s="438"/>
      <c r="DI1" s="438"/>
      <c r="DJ1" s="438"/>
      <c r="DK1" s="438"/>
      <c r="DL1" s="438"/>
      <c r="DM1" s="438"/>
      <c r="DN1" s="438"/>
      <c r="DO1" s="438"/>
      <c r="DP1" s="438"/>
      <c r="DQ1" s="438"/>
      <c r="DR1" s="438"/>
      <c r="DS1" s="438"/>
      <c r="DT1" s="438"/>
      <c r="DU1" s="438"/>
      <c r="DV1" s="438"/>
      <c r="DW1" s="438"/>
      <c r="DX1" s="438"/>
      <c r="DY1" s="438"/>
      <c r="DZ1" s="438"/>
      <c r="EA1" s="438"/>
      <c r="EB1" s="438"/>
      <c r="EC1" s="438"/>
      <c r="ED1" s="438"/>
      <c r="EE1" s="438"/>
      <c r="EF1" s="438"/>
      <c r="EG1" s="438"/>
      <c r="EH1" s="438"/>
      <c r="EI1" s="438"/>
      <c r="EJ1" s="438"/>
      <c r="EK1" s="438"/>
      <c r="EL1" s="438"/>
      <c r="EM1" s="438"/>
      <c r="EN1" s="438"/>
      <c r="EO1" s="438"/>
      <c r="EP1" s="438"/>
      <c r="EQ1" s="438"/>
      <c r="ER1" s="438"/>
      <c r="ES1" s="438"/>
      <c r="ET1" s="438"/>
      <c r="EU1" s="438"/>
      <c r="EV1" s="438"/>
      <c r="EW1" s="438"/>
      <c r="EX1" s="438"/>
      <c r="EY1" s="438"/>
      <c r="EZ1" s="438"/>
      <c r="FA1" s="438"/>
      <c r="FB1" s="438"/>
      <c r="FC1" s="438"/>
      <c r="FD1" s="438"/>
      <c r="FE1" s="438"/>
      <c r="FF1" s="438"/>
      <c r="FG1" s="438"/>
      <c r="FH1" s="438"/>
      <c r="FI1" s="438"/>
      <c r="FJ1" s="438"/>
      <c r="FK1" s="438"/>
      <c r="FL1" s="438"/>
      <c r="FM1" s="438"/>
      <c r="FN1" s="438"/>
      <c r="FO1" s="438"/>
      <c r="FP1" s="438"/>
      <c r="FQ1" s="438"/>
      <c r="FR1" s="438"/>
      <c r="FS1" s="438"/>
      <c r="FT1" s="438"/>
      <c r="FU1" s="438"/>
      <c r="FV1" s="438"/>
      <c r="FW1" s="438"/>
      <c r="FX1" s="438"/>
      <c r="FY1" s="438"/>
      <c r="FZ1" s="438"/>
      <c r="GA1" s="438"/>
      <c r="GB1" s="438"/>
      <c r="GC1" s="438"/>
      <c r="GD1" s="438"/>
      <c r="GE1" s="438"/>
      <c r="GF1" s="438"/>
      <c r="GG1" s="438"/>
      <c r="GH1" s="438"/>
      <c r="GI1" s="438"/>
      <c r="GJ1" s="438"/>
      <c r="GK1" s="438"/>
    </row>
    <row r="2" spans="1:193" ht="15.75" customHeight="1" x14ac:dyDescent="0.15">
      <c r="A2" s="379"/>
      <c r="B2" s="379"/>
      <c r="C2" s="379"/>
      <c r="D2" s="379"/>
      <c r="E2" s="379"/>
      <c r="F2" s="379"/>
      <c r="G2" s="379"/>
      <c r="H2" s="379"/>
      <c r="I2" s="379"/>
      <c r="J2" s="379"/>
      <c r="K2" s="379"/>
      <c r="L2" s="379"/>
      <c r="M2" s="379"/>
      <c r="N2" s="379"/>
      <c r="O2" s="379"/>
      <c r="P2" s="379"/>
      <c r="Q2" s="379"/>
      <c r="R2" s="379"/>
      <c r="S2" s="379"/>
      <c r="T2" s="379"/>
      <c r="U2" s="379"/>
      <c r="V2" s="379"/>
      <c r="W2" s="379"/>
      <c r="X2" s="379"/>
      <c r="Y2" s="379"/>
      <c r="Z2" s="379"/>
      <c r="AA2" s="379"/>
      <c r="AB2" s="379"/>
      <c r="AC2" s="379"/>
      <c r="AD2" s="379"/>
      <c r="AE2" s="379"/>
      <c r="AF2" s="379"/>
      <c r="AG2" s="379"/>
      <c r="AH2" s="379"/>
      <c r="AI2" s="379"/>
      <c r="AJ2" s="379"/>
      <c r="AK2" s="379"/>
      <c r="AL2" s="379"/>
      <c r="AM2" s="379"/>
      <c r="AN2" s="379"/>
      <c r="AO2" s="379"/>
      <c r="AP2" s="379"/>
      <c r="AQ2" s="379"/>
      <c r="AR2" s="379"/>
      <c r="AS2" s="379"/>
      <c r="AT2" s="379"/>
      <c r="AU2" s="379"/>
      <c r="AV2" s="379"/>
      <c r="AW2" s="379"/>
      <c r="AX2" s="379"/>
      <c r="AY2" s="379"/>
      <c r="AZ2" s="379"/>
      <c r="BA2" s="379"/>
      <c r="BB2" s="379"/>
      <c r="BC2" s="379"/>
      <c r="BD2" s="379"/>
      <c r="BE2" s="379"/>
      <c r="BF2" s="379"/>
      <c r="BG2" s="379"/>
      <c r="BH2" s="379"/>
      <c r="BI2" s="379"/>
      <c r="BJ2" s="379"/>
      <c r="BK2" s="379"/>
      <c r="BL2" s="379"/>
      <c r="BM2" s="379"/>
      <c r="BN2" s="379"/>
      <c r="BO2" s="379"/>
      <c r="BP2" s="379"/>
      <c r="BQ2" s="379"/>
      <c r="BR2" s="379"/>
      <c r="BS2" s="379"/>
      <c r="BT2" s="379"/>
      <c r="BU2" s="379"/>
      <c r="BV2" s="379"/>
      <c r="BW2" s="379"/>
      <c r="BX2" s="379"/>
      <c r="BY2" s="379"/>
      <c r="BZ2" s="379"/>
      <c r="CA2" s="379"/>
      <c r="CB2" s="379"/>
      <c r="CC2" s="379"/>
      <c r="CD2" s="379"/>
      <c r="CE2" s="379"/>
      <c r="CF2" s="379"/>
      <c r="CG2" s="379"/>
      <c r="CH2" s="379"/>
      <c r="CI2" s="379"/>
      <c r="CJ2" s="379"/>
      <c r="CK2" s="379"/>
      <c r="CL2" s="379"/>
      <c r="CM2" s="379"/>
      <c r="CN2" s="379"/>
      <c r="CO2" s="379"/>
      <c r="CP2" s="379"/>
      <c r="CQ2" s="379"/>
      <c r="CR2" s="379"/>
      <c r="CS2" s="379"/>
      <c r="CT2" s="379"/>
      <c r="CU2" s="379"/>
      <c r="CV2" s="379"/>
      <c r="CW2" s="379"/>
      <c r="CX2" s="379"/>
      <c r="CY2" s="379"/>
      <c r="CZ2" s="379"/>
      <c r="DA2" s="379"/>
      <c r="DB2" s="379"/>
      <c r="DC2" s="379"/>
      <c r="DD2" s="379"/>
      <c r="DE2" s="379"/>
      <c r="DF2" s="379"/>
      <c r="DG2" s="379"/>
      <c r="DH2" s="379"/>
      <c r="DI2" s="379"/>
      <c r="DJ2" s="379"/>
      <c r="DK2" s="379"/>
      <c r="DL2" s="379"/>
      <c r="DM2" s="379"/>
      <c r="DN2" s="379"/>
      <c r="DO2" s="379"/>
      <c r="DP2" s="379"/>
      <c r="DQ2" s="379"/>
      <c r="DR2" s="379"/>
      <c r="DS2" s="379"/>
      <c r="DT2" s="379"/>
      <c r="DU2" s="379"/>
      <c r="DV2" s="379"/>
      <c r="DW2" s="379"/>
      <c r="DX2" s="379"/>
      <c r="DY2" s="379"/>
      <c r="DZ2" s="379"/>
      <c r="EA2" s="379"/>
      <c r="EB2" s="379"/>
      <c r="EC2" s="379"/>
      <c r="ED2" s="379"/>
      <c r="EE2" s="379"/>
      <c r="EF2" s="379"/>
      <c r="EG2" s="379"/>
      <c r="EH2" s="379"/>
      <c r="EI2" s="379"/>
      <c r="EJ2" s="379"/>
      <c r="EK2" s="379"/>
      <c r="EL2" s="379"/>
      <c r="EM2" s="379"/>
      <c r="EN2" s="379"/>
      <c r="EO2" s="379"/>
      <c r="EP2" s="379"/>
      <c r="EQ2" s="379"/>
      <c r="ER2" s="379"/>
      <c r="ES2" s="379"/>
      <c r="ET2" s="379"/>
      <c r="EU2" s="379"/>
      <c r="EV2" s="379"/>
      <c r="EW2" s="379"/>
      <c r="EX2" s="379"/>
      <c r="EY2" s="379"/>
      <c r="EZ2" s="379"/>
      <c r="FA2" s="379"/>
      <c r="FB2" s="379"/>
      <c r="FC2" s="379"/>
      <c r="FD2" s="379"/>
      <c r="FE2" s="379"/>
      <c r="FF2" s="379"/>
      <c r="FG2" s="379"/>
      <c r="FH2" s="379"/>
      <c r="FI2" s="379"/>
      <c r="FJ2" s="379"/>
      <c r="FK2" s="379"/>
      <c r="FL2" s="379"/>
      <c r="FM2" s="379"/>
      <c r="FN2" s="379"/>
      <c r="FO2" s="379"/>
      <c r="FP2" s="379"/>
      <c r="FQ2" s="379"/>
      <c r="FR2" s="379"/>
      <c r="FS2" s="379"/>
      <c r="FT2" s="379"/>
      <c r="FU2" s="379"/>
      <c r="FV2" s="379"/>
      <c r="FW2" s="379"/>
      <c r="FX2" s="379"/>
      <c r="FY2" s="379"/>
      <c r="FZ2" s="379"/>
      <c r="GA2" s="379"/>
      <c r="GB2" s="379"/>
      <c r="GC2" s="379"/>
      <c r="GD2" s="379"/>
      <c r="GE2" s="379"/>
      <c r="GF2" s="379"/>
      <c r="GG2" s="379"/>
      <c r="GH2" s="379"/>
      <c r="GI2" s="379"/>
      <c r="GJ2" s="379"/>
      <c r="GK2" s="379"/>
    </row>
    <row r="3" spans="1:193" ht="15.75" customHeight="1" x14ac:dyDescent="0.15">
      <c r="A3" s="379" t="s">
        <v>4830</v>
      </c>
      <c r="B3" s="379"/>
      <c r="C3" s="379"/>
      <c r="D3" s="379" t="s">
        <v>4830</v>
      </c>
      <c r="E3" s="379"/>
      <c r="F3" s="379"/>
      <c r="G3" s="379"/>
      <c r="H3" s="379"/>
      <c r="I3" s="379"/>
      <c r="J3" s="379"/>
      <c r="K3" s="379"/>
      <c r="L3" s="379"/>
      <c r="M3" s="379"/>
      <c r="N3" s="379"/>
      <c r="O3" s="379"/>
      <c r="P3" s="379"/>
      <c r="Q3" s="379"/>
      <c r="R3" s="379"/>
      <c r="S3" s="379"/>
      <c r="T3" s="379"/>
      <c r="U3" s="379"/>
      <c r="V3" s="379"/>
      <c r="W3" s="379"/>
      <c r="X3" s="379"/>
      <c r="Y3" s="379"/>
      <c r="Z3" s="379"/>
      <c r="AA3" s="379"/>
      <c r="AB3" s="379"/>
      <c r="AC3" s="379"/>
      <c r="AD3" s="379"/>
      <c r="AE3" s="379"/>
      <c r="AF3" s="379"/>
      <c r="AG3" s="379"/>
      <c r="AH3" s="379"/>
      <c r="AI3" s="379"/>
      <c r="AJ3" s="379"/>
      <c r="AK3" s="379"/>
      <c r="AL3" s="379"/>
      <c r="AM3" s="379"/>
      <c r="AN3" s="379"/>
      <c r="AO3" s="379"/>
      <c r="AP3" s="379"/>
      <c r="AQ3" s="379"/>
      <c r="AR3" s="379"/>
      <c r="AS3" s="379"/>
      <c r="AT3" s="379"/>
      <c r="AU3" s="379" t="s">
        <v>4830</v>
      </c>
      <c r="AV3" s="379" t="s">
        <v>4830</v>
      </c>
      <c r="AW3" s="379" t="s">
        <v>4830</v>
      </c>
      <c r="AX3" s="379" t="s">
        <v>4830</v>
      </c>
      <c r="AY3" s="379" t="s">
        <v>4830</v>
      </c>
      <c r="AZ3" s="379" t="s">
        <v>4830</v>
      </c>
      <c r="BA3" s="445" t="s">
        <v>4831</v>
      </c>
      <c r="BB3" s="379"/>
      <c r="BC3" s="379"/>
      <c r="BD3" s="379"/>
      <c r="BE3" s="379"/>
      <c r="BF3" s="379"/>
      <c r="BG3" s="379"/>
      <c r="BH3" s="379"/>
      <c r="BI3" s="379"/>
      <c r="BJ3" s="379"/>
      <c r="BK3" s="379"/>
      <c r="BL3" s="379"/>
      <c r="BM3" s="379"/>
      <c r="BN3" s="446"/>
      <c r="BO3" s="379"/>
      <c r="BP3" s="379"/>
      <c r="BQ3" s="379"/>
      <c r="BR3" s="379"/>
      <c r="BS3" s="379"/>
      <c r="BT3" s="379"/>
      <c r="BU3" s="379"/>
      <c r="BV3" s="379"/>
      <c r="BW3" s="379"/>
      <c r="BX3" s="379"/>
      <c r="BY3" s="379"/>
      <c r="BZ3" s="379"/>
      <c r="CA3" s="446"/>
      <c r="CB3" s="379"/>
      <c r="CC3" s="379"/>
      <c r="CD3" s="379"/>
      <c r="CE3" s="379"/>
      <c r="CF3" s="379"/>
      <c r="CG3" s="379"/>
      <c r="CH3" s="379"/>
      <c r="CI3" s="379"/>
      <c r="CJ3" s="379"/>
      <c r="CK3" s="379"/>
      <c r="CL3" s="379"/>
      <c r="CM3" s="379"/>
      <c r="CN3" s="379"/>
      <c r="CO3" s="379"/>
      <c r="CP3" s="379"/>
      <c r="CQ3" s="379"/>
      <c r="CR3" s="379"/>
      <c r="CS3" s="379"/>
      <c r="CT3" s="379"/>
      <c r="CU3" s="379"/>
      <c r="CV3" s="379"/>
      <c r="CW3" s="379"/>
      <c r="CX3" s="379"/>
      <c r="CY3" s="379"/>
      <c r="CZ3" s="379"/>
      <c r="DA3" s="379"/>
      <c r="DB3" s="379"/>
      <c r="DC3" s="379"/>
      <c r="DD3" s="379"/>
      <c r="DE3" s="379"/>
      <c r="DF3" s="379"/>
      <c r="DG3" s="379"/>
      <c r="DH3" s="379"/>
      <c r="DI3" s="379"/>
      <c r="DJ3" s="379"/>
      <c r="DK3" s="379"/>
      <c r="DL3" s="379"/>
      <c r="DM3" s="379"/>
      <c r="DN3" s="379"/>
      <c r="DO3" s="379"/>
      <c r="DP3" s="379"/>
      <c r="DQ3" s="379"/>
      <c r="DR3" s="379"/>
      <c r="DS3" s="379"/>
      <c r="DT3" s="379"/>
      <c r="DU3" s="379"/>
      <c r="DV3" s="379"/>
      <c r="DW3" s="379"/>
      <c r="DX3" s="379"/>
      <c r="DY3" s="379"/>
      <c r="DZ3" s="379"/>
      <c r="EA3" s="379"/>
      <c r="EB3" s="379"/>
      <c r="EC3" s="379"/>
      <c r="ED3" s="379"/>
      <c r="EE3" s="379"/>
      <c r="EF3" s="379"/>
      <c r="EG3" s="379"/>
      <c r="EH3" s="379"/>
      <c r="EI3" s="379"/>
      <c r="EJ3" s="379"/>
      <c r="EK3" s="379"/>
      <c r="EL3" s="379"/>
      <c r="EM3" s="379"/>
      <c r="EN3" s="379"/>
      <c r="EO3" s="379"/>
      <c r="EP3" s="379"/>
      <c r="EQ3" s="379"/>
      <c r="ER3" s="379"/>
      <c r="ES3" s="379"/>
      <c r="ET3" s="379"/>
      <c r="EU3" s="379"/>
      <c r="EV3" s="379"/>
      <c r="EW3" s="379"/>
      <c r="EX3" s="379"/>
      <c r="EY3" s="379"/>
      <c r="EZ3" s="379"/>
      <c r="FA3" s="379"/>
      <c r="FB3" s="379"/>
      <c r="FC3" s="379"/>
      <c r="FD3" s="379"/>
      <c r="FE3" s="379"/>
      <c r="FF3" s="379"/>
      <c r="FG3" s="379"/>
      <c r="FH3" s="379"/>
      <c r="FI3" s="379"/>
      <c r="FJ3" s="379"/>
      <c r="FK3" s="379"/>
      <c r="FL3" s="379"/>
      <c r="FM3" s="379"/>
      <c r="FN3" s="379"/>
      <c r="FO3" s="379"/>
      <c r="FP3" s="379"/>
      <c r="FQ3" s="379"/>
      <c r="FR3" s="379"/>
      <c r="FS3" s="379"/>
      <c r="FT3" s="379"/>
      <c r="FU3" s="379"/>
      <c r="FV3" s="379"/>
      <c r="FW3" s="379"/>
      <c r="FX3" s="379"/>
      <c r="FY3" s="379"/>
      <c r="FZ3" s="379"/>
      <c r="GA3" s="379" t="s">
        <v>4832</v>
      </c>
      <c r="GB3" s="379" t="s">
        <v>4832</v>
      </c>
      <c r="GC3" s="379"/>
      <c r="GD3" s="379"/>
      <c r="GE3" s="379"/>
      <c r="GF3" s="379"/>
      <c r="GG3" s="379"/>
      <c r="GH3" s="379" t="s">
        <v>4411</v>
      </c>
      <c r="GI3" s="379"/>
      <c r="GJ3" s="379"/>
      <c r="GK3" s="379"/>
    </row>
    <row r="4" spans="1:193" ht="15.75" customHeight="1" x14ac:dyDescent="0.15">
      <c r="A4" s="447" t="s">
        <v>2609</v>
      </c>
      <c r="B4" s="447" t="s">
        <v>4412</v>
      </c>
      <c r="C4" s="447" t="s">
        <v>2468</v>
      </c>
      <c r="D4" s="447" t="s">
        <v>4416</v>
      </c>
      <c r="E4" s="449" t="s">
        <v>4419</v>
      </c>
      <c r="F4" s="449" t="s">
        <v>4420</v>
      </c>
      <c r="G4" s="449" t="s">
        <v>4421</v>
      </c>
      <c r="H4" s="449" t="s">
        <v>4422</v>
      </c>
      <c r="I4" s="449" t="s">
        <v>4423</v>
      </c>
      <c r="J4" s="449" t="s">
        <v>4424</v>
      </c>
      <c r="K4" s="449" t="s">
        <v>4425</v>
      </c>
      <c r="L4" s="449" t="s">
        <v>4426</v>
      </c>
      <c r="M4" s="449" t="s">
        <v>4427</v>
      </c>
      <c r="N4" s="449" t="s">
        <v>4428</v>
      </c>
      <c r="O4" s="449" t="s">
        <v>4429</v>
      </c>
      <c r="P4" s="449" t="s">
        <v>4430</v>
      </c>
      <c r="Q4" s="449" t="s">
        <v>4431</v>
      </c>
      <c r="R4" s="449" t="s">
        <v>4432</v>
      </c>
      <c r="S4" s="449" t="s">
        <v>4433</v>
      </c>
      <c r="T4" s="449" t="s">
        <v>4434</v>
      </c>
      <c r="U4" s="449" t="s">
        <v>4435</v>
      </c>
      <c r="V4" s="449" t="s">
        <v>4436</v>
      </c>
      <c r="W4" s="391" t="s">
        <v>4437</v>
      </c>
      <c r="X4" s="450" t="s">
        <v>4438</v>
      </c>
      <c r="Y4" s="450" t="s">
        <v>4439</v>
      </c>
      <c r="Z4" s="450" t="s">
        <v>4440</v>
      </c>
      <c r="AA4" s="450" t="s">
        <v>4441</v>
      </c>
      <c r="AB4" s="450" t="s">
        <v>4442</v>
      </c>
      <c r="AC4" s="451" t="s">
        <v>4443</v>
      </c>
      <c r="AD4" s="450" t="s">
        <v>4444</v>
      </c>
      <c r="AE4" s="450" t="s">
        <v>4445</v>
      </c>
      <c r="AF4" s="450" t="s">
        <v>4446</v>
      </c>
      <c r="AG4" s="450" t="s">
        <v>4447</v>
      </c>
      <c r="AH4" s="450" t="s">
        <v>4448</v>
      </c>
      <c r="AI4" s="451" t="s">
        <v>4449</v>
      </c>
      <c r="AJ4" s="450" t="s">
        <v>4450</v>
      </c>
      <c r="AK4" s="450" t="s">
        <v>4451</v>
      </c>
      <c r="AL4" s="450" t="s">
        <v>4452</v>
      </c>
      <c r="AM4" s="450" t="s">
        <v>4453</v>
      </c>
      <c r="AN4" s="450" t="s">
        <v>4454</v>
      </c>
      <c r="AO4" s="451" t="s">
        <v>4455</v>
      </c>
      <c r="AP4" s="450" t="s">
        <v>4456</v>
      </c>
      <c r="AQ4" s="450" t="s">
        <v>4457</v>
      </c>
      <c r="AR4" s="450" t="s">
        <v>4458</v>
      </c>
      <c r="AS4" s="450" t="s">
        <v>4459</v>
      </c>
      <c r="AT4" s="450" t="s">
        <v>4460</v>
      </c>
      <c r="AU4" s="452" t="s">
        <v>4357</v>
      </c>
      <c r="AV4" s="450" t="s">
        <v>4358</v>
      </c>
      <c r="AW4" s="450" t="s">
        <v>4359</v>
      </c>
      <c r="AX4" s="450" t="s">
        <v>4360</v>
      </c>
      <c r="AY4" s="450" t="s">
        <v>4361</v>
      </c>
      <c r="AZ4" s="450" t="s">
        <v>4362</v>
      </c>
      <c r="BA4" s="450" t="s">
        <v>4461</v>
      </c>
      <c r="BB4" s="451" t="s">
        <v>4462</v>
      </c>
      <c r="BC4" s="450" t="s">
        <v>4463</v>
      </c>
      <c r="BD4" s="450" t="s">
        <v>4464</v>
      </c>
      <c r="BE4" s="450" t="s">
        <v>4465</v>
      </c>
      <c r="BF4" s="450" t="s">
        <v>4466</v>
      </c>
      <c r="BG4" s="450" t="s">
        <v>4467</v>
      </c>
      <c r="BH4" s="450" t="s">
        <v>4468</v>
      </c>
      <c r="BI4" s="453" t="s">
        <v>4469</v>
      </c>
      <c r="BJ4" s="450" t="s">
        <v>4470</v>
      </c>
      <c r="BK4" s="450" t="s">
        <v>4471</v>
      </c>
      <c r="BL4" s="453" t="s">
        <v>4472</v>
      </c>
      <c r="BM4" s="453" t="s">
        <v>4473</v>
      </c>
      <c r="BN4" s="450" t="s">
        <v>4474</v>
      </c>
      <c r="BO4" s="451" t="s">
        <v>4475</v>
      </c>
      <c r="BP4" s="450" t="s">
        <v>4476</v>
      </c>
      <c r="BQ4" s="450" t="s">
        <v>4477</v>
      </c>
      <c r="BR4" s="450" t="s">
        <v>4478</v>
      </c>
      <c r="BS4" s="450" t="s">
        <v>4479</v>
      </c>
      <c r="BT4" s="450" t="s">
        <v>4480</v>
      </c>
      <c r="BU4" s="450" t="s">
        <v>4481</v>
      </c>
      <c r="BV4" s="450" t="s">
        <v>4482</v>
      </c>
      <c r="BW4" s="450" t="s">
        <v>4483</v>
      </c>
      <c r="BX4" s="450" t="s">
        <v>4484</v>
      </c>
      <c r="BY4" s="453" t="s">
        <v>4485</v>
      </c>
      <c r="BZ4" s="453" t="s">
        <v>4486</v>
      </c>
      <c r="CA4" s="450" t="s">
        <v>4487</v>
      </c>
      <c r="CB4" s="451" t="s">
        <v>4488</v>
      </c>
      <c r="CC4" s="450" t="s">
        <v>4489</v>
      </c>
      <c r="CD4" s="450" t="s">
        <v>4490</v>
      </c>
      <c r="CE4" s="450" t="s">
        <v>4491</v>
      </c>
      <c r="CF4" s="450" t="s">
        <v>4492</v>
      </c>
      <c r="CG4" s="450" t="s">
        <v>4493</v>
      </c>
      <c r="CH4" s="450" t="s">
        <v>4494</v>
      </c>
      <c r="CI4" s="450" t="s">
        <v>4495</v>
      </c>
      <c r="CJ4" s="450" t="s">
        <v>4496</v>
      </c>
      <c r="CK4" s="450" t="s">
        <v>4497</v>
      </c>
      <c r="CL4" s="453" t="s">
        <v>4498</v>
      </c>
      <c r="CM4" s="453" t="s">
        <v>4499</v>
      </c>
      <c r="CN4" s="450" t="s">
        <v>4500</v>
      </c>
      <c r="CO4" s="451" t="s">
        <v>4501</v>
      </c>
      <c r="CP4" s="450" t="s">
        <v>4502</v>
      </c>
      <c r="CQ4" s="450" t="s">
        <v>4503</v>
      </c>
      <c r="CR4" s="450" t="s">
        <v>4504</v>
      </c>
      <c r="CS4" s="450" t="s">
        <v>4505</v>
      </c>
      <c r="CT4" s="450" t="s">
        <v>4506</v>
      </c>
      <c r="CU4" s="450" t="s">
        <v>4507</v>
      </c>
      <c r="CV4" s="450" t="s">
        <v>4508</v>
      </c>
      <c r="CW4" s="450" t="s">
        <v>4509</v>
      </c>
      <c r="CX4" s="450" t="s">
        <v>4510</v>
      </c>
      <c r="CY4" s="453" t="s">
        <v>4511</v>
      </c>
      <c r="CZ4" s="453" t="s">
        <v>4512</v>
      </c>
      <c r="DA4" s="450" t="s">
        <v>4513</v>
      </c>
      <c r="DB4" s="451" t="s">
        <v>4514</v>
      </c>
      <c r="DC4" s="450" t="s">
        <v>4515</v>
      </c>
      <c r="DD4" s="450" t="s">
        <v>4516</v>
      </c>
      <c r="DE4" s="450" t="s">
        <v>4517</v>
      </c>
      <c r="DF4" s="450" t="s">
        <v>4518</v>
      </c>
      <c r="DG4" s="450" t="s">
        <v>4519</v>
      </c>
      <c r="DH4" s="450" t="s">
        <v>4520</v>
      </c>
      <c r="DI4" s="450" t="s">
        <v>4521</v>
      </c>
      <c r="DJ4" s="450" t="s">
        <v>4522</v>
      </c>
      <c r="DK4" s="450" t="s">
        <v>4523</v>
      </c>
      <c r="DL4" s="453" t="s">
        <v>4524</v>
      </c>
      <c r="DM4" s="453" t="s">
        <v>4525</v>
      </c>
      <c r="DN4" s="450" t="s">
        <v>4526</v>
      </c>
      <c r="DO4" s="450" t="s">
        <v>4527</v>
      </c>
      <c r="DP4" s="450" t="s">
        <v>4528</v>
      </c>
      <c r="DQ4" s="452" t="s">
        <v>4529</v>
      </c>
      <c r="DR4" s="450" t="s">
        <v>4530</v>
      </c>
      <c r="DS4" s="450" t="s">
        <v>4531</v>
      </c>
      <c r="DT4" s="450" t="s">
        <v>4532</v>
      </c>
      <c r="DU4" s="452" t="s">
        <v>4533</v>
      </c>
      <c r="DV4" s="452" t="s">
        <v>4534</v>
      </c>
      <c r="DW4" s="452" t="s">
        <v>4535</v>
      </c>
      <c r="DX4" s="450" t="s">
        <v>4536</v>
      </c>
      <c r="DY4" s="450" t="s">
        <v>4537</v>
      </c>
      <c r="DZ4" s="453" t="s">
        <v>4538</v>
      </c>
      <c r="EA4" s="453" t="s">
        <v>4539</v>
      </c>
      <c r="EB4" s="450" t="s">
        <v>4540</v>
      </c>
      <c r="EC4" s="451" t="s">
        <v>4541</v>
      </c>
      <c r="ED4" s="450" t="s">
        <v>4542</v>
      </c>
      <c r="EE4" s="452" t="s">
        <v>4543</v>
      </c>
      <c r="EF4" s="450" t="s">
        <v>4544</v>
      </c>
      <c r="EG4" s="450" t="s">
        <v>4545</v>
      </c>
      <c r="EH4" s="450" t="s">
        <v>4546</v>
      </c>
      <c r="EI4" s="452" t="s">
        <v>4547</v>
      </c>
      <c r="EJ4" s="452" t="s">
        <v>4548</v>
      </c>
      <c r="EK4" s="450" t="s">
        <v>4549</v>
      </c>
      <c r="EL4" s="450" t="s">
        <v>4550</v>
      </c>
      <c r="EM4" s="450" t="s">
        <v>4551</v>
      </c>
      <c r="EN4" s="453" t="s">
        <v>4552</v>
      </c>
      <c r="EO4" s="453" t="s">
        <v>4553</v>
      </c>
      <c r="EP4" s="450" t="s">
        <v>4554</v>
      </c>
      <c r="EQ4" s="451" t="s">
        <v>4555</v>
      </c>
      <c r="ER4" s="450" t="s">
        <v>4556</v>
      </c>
      <c r="ES4" s="450" t="s">
        <v>4557</v>
      </c>
      <c r="ET4" s="450" t="s">
        <v>4558</v>
      </c>
      <c r="EU4" s="450" t="s">
        <v>4559</v>
      </c>
      <c r="EV4" s="450" t="s">
        <v>4560</v>
      </c>
      <c r="EW4" s="450" t="s">
        <v>4561</v>
      </c>
      <c r="EX4" s="450" t="s">
        <v>4562</v>
      </c>
      <c r="EY4" s="450" t="s">
        <v>4563</v>
      </c>
      <c r="EZ4" s="450" t="s">
        <v>4564</v>
      </c>
      <c r="FA4" s="450" t="s">
        <v>4565</v>
      </c>
      <c r="FB4" s="450" t="s">
        <v>4566</v>
      </c>
      <c r="FC4" s="450" t="s">
        <v>4567</v>
      </c>
      <c r="FD4" s="453" t="s">
        <v>4568</v>
      </c>
      <c r="FE4" s="453" t="s">
        <v>4569</v>
      </c>
      <c r="FF4" s="450" t="s">
        <v>4570</v>
      </c>
      <c r="FG4" s="451" t="s">
        <v>4833</v>
      </c>
      <c r="FH4" s="450" t="s">
        <v>4572</v>
      </c>
      <c r="FI4" s="450" t="s">
        <v>4573</v>
      </c>
      <c r="FJ4" s="450" t="s">
        <v>4574</v>
      </c>
      <c r="FK4" s="450" t="s">
        <v>4575</v>
      </c>
      <c r="FL4" s="450" t="s">
        <v>4576</v>
      </c>
      <c r="FM4" s="450" t="s">
        <v>4577</v>
      </c>
      <c r="FN4" s="450" t="s">
        <v>4578</v>
      </c>
      <c r="FO4" s="450" t="s">
        <v>4579</v>
      </c>
      <c r="FP4" s="450" t="s">
        <v>4580</v>
      </c>
      <c r="FQ4" s="450" t="s">
        <v>4581</v>
      </c>
      <c r="FR4" s="450" t="s">
        <v>4582</v>
      </c>
      <c r="FS4" s="450" t="s">
        <v>4583</v>
      </c>
      <c r="FT4" s="453" t="s">
        <v>4584</v>
      </c>
      <c r="FU4" s="453" t="s">
        <v>4585</v>
      </c>
      <c r="FV4" s="450" t="s">
        <v>4586</v>
      </c>
      <c r="FW4" s="451" t="s">
        <v>4587</v>
      </c>
      <c r="FX4" s="450" t="s">
        <v>4588</v>
      </c>
      <c r="FY4" s="451" t="s">
        <v>4589</v>
      </c>
      <c r="FZ4" s="450" t="s">
        <v>4590</v>
      </c>
      <c r="GA4" s="451" t="s">
        <v>4364</v>
      </c>
      <c r="GB4" s="450" t="s">
        <v>4365</v>
      </c>
      <c r="GC4" s="451" t="s">
        <v>4591</v>
      </c>
      <c r="GD4" s="450" t="s">
        <v>4592</v>
      </c>
      <c r="GE4" s="451" t="s">
        <v>4593</v>
      </c>
      <c r="GF4" s="450" t="s">
        <v>4594</v>
      </c>
      <c r="GG4" s="450" t="s">
        <v>4595</v>
      </c>
      <c r="GH4" s="456" t="s">
        <v>4596</v>
      </c>
      <c r="GI4" s="451" t="s">
        <v>4597</v>
      </c>
      <c r="GJ4" s="450" t="s">
        <v>4598</v>
      </c>
      <c r="GK4" s="450" t="s">
        <v>4599</v>
      </c>
    </row>
    <row r="5" spans="1:193" ht="15.75" customHeight="1" outlineLevel="1" x14ac:dyDescent="0.15">
      <c r="A5" s="457" t="s">
        <v>4600</v>
      </c>
      <c r="B5" s="457"/>
      <c r="C5" s="458"/>
      <c r="D5" s="458"/>
      <c r="E5" s="302" t="s">
        <v>4601</v>
      </c>
      <c r="F5" s="459"/>
      <c r="G5" s="401"/>
      <c r="H5" s="301"/>
      <c r="I5" s="302" t="s">
        <v>4602</v>
      </c>
      <c r="J5" s="459"/>
      <c r="K5" s="301"/>
      <c r="L5" s="302" t="s">
        <v>4602</v>
      </c>
      <c r="M5" s="405" t="s">
        <v>4603</v>
      </c>
      <c r="N5" s="460" t="s">
        <v>4604</v>
      </c>
      <c r="O5" s="459"/>
      <c r="P5" s="459"/>
      <c r="Q5" s="301"/>
      <c r="R5" s="302" t="s">
        <v>4602</v>
      </c>
      <c r="S5" s="459"/>
      <c r="T5" s="301"/>
      <c r="U5" s="302" t="s">
        <v>4602</v>
      </c>
      <c r="V5" s="461" t="s">
        <v>4603</v>
      </c>
      <c r="W5" s="302" t="s">
        <v>4605</v>
      </c>
      <c r="X5" s="459"/>
      <c r="Y5" s="405" t="s">
        <v>4603</v>
      </c>
      <c r="Z5" s="302" t="s">
        <v>4606</v>
      </c>
      <c r="AA5" s="302" t="s">
        <v>4607</v>
      </c>
      <c r="AB5" s="302" t="s">
        <v>4607</v>
      </c>
      <c r="AC5" s="460" t="s">
        <v>4608</v>
      </c>
      <c r="AD5" s="459"/>
      <c r="AE5" s="405" t="s">
        <v>4603</v>
      </c>
      <c r="AF5" s="302" t="s">
        <v>4606</v>
      </c>
      <c r="AG5" s="302" t="s">
        <v>4609</v>
      </c>
      <c r="AH5" s="302" t="s">
        <v>4609</v>
      </c>
      <c r="AI5" s="404" t="s">
        <v>4610</v>
      </c>
      <c r="AJ5" s="459"/>
      <c r="AK5" s="405" t="s">
        <v>4603</v>
      </c>
      <c r="AL5" s="302" t="s">
        <v>4606</v>
      </c>
      <c r="AM5" s="302" t="s">
        <v>4609</v>
      </c>
      <c r="AN5" s="302" t="s">
        <v>4609</v>
      </c>
      <c r="AO5" s="460" t="s">
        <v>4611</v>
      </c>
      <c r="AP5" s="459"/>
      <c r="AQ5" s="405" t="s">
        <v>4603</v>
      </c>
      <c r="AR5" s="302" t="s">
        <v>4606</v>
      </c>
      <c r="AS5" s="302" t="s">
        <v>4609</v>
      </c>
      <c r="AT5" s="302" t="s">
        <v>4609</v>
      </c>
      <c r="AU5" s="401"/>
      <c r="AV5" s="301"/>
      <c r="AW5" s="302" t="s">
        <v>4367</v>
      </c>
      <c r="AX5" s="462"/>
      <c r="AY5" s="301"/>
      <c r="AZ5" s="302" t="s">
        <v>4367</v>
      </c>
      <c r="BA5" s="463" t="s">
        <v>4612</v>
      </c>
      <c r="BB5" s="464" t="s">
        <v>4613</v>
      </c>
      <c r="BC5" s="464" t="s">
        <v>4614</v>
      </c>
      <c r="BD5" s="78"/>
      <c r="BE5" s="78"/>
      <c r="BF5" s="78"/>
      <c r="BG5" s="78"/>
      <c r="BH5" s="78"/>
      <c r="BI5" s="67"/>
      <c r="BJ5" s="78"/>
      <c r="BK5" s="78"/>
      <c r="BL5" s="67"/>
      <c r="BM5" s="67"/>
      <c r="BN5" s="466" t="s">
        <v>4615</v>
      </c>
      <c r="BO5" s="467"/>
      <c r="BP5" s="464"/>
      <c r="BQ5" s="78"/>
      <c r="BR5" s="78"/>
      <c r="BS5" s="78"/>
      <c r="BT5" s="78"/>
      <c r="BU5" s="78"/>
      <c r="BV5" s="78"/>
      <c r="BW5" s="78"/>
      <c r="BX5" s="78"/>
      <c r="BY5" s="67"/>
      <c r="BZ5" s="67"/>
      <c r="CA5" s="466" t="s">
        <v>4615</v>
      </c>
      <c r="CB5" s="467"/>
      <c r="CC5" s="464"/>
      <c r="CD5" s="78"/>
      <c r="CE5" s="78"/>
      <c r="CF5" s="78"/>
      <c r="CG5" s="78"/>
      <c r="CH5" s="78"/>
      <c r="CI5" s="78"/>
      <c r="CJ5" s="78"/>
      <c r="CK5" s="78"/>
      <c r="CL5" s="67"/>
      <c r="CM5" s="67"/>
      <c r="CN5" s="77" t="s">
        <v>4615</v>
      </c>
      <c r="CO5" s="467"/>
      <c r="CP5" s="464"/>
      <c r="CQ5" s="78"/>
      <c r="CR5" s="78"/>
      <c r="CS5" s="78"/>
      <c r="CT5" s="78"/>
      <c r="CU5" s="78"/>
      <c r="CV5" s="78"/>
      <c r="CW5" s="78"/>
      <c r="CX5" s="78"/>
      <c r="CY5" s="67"/>
      <c r="CZ5" s="67"/>
      <c r="DA5" s="77" t="s">
        <v>4615</v>
      </c>
      <c r="DB5" s="467"/>
      <c r="DC5" s="464"/>
      <c r="DD5" s="78"/>
      <c r="DE5" s="78"/>
      <c r="DF5" s="78"/>
      <c r="DG5" s="78"/>
      <c r="DH5" s="78"/>
      <c r="DI5" s="78"/>
      <c r="DJ5" s="78"/>
      <c r="DK5" s="78"/>
      <c r="DL5" s="67"/>
      <c r="DM5" s="67"/>
      <c r="DN5" s="468" t="s">
        <v>4615</v>
      </c>
      <c r="DO5" s="77" t="s">
        <v>4616</v>
      </c>
      <c r="DP5" s="405"/>
      <c r="DQ5" s="78"/>
      <c r="DR5" s="78"/>
      <c r="DS5" s="78"/>
      <c r="DT5" s="78"/>
      <c r="DU5" s="78"/>
      <c r="DV5" s="78"/>
      <c r="DW5" s="405" t="s">
        <v>4617</v>
      </c>
      <c r="DX5" s="78"/>
      <c r="DY5" s="78"/>
      <c r="DZ5" s="67"/>
      <c r="EA5" s="67"/>
      <c r="EB5" s="405" t="s">
        <v>4615</v>
      </c>
      <c r="EC5" s="409" t="s">
        <v>4616</v>
      </c>
      <c r="ED5" s="405"/>
      <c r="EE5" s="78"/>
      <c r="EF5" s="78"/>
      <c r="EG5" s="78"/>
      <c r="EH5" s="78"/>
      <c r="EI5" s="78"/>
      <c r="EJ5" s="78"/>
      <c r="EK5" s="405" t="s">
        <v>4617</v>
      </c>
      <c r="EL5" s="78"/>
      <c r="EM5" s="78"/>
      <c r="EN5" s="67"/>
      <c r="EO5" s="67"/>
      <c r="EP5" s="405" t="s">
        <v>4615</v>
      </c>
      <c r="EQ5" s="469" t="s">
        <v>4613</v>
      </c>
      <c r="ER5" s="76" t="s">
        <v>4613</v>
      </c>
      <c r="ES5" s="405" t="s">
        <v>4613</v>
      </c>
      <c r="ET5" s="405"/>
      <c r="EU5" s="78"/>
      <c r="EV5" s="78"/>
      <c r="EW5" s="78"/>
      <c r="EX5" s="78"/>
      <c r="EY5" s="78"/>
      <c r="EZ5" s="78"/>
      <c r="FA5" s="405" t="s">
        <v>4617</v>
      </c>
      <c r="FB5" s="78"/>
      <c r="FC5" s="78"/>
      <c r="FD5" s="67"/>
      <c r="FE5" s="67"/>
      <c r="FF5" s="405" t="s">
        <v>4615</v>
      </c>
      <c r="FG5" s="409" t="s">
        <v>4613</v>
      </c>
      <c r="FH5" s="470" t="s">
        <v>4618</v>
      </c>
      <c r="FI5" s="76" t="s">
        <v>4613</v>
      </c>
      <c r="FJ5" s="405"/>
      <c r="FK5" s="78"/>
      <c r="FL5" s="78"/>
      <c r="FM5" s="78"/>
      <c r="FN5" s="78"/>
      <c r="FO5" s="78"/>
      <c r="FP5" s="78"/>
      <c r="FQ5" s="405" t="s">
        <v>4617</v>
      </c>
      <c r="FR5" s="78"/>
      <c r="FS5" s="78"/>
      <c r="FT5" s="67"/>
      <c r="FU5" s="67"/>
      <c r="FV5" s="405" t="s">
        <v>4615</v>
      </c>
      <c r="FW5" s="404"/>
      <c r="FX5" s="405"/>
      <c r="FY5" s="459"/>
      <c r="FZ5" s="459"/>
      <c r="GA5" s="404"/>
      <c r="GB5" s="405"/>
      <c r="GC5" s="462"/>
      <c r="GD5" s="459"/>
      <c r="GE5" s="404"/>
      <c r="GF5" s="405"/>
      <c r="GG5" s="405"/>
      <c r="GH5" s="302"/>
      <c r="GI5" s="462"/>
      <c r="GJ5" s="459"/>
      <c r="GK5" s="459"/>
    </row>
    <row r="6" spans="1:193" ht="15.75" customHeight="1" outlineLevel="1" x14ac:dyDescent="0.15">
      <c r="A6" s="457"/>
      <c r="B6" s="457" t="s">
        <v>206</v>
      </c>
      <c r="C6" s="471" t="s">
        <v>2474</v>
      </c>
      <c r="D6" s="471"/>
      <c r="E6" s="408" t="s">
        <v>4619</v>
      </c>
      <c r="F6" s="411" t="s">
        <v>4620</v>
      </c>
      <c r="G6" s="407" t="s">
        <v>4621</v>
      </c>
      <c r="H6" s="408" t="s">
        <v>4622</v>
      </c>
      <c r="I6" s="408" t="s">
        <v>4623</v>
      </c>
      <c r="J6" s="411" t="s">
        <v>4624</v>
      </c>
      <c r="K6" s="408" t="s">
        <v>4625</v>
      </c>
      <c r="L6" s="408" t="s">
        <v>4626</v>
      </c>
      <c r="M6" s="411" t="s">
        <v>4627</v>
      </c>
      <c r="N6" s="472" t="s">
        <v>4628</v>
      </c>
      <c r="O6" s="411" t="s">
        <v>4629</v>
      </c>
      <c r="P6" s="411" t="s">
        <v>4630</v>
      </c>
      <c r="Q6" s="408" t="s">
        <v>4631</v>
      </c>
      <c r="R6" s="408" t="s">
        <v>4632</v>
      </c>
      <c r="S6" s="411" t="s">
        <v>4633</v>
      </c>
      <c r="T6" s="408" t="s">
        <v>4634</v>
      </c>
      <c r="U6" s="408" t="s">
        <v>4635</v>
      </c>
      <c r="V6" s="473" t="s">
        <v>4636</v>
      </c>
      <c r="W6" s="408" t="s">
        <v>4637</v>
      </c>
      <c r="X6" s="411" t="s">
        <v>4638</v>
      </c>
      <c r="Y6" s="411" t="s">
        <v>4639</v>
      </c>
      <c r="Z6" s="411" t="s">
        <v>4640</v>
      </c>
      <c r="AA6" s="411" t="s">
        <v>4641</v>
      </c>
      <c r="AB6" s="411" t="s">
        <v>4642</v>
      </c>
      <c r="AC6" s="472" t="s">
        <v>4643</v>
      </c>
      <c r="AD6" s="411" t="s">
        <v>4644</v>
      </c>
      <c r="AE6" s="411" t="s">
        <v>4645</v>
      </c>
      <c r="AF6" s="411" t="s">
        <v>4646</v>
      </c>
      <c r="AG6" s="411" t="s">
        <v>4647</v>
      </c>
      <c r="AH6" s="411" t="s">
        <v>4648</v>
      </c>
      <c r="AI6" s="474" t="s">
        <v>4649</v>
      </c>
      <c r="AJ6" s="411" t="s">
        <v>4650</v>
      </c>
      <c r="AK6" s="411" t="s">
        <v>4651</v>
      </c>
      <c r="AL6" s="411" t="s">
        <v>4652</v>
      </c>
      <c r="AM6" s="411" t="s">
        <v>4653</v>
      </c>
      <c r="AN6" s="411" t="s">
        <v>4654</v>
      </c>
      <c r="AO6" s="472" t="s">
        <v>4655</v>
      </c>
      <c r="AP6" s="411" t="s">
        <v>4656</v>
      </c>
      <c r="AQ6" s="411" t="s">
        <v>4657</v>
      </c>
      <c r="AR6" s="411" t="s">
        <v>4658</v>
      </c>
      <c r="AS6" s="411" t="s">
        <v>4659</v>
      </c>
      <c r="AT6" s="411" t="s">
        <v>4660</v>
      </c>
      <c r="AU6" s="407" t="s">
        <v>4661</v>
      </c>
      <c r="AV6" s="408" t="s">
        <v>4662</v>
      </c>
      <c r="AW6" s="408" t="s">
        <v>4663</v>
      </c>
      <c r="AX6" s="475" t="s">
        <v>4664</v>
      </c>
      <c r="AY6" s="408" t="s">
        <v>4665</v>
      </c>
      <c r="AZ6" s="408" t="s">
        <v>4666</v>
      </c>
      <c r="BA6" s="476" t="s">
        <v>4667</v>
      </c>
      <c r="BB6" s="477" t="s">
        <v>4668</v>
      </c>
      <c r="BC6" s="411" t="s">
        <v>4669</v>
      </c>
      <c r="BD6" s="411" t="s">
        <v>4670</v>
      </c>
      <c r="BE6" s="408" t="s">
        <v>4671</v>
      </c>
      <c r="BF6" s="408" t="s">
        <v>4672</v>
      </c>
      <c r="BG6" s="411" t="s">
        <v>4673</v>
      </c>
      <c r="BH6" s="408" t="s">
        <v>4674</v>
      </c>
      <c r="BI6" s="77" t="s">
        <v>4675</v>
      </c>
      <c r="BJ6" s="411" t="s">
        <v>4676</v>
      </c>
      <c r="BK6" s="408" t="s">
        <v>4677</v>
      </c>
      <c r="BL6" s="77" t="s">
        <v>4678</v>
      </c>
      <c r="BM6" s="77" t="s">
        <v>4679</v>
      </c>
      <c r="BN6" s="479" t="s">
        <v>4680</v>
      </c>
      <c r="BO6" s="472" t="s">
        <v>4681</v>
      </c>
      <c r="BP6" s="411" t="s">
        <v>4682</v>
      </c>
      <c r="BQ6" s="411" t="s">
        <v>4683</v>
      </c>
      <c r="BR6" s="408" t="s">
        <v>4684</v>
      </c>
      <c r="BS6" s="408" t="s">
        <v>4685</v>
      </c>
      <c r="BT6" s="411" t="s">
        <v>4686</v>
      </c>
      <c r="BU6" s="408" t="s">
        <v>4687</v>
      </c>
      <c r="BV6" s="408" t="s">
        <v>4688</v>
      </c>
      <c r="BW6" s="411" t="s">
        <v>4689</v>
      </c>
      <c r="BX6" s="408" t="s">
        <v>4690</v>
      </c>
      <c r="BY6" s="77" t="s">
        <v>4691</v>
      </c>
      <c r="BZ6" s="77" t="s">
        <v>4692</v>
      </c>
      <c r="CA6" s="479" t="s">
        <v>4693</v>
      </c>
      <c r="CB6" s="472" t="s">
        <v>4694</v>
      </c>
      <c r="CC6" s="411" t="s">
        <v>4695</v>
      </c>
      <c r="CD6" s="411" t="s">
        <v>4696</v>
      </c>
      <c r="CE6" s="408" t="s">
        <v>4697</v>
      </c>
      <c r="CF6" s="408" t="s">
        <v>4698</v>
      </c>
      <c r="CG6" s="411" t="s">
        <v>4699</v>
      </c>
      <c r="CH6" s="408" t="s">
        <v>4700</v>
      </c>
      <c r="CI6" s="408" t="s">
        <v>4701</v>
      </c>
      <c r="CJ6" s="411" t="s">
        <v>4702</v>
      </c>
      <c r="CK6" s="408" t="s">
        <v>4703</v>
      </c>
      <c r="CL6" s="77" t="s">
        <v>4704</v>
      </c>
      <c r="CM6" s="77" t="s">
        <v>4705</v>
      </c>
      <c r="CN6" s="411" t="s">
        <v>4706</v>
      </c>
      <c r="CO6" s="472" t="s">
        <v>4707</v>
      </c>
      <c r="CP6" s="411" t="s">
        <v>4708</v>
      </c>
      <c r="CQ6" s="411" t="s">
        <v>4709</v>
      </c>
      <c r="CR6" s="408" t="s">
        <v>4710</v>
      </c>
      <c r="CS6" s="408" t="s">
        <v>4711</v>
      </c>
      <c r="CT6" s="411" t="s">
        <v>4712</v>
      </c>
      <c r="CU6" s="408" t="s">
        <v>4713</v>
      </c>
      <c r="CV6" s="408" t="s">
        <v>4714</v>
      </c>
      <c r="CW6" s="411" t="s">
        <v>4715</v>
      </c>
      <c r="CX6" s="408" t="s">
        <v>4716</v>
      </c>
      <c r="CY6" s="77" t="s">
        <v>4717</v>
      </c>
      <c r="CZ6" s="77" t="s">
        <v>4718</v>
      </c>
      <c r="DA6" s="411" t="s">
        <v>4719</v>
      </c>
      <c r="DB6" s="472" t="s">
        <v>4720</v>
      </c>
      <c r="DC6" s="411" t="s">
        <v>4721</v>
      </c>
      <c r="DD6" s="411" t="s">
        <v>4722</v>
      </c>
      <c r="DE6" s="408" t="s">
        <v>4723</v>
      </c>
      <c r="DF6" s="408" t="s">
        <v>4724</v>
      </c>
      <c r="DG6" s="411" t="s">
        <v>4725</v>
      </c>
      <c r="DH6" s="408" t="s">
        <v>4726</v>
      </c>
      <c r="DI6" s="408" t="s">
        <v>4727</v>
      </c>
      <c r="DJ6" s="411" t="s">
        <v>4728</v>
      </c>
      <c r="DK6" s="408" t="s">
        <v>4729</v>
      </c>
      <c r="DL6" s="77" t="s">
        <v>4730</v>
      </c>
      <c r="DM6" s="77" t="s">
        <v>4731</v>
      </c>
      <c r="DN6" s="473" t="s">
        <v>4732</v>
      </c>
      <c r="DO6" s="408" t="s">
        <v>4733</v>
      </c>
      <c r="DP6" s="411" t="s">
        <v>4734</v>
      </c>
      <c r="DQ6" s="411" t="s">
        <v>4735</v>
      </c>
      <c r="DR6" s="408" t="s">
        <v>4736</v>
      </c>
      <c r="DS6" s="408" t="s">
        <v>4737</v>
      </c>
      <c r="DT6" s="411" t="s">
        <v>4738</v>
      </c>
      <c r="DU6" s="408" t="s">
        <v>4739</v>
      </c>
      <c r="DV6" s="408" t="s">
        <v>4740</v>
      </c>
      <c r="DW6" s="411" t="s">
        <v>4741</v>
      </c>
      <c r="DX6" s="411" t="s">
        <v>4742</v>
      </c>
      <c r="DY6" s="408" t="s">
        <v>4743</v>
      </c>
      <c r="DZ6" s="77" t="s">
        <v>4744</v>
      </c>
      <c r="EA6" s="77" t="s">
        <v>4745</v>
      </c>
      <c r="EB6" s="411" t="s">
        <v>4746</v>
      </c>
      <c r="EC6" s="472" t="s">
        <v>4747</v>
      </c>
      <c r="ED6" s="411" t="s">
        <v>4748</v>
      </c>
      <c r="EE6" s="411" t="s">
        <v>4749</v>
      </c>
      <c r="EF6" s="408" t="s">
        <v>4750</v>
      </c>
      <c r="EG6" s="408" t="s">
        <v>4751</v>
      </c>
      <c r="EH6" s="411" t="s">
        <v>4752</v>
      </c>
      <c r="EI6" s="408" t="s">
        <v>4753</v>
      </c>
      <c r="EJ6" s="408" t="s">
        <v>4754</v>
      </c>
      <c r="EK6" s="411" t="s">
        <v>4755</v>
      </c>
      <c r="EL6" s="411" t="s">
        <v>4756</v>
      </c>
      <c r="EM6" s="408" t="s">
        <v>4757</v>
      </c>
      <c r="EN6" s="77" t="s">
        <v>4758</v>
      </c>
      <c r="EO6" s="77" t="s">
        <v>4759</v>
      </c>
      <c r="EP6" s="411" t="s">
        <v>4760</v>
      </c>
      <c r="EQ6" s="474" t="s">
        <v>4761</v>
      </c>
      <c r="ER6" s="411" t="s">
        <v>4762</v>
      </c>
      <c r="ES6" s="411" t="s">
        <v>4763</v>
      </c>
      <c r="ET6" s="411" t="s">
        <v>4764</v>
      </c>
      <c r="EU6" s="411" t="s">
        <v>4765</v>
      </c>
      <c r="EV6" s="408" t="s">
        <v>4766</v>
      </c>
      <c r="EW6" s="408" t="s">
        <v>4767</v>
      </c>
      <c r="EX6" s="411" t="s">
        <v>4768</v>
      </c>
      <c r="EY6" s="408" t="s">
        <v>4769</v>
      </c>
      <c r="EZ6" s="408" t="s">
        <v>4770</v>
      </c>
      <c r="FA6" s="411" t="s">
        <v>4771</v>
      </c>
      <c r="FB6" s="411" t="s">
        <v>4772</v>
      </c>
      <c r="FC6" s="408" t="s">
        <v>4773</v>
      </c>
      <c r="FD6" s="77" t="s">
        <v>4774</v>
      </c>
      <c r="FE6" s="77" t="s">
        <v>4775</v>
      </c>
      <c r="FF6" s="411" t="s">
        <v>4776</v>
      </c>
      <c r="FG6" s="472" t="s">
        <v>4834</v>
      </c>
      <c r="FH6" s="411" t="s">
        <v>4778</v>
      </c>
      <c r="FI6" s="411" t="s">
        <v>4779</v>
      </c>
      <c r="FJ6" s="411" t="s">
        <v>4780</v>
      </c>
      <c r="FK6" s="411" t="s">
        <v>4781</v>
      </c>
      <c r="FL6" s="408" t="s">
        <v>4782</v>
      </c>
      <c r="FM6" s="408" t="s">
        <v>4783</v>
      </c>
      <c r="FN6" s="411" t="s">
        <v>4784</v>
      </c>
      <c r="FO6" s="408" t="s">
        <v>4785</v>
      </c>
      <c r="FP6" s="408" t="s">
        <v>4786</v>
      </c>
      <c r="FQ6" s="411" t="s">
        <v>4787</v>
      </c>
      <c r="FR6" s="411" t="s">
        <v>4788</v>
      </c>
      <c r="FS6" s="408" t="s">
        <v>4789</v>
      </c>
      <c r="FT6" s="77" t="s">
        <v>4790</v>
      </c>
      <c r="FU6" s="77" t="s">
        <v>4791</v>
      </c>
      <c r="FV6" s="411" t="s">
        <v>4792</v>
      </c>
      <c r="FW6" s="474" t="s">
        <v>4793</v>
      </c>
      <c r="FX6" s="411" t="s">
        <v>4794</v>
      </c>
      <c r="FY6" s="480" t="s">
        <v>4795</v>
      </c>
      <c r="FZ6" s="411" t="s">
        <v>4796</v>
      </c>
      <c r="GA6" s="474" t="s">
        <v>4797</v>
      </c>
      <c r="GB6" s="411" t="s">
        <v>4798</v>
      </c>
      <c r="GC6" s="472" t="s">
        <v>4799</v>
      </c>
      <c r="GD6" s="411" t="s">
        <v>4800</v>
      </c>
      <c r="GE6" s="474" t="s">
        <v>4801</v>
      </c>
      <c r="GF6" s="411" t="s">
        <v>4802</v>
      </c>
      <c r="GG6" s="411" t="s">
        <v>4803</v>
      </c>
      <c r="GH6" s="408"/>
      <c r="GI6" s="472" t="s">
        <v>4804</v>
      </c>
      <c r="GJ6" s="411" t="s">
        <v>4805</v>
      </c>
      <c r="GK6" s="411" t="s">
        <v>4806</v>
      </c>
    </row>
    <row r="7" spans="1:193" ht="15.75" customHeight="1" x14ac:dyDescent="0.15">
      <c r="A7" s="482" t="str">
        <f ca="1">IFERROR(__xludf.DUMMYFUNCTION("FILTER('TitleData levels.total_points'!$A8:$A61, 'TitleData levels.total_points'!$B8:$B61&lt;&gt; TRUE)"),"total_points level 1")</f>
        <v>total_points level 1</v>
      </c>
      <c r="B7" s="482" t="b">
        <f t="shared" ref="B7:B61" ca="1" si="0">IFERROR(OR($BA7="",AND($BB7="",$DO7="",$EQ7="",$FW7="",$GA7="",$GE7="")),TRUE)</f>
        <v>0</v>
      </c>
      <c r="C7" s="507" t="str">
        <f ca="1">IFERROR(__xludf.DUMMYFUNCTION("""set""&amp;PROPER(index(SPLIT(GA7, ""_""), 0, 2))&amp;""ToLevel""&amp;AV7"),"setPointsToLevel1")</f>
        <v>setPointsToLevel1</v>
      </c>
      <c r="D7" s="507" t="str">
        <f ca="1">IFERROR(__xludf.DUMMYFUNCTION("FILTER('TitleData levels.total_points'!L8:L61, 'TitleData levels.total_points'!B8:B61&lt;&gt; TRUE)"),"rewardIfAllRequirementsMet")</f>
        <v>rewardIfAllRequirementsMet</v>
      </c>
      <c r="E7" s="497"/>
      <c r="F7" s="497"/>
      <c r="G7" s="508"/>
      <c r="H7" s="509"/>
      <c r="I7" s="509"/>
      <c r="J7" s="509"/>
      <c r="K7" s="509"/>
      <c r="L7" s="509"/>
      <c r="M7" s="497"/>
      <c r="N7" s="510"/>
      <c r="O7" s="497"/>
      <c r="P7" s="509"/>
      <c r="Q7" s="509"/>
      <c r="R7" s="509"/>
      <c r="S7" s="509"/>
      <c r="T7" s="509"/>
      <c r="U7" s="509"/>
      <c r="V7" s="509"/>
      <c r="W7" s="509"/>
      <c r="X7" s="509"/>
      <c r="Y7" s="509"/>
      <c r="Z7" s="509"/>
      <c r="AA7" s="497"/>
      <c r="AB7" s="509"/>
      <c r="AC7" s="510"/>
      <c r="AD7" s="509"/>
      <c r="AE7" s="509"/>
      <c r="AF7" s="509"/>
      <c r="AG7" s="509"/>
      <c r="AH7" s="509"/>
      <c r="AI7" s="508"/>
      <c r="AJ7" s="509"/>
      <c r="AK7" s="509"/>
      <c r="AL7" s="509"/>
      <c r="AM7" s="509"/>
      <c r="AN7" s="509"/>
      <c r="AO7" s="510"/>
      <c r="AP7" s="509"/>
      <c r="AQ7" s="509"/>
      <c r="AR7" s="509"/>
      <c r="AS7" s="509"/>
      <c r="AT7" s="509"/>
      <c r="AU7" s="511" t="str">
        <f ca="1">IFERROR(__xludf.DUMMYFUNCTION("FILTER('TitleData levels.total_points'!M8:M61, 'TitleData levels.total_points'!B8:B61&lt;&gt; TRUE)"),"levels.total_points.level")</f>
        <v>levels.total_points.level</v>
      </c>
      <c r="AV7" s="497">
        <f ca="1">IFERROR(__xludf.DUMMYFUNCTION("FILTER('TitleData levels.total_points'!N8:N61, 'TitleData levels.total_points'!B8:B61&lt;&gt; TRUE)"),1)</f>
        <v>1</v>
      </c>
      <c r="AW7" s="497" t="str">
        <f ca="1">IFERROR(__xludf.DUMMYFUNCTION("FILTER('TitleData levels.total_points'!O8:O61, 'TitleData levels.total_points'!B8:B61&lt;&gt; TRUE)"),"set")</f>
        <v>set</v>
      </c>
      <c r="AX7" s="512" t="str">
        <f ca="1">IFERROR(__xludf.DUMMYFUNCTION("FILTER('TitleData levels.total_points'!P8:P61, 'TitleData levels.total_points'!B8:B61&lt;&gt; TRUE)"),"levels.total_points.valueNeededForNextLevel")</f>
        <v>levels.total_points.valueNeededForNextLevel</v>
      </c>
      <c r="AY7" s="497">
        <f ca="1">IFERROR(__xludf.DUMMYFUNCTION("FILTER('TitleData levels.total_points'!Q8:Q61, 'TitleData levels.total_points'!B8:B61&lt;&gt; TRUE)"),40000)</f>
        <v>40000</v>
      </c>
      <c r="AZ7" s="497" t="str">
        <f ca="1">IFERROR(__xludf.DUMMYFUNCTION("FILTER('TitleData levels.total_points'!R8:R61, 'TitleData levels.total_points'!B8:B61&lt;&gt; TRUE)"),"set")</f>
        <v>set</v>
      </c>
      <c r="BA7" s="513" t="str">
        <f ca="1">IFERROR(__xludf.DUMMYFUNCTION("FILTER('TitleData levels.total_points'!S8:S61, 'TitleData levels.total_points'!B8:B61&lt;&gt; TRUE)"),"all")</f>
        <v>all</v>
      </c>
      <c r="BB7" s="508"/>
      <c r="BC7" s="509"/>
      <c r="BD7" s="509"/>
      <c r="BE7" s="509"/>
      <c r="BF7" s="509"/>
      <c r="BG7" s="509"/>
      <c r="BH7" s="509"/>
      <c r="BI7" s="509"/>
      <c r="BJ7" s="509"/>
      <c r="BK7" s="509"/>
      <c r="BL7" s="509"/>
      <c r="BM7" s="509"/>
      <c r="BN7" s="514"/>
      <c r="BO7" s="510"/>
      <c r="BP7" s="509"/>
      <c r="BQ7" s="509"/>
      <c r="BR7" s="509"/>
      <c r="BS7" s="509"/>
      <c r="BT7" s="509"/>
      <c r="BU7" s="509"/>
      <c r="BV7" s="509"/>
      <c r="BW7" s="509"/>
      <c r="BX7" s="509"/>
      <c r="BY7" s="509"/>
      <c r="BZ7" s="509"/>
      <c r="CA7" s="514"/>
      <c r="CB7" s="510"/>
      <c r="CC7" s="509"/>
      <c r="CD7" s="509"/>
      <c r="CE7" s="509"/>
      <c r="CF7" s="509"/>
      <c r="CG7" s="509"/>
      <c r="CH7" s="509"/>
      <c r="CI7" s="509"/>
      <c r="CJ7" s="509"/>
      <c r="CK7" s="509"/>
      <c r="CL7" s="509"/>
      <c r="CM7" s="509"/>
      <c r="CN7" s="514"/>
      <c r="CO7" s="509"/>
      <c r="CP7" s="509"/>
      <c r="CQ7" s="509"/>
      <c r="CR7" s="509"/>
      <c r="CS7" s="509"/>
      <c r="CT7" s="509"/>
      <c r="CU7" s="509"/>
      <c r="CV7" s="509"/>
      <c r="CW7" s="509"/>
      <c r="CX7" s="509"/>
      <c r="CY7" s="509"/>
      <c r="CZ7" s="509"/>
      <c r="DA7" s="514"/>
      <c r="DB7" s="509"/>
      <c r="DC7" s="509"/>
      <c r="DD7" s="509"/>
      <c r="DE7" s="509"/>
      <c r="DF7" s="509"/>
      <c r="DG7" s="509"/>
      <c r="DH7" s="509"/>
      <c r="DI7" s="509"/>
      <c r="DJ7" s="509"/>
      <c r="DK7" s="509"/>
      <c r="DL7" s="509"/>
      <c r="DM7" s="509"/>
      <c r="DN7" s="515"/>
      <c r="DO7" s="509"/>
      <c r="DP7" s="509"/>
      <c r="DQ7" s="509"/>
      <c r="DR7" s="509"/>
      <c r="DS7" s="509"/>
      <c r="DT7" s="509"/>
      <c r="DU7" s="509"/>
      <c r="DV7" s="509"/>
      <c r="DW7" s="509"/>
      <c r="DX7" s="509"/>
      <c r="DY7" s="509"/>
      <c r="DZ7" s="509"/>
      <c r="EA7" s="509"/>
      <c r="EB7" s="509"/>
      <c r="EC7" s="510"/>
      <c r="ED7" s="509"/>
      <c r="EE7" s="509"/>
      <c r="EF7" s="509"/>
      <c r="EG7" s="509"/>
      <c r="EH7" s="509"/>
      <c r="EI7" s="509"/>
      <c r="EJ7" s="509"/>
      <c r="EK7" s="509"/>
      <c r="EL7" s="509"/>
      <c r="EM7" s="509"/>
      <c r="EN7" s="509"/>
      <c r="EO7" s="509"/>
      <c r="EP7" s="509"/>
      <c r="EQ7" s="508"/>
      <c r="ER7" s="509"/>
      <c r="ES7" s="509"/>
      <c r="ET7" s="509"/>
      <c r="EU7" s="509"/>
      <c r="EV7" s="509"/>
      <c r="EW7" s="509"/>
      <c r="EX7" s="509"/>
      <c r="EY7" s="509"/>
      <c r="EZ7" s="509"/>
      <c r="FA7" s="509"/>
      <c r="FB7" s="509"/>
      <c r="FC7" s="509"/>
      <c r="FD7" s="509"/>
      <c r="FE7" s="509"/>
      <c r="FF7" s="509"/>
      <c r="FG7" s="510"/>
      <c r="FH7" s="509"/>
      <c r="FI7" s="509"/>
      <c r="FJ7" s="509"/>
      <c r="FK7" s="509"/>
      <c r="FL7" s="509"/>
      <c r="FM7" s="509"/>
      <c r="FN7" s="509"/>
      <c r="FO7" s="509"/>
      <c r="FP7" s="509"/>
      <c r="FQ7" s="509"/>
      <c r="FR7" s="509"/>
      <c r="FS7" s="509"/>
      <c r="FT7" s="509"/>
      <c r="FU7" s="509"/>
      <c r="FV7" s="509"/>
      <c r="FW7" s="508"/>
      <c r="FX7" s="509"/>
      <c r="FY7" s="509"/>
      <c r="FZ7" s="509"/>
      <c r="GA7" s="511" t="str">
        <f ca="1">IFERROR(__xludf.DUMMYFUNCTION("FILTER('TitleData levels.total_points'!T8:T61, 'TitleData levels.total_points'!B8:B61&lt;&gt; TRUE)"),"total_points")</f>
        <v>total_points</v>
      </c>
      <c r="GB7" s="497">
        <f ca="1">IFERROR(__xludf.DUMMYFUNCTION("FILTER('TitleData levels.total_points'!U8:U61, 'TitleData levels.total_points'!B8:B61&lt;&gt; TRUE)"),0)</f>
        <v>0</v>
      </c>
      <c r="GC7" s="510"/>
      <c r="GD7" s="509"/>
      <c r="GE7" s="511"/>
      <c r="GF7" s="497"/>
      <c r="GG7" s="497"/>
      <c r="GH7" s="497" t="str">
        <f t="shared" ref="GH7:GH61" si="1">$GE7&amp;":"&amp;$GF7</f>
        <v>:</v>
      </c>
      <c r="GI7" s="510"/>
      <c r="GJ7" s="509"/>
      <c r="GK7" s="509"/>
    </row>
    <row r="8" spans="1:193" ht="15.75" customHeight="1" x14ac:dyDescent="0.15">
      <c r="A8" s="482" t="str">
        <f ca="1">IFERROR(__xludf.DUMMYFUNCTION("""COMPUTED_VALUE"""),"total_points level 2")</f>
        <v>total_points level 2</v>
      </c>
      <c r="B8" s="482" t="b">
        <f t="shared" ca="1" si="0"/>
        <v>0</v>
      </c>
      <c r="C8" s="507" t="str">
        <f ca="1">IFERROR(__xludf.DUMMYFUNCTION("""set""&amp;PROPER(index(SPLIT(GA8, ""_""), 0, 2))&amp;""ToLevel""&amp;AV8"),"setPointsToLevel2")</f>
        <v>setPointsToLevel2</v>
      </c>
      <c r="D8" s="507" t="str">
        <f ca="1">IFERROR(__xludf.DUMMYFUNCTION("""COMPUTED_VALUE"""),"rewardIfAllRequirementsMet")</f>
        <v>rewardIfAllRequirementsMet</v>
      </c>
      <c r="E8" s="497"/>
      <c r="F8" s="497"/>
      <c r="G8" s="508"/>
      <c r="H8" s="509"/>
      <c r="I8" s="509"/>
      <c r="J8" s="509"/>
      <c r="K8" s="509"/>
      <c r="L8" s="509"/>
      <c r="M8" s="497"/>
      <c r="N8" s="510"/>
      <c r="O8" s="497"/>
      <c r="P8" s="509"/>
      <c r="Q8" s="509"/>
      <c r="R8" s="509"/>
      <c r="S8" s="509"/>
      <c r="T8" s="509"/>
      <c r="U8" s="509"/>
      <c r="V8" s="509"/>
      <c r="W8" s="509"/>
      <c r="X8" s="509"/>
      <c r="Y8" s="509"/>
      <c r="Z8" s="509"/>
      <c r="AA8" s="497"/>
      <c r="AB8" s="509"/>
      <c r="AC8" s="510"/>
      <c r="AD8" s="509"/>
      <c r="AE8" s="509"/>
      <c r="AF8" s="509"/>
      <c r="AG8" s="509"/>
      <c r="AH8" s="509"/>
      <c r="AI8" s="508"/>
      <c r="AJ8" s="509"/>
      <c r="AK8" s="509"/>
      <c r="AL8" s="509"/>
      <c r="AM8" s="509"/>
      <c r="AN8" s="509"/>
      <c r="AO8" s="510"/>
      <c r="AP8" s="509"/>
      <c r="AQ8" s="509"/>
      <c r="AR8" s="509"/>
      <c r="AS8" s="509"/>
      <c r="AT8" s="509"/>
      <c r="AU8" s="511" t="str">
        <f ca="1">IFERROR(__xludf.DUMMYFUNCTION("""COMPUTED_VALUE"""),"levels.total_points.level")</f>
        <v>levels.total_points.level</v>
      </c>
      <c r="AV8" s="497">
        <f ca="1">IFERROR(__xludf.DUMMYFUNCTION("""COMPUTED_VALUE"""),2)</f>
        <v>2</v>
      </c>
      <c r="AW8" s="497" t="str">
        <f ca="1">IFERROR(__xludf.DUMMYFUNCTION("""COMPUTED_VALUE"""),"set")</f>
        <v>set</v>
      </c>
      <c r="AX8" s="510" t="str">
        <f ca="1">IFERROR(__xludf.DUMMYFUNCTION("""COMPUTED_VALUE"""),"levels.total_points.valueNeededForNextLevel")</f>
        <v>levels.total_points.valueNeededForNextLevel</v>
      </c>
      <c r="AY8" s="509">
        <f ca="1">IFERROR(__xludf.DUMMYFUNCTION("""COMPUTED_VALUE"""),100000)</f>
        <v>100000</v>
      </c>
      <c r="AZ8" s="509" t="str">
        <f ca="1">IFERROR(__xludf.DUMMYFUNCTION("""COMPUTED_VALUE"""),"set")</f>
        <v>set</v>
      </c>
      <c r="BA8" s="513" t="str">
        <f ca="1">IFERROR(__xludf.DUMMYFUNCTION("""COMPUTED_VALUE"""),"all")</f>
        <v>all</v>
      </c>
      <c r="BB8" s="508"/>
      <c r="BC8" s="509"/>
      <c r="BD8" s="509"/>
      <c r="BE8" s="509"/>
      <c r="BF8" s="509"/>
      <c r="BG8" s="509"/>
      <c r="BH8" s="509"/>
      <c r="BI8" s="509"/>
      <c r="BJ8" s="509"/>
      <c r="BK8" s="509"/>
      <c r="BL8" s="509"/>
      <c r="BM8" s="509"/>
      <c r="BN8" s="514"/>
      <c r="BO8" s="510"/>
      <c r="BP8" s="509"/>
      <c r="BQ8" s="509"/>
      <c r="BR8" s="509"/>
      <c r="BS8" s="509"/>
      <c r="BT8" s="509"/>
      <c r="BU8" s="509"/>
      <c r="BV8" s="509"/>
      <c r="BW8" s="509"/>
      <c r="BX8" s="509"/>
      <c r="BY8" s="509"/>
      <c r="BZ8" s="509"/>
      <c r="CA8" s="514"/>
      <c r="CB8" s="510"/>
      <c r="CC8" s="509"/>
      <c r="CD8" s="509"/>
      <c r="CE8" s="509"/>
      <c r="CF8" s="509"/>
      <c r="CG8" s="509"/>
      <c r="CH8" s="509"/>
      <c r="CI8" s="509"/>
      <c r="CJ8" s="509"/>
      <c r="CK8" s="509"/>
      <c r="CL8" s="509"/>
      <c r="CM8" s="509"/>
      <c r="CN8" s="514"/>
      <c r="CO8" s="509"/>
      <c r="CP8" s="509"/>
      <c r="CQ8" s="509"/>
      <c r="CR8" s="509"/>
      <c r="CS8" s="509"/>
      <c r="CT8" s="509"/>
      <c r="CU8" s="509"/>
      <c r="CV8" s="509"/>
      <c r="CW8" s="509"/>
      <c r="CX8" s="509"/>
      <c r="CY8" s="509"/>
      <c r="CZ8" s="509"/>
      <c r="DA8" s="514"/>
      <c r="DB8" s="509"/>
      <c r="DC8" s="509"/>
      <c r="DD8" s="509"/>
      <c r="DE8" s="509"/>
      <c r="DF8" s="509"/>
      <c r="DG8" s="509"/>
      <c r="DH8" s="509"/>
      <c r="DI8" s="509"/>
      <c r="DJ8" s="509"/>
      <c r="DK8" s="509"/>
      <c r="DL8" s="509"/>
      <c r="DM8" s="509"/>
      <c r="DN8" s="515"/>
      <c r="DO8" s="509"/>
      <c r="DP8" s="509"/>
      <c r="DQ8" s="509"/>
      <c r="DR8" s="509"/>
      <c r="DS8" s="509"/>
      <c r="DT8" s="509"/>
      <c r="DU8" s="509"/>
      <c r="DV8" s="509"/>
      <c r="DW8" s="509"/>
      <c r="DX8" s="509"/>
      <c r="DY8" s="509"/>
      <c r="DZ8" s="509"/>
      <c r="EA8" s="509"/>
      <c r="EB8" s="509"/>
      <c r="EC8" s="510"/>
      <c r="ED8" s="509"/>
      <c r="EE8" s="509"/>
      <c r="EF8" s="509"/>
      <c r="EG8" s="509"/>
      <c r="EH8" s="509"/>
      <c r="EI8" s="509"/>
      <c r="EJ8" s="509"/>
      <c r="EK8" s="509"/>
      <c r="EL8" s="509"/>
      <c r="EM8" s="509"/>
      <c r="EN8" s="509"/>
      <c r="EO8" s="509"/>
      <c r="EP8" s="509"/>
      <c r="EQ8" s="508"/>
      <c r="ER8" s="509"/>
      <c r="ES8" s="509"/>
      <c r="ET8" s="509"/>
      <c r="EU8" s="509"/>
      <c r="EV8" s="509"/>
      <c r="EW8" s="509"/>
      <c r="EX8" s="509"/>
      <c r="EY8" s="509"/>
      <c r="EZ8" s="509"/>
      <c r="FA8" s="509"/>
      <c r="FB8" s="509"/>
      <c r="FC8" s="509"/>
      <c r="FD8" s="509"/>
      <c r="FE8" s="509"/>
      <c r="FF8" s="509"/>
      <c r="FG8" s="510"/>
      <c r="FH8" s="509"/>
      <c r="FI8" s="509"/>
      <c r="FJ8" s="509"/>
      <c r="FK8" s="509"/>
      <c r="FL8" s="509"/>
      <c r="FM8" s="509"/>
      <c r="FN8" s="509"/>
      <c r="FO8" s="509"/>
      <c r="FP8" s="509"/>
      <c r="FQ8" s="509"/>
      <c r="FR8" s="509"/>
      <c r="FS8" s="509"/>
      <c r="FT8" s="509"/>
      <c r="FU8" s="509"/>
      <c r="FV8" s="509"/>
      <c r="FW8" s="508"/>
      <c r="FX8" s="509"/>
      <c r="FY8" s="509"/>
      <c r="FZ8" s="509"/>
      <c r="GA8" s="511" t="str">
        <f ca="1">IFERROR(__xludf.DUMMYFUNCTION("""COMPUTED_VALUE"""),"total_points")</f>
        <v>total_points</v>
      </c>
      <c r="GB8" s="497">
        <f ca="1">IFERROR(__xludf.DUMMYFUNCTION("""COMPUTED_VALUE"""),40000)</f>
        <v>40000</v>
      </c>
      <c r="GC8" s="510"/>
      <c r="GD8" s="509"/>
      <c r="GE8" s="511"/>
      <c r="GF8" s="497"/>
      <c r="GG8" s="497"/>
      <c r="GH8" s="497" t="str">
        <f t="shared" si="1"/>
        <v>:</v>
      </c>
      <c r="GI8" s="510"/>
      <c r="GJ8" s="509"/>
      <c r="GK8" s="509"/>
    </row>
    <row r="9" spans="1:193" ht="15.75" customHeight="1" x14ac:dyDescent="0.15">
      <c r="A9" s="482" t="str">
        <f ca="1">IFERROR(__xludf.DUMMYFUNCTION("""COMPUTED_VALUE"""),"total_points level 3")</f>
        <v>total_points level 3</v>
      </c>
      <c r="B9" s="482" t="b">
        <f t="shared" ca="1" si="0"/>
        <v>0</v>
      </c>
      <c r="C9" s="507" t="str">
        <f ca="1">IFERROR(__xludf.DUMMYFUNCTION("""set""&amp;PROPER(index(SPLIT(GA9, ""_""), 0, 2))&amp;""ToLevel""&amp;AV9"),"setPointsToLevel3")</f>
        <v>setPointsToLevel3</v>
      </c>
      <c r="D9" s="507" t="str">
        <f ca="1">IFERROR(__xludf.DUMMYFUNCTION("""COMPUTED_VALUE"""),"rewardIfAllRequirementsMet")</f>
        <v>rewardIfAllRequirementsMet</v>
      </c>
      <c r="E9" s="497"/>
      <c r="F9" s="497"/>
      <c r="G9" s="508"/>
      <c r="H9" s="509"/>
      <c r="I9" s="509"/>
      <c r="J9" s="509"/>
      <c r="K9" s="509"/>
      <c r="L9" s="509"/>
      <c r="M9" s="497"/>
      <c r="N9" s="510"/>
      <c r="O9" s="497"/>
      <c r="P9" s="509"/>
      <c r="Q9" s="509"/>
      <c r="R9" s="509"/>
      <c r="S9" s="509"/>
      <c r="T9" s="509"/>
      <c r="U9" s="509"/>
      <c r="V9" s="509"/>
      <c r="W9" s="509"/>
      <c r="X9" s="509"/>
      <c r="Y9" s="509"/>
      <c r="Z9" s="509"/>
      <c r="AA9" s="497"/>
      <c r="AB9" s="509"/>
      <c r="AC9" s="510"/>
      <c r="AD9" s="509"/>
      <c r="AE9" s="509"/>
      <c r="AF9" s="509"/>
      <c r="AG9" s="509"/>
      <c r="AH9" s="509"/>
      <c r="AI9" s="508"/>
      <c r="AJ9" s="509"/>
      <c r="AK9" s="509"/>
      <c r="AL9" s="509"/>
      <c r="AM9" s="509"/>
      <c r="AN9" s="509"/>
      <c r="AO9" s="510"/>
      <c r="AP9" s="509"/>
      <c r="AQ9" s="509"/>
      <c r="AR9" s="509"/>
      <c r="AS9" s="509"/>
      <c r="AT9" s="509"/>
      <c r="AU9" s="511" t="str">
        <f ca="1">IFERROR(__xludf.DUMMYFUNCTION("""COMPUTED_VALUE"""),"levels.total_points.level")</f>
        <v>levels.total_points.level</v>
      </c>
      <c r="AV9" s="497">
        <f ca="1">IFERROR(__xludf.DUMMYFUNCTION("""COMPUTED_VALUE"""),3)</f>
        <v>3</v>
      </c>
      <c r="AW9" s="497" t="str">
        <f ca="1">IFERROR(__xludf.DUMMYFUNCTION("""COMPUTED_VALUE"""),"set")</f>
        <v>set</v>
      </c>
      <c r="AX9" s="510" t="str">
        <f ca="1">IFERROR(__xludf.DUMMYFUNCTION("""COMPUTED_VALUE"""),"levels.total_points.valueNeededForNextLevel")</f>
        <v>levels.total_points.valueNeededForNextLevel</v>
      </c>
      <c r="AY9" s="509">
        <f ca="1">IFERROR(__xludf.DUMMYFUNCTION("""COMPUTED_VALUE"""),200000)</f>
        <v>200000</v>
      </c>
      <c r="AZ9" s="509" t="str">
        <f ca="1">IFERROR(__xludf.DUMMYFUNCTION("""COMPUTED_VALUE"""),"set")</f>
        <v>set</v>
      </c>
      <c r="BA9" s="513" t="str">
        <f ca="1">IFERROR(__xludf.DUMMYFUNCTION("""COMPUTED_VALUE"""),"all")</f>
        <v>all</v>
      </c>
      <c r="BB9" s="508"/>
      <c r="BC9" s="509"/>
      <c r="BD9" s="509"/>
      <c r="BE9" s="509"/>
      <c r="BF9" s="509"/>
      <c r="BG9" s="509"/>
      <c r="BH9" s="509"/>
      <c r="BI9" s="509"/>
      <c r="BJ9" s="509"/>
      <c r="BK9" s="509"/>
      <c r="BL9" s="509"/>
      <c r="BM9" s="509"/>
      <c r="BN9" s="514"/>
      <c r="BO9" s="510"/>
      <c r="BP9" s="509"/>
      <c r="BQ9" s="509"/>
      <c r="BR9" s="509"/>
      <c r="BS9" s="509"/>
      <c r="BT9" s="509"/>
      <c r="BU9" s="509"/>
      <c r="BV9" s="509"/>
      <c r="BW9" s="509"/>
      <c r="BX9" s="509"/>
      <c r="BY9" s="509"/>
      <c r="BZ9" s="509"/>
      <c r="CA9" s="514"/>
      <c r="CB9" s="510"/>
      <c r="CC9" s="509"/>
      <c r="CD9" s="509"/>
      <c r="CE9" s="509"/>
      <c r="CF9" s="509"/>
      <c r="CG9" s="509"/>
      <c r="CH9" s="509"/>
      <c r="CI9" s="509"/>
      <c r="CJ9" s="509"/>
      <c r="CK9" s="509"/>
      <c r="CL9" s="509"/>
      <c r="CM9" s="509"/>
      <c r="CN9" s="514"/>
      <c r="CO9" s="509"/>
      <c r="CP9" s="509"/>
      <c r="CQ9" s="509"/>
      <c r="CR9" s="509"/>
      <c r="CS9" s="509"/>
      <c r="CT9" s="509"/>
      <c r="CU9" s="509"/>
      <c r="CV9" s="509"/>
      <c r="CW9" s="509"/>
      <c r="CX9" s="509"/>
      <c r="CY9" s="509"/>
      <c r="CZ9" s="509"/>
      <c r="DA9" s="514"/>
      <c r="DB9" s="509"/>
      <c r="DC9" s="509"/>
      <c r="DD9" s="509"/>
      <c r="DE9" s="509"/>
      <c r="DF9" s="509"/>
      <c r="DG9" s="509"/>
      <c r="DH9" s="509"/>
      <c r="DI9" s="509"/>
      <c r="DJ9" s="509"/>
      <c r="DK9" s="509"/>
      <c r="DL9" s="509"/>
      <c r="DM9" s="509"/>
      <c r="DN9" s="515"/>
      <c r="DO9" s="509"/>
      <c r="DP9" s="509"/>
      <c r="DQ9" s="509"/>
      <c r="DR9" s="509"/>
      <c r="DS9" s="509"/>
      <c r="DT9" s="509"/>
      <c r="DU9" s="509"/>
      <c r="DV9" s="509"/>
      <c r="DW9" s="509"/>
      <c r="DX9" s="509"/>
      <c r="DY9" s="509"/>
      <c r="DZ9" s="509"/>
      <c r="EA9" s="509"/>
      <c r="EB9" s="509"/>
      <c r="EC9" s="510"/>
      <c r="ED9" s="509"/>
      <c r="EE9" s="509"/>
      <c r="EF9" s="509"/>
      <c r="EG9" s="509"/>
      <c r="EH9" s="509"/>
      <c r="EI9" s="509"/>
      <c r="EJ9" s="509"/>
      <c r="EK9" s="509"/>
      <c r="EL9" s="509"/>
      <c r="EM9" s="509"/>
      <c r="EN9" s="509"/>
      <c r="EO9" s="509"/>
      <c r="EP9" s="509"/>
      <c r="EQ9" s="508"/>
      <c r="ER9" s="509"/>
      <c r="ES9" s="509"/>
      <c r="ET9" s="509"/>
      <c r="EU9" s="509"/>
      <c r="EV9" s="509"/>
      <c r="EW9" s="509"/>
      <c r="EX9" s="509"/>
      <c r="EY9" s="509"/>
      <c r="EZ9" s="509"/>
      <c r="FA9" s="509"/>
      <c r="FB9" s="509"/>
      <c r="FC9" s="509"/>
      <c r="FD9" s="509"/>
      <c r="FE9" s="509"/>
      <c r="FF9" s="509"/>
      <c r="FG9" s="510"/>
      <c r="FH9" s="509"/>
      <c r="FI9" s="509"/>
      <c r="FJ9" s="509"/>
      <c r="FK9" s="509"/>
      <c r="FL9" s="509"/>
      <c r="FM9" s="509"/>
      <c r="FN9" s="509"/>
      <c r="FO9" s="509"/>
      <c r="FP9" s="509"/>
      <c r="FQ9" s="509"/>
      <c r="FR9" s="509"/>
      <c r="FS9" s="509"/>
      <c r="FT9" s="509"/>
      <c r="FU9" s="509"/>
      <c r="FV9" s="509"/>
      <c r="FW9" s="508"/>
      <c r="FX9" s="509"/>
      <c r="FY9" s="509"/>
      <c r="FZ9" s="509"/>
      <c r="GA9" s="511" t="str">
        <f ca="1">IFERROR(__xludf.DUMMYFUNCTION("""COMPUTED_VALUE"""),"total_points")</f>
        <v>total_points</v>
      </c>
      <c r="GB9" s="497">
        <f ca="1">IFERROR(__xludf.DUMMYFUNCTION("""COMPUTED_VALUE"""),100000)</f>
        <v>100000</v>
      </c>
      <c r="GC9" s="510"/>
      <c r="GD9" s="509"/>
      <c r="GE9" s="511"/>
      <c r="GF9" s="497"/>
      <c r="GG9" s="497"/>
      <c r="GH9" s="497" t="str">
        <f t="shared" si="1"/>
        <v>:</v>
      </c>
      <c r="GI9" s="510"/>
      <c r="GJ9" s="509"/>
      <c r="GK9" s="509"/>
    </row>
    <row r="10" spans="1:193" ht="15.75" customHeight="1" x14ac:dyDescent="0.15">
      <c r="A10" s="482" t="str">
        <f ca="1">IFERROR(__xludf.DUMMYFUNCTION("""COMPUTED_VALUE"""),"total_points level 4")</f>
        <v>total_points level 4</v>
      </c>
      <c r="B10" s="482" t="b">
        <f t="shared" ca="1" si="0"/>
        <v>0</v>
      </c>
      <c r="C10" s="507" t="str">
        <f ca="1">IFERROR(__xludf.DUMMYFUNCTION("""set""&amp;PROPER(index(SPLIT(GA10, ""_""), 0, 2))&amp;""ToLevel""&amp;AV10"),"setPointsToLevel4")</f>
        <v>setPointsToLevel4</v>
      </c>
      <c r="D10" s="507" t="str">
        <f ca="1">IFERROR(__xludf.DUMMYFUNCTION("""COMPUTED_VALUE"""),"rewardIfAllRequirementsMet")</f>
        <v>rewardIfAllRequirementsMet</v>
      </c>
      <c r="E10" s="497"/>
      <c r="F10" s="497"/>
      <c r="G10" s="508"/>
      <c r="H10" s="509"/>
      <c r="I10" s="509"/>
      <c r="J10" s="509"/>
      <c r="K10" s="509"/>
      <c r="L10" s="509"/>
      <c r="M10" s="497"/>
      <c r="N10" s="510"/>
      <c r="O10" s="497"/>
      <c r="P10" s="509"/>
      <c r="Q10" s="509"/>
      <c r="R10" s="509"/>
      <c r="S10" s="509"/>
      <c r="T10" s="509"/>
      <c r="U10" s="509"/>
      <c r="V10" s="509"/>
      <c r="W10" s="509"/>
      <c r="X10" s="509"/>
      <c r="Y10" s="509"/>
      <c r="Z10" s="509"/>
      <c r="AA10" s="497"/>
      <c r="AB10" s="509"/>
      <c r="AC10" s="510"/>
      <c r="AD10" s="509"/>
      <c r="AE10" s="509"/>
      <c r="AF10" s="509"/>
      <c r="AG10" s="509"/>
      <c r="AH10" s="509"/>
      <c r="AI10" s="508"/>
      <c r="AJ10" s="509"/>
      <c r="AK10" s="509"/>
      <c r="AL10" s="509"/>
      <c r="AM10" s="509"/>
      <c r="AN10" s="509"/>
      <c r="AO10" s="510"/>
      <c r="AP10" s="509"/>
      <c r="AQ10" s="509"/>
      <c r="AR10" s="509"/>
      <c r="AS10" s="509"/>
      <c r="AT10" s="509"/>
      <c r="AU10" s="511" t="str">
        <f ca="1">IFERROR(__xludf.DUMMYFUNCTION("""COMPUTED_VALUE"""),"levels.total_points.level")</f>
        <v>levels.total_points.level</v>
      </c>
      <c r="AV10" s="497">
        <f ca="1">IFERROR(__xludf.DUMMYFUNCTION("""COMPUTED_VALUE"""),4)</f>
        <v>4</v>
      </c>
      <c r="AW10" s="497" t="str">
        <f ca="1">IFERROR(__xludf.DUMMYFUNCTION("""COMPUTED_VALUE"""),"set")</f>
        <v>set</v>
      </c>
      <c r="AX10" s="510" t="str">
        <f ca="1">IFERROR(__xludf.DUMMYFUNCTION("""COMPUTED_VALUE"""),"levels.total_points.valueNeededForNextLevel")</f>
        <v>levels.total_points.valueNeededForNextLevel</v>
      </c>
      <c r="AY10" s="509">
        <f ca="1">IFERROR(__xludf.DUMMYFUNCTION("""COMPUTED_VALUE"""),300000)</f>
        <v>300000</v>
      </c>
      <c r="AZ10" s="509" t="str">
        <f ca="1">IFERROR(__xludf.DUMMYFUNCTION("""COMPUTED_VALUE"""),"set")</f>
        <v>set</v>
      </c>
      <c r="BA10" s="513" t="str">
        <f ca="1">IFERROR(__xludf.DUMMYFUNCTION("""COMPUTED_VALUE"""),"all")</f>
        <v>all</v>
      </c>
      <c r="BB10" s="508"/>
      <c r="BC10" s="509"/>
      <c r="BD10" s="509"/>
      <c r="BE10" s="509"/>
      <c r="BF10" s="509"/>
      <c r="BG10" s="509"/>
      <c r="BH10" s="509"/>
      <c r="BI10" s="509"/>
      <c r="BJ10" s="509"/>
      <c r="BK10" s="509"/>
      <c r="BL10" s="509"/>
      <c r="BM10" s="509"/>
      <c r="BN10" s="514"/>
      <c r="BO10" s="510"/>
      <c r="BP10" s="509"/>
      <c r="BQ10" s="509"/>
      <c r="BR10" s="509"/>
      <c r="BS10" s="509"/>
      <c r="BT10" s="509"/>
      <c r="BU10" s="509"/>
      <c r="BV10" s="509"/>
      <c r="BW10" s="509"/>
      <c r="BX10" s="509"/>
      <c r="BY10" s="509"/>
      <c r="BZ10" s="509"/>
      <c r="CA10" s="514"/>
      <c r="CB10" s="510"/>
      <c r="CC10" s="509"/>
      <c r="CD10" s="509"/>
      <c r="CE10" s="509"/>
      <c r="CF10" s="509"/>
      <c r="CG10" s="509"/>
      <c r="CH10" s="509"/>
      <c r="CI10" s="509"/>
      <c r="CJ10" s="509"/>
      <c r="CK10" s="509"/>
      <c r="CL10" s="509"/>
      <c r="CM10" s="509"/>
      <c r="CN10" s="514"/>
      <c r="CO10" s="509"/>
      <c r="CP10" s="509"/>
      <c r="CQ10" s="509"/>
      <c r="CR10" s="509"/>
      <c r="CS10" s="509"/>
      <c r="CT10" s="509"/>
      <c r="CU10" s="509"/>
      <c r="CV10" s="509"/>
      <c r="CW10" s="509"/>
      <c r="CX10" s="509"/>
      <c r="CY10" s="509"/>
      <c r="CZ10" s="509"/>
      <c r="DA10" s="514"/>
      <c r="DB10" s="509"/>
      <c r="DC10" s="509"/>
      <c r="DD10" s="509"/>
      <c r="DE10" s="509"/>
      <c r="DF10" s="509"/>
      <c r="DG10" s="509"/>
      <c r="DH10" s="509"/>
      <c r="DI10" s="509"/>
      <c r="DJ10" s="509"/>
      <c r="DK10" s="509"/>
      <c r="DL10" s="509"/>
      <c r="DM10" s="509"/>
      <c r="DN10" s="515"/>
      <c r="DO10" s="509"/>
      <c r="DP10" s="509"/>
      <c r="DQ10" s="509"/>
      <c r="DR10" s="509"/>
      <c r="DS10" s="509"/>
      <c r="DT10" s="509"/>
      <c r="DU10" s="509"/>
      <c r="DV10" s="509"/>
      <c r="DW10" s="509"/>
      <c r="DX10" s="509"/>
      <c r="DY10" s="509"/>
      <c r="DZ10" s="509"/>
      <c r="EA10" s="509"/>
      <c r="EB10" s="509"/>
      <c r="EC10" s="510"/>
      <c r="ED10" s="509"/>
      <c r="EE10" s="509"/>
      <c r="EF10" s="509"/>
      <c r="EG10" s="509"/>
      <c r="EH10" s="509"/>
      <c r="EI10" s="509"/>
      <c r="EJ10" s="509"/>
      <c r="EK10" s="509"/>
      <c r="EL10" s="509"/>
      <c r="EM10" s="509"/>
      <c r="EN10" s="509"/>
      <c r="EO10" s="509"/>
      <c r="EP10" s="509"/>
      <c r="EQ10" s="508"/>
      <c r="ER10" s="509"/>
      <c r="ES10" s="509"/>
      <c r="ET10" s="509"/>
      <c r="EU10" s="509"/>
      <c r="EV10" s="509"/>
      <c r="EW10" s="509"/>
      <c r="EX10" s="509"/>
      <c r="EY10" s="509"/>
      <c r="EZ10" s="509"/>
      <c r="FA10" s="509"/>
      <c r="FB10" s="509"/>
      <c r="FC10" s="509"/>
      <c r="FD10" s="509"/>
      <c r="FE10" s="509"/>
      <c r="FF10" s="509"/>
      <c r="FG10" s="510"/>
      <c r="FH10" s="509"/>
      <c r="FI10" s="509"/>
      <c r="FJ10" s="509"/>
      <c r="FK10" s="509"/>
      <c r="FL10" s="509"/>
      <c r="FM10" s="509"/>
      <c r="FN10" s="509"/>
      <c r="FO10" s="509"/>
      <c r="FP10" s="509"/>
      <c r="FQ10" s="509"/>
      <c r="FR10" s="509"/>
      <c r="FS10" s="509"/>
      <c r="FT10" s="509"/>
      <c r="FU10" s="509"/>
      <c r="FV10" s="509"/>
      <c r="FW10" s="508"/>
      <c r="FX10" s="509"/>
      <c r="FY10" s="509"/>
      <c r="FZ10" s="509"/>
      <c r="GA10" s="511" t="str">
        <f ca="1">IFERROR(__xludf.DUMMYFUNCTION("""COMPUTED_VALUE"""),"total_points")</f>
        <v>total_points</v>
      </c>
      <c r="GB10" s="497">
        <f ca="1">IFERROR(__xludf.DUMMYFUNCTION("""COMPUTED_VALUE"""),200000)</f>
        <v>200000</v>
      </c>
      <c r="GC10" s="510"/>
      <c r="GD10" s="509"/>
      <c r="GE10" s="511"/>
      <c r="GF10" s="497"/>
      <c r="GG10" s="497"/>
      <c r="GH10" s="497" t="str">
        <f t="shared" si="1"/>
        <v>:</v>
      </c>
      <c r="GI10" s="510"/>
      <c r="GJ10" s="509"/>
      <c r="GK10" s="509"/>
    </row>
    <row r="11" spans="1:193" ht="15.75" customHeight="1" x14ac:dyDescent="0.15">
      <c r="A11" s="482" t="str">
        <f ca="1">IFERROR(__xludf.DUMMYFUNCTION("""COMPUTED_VALUE"""),"total_points level 5")</f>
        <v>total_points level 5</v>
      </c>
      <c r="B11" s="482" t="b">
        <f t="shared" ca="1" si="0"/>
        <v>0</v>
      </c>
      <c r="C11" s="507" t="str">
        <f ca="1">IFERROR(__xludf.DUMMYFUNCTION("""set""&amp;PROPER(index(SPLIT(GA11, ""_""), 0, 2))&amp;""ToLevel""&amp;AV11"),"setPointsToLevel5")</f>
        <v>setPointsToLevel5</v>
      </c>
      <c r="D11" s="507" t="str">
        <f ca="1">IFERROR(__xludf.DUMMYFUNCTION("""COMPUTED_VALUE"""),"rewardIfAllRequirementsMet")</f>
        <v>rewardIfAllRequirementsMet</v>
      </c>
      <c r="E11" s="497"/>
      <c r="F11" s="497"/>
      <c r="G11" s="508"/>
      <c r="H11" s="509"/>
      <c r="I11" s="509"/>
      <c r="J11" s="509"/>
      <c r="K11" s="509"/>
      <c r="L11" s="509"/>
      <c r="M11" s="497"/>
      <c r="N11" s="510"/>
      <c r="O11" s="497"/>
      <c r="P11" s="509"/>
      <c r="Q11" s="509"/>
      <c r="R11" s="509"/>
      <c r="S11" s="509"/>
      <c r="T11" s="509"/>
      <c r="U11" s="509"/>
      <c r="V11" s="509"/>
      <c r="W11" s="509"/>
      <c r="X11" s="509"/>
      <c r="Y11" s="509"/>
      <c r="Z11" s="509"/>
      <c r="AA11" s="497"/>
      <c r="AB11" s="509"/>
      <c r="AC11" s="510"/>
      <c r="AD11" s="509"/>
      <c r="AE11" s="509"/>
      <c r="AF11" s="509"/>
      <c r="AG11" s="509"/>
      <c r="AH11" s="509"/>
      <c r="AI11" s="508"/>
      <c r="AJ11" s="509"/>
      <c r="AK11" s="509"/>
      <c r="AL11" s="509"/>
      <c r="AM11" s="509"/>
      <c r="AN11" s="509"/>
      <c r="AO11" s="510"/>
      <c r="AP11" s="509"/>
      <c r="AQ11" s="509"/>
      <c r="AR11" s="509"/>
      <c r="AS11" s="509"/>
      <c r="AT11" s="509"/>
      <c r="AU11" s="511" t="str">
        <f ca="1">IFERROR(__xludf.DUMMYFUNCTION("""COMPUTED_VALUE"""),"levels.total_points.level")</f>
        <v>levels.total_points.level</v>
      </c>
      <c r="AV11" s="497">
        <f ca="1">IFERROR(__xludf.DUMMYFUNCTION("""COMPUTED_VALUE"""),5)</f>
        <v>5</v>
      </c>
      <c r="AW11" s="497" t="str">
        <f ca="1">IFERROR(__xludf.DUMMYFUNCTION("""COMPUTED_VALUE"""),"set")</f>
        <v>set</v>
      </c>
      <c r="AX11" s="510" t="str">
        <f ca="1">IFERROR(__xludf.DUMMYFUNCTION("""COMPUTED_VALUE"""),"levels.total_points.valueNeededForNextLevel")</f>
        <v>levels.total_points.valueNeededForNextLevel</v>
      </c>
      <c r="AY11" s="509">
        <f ca="1">IFERROR(__xludf.DUMMYFUNCTION("""COMPUTED_VALUE"""),400000)</f>
        <v>400000</v>
      </c>
      <c r="AZ11" s="509" t="str">
        <f ca="1">IFERROR(__xludf.DUMMYFUNCTION("""COMPUTED_VALUE"""),"set")</f>
        <v>set</v>
      </c>
      <c r="BA11" s="513" t="str">
        <f ca="1">IFERROR(__xludf.DUMMYFUNCTION("""COMPUTED_VALUE"""),"all")</f>
        <v>all</v>
      </c>
      <c r="BB11" s="508"/>
      <c r="BC11" s="509"/>
      <c r="BD11" s="509"/>
      <c r="BE11" s="509"/>
      <c r="BF11" s="509"/>
      <c r="BG11" s="509"/>
      <c r="BH11" s="509"/>
      <c r="BI11" s="509"/>
      <c r="BJ11" s="509"/>
      <c r="BK11" s="509"/>
      <c r="BL11" s="509"/>
      <c r="BM11" s="509"/>
      <c r="BN11" s="514"/>
      <c r="BO11" s="510"/>
      <c r="BP11" s="509"/>
      <c r="BQ11" s="509"/>
      <c r="BR11" s="509"/>
      <c r="BS11" s="509"/>
      <c r="BT11" s="509"/>
      <c r="BU11" s="509"/>
      <c r="BV11" s="509"/>
      <c r="BW11" s="509"/>
      <c r="BX11" s="509"/>
      <c r="BY11" s="509"/>
      <c r="BZ11" s="509"/>
      <c r="CA11" s="514"/>
      <c r="CB11" s="510"/>
      <c r="CC11" s="509"/>
      <c r="CD11" s="509"/>
      <c r="CE11" s="509"/>
      <c r="CF11" s="509"/>
      <c r="CG11" s="509"/>
      <c r="CH11" s="509"/>
      <c r="CI11" s="509"/>
      <c r="CJ11" s="509"/>
      <c r="CK11" s="509"/>
      <c r="CL11" s="509"/>
      <c r="CM11" s="509"/>
      <c r="CN11" s="514"/>
      <c r="CO11" s="509"/>
      <c r="CP11" s="509"/>
      <c r="CQ11" s="509"/>
      <c r="CR11" s="509"/>
      <c r="CS11" s="509"/>
      <c r="CT11" s="509"/>
      <c r="CU11" s="509"/>
      <c r="CV11" s="509"/>
      <c r="CW11" s="509"/>
      <c r="CX11" s="509"/>
      <c r="CY11" s="509"/>
      <c r="CZ11" s="509"/>
      <c r="DA11" s="514"/>
      <c r="DB11" s="509"/>
      <c r="DC11" s="509"/>
      <c r="DD11" s="509"/>
      <c r="DE11" s="509"/>
      <c r="DF11" s="509"/>
      <c r="DG11" s="509"/>
      <c r="DH11" s="509"/>
      <c r="DI11" s="509"/>
      <c r="DJ11" s="509"/>
      <c r="DK11" s="509"/>
      <c r="DL11" s="509"/>
      <c r="DM11" s="509"/>
      <c r="DN11" s="515"/>
      <c r="DO11" s="509"/>
      <c r="DP11" s="509"/>
      <c r="DQ11" s="509"/>
      <c r="DR11" s="509"/>
      <c r="DS11" s="509"/>
      <c r="DT11" s="509"/>
      <c r="DU11" s="509"/>
      <c r="DV11" s="509"/>
      <c r="DW11" s="509"/>
      <c r="DX11" s="509"/>
      <c r="DY11" s="509"/>
      <c r="DZ11" s="509"/>
      <c r="EA11" s="509"/>
      <c r="EB11" s="509"/>
      <c r="EC11" s="510"/>
      <c r="ED11" s="509"/>
      <c r="EE11" s="509"/>
      <c r="EF11" s="509"/>
      <c r="EG11" s="509"/>
      <c r="EH11" s="509"/>
      <c r="EI11" s="509"/>
      <c r="EJ11" s="509"/>
      <c r="EK11" s="509"/>
      <c r="EL11" s="509"/>
      <c r="EM11" s="509"/>
      <c r="EN11" s="509"/>
      <c r="EO11" s="509"/>
      <c r="EP11" s="509"/>
      <c r="EQ11" s="508"/>
      <c r="ER11" s="509"/>
      <c r="ES11" s="509"/>
      <c r="ET11" s="509"/>
      <c r="EU11" s="509"/>
      <c r="EV11" s="509"/>
      <c r="EW11" s="509"/>
      <c r="EX11" s="509"/>
      <c r="EY11" s="509"/>
      <c r="EZ11" s="509"/>
      <c r="FA11" s="509"/>
      <c r="FB11" s="509"/>
      <c r="FC11" s="509"/>
      <c r="FD11" s="509"/>
      <c r="FE11" s="509"/>
      <c r="FF11" s="509"/>
      <c r="FG11" s="510"/>
      <c r="FH11" s="509"/>
      <c r="FI11" s="509"/>
      <c r="FJ11" s="509"/>
      <c r="FK11" s="509"/>
      <c r="FL11" s="509"/>
      <c r="FM11" s="509"/>
      <c r="FN11" s="509"/>
      <c r="FO11" s="509"/>
      <c r="FP11" s="509"/>
      <c r="FQ11" s="509"/>
      <c r="FR11" s="509"/>
      <c r="FS11" s="509"/>
      <c r="FT11" s="509"/>
      <c r="FU11" s="509"/>
      <c r="FV11" s="509"/>
      <c r="FW11" s="508"/>
      <c r="FX11" s="509"/>
      <c r="FY11" s="509"/>
      <c r="FZ11" s="509"/>
      <c r="GA11" s="511" t="str">
        <f ca="1">IFERROR(__xludf.DUMMYFUNCTION("""COMPUTED_VALUE"""),"total_points")</f>
        <v>total_points</v>
      </c>
      <c r="GB11" s="497">
        <f ca="1">IFERROR(__xludf.DUMMYFUNCTION("""COMPUTED_VALUE"""),300000)</f>
        <v>300000</v>
      </c>
      <c r="GC11" s="510"/>
      <c r="GD11" s="509"/>
      <c r="GE11" s="511"/>
      <c r="GF11" s="497"/>
      <c r="GG11" s="497"/>
      <c r="GH11" s="497" t="str">
        <f t="shared" si="1"/>
        <v>:</v>
      </c>
      <c r="GI11" s="510"/>
      <c r="GJ11" s="509"/>
      <c r="GK11" s="509"/>
    </row>
    <row r="12" spans="1:193" ht="15.75" customHeight="1" x14ac:dyDescent="0.15">
      <c r="A12" s="482" t="str">
        <f ca="1">IFERROR(__xludf.DUMMYFUNCTION("""COMPUTED_VALUE"""),"total_points level 6")</f>
        <v>total_points level 6</v>
      </c>
      <c r="B12" s="482" t="b">
        <f t="shared" ca="1" si="0"/>
        <v>0</v>
      </c>
      <c r="C12" s="507" t="str">
        <f ca="1">IFERROR(__xludf.DUMMYFUNCTION("""set""&amp;PROPER(index(SPLIT(GA12, ""_""), 0, 2))&amp;""ToLevel""&amp;AV12"),"setPointsToLevel6")</f>
        <v>setPointsToLevel6</v>
      </c>
      <c r="D12" s="507" t="str">
        <f ca="1">IFERROR(__xludf.DUMMYFUNCTION("""COMPUTED_VALUE"""),"rewardIfAllRequirementsMet")</f>
        <v>rewardIfAllRequirementsMet</v>
      </c>
      <c r="E12" s="497"/>
      <c r="F12" s="497"/>
      <c r="G12" s="508"/>
      <c r="H12" s="509"/>
      <c r="I12" s="509"/>
      <c r="J12" s="509"/>
      <c r="K12" s="509"/>
      <c r="L12" s="509"/>
      <c r="M12" s="497"/>
      <c r="N12" s="510"/>
      <c r="O12" s="497"/>
      <c r="P12" s="509"/>
      <c r="Q12" s="509"/>
      <c r="R12" s="509"/>
      <c r="S12" s="509"/>
      <c r="T12" s="509"/>
      <c r="U12" s="509"/>
      <c r="V12" s="509"/>
      <c r="W12" s="509"/>
      <c r="X12" s="509"/>
      <c r="Y12" s="509"/>
      <c r="Z12" s="509"/>
      <c r="AA12" s="497"/>
      <c r="AB12" s="509"/>
      <c r="AC12" s="510"/>
      <c r="AD12" s="509"/>
      <c r="AE12" s="509"/>
      <c r="AF12" s="509"/>
      <c r="AG12" s="509"/>
      <c r="AH12" s="509"/>
      <c r="AI12" s="508"/>
      <c r="AJ12" s="509"/>
      <c r="AK12" s="509"/>
      <c r="AL12" s="509"/>
      <c r="AM12" s="509"/>
      <c r="AN12" s="509"/>
      <c r="AO12" s="510"/>
      <c r="AP12" s="509"/>
      <c r="AQ12" s="509"/>
      <c r="AR12" s="509"/>
      <c r="AS12" s="509"/>
      <c r="AT12" s="509"/>
      <c r="AU12" s="511" t="str">
        <f ca="1">IFERROR(__xludf.DUMMYFUNCTION("""COMPUTED_VALUE"""),"levels.total_points.level")</f>
        <v>levels.total_points.level</v>
      </c>
      <c r="AV12" s="497">
        <f ca="1">IFERROR(__xludf.DUMMYFUNCTION("""COMPUTED_VALUE"""),6)</f>
        <v>6</v>
      </c>
      <c r="AW12" s="497" t="str">
        <f ca="1">IFERROR(__xludf.DUMMYFUNCTION("""COMPUTED_VALUE"""),"set")</f>
        <v>set</v>
      </c>
      <c r="AX12" s="510" t="str">
        <f ca="1">IFERROR(__xludf.DUMMYFUNCTION("""COMPUTED_VALUE"""),"levels.total_points.valueNeededForNextLevel")</f>
        <v>levels.total_points.valueNeededForNextLevel</v>
      </c>
      <c r="AY12" s="509">
        <f ca="1">IFERROR(__xludf.DUMMYFUNCTION("""COMPUTED_VALUE"""),500000)</f>
        <v>500000</v>
      </c>
      <c r="AZ12" s="509" t="str">
        <f ca="1">IFERROR(__xludf.DUMMYFUNCTION("""COMPUTED_VALUE"""),"set")</f>
        <v>set</v>
      </c>
      <c r="BA12" s="513" t="str">
        <f ca="1">IFERROR(__xludf.DUMMYFUNCTION("""COMPUTED_VALUE"""),"all")</f>
        <v>all</v>
      </c>
      <c r="BB12" s="508"/>
      <c r="BC12" s="509"/>
      <c r="BD12" s="509"/>
      <c r="BE12" s="509"/>
      <c r="BF12" s="509"/>
      <c r="BG12" s="509"/>
      <c r="BH12" s="509"/>
      <c r="BI12" s="509"/>
      <c r="BJ12" s="509"/>
      <c r="BK12" s="509"/>
      <c r="BL12" s="509"/>
      <c r="BM12" s="509"/>
      <c r="BN12" s="514"/>
      <c r="BO12" s="510"/>
      <c r="BP12" s="509"/>
      <c r="BQ12" s="509"/>
      <c r="BR12" s="509"/>
      <c r="BS12" s="509"/>
      <c r="BT12" s="509"/>
      <c r="BU12" s="509"/>
      <c r="BV12" s="509"/>
      <c r="BW12" s="509"/>
      <c r="BX12" s="509"/>
      <c r="BY12" s="509"/>
      <c r="BZ12" s="509"/>
      <c r="CA12" s="514"/>
      <c r="CB12" s="510"/>
      <c r="CC12" s="509"/>
      <c r="CD12" s="509"/>
      <c r="CE12" s="509"/>
      <c r="CF12" s="509"/>
      <c r="CG12" s="509"/>
      <c r="CH12" s="509"/>
      <c r="CI12" s="509"/>
      <c r="CJ12" s="509"/>
      <c r="CK12" s="509"/>
      <c r="CL12" s="509"/>
      <c r="CM12" s="509"/>
      <c r="CN12" s="514"/>
      <c r="CO12" s="509"/>
      <c r="CP12" s="509"/>
      <c r="CQ12" s="509"/>
      <c r="CR12" s="509"/>
      <c r="CS12" s="509"/>
      <c r="CT12" s="509"/>
      <c r="CU12" s="509"/>
      <c r="CV12" s="509"/>
      <c r="CW12" s="509"/>
      <c r="CX12" s="509"/>
      <c r="CY12" s="509"/>
      <c r="CZ12" s="509"/>
      <c r="DA12" s="514"/>
      <c r="DB12" s="509"/>
      <c r="DC12" s="509"/>
      <c r="DD12" s="509"/>
      <c r="DE12" s="509"/>
      <c r="DF12" s="509"/>
      <c r="DG12" s="509"/>
      <c r="DH12" s="509"/>
      <c r="DI12" s="509"/>
      <c r="DJ12" s="509"/>
      <c r="DK12" s="509"/>
      <c r="DL12" s="509"/>
      <c r="DM12" s="509"/>
      <c r="DN12" s="515"/>
      <c r="DO12" s="509"/>
      <c r="DP12" s="509"/>
      <c r="DQ12" s="509"/>
      <c r="DR12" s="509"/>
      <c r="DS12" s="509"/>
      <c r="DT12" s="509"/>
      <c r="DU12" s="509"/>
      <c r="DV12" s="509"/>
      <c r="DW12" s="509"/>
      <c r="DX12" s="509"/>
      <c r="DY12" s="509"/>
      <c r="DZ12" s="509"/>
      <c r="EA12" s="509"/>
      <c r="EB12" s="509"/>
      <c r="EC12" s="510"/>
      <c r="ED12" s="509"/>
      <c r="EE12" s="509"/>
      <c r="EF12" s="509"/>
      <c r="EG12" s="509"/>
      <c r="EH12" s="509"/>
      <c r="EI12" s="509"/>
      <c r="EJ12" s="509"/>
      <c r="EK12" s="509"/>
      <c r="EL12" s="509"/>
      <c r="EM12" s="509"/>
      <c r="EN12" s="509"/>
      <c r="EO12" s="509"/>
      <c r="EP12" s="509"/>
      <c r="EQ12" s="508"/>
      <c r="ER12" s="509"/>
      <c r="ES12" s="509"/>
      <c r="ET12" s="509"/>
      <c r="EU12" s="509"/>
      <c r="EV12" s="509"/>
      <c r="EW12" s="509"/>
      <c r="EX12" s="509"/>
      <c r="EY12" s="509"/>
      <c r="EZ12" s="509"/>
      <c r="FA12" s="509"/>
      <c r="FB12" s="509"/>
      <c r="FC12" s="509"/>
      <c r="FD12" s="509"/>
      <c r="FE12" s="509"/>
      <c r="FF12" s="509"/>
      <c r="FG12" s="510"/>
      <c r="FH12" s="509"/>
      <c r="FI12" s="509"/>
      <c r="FJ12" s="509"/>
      <c r="FK12" s="509"/>
      <c r="FL12" s="509"/>
      <c r="FM12" s="509"/>
      <c r="FN12" s="509"/>
      <c r="FO12" s="509"/>
      <c r="FP12" s="509"/>
      <c r="FQ12" s="509"/>
      <c r="FR12" s="509"/>
      <c r="FS12" s="509"/>
      <c r="FT12" s="509"/>
      <c r="FU12" s="509"/>
      <c r="FV12" s="509"/>
      <c r="FW12" s="508"/>
      <c r="FX12" s="509"/>
      <c r="FY12" s="509"/>
      <c r="FZ12" s="509"/>
      <c r="GA12" s="511" t="str">
        <f ca="1">IFERROR(__xludf.DUMMYFUNCTION("""COMPUTED_VALUE"""),"total_points")</f>
        <v>total_points</v>
      </c>
      <c r="GB12" s="497">
        <f ca="1">IFERROR(__xludf.DUMMYFUNCTION("""COMPUTED_VALUE"""),400000)</f>
        <v>400000</v>
      </c>
      <c r="GC12" s="510"/>
      <c r="GD12" s="509"/>
      <c r="GE12" s="511"/>
      <c r="GF12" s="497"/>
      <c r="GG12" s="497"/>
      <c r="GH12" s="497" t="str">
        <f t="shared" si="1"/>
        <v>:</v>
      </c>
      <c r="GI12" s="510"/>
      <c r="GJ12" s="509"/>
      <c r="GK12" s="509"/>
    </row>
    <row r="13" spans="1:193" ht="15.75" customHeight="1" x14ac:dyDescent="0.15">
      <c r="A13" s="482" t="str">
        <f ca="1">IFERROR(__xludf.DUMMYFUNCTION("""COMPUTED_VALUE"""),"total_points level 7")</f>
        <v>total_points level 7</v>
      </c>
      <c r="B13" s="482" t="b">
        <f t="shared" ca="1" si="0"/>
        <v>0</v>
      </c>
      <c r="C13" s="507" t="str">
        <f ca="1">IFERROR(__xludf.DUMMYFUNCTION("""set""&amp;PROPER(index(SPLIT(GA13, ""_""), 0, 2))&amp;""ToLevel""&amp;AV13"),"setPointsToLevel7")</f>
        <v>setPointsToLevel7</v>
      </c>
      <c r="D13" s="507" t="str">
        <f ca="1">IFERROR(__xludf.DUMMYFUNCTION("""COMPUTED_VALUE"""),"rewardIfAllRequirementsMet")</f>
        <v>rewardIfAllRequirementsMet</v>
      </c>
      <c r="E13" s="497"/>
      <c r="F13" s="497"/>
      <c r="G13" s="508"/>
      <c r="H13" s="509"/>
      <c r="I13" s="509"/>
      <c r="J13" s="509"/>
      <c r="K13" s="509"/>
      <c r="L13" s="509"/>
      <c r="M13" s="497"/>
      <c r="N13" s="510"/>
      <c r="O13" s="497"/>
      <c r="P13" s="509"/>
      <c r="Q13" s="509"/>
      <c r="R13" s="509"/>
      <c r="S13" s="509"/>
      <c r="T13" s="509"/>
      <c r="U13" s="509"/>
      <c r="V13" s="509"/>
      <c r="W13" s="509"/>
      <c r="X13" s="509"/>
      <c r="Y13" s="509"/>
      <c r="Z13" s="509"/>
      <c r="AA13" s="497"/>
      <c r="AB13" s="509"/>
      <c r="AC13" s="510"/>
      <c r="AD13" s="509"/>
      <c r="AE13" s="509"/>
      <c r="AF13" s="509"/>
      <c r="AG13" s="509"/>
      <c r="AH13" s="509"/>
      <c r="AI13" s="508"/>
      <c r="AJ13" s="509"/>
      <c r="AK13" s="509"/>
      <c r="AL13" s="509"/>
      <c r="AM13" s="509"/>
      <c r="AN13" s="509"/>
      <c r="AO13" s="510"/>
      <c r="AP13" s="509"/>
      <c r="AQ13" s="509"/>
      <c r="AR13" s="509"/>
      <c r="AS13" s="509"/>
      <c r="AT13" s="509"/>
      <c r="AU13" s="511" t="str">
        <f ca="1">IFERROR(__xludf.DUMMYFUNCTION("""COMPUTED_VALUE"""),"levels.total_points.level")</f>
        <v>levels.total_points.level</v>
      </c>
      <c r="AV13" s="497">
        <f ca="1">IFERROR(__xludf.DUMMYFUNCTION("""COMPUTED_VALUE"""),7)</f>
        <v>7</v>
      </c>
      <c r="AW13" s="497" t="str">
        <f ca="1">IFERROR(__xludf.DUMMYFUNCTION("""COMPUTED_VALUE"""),"set")</f>
        <v>set</v>
      </c>
      <c r="AX13" s="510" t="str">
        <f ca="1">IFERROR(__xludf.DUMMYFUNCTION("""COMPUTED_VALUE"""),"levels.total_points.valueNeededForNextLevel")</f>
        <v>levels.total_points.valueNeededForNextLevel</v>
      </c>
      <c r="AY13" s="509">
        <f ca="1">IFERROR(__xludf.DUMMYFUNCTION("""COMPUTED_VALUE"""),625000)</f>
        <v>625000</v>
      </c>
      <c r="AZ13" s="509" t="str">
        <f ca="1">IFERROR(__xludf.DUMMYFUNCTION("""COMPUTED_VALUE"""),"set")</f>
        <v>set</v>
      </c>
      <c r="BA13" s="513" t="str">
        <f ca="1">IFERROR(__xludf.DUMMYFUNCTION("""COMPUTED_VALUE"""),"all")</f>
        <v>all</v>
      </c>
      <c r="BB13" s="508"/>
      <c r="BC13" s="509"/>
      <c r="BD13" s="509"/>
      <c r="BE13" s="509"/>
      <c r="BF13" s="509"/>
      <c r="BG13" s="509"/>
      <c r="BH13" s="509"/>
      <c r="BI13" s="509"/>
      <c r="BJ13" s="509"/>
      <c r="BK13" s="509"/>
      <c r="BL13" s="509"/>
      <c r="BM13" s="509"/>
      <c r="BN13" s="514"/>
      <c r="BO13" s="510"/>
      <c r="BP13" s="509"/>
      <c r="BQ13" s="509"/>
      <c r="BR13" s="509"/>
      <c r="BS13" s="509"/>
      <c r="BT13" s="509"/>
      <c r="BU13" s="509"/>
      <c r="BV13" s="509"/>
      <c r="BW13" s="509"/>
      <c r="BX13" s="509"/>
      <c r="BY13" s="509"/>
      <c r="BZ13" s="509"/>
      <c r="CA13" s="514"/>
      <c r="CB13" s="510"/>
      <c r="CC13" s="509"/>
      <c r="CD13" s="509"/>
      <c r="CE13" s="509"/>
      <c r="CF13" s="509"/>
      <c r="CG13" s="509"/>
      <c r="CH13" s="509"/>
      <c r="CI13" s="509"/>
      <c r="CJ13" s="509"/>
      <c r="CK13" s="509"/>
      <c r="CL13" s="509"/>
      <c r="CM13" s="509"/>
      <c r="CN13" s="514"/>
      <c r="CO13" s="509"/>
      <c r="CP13" s="509"/>
      <c r="CQ13" s="509"/>
      <c r="CR13" s="509"/>
      <c r="CS13" s="509"/>
      <c r="CT13" s="509"/>
      <c r="CU13" s="509"/>
      <c r="CV13" s="509"/>
      <c r="CW13" s="509"/>
      <c r="CX13" s="509"/>
      <c r="CY13" s="509"/>
      <c r="CZ13" s="509"/>
      <c r="DA13" s="514"/>
      <c r="DB13" s="509"/>
      <c r="DC13" s="509"/>
      <c r="DD13" s="509"/>
      <c r="DE13" s="509"/>
      <c r="DF13" s="509"/>
      <c r="DG13" s="509"/>
      <c r="DH13" s="509"/>
      <c r="DI13" s="509"/>
      <c r="DJ13" s="509"/>
      <c r="DK13" s="509"/>
      <c r="DL13" s="509"/>
      <c r="DM13" s="509"/>
      <c r="DN13" s="515"/>
      <c r="DO13" s="509"/>
      <c r="DP13" s="509"/>
      <c r="DQ13" s="509"/>
      <c r="DR13" s="509"/>
      <c r="DS13" s="509"/>
      <c r="DT13" s="509"/>
      <c r="DU13" s="509"/>
      <c r="DV13" s="509"/>
      <c r="DW13" s="509"/>
      <c r="DX13" s="509"/>
      <c r="DY13" s="509"/>
      <c r="DZ13" s="509"/>
      <c r="EA13" s="509"/>
      <c r="EB13" s="509"/>
      <c r="EC13" s="510"/>
      <c r="ED13" s="509"/>
      <c r="EE13" s="509"/>
      <c r="EF13" s="509"/>
      <c r="EG13" s="509"/>
      <c r="EH13" s="509"/>
      <c r="EI13" s="509"/>
      <c r="EJ13" s="509"/>
      <c r="EK13" s="509"/>
      <c r="EL13" s="509"/>
      <c r="EM13" s="509"/>
      <c r="EN13" s="509"/>
      <c r="EO13" s="509"/>
      <c r="EP13" s="509"/>
      <c r="EQ13" s="508"/>
      <c r="ER13" s="509"/>
      <c r="ES13" s="509"/>
      <c r="ET13" s="509"/>
      <c r="EU13" s="509"/>
      <c r="EV13" s="509"/>
      <c r="EW13" s="509"/>
      <c r="EX13" s="509"/>
      <c r="EY13" s="509"/>
      <c r="EZ13" s="509"/>
      <c r="FA13" s="509"/>
      <c r="FB13" s="509"/>
      <c r="FC13" s="509"/>
      <c r="FD13" s="509"/>
      <c r="FE13" s="509"/>
      <c r="FF13" s="509"/>
      <c r="FG13" s="510"/>
      <c r="FH13" s="509"/>
      <c r="FI13" s="509"/>
      <c r="FJ13" s="509"/>
      <c r="FK13" s="509"/>
      <c r="FL13" s="509"/>
      <c r="FM13" s="509"/>
      <c r="FN13" s="509"/>
      <c r="FO13" s="509"/>
      <c r="FP13" s="509"/>
      <c r="FQ13" s="509"/>
      <c r="FR13" s="509"/>
      <c r="FS13" s="509"/>
      <c r="FT13" s="509"/>
      <c r="FU13" s="509"/>
      <c r="FV13" s="509"/>
      <c r="FW13" s="508"/>
      <c r="FX13" s="509"/>
      <c r="FY13" s="509"/>
      <c r="FZ13" s="509"/>
      <c r="GA13" s="511" t="str">
        <f ca="1">IFERROR(__xludf.DUMMYFUNCTION("""COMPUTED_VALUE"""),"total_points")</f>
        <v>total_points</v>
      </c>
      <c r="GB13" s="497">
        <f ca="1">IFERROR(__xludf.DUMMYFUNCTION("""COMPUTED_VALUE"""),500000)</f>
        <v>500000</v>
      </c>
      <c r="GC13" s="510"/>
      <c r="GD13" s="509"/>
      <c r="GE13" s="511"/>
      <c r="GF13" s="497"/>
      <c r="GG13" s="497"/>
      <c r="GH13" s="497" t="str">
        <f t="shared" si="1"/>
        <v>:</v>
      </c>
      <c r="GI13" s="510"/>
      <c r="GJ13" s="509"/>
      <c r="GK13" s="509"/>
    </row>
    <row r="14" spans="1:193" ht="15.75" customHeight="1" x14ac:dyDescent="0.15">
      <c r="A14" s="482" t="str">
        <f ca="1">IFERROR(__xludf.DUMMYFUNCTION("""COMPUTED_VALUE"""),"total_points level 8")</f>
        <v>total_points level 8</v>
      </c>
      <c r="B14" s="482" t="b">
        <f t="shared" ca="1" si="0"/>
        <v>0</v>
      </c>
      <c r="C14" s="507" t="str">
        <f ca="1">IFERROR(__xludf.DUMMYFUNCTION("""set""&amp;PROPER(index(SPLIT(GA14, ""_""), 0, 2))&amp;""ToLevel""&amp;AV14"),"setPointsToLevel8")</f>
        <v>setPointsToLevel8</v>
      </c>
      <c r="D14" s="507" t="str">
        <f ca="1">IFERROR(__xludf.DUMMYFUNCTION("""COMPUTED_VALUE"""),"rewardIfAllRequirementsMet")</f>
        <v>rewardIfAllRequirementsMet</v>
      </c>
      <c r="E14" s="497"/>
      <c r="F14" s="497"/>
      <c r="G14" s="508"/>
      <c r="H14" s="509"/>
      <c r="I14" s="509"/>
      <c r="J14" s="509"/>
      <c r="K14" s="509"/>
      <c r="L14" s="509"/>
      <c r="M14" s="497"/>
      <c r="N14" s="510"/>
      <c r="O14" s="497"/>
      <c r="P14" s="509"/>
      <c r="Q14" s="509"/>
      <c r="R14" s="509"/>
      <c r="S14" s="509"/>
      <c r="T14" s="509"/>
      <c r="U14" s="509"/>
      <c r="V14" s="509"/>
      <c r="W14" s="509"/>
      <c r="X14" s="509"/>
      <c r="Y14" s="509"/>
      <c r="Z14" s="509"/>
      <c r="AA14" s="497"/>
      <c r="AB14" s="509"/>
      <c r="AC14" s="510"/>
      <c r="AD14" s="509"/>
      <c r="AE14" s="509"/>
      <c r="AF14" s="509"/>
      <c r="AG14" s="509"/>
      <c r="AH14" s="509"/>
      <c r="AI14" s="508"/>
      <c r="AJ14" s="509"/>
      <c r="AK14" s="509"/>
      <c r="AL14" s="509"/>
      <c r="AM14" s="509"/>
      <c r="AN14" s="509"/>
      <c r="AO14" s="510"/>
      <c r="AP14" s="509"/>
      <c r="AQ14" s="509"/>
      <c r="AR14" s="509"/>
      <c r="AS14" s="509"/>
      <c r="AT14" s="509"/>
      <c r="AU14" s="511" t="str">
        <f ca="1">IFERROR(__xludf.DUMMYFUNCTION("""COMPUTED_VALUE"""),"levels.total_points.level")</f>
        <v>levels.total_points.level</v>
      </c>
      <c r="AV14" s="497">
        <f ca="1">IFERROR(__xludf.DUMMYFUNCTION("""COMPUTED_VALUE"""),8)</f>
        <v>8</v>
      </c>
      <c r="AW14" s="497" t="str">
        <f ca="1">IFERROR(__xludf.DUMMYFUNCTION("""COMPUTED_VALUE"""),"set")</f>
        <v>set</v>
      </c>
      <c r="AX14" s="510" t="str">
        <f ca="1">IFERROR(__xludf.DUMMYFUNCTION("""COMPUTED_VALUE"""),"levels.total_points.valueNeededForNextLevel")</f>
        <v>levels.total_points.valueNeededForNextLevel</v>
      </c>
      <c r="AY14" s="509">
        <f ca="1">IFERROR(__xludf.DUMMYFUNCTION("""COMPUTED_VALUE"""),750000)</f>
        <v>750000</v>
      </c>
      <c r="AZ14" s="509" t="str">
        <f ca="1">IFERROR(__xludf.DUMMYFUNCTION("""COMPUTED_VALUE"""),"set")</f>
        <v>set</v>
      </c>
      <c r="BA14" s="513" t="str">
        <f ca="1">IFERROR(__xludf.DUMMYFUNCTION("""COMPUTED_VALUE"""),"all")</f>
        <v>all</v>
      </c>
      <c r="BB14" s="508"/>
      <c r="BC14" s="509"/>
      <c r="BD14" s="509"/>
      <c r="BE14" s="509"/>
      <c r="BF14" s="509"/>
      <c r="BG14" s="509"/>
      <c r="BH14" s="509"/>
      <c r="BI14" s="509"/>
      <c r="BJ14" s="509"/>
      <c r="BK14" s="509"/>
      <c r="BL14" s="509"/>
      <c r="BM14" s="509"/>
      <c r="BN14" s="514"/>
      <c r="BO14" s="510"/>
      <c r="BP14" s="509"/>
      <c r="BQ14" s="509"/>
      <c r="BR14" s="509"/>
      <c r="BS14" s="509"/>
      <c r="BT14" s="509"/>
      <c r="BU14" s="509"/>
      <c r="BV14" s="509"/>
      <c r="BW14" s="509"/>
      <c r="BX14" s="509"/>
      <c r="BY14" s="509"/>
      <c r="BZ14" s="509"/>
      <c r="CA14" s="514"/>
      <c r="CB14" s="510"/>
      <c r="CC14" s="509"/>
      <c r="CD14" s="509"/>
      <c r="CE14" s="509"/>
      <c r="CF14" s="509"/>
      <c r="CG14" s="509"/>
      <c r="CH14" s="509"/>
      <c r="CI14" s="509"/>
      <c r="CJ14" s="509"/>
      <c r="CK14" s="509"/>
      <c r="CL14" s="509"/>
      <c r="CM14" s="509"/>
      <c r="CN14" s="514"/>
      <c r="CO14" s="509"/>
      <c r="CP14" s="509"/>
      <c r="CQ14" s="509"/>
      <c r="CR14" s="509"/>
      <c r="CS14" s="509"/>
      <c r="CT14" s="509"/>
      <c r="CU14" s="509"/>
      <c r="CV14" s="509"/>
      <c r="CW14" s="509"/>
      <c r="CX14" s="509"/>
      <c r="CY14" s="509"/>
      <c r="CZ14" s="509"/>
      <c r="DA14" s="514"/>
      <c r="DB14" s="509"/>
      <c r="DC14" s="509"/>
      <c r="DD14" s="509"/>
      <c r="DE14" s="509"/>
      <c r="DF14" s="509"/>
      <c r="DG14" s="509"/>
      <c r="DH14" s="509"/>
      <c r="DI14" s="509"/>
      <c r="DJ14" s="509"/>
      <c r="DK14" s="509"/>
      <c r="DL14" s="509"/>
      <c r="DM14" s="509"/>
      <c r="DN14" s="515"/>
      <c r="DO14" s="509"/>
      <c r="DP14" s="509"/>
      <c r="DQ14" s="509"/>
      <c r="DR14" s="509"/>
      <c r="DS14" s="509"/>
      <c r="DT14" s="509"/>
      <c r="DU14" s="509"/>
      <c r="DV14" s="509"/>
      <c r="DW14" s="509"/>
      <c r="DX14" s="509"/>
      <c r="DY14" s="509"/>
      <c r="DZ14" s="509"/>
      <c r="EA14" s="509"/>
      <c r="EB14" s="509"/>
      <c r="EC14" s="510"/>
      <c r="ED14" s="509"/>
      <c r="EE14" s="509"/>
      <c r="EF14" s="509"/>
      <c r="EG14" s="509"/>
      <c r="EH14" s="509"/>
      <c r="EI14" s="509"/>
      <c r="EJ14" s="509"/>
      <c r="EK14" s="509"/>
      <c r="EL14" s="509"/>
      <c r="EM14" s="509"/>
      <c r="EN14" s="509"/>
      <c r="EO14" s="509"/>
      <c r="EP14" s="509"/>
      <c r="EQ14" s="508"/>
      <c r="ER14" s="509"/>
      <c r="ES14" s="509"/>
      <c r="ET14" s="509"/>
      <c r="EU14" s="509"/>
      <c r="EV14" s="509"/>
      <c r="EW14" s="509"/>
      <c r="EX14" s="509"/>
      <c r="EY14" s="509"/>
      <c r="EZ14" s="509"/>
      <c r="FA14" s="509"/>
      <c r="FB14" s="509"/>
      <c r="FC14" s="509"/>
      <c r="FD14" s="509"/>
      <c r="FE14" s="509"/>
      <c r="FF14" s="509"/>
      <c r="FG14" s="510"/>
      <c r="FH14" s="509"/>
      <c r="FI14" s="509"/>
      <c r="FJ14" s="509"/>
      <c r="FK14" s="509"/>
      <c r="FL14" s="509"/>
      <c r="FM14" s="509"/>
      <c r="FN14" s="509"/>
      <c r="FO14" s="509"/>
      <c r="FP14" s="509"/>
      <c r="FQ14" s="509"/>
      <c r="FR14" s="509"/>
      <c r="FS14" s="509"/>
      <c r="FT14" s="509"/>
      <c r="FU14" s="509"/>
      <c r="FV14" s="509"/>
      <c r="FW14" s="508"/>
      <c r="FX14" s="509"/>
      <c r="FY14" s="509"/>
      <c r="FZ14" s="509"/>
      <c r="GA14" s="511" t="str">
        <f ca="1">IFERROR(__xludf.DUMMYFUNCTION("""COMPUTED_VALUE"""),"total_points")</f>
        <v>total_points</v>
      </c>
      <c r="GB14" s="497">
        <f ca="1">IFERROR(__xludf.DUMMYFUNCTION("""COMPUTED_VALUE"""),625000)</f>
        <v>625000</v>
      </c>
      <c r="GC14" s="510"/>
      <c r="GD14" s="509"/>
      <c r="GE14" s="511"/>
      <c r="GF14" s="497"/>
      <c r="GG14" s="497"/>
      <c r="GH14" s="497" t="str">
        <f t="shared" si="1"/>
        <v>:</v>
      </c>
      <c r="GI14" s="510"/>
      <c r="GJ14" s="509"/>
      <c r="GK14" s="509"/>
    </row>
    <row r="15" spans="1:193" ht="15.75" customHeight="1" x14ac:dyDescent="0.15">
      <c r="A15" s="482" t="str">
        <f ca="1">IFERROR(__xludf.DUMMYFUNCTION("""COMPUTED_VALUE"""),"total_points level 9")</f>
        <v>total_points level 9</v>
      </c>
      <c r="B15" s="482" t="b">
        <f t="shared" ca="1" si="0"/>
        <v>0</v>
      </c>
      <c r="C15" s="507" t="str">
        <f ca="1">IFERROR(__xludf.DUMMYFUNCTION("""set""&amp;PROPER(index(SPLIT(GA15, ""_""), 0, 2))&amp;""ToLevel""&amp;AV15"),"setPointsToLevel9")</f>
        <v>setPointsToLevel9</v>
      </c>
      <c r="D15" s="507" t="str">
        <f ca="1">IFERROR(__xludf.DUMMYFUNCTION("""COMPUTED_VALUE"""),"rewardIfAllRequirementsMet")</f>
        <v>rewardIfAllRequirementsMet</v>
      </c>
      <c r="E15" s="497"/>
      <c r="F15" s="497"/>
      <c r="G15" s="508"/>
      <c r="H15" s="509"/>
      <c r="I15" s="509"/>
      <c r="J15" s="509"/>
      <c r="K15" s="509"/>
      <c r="L15" s="509"/>
      <c r="M15" s="497"/>
      <c r="N15" s="510"/>
      <c r="O15" s="497"/>
      <c r="P15" s="509"/>
      <c r="Q15" s="509"/>
      <c r="R15" s="509"/>
      <c r="S15" s="509"/>
      <c r="T15" s="509"/>
      <c r="U15" s="509"/>
      <c r="V15" s="509"/>
      <c r="W15" s="509"/>
      <c r="X15" s="509"/>
      <c r="Y15" s="509"/>
      <c r="Z15" s="509"/>
      <c r="AA15" s="497"/>
      <c r="AB15" s="509"/>
      <c r="AC15" s="510"/>
      <c r="AD15" s="509"/>
      <c r="AE15" s="509"/>
      <c r="AF15" s="509"/>
      <c r="AG15" s="509"/>
      <c r="AH15" s="509"/>
      <c r="AI15" s="508"/>
      <c r="AJ15" s="509"/>
      <c r="AK15" s="509"/>
      <c r="AL15" s="509"/>
      <c r="AM15" s="509"/>
      <c r="AN15" s="509"/>
      <c r="AO15" s="510"/>
      <c r="AP15" s="509"/>
      <c r="AQ15" s="509"/>
      <c r="AR15" s="509"/>
      <c r="AS15" s="509"/>
      <c r="AT15" s="509"/>
      <c r="AU15" s="511" t="str">
        <f ca="1">IFERROR(__xludf.DUMMYFUNCTION("""COMPUTED_VALUE"""),"levels.total_points.level")</f>
        <v>levels.total_points.level</v>
      </c>
      <c r="AV15" s="497">
        <f ca="1">IFERROR(__xludf.DUMMYFUNCTION("""COMPUTED_VALUE"""),9)</f>
        <v>9</v>
      </c>
      <c r="AW15" s="497" t="str">
        <f ca="1">IFERROR(__xludf.DUMMYFUNCTION("""COMPUTED_VALUE"""),"set")</f>
        <v>set</v>
      </c>
      <c r="AX15" s="510" t="str">
        <f ca="1">IFERROR(__xludf.DUMMYFUNCTION("""COMPUTED_VALUE"""),"levels.total_points.valueNeededForNextLevel")</f>
        <v>levels.total_points.valueNeededForNextLevel</v>
      </c>
      <c r="AY15" s="509">
        <f ca="1">IFERROR(__xludf.DUMMYFUNCTION("""COMPUTED_VALUE"""),875000)</f>
        <v>875000</v>
      </c>
      <c r="AZ15" s="509" t="str">
        <f ca="1">IFERROR(__xludf.DUMMYFUNCTION("""COMPUTED_VALUE"""),"set")</f>
        <v>set</v>
      </c>
      <c r="BA15" s="513" t="str">
        <f ca="1">IFERROR(__xludf.DUMMYFUNCTION("""COMPUTED_VALUE"""),"all")</f>
        <v>all</v>
      </c>
      <c r="BB15" s="508"/>
      <c r="BC15" s="509"/>
      <c r="BD15" s="509"/>
      <c r="BE15" s="509"/>
      <c r="BF15" s="509"/>
      <c r="BG15" s="509"/>
      <c r="BH15" s="509"/>
      <c r="BI15" s="509"/>
      <c r="BJ15" s="509"/>
      <c r="BK15" s="509"/>
      <c r="BL15" s="509"/>
      <c r="BM15" s="509"/>
      <c r="BN15" s="514"/>
      <c r="BO15" s="510"/>
      <c r="BP15" s="509"/>
      <c r="BQ15" s="509"/>
      <c r="BR15" s="509"/>
      <c r="BS15" s="509"/>
      <c r="BT15" s="509"/>
      <c r="BU15" s="509"/>
      <c r="BV15" s="509"/>
      <c r="BW15" s="509"/>
      <c r="BX15" s="509"/>
      <c r="BY15" s="509"/>
      <c r="BZ15" s="509"/>
      <c r="CA15" s="514"/>
      <c r="CB15" s="510"/>
      <c r="CC15" s="509"/>
      <c r="CD15" s="509"/>
      <c r="CE15" s="509"/>
      <c r="CF15" s="509"/>
      <c r="CG15" s="509"/>
      <c r="CH15" s="509"/>
      <c r="CI15" s="509"/>
      <c r="CJ15" s="509"/>
      <c r="CK15" s="509"/>
      <c r="CL15" s="509"/>
      <c r="CM15" s="509"/>
      <c r="CN15" s="514"/>
      <c r="CO15" s="509"/>
      <c r="CP15" s="509"/>
      <c r="CQ15" s="509"/>
      <c r="CR15" s="509"/>
      <c r="CS15" s="509"/>
      <c r="CT15" s="509"/>
      <c r="CU15" s="509"/>
      <c r="CV15" s="509"/>
      <c r="CW15" s="509"/>
      <c r="CX15" s="509"/>
      <c r="CY15" s="509"/>
      <c r="CZ15" s="509"/>
      <c r="DA15" s="514"/>
      <c r="DB15" s="509"/>
      <c r="DC15" s="509"/>
      <c r="DD15" s="509"/>
      <c r="DE15" s="509"/>
      <c r="DF15" s="509"/>
      <c r="DG15" s="509"/>
      <c r="DH15" s="509"/>
      <c r="DI15" s="509"/>
      <c r="DJ15" s="509"/>
      <c r="DK15" s="509"/>
      <c r="DL15" s="509"/>
      <c r="DM15" s="509"/>
      <c r="DN15" s="515"/>
      <c r="DO15" s="509"/>
      <c r="DP15" s="509"/>
      <c r="DQ15" s="509"/>
      <c r="DR15" s="509"/>
      <c r="DS15" s="509"/>
      <c r="DT15" s="509"/>
      <c r="DU15" s="509"/>
      <c r="DV15" s="509"/>
      <c r="DW15" s="509"/>
      <c r="DX15" s="509"/>
      <c r="DY15" s="509"/>
      <c r="DZ15" s="509"/>
      <c r="EA15" s="509"/>
      <c r="EB15" s="509"/>
      <c r="EC15" s="510"/>
      <c r="ED15" s="509"/>
      <c r="EE15" s="509"/>
      <c r="EF15" s="509"/>
      <c r="EG15" s="509"/>
      <c r="EH15" s="509"/>
      <c r="EI15" s="509"/>
      <c r="EJ15" s="509"/>
      <c r="EK15" s="509"/>
      <c r="EL15" s="509"/>
      <c r="EM15" s="509"/>
      <c r="EN15" s="509"/>
      <c r="EO15" s="509"/>
      <c r="EP15" s="509"/>
      <c r="EQ15" s="508"/>
      <c r="ER15" s="509"/>
      <c r="ES15" s="509"/>
      <c r="ET15" s="509"/>
      <c r="EU15" s="509"/>
      <c r="EV15" s="509"/>
      <c r="EW15" s="509"/>
      <c r="EX15" s="509"/>
      <c r="EY15" s="509"/>
      <c r="EZ15" s="509"/>
      <c r="FA15" s="509"/>
      <c r="FB15" s="509"/>
      <c r="FC15" s="509"/>
      <c r="FD15" s="509"/>
      <c r="FE15" s="509"/>
      <c r="FF15" s="509"/>
      <c r="FG15" s="510"/>
      <c r="FH15" s="509"/>
      <c r="FI15" s="509"/>
      <c r="FJ15" s="509"/>
      <c r="FK15" s="509"/>
      <c r="FL15" s="509"/>
      <c r="FM15" s="509"/>
      <c r="FN15" s="509"/>
      <c r="FO15" s="509"/>
      <c r="FP15" s="509"/>
      <c r="FQ15" s="509"/>
      <c r="FR15" s="509"/>
      <c r="FS15" s="509"/>
      <c r="FT15" s="509"/>
      <c r="FU15" s="509"/>
      <c r="FV15" s="509"/>
      <c r="FW15" s="508"/>
      <c r="FX15" s="509"/>
      <c r="FY15" s="509"/>
      <c r="FZ15" s="509"/>
      <c r="GA15" s="511" t="str">
        <f ca="1">IFERROR(__xludf.DUMMYFUNCTION("""COMPUTED_VALUE"""),"total_points")</f>
        <v>total_points</v>
      </c>
      <c r="GB15" s="497">
        <f ca="1">IFERROR(__xludf.DUMMYFUNCTION("""COMPUTED_VALUE"""),750000)</f>
        <v>750000</v>
      </c>
      <c r="GC15" s="510"/>
      <c r="GD15" s="509"/>
      <c r="GE15" s="511"/>
      <c r="GF15" s="497"/>
      <c r="GG15" s="497"/>
      <c r="GH15" s="497" t="str">
        <f t="shared" si="1"/>
        <v>:</v>
      </c>
      <c r="GI15" s="510"/>
      <c r="GJ15" s="509"/>
      <c r="GK15" s="509"/>
    </row>
    <row r="16" spans="1:193" ht="15.75" customHeight="1" x14ac:dyDescent="0.15">
      <c r="A16" s="482" t="str">
        <f ca="1">IFERROR(__xludf.DUMMYFUNCTION("""COMPUTED_VALUE"""),"total_points level 10")</f>
        <v>total_points level 10</v>
      </c>
      <c r="B16" s="482" t="b">
        <f t="shared" ca="1" si="0"/>
        <v>0</v>
      </c>
      <c r="C16" s="507" t="str">
        <f ca="1">IFERROR(__xludf.DUMMYFUNCTION("""set""&amp;PROPER(index(SPLIT(GA16, ""_""), 0, 2))&amp;""ToLevel""&amp;AV16"),"setPointsToLevel10")</f>
        <v>setPointsToLevel10</v>
      </c>
      <c r="D16" s="507" t="str">
        <f ca="1">IFERROR(__xludf.DUMMYFUNCTION("""COMPUTED_VALUE"""),"rewardIfAllRequirementsMet")</f>
        <v>rewardIfAllRequirementsMet</v>
      </c>
      <c r="E16" s="497"/>
      <c r="F16" s="497"/>
      <c r="G16" s="508"/>
      <c r="H16" s="509"/>
      <c r="I16" s="509"/>
      <c r="J16" s="509"/>
      <c r="K16" s="509"/>
      <c r="L16" s="509"/>
      <c r="M16" s="497"/>
      <c r="N16" s="510"/>
      <c r="O16" s="497"/>
      <c r="P16" s="509"/>
      <c r="Q16" s="509"/>
      <c r="R16" s="509"/>
      <c r="S16" s="509"/>
      <c r="T16" s="509"/>
      <c r="U16" s="509"/>
      <c r="V16" s="509"/>
      <c r="W16" s="509"/>
      <c r="X16" s="509"/>
      <c r="Y16" s="509"/>
      <c r="Z16" s="509"/>
      <c r="AA16" s="497"/>
      <c r="AB16" s="509"/>
      <c r="AC16" s="510"/>
      <c r="AD16" s="509"/>
      <c r="AE16" s="509"/>
      <c r="AF16" s="509"/>
      <c r="AG16" s="509"/>
      <c r="AH16" s="509"/>
      <c r="AI16" s="508"/>
      <c r="AJ16" s="509"/>
      <c r="AK16" s="509"/>
      <c r="AL16" s="509"/>
      <c r="AM16" s="509"/>
      <c r="AN16" s="509"/>
      <c r="AO16" s="510"/>
      <c r="AP16" s="509"/>
      <c r="AQ16" s="509"/>
      <c r="AR16" s="509"/>
      <c r="AS16" s="509"/>
      <c r="AT16" s="509"/>
      <c r="AU16" s="511" t="str">
        <f ca="1">IFERROR(__xludf.DUMMYFUNCTION("""COMPUTED_VALUE"""),"levels.total_points.level")</f>
        <v>levels.total_points.level</v>
      </c>
      <c r="AV16" s="497">
        <f ca="1">IFERROR(__xludf.DUMMYFUNCTION("""COMPUTED_VALUE"""),10)</f>
        <v>10</v>
      </c>
      <c r="AW16" s="497" t="str">
        <f ca="1">IFERROR(__xludf.DUMMYFUNCTION("""COMPUTED_VALUE"""),"set")</f>
        <v>set</v>
      </c>
      <c r="AX16" s="510" t="str">
        <f ca="1">IFERROR(__xludf.DUMMYFUNCTION("""COMPUTED_VALUE"""),"levels.total_points.valueNeededForNextLevel")</f>
        <v>levels.total_points.valueNeededForNextLevel</v>
      </c>
      <c r="AY16" s="509">
        <f ca="1">IFERROR(__xludf.DUMMYFUNCTION("""COMPUTED_VALUE"""),1000000)</f>
        <v>1000000</v>
      </c>
      <c r="AZ16" s="509" t="str">
        <f ca="1">IFERROR(__xludf.DUMMYFUNCTION("""COMPUTED_VALUE"""),"set")</f>
        <v>set</v>
      </c>
      <c r="BA16" s="513" t="str">
        <f ca="1">IFERROR(__xludf.DUMMYFUNCTION("""COMPUTED_VALUE"""),"all")</f>
        <v>all</v>
      </c>
      <c r="BB16" s="508"/>
      <c r="BC16" s="509"/>
      <c r="BD16" s="509"/>
      <c r="BE16" s="509"/>
      <c r="BF16" s="509"/>
      <c r="BG16" s="509"/>
      <c r="BH16" s="509"/>
      <c r="BI16" s="509"/>
      <c r="BJ16" s="509"/>
      <c r="BK16" s="509"/>
      <c r="BL16" s="509"/>
      <c r="BM16" s="509"/>
      <c r="BN16" s="514"/>
      <c r="BO16" s="510"/>
      <c r="BP16" s="509"/>
      <c r="BQ16" s="509"/>
      <c r="BR16" s="509"/>
      <c r="BS16" s="509"/>
      <c r="BT16" s="509"/>
      <c r="BU16" s="509"/>
      <c r="BV16" s="509"/>
      <c r="BW16" s="509"/>
      <c r="BX16" s="509"/>
      <c r="BY16" s="509"/>
      <c r="BZ16" s="509"/>
      <c r="CA16" s="514"/>
      <c r="CB16" s="510"/>
      <c r="CC16" s="509"/>
      <c r="CD16" s="509"/>
      <c r="CE16" s="509"/>
      <c r="CF16" s="509"/>
      <c r="CG16" s="509"/>
      <c r="CH16" s="509"/>
      <c r="CI16" s="509"/>
      <c r="CJ16" s="509"/>
      <c r="CK16" s="509"/>
      <c r="CL16" s="509"/>
      <c r="CM16" s="509"/>
      <c r="CN16" s="514"/>
      <c r="CO16" s="509"/>
      <c r="CP16" s="509"/>
      <c r="CQ16" s="509"/>
      <c r="CR16" s="509"/>
      <c r="CS16" s="509"/>
      <c r="CT16" s="509"/>
      <c r="CU16" s="509"/>
      <c r="CV16" s="509"/>
      <c r="CW16" s="509"/>
      <c r="CX16" s="509"/>
      <c r="CY16" s="509"/>
      <c r="CZ16" s="509"/>
      <c r="DA16" s="514"/>
      <c r="DB16" s="509"/>
      <c r="DC16" s="509"/>
      <c r="DD16" s="509"/>
      <c r="DE16" s="509"/>
      <c r="DF16" s="509"/>
      <c r="DG16" s="509"/>
      <c r="DH16" s="509"/>
      <c r="DI16" s="509"/>
      <c r="DJ16" s="509"/>
      <c r="DK16" s="509"/>
      <c r="DL16" s="509"/>
      <c r="DM16" s="509"/>
      <c r="DN16" s="515"/>
      <c r="DO16" s="509"/>
      <c r="DP16" s="509"/>
      <c r="DQ16" s="509"/>
      <c r="DR16" s="509"/>
      <c r="DS16" s="509"/>
      <c r="DT16" s="509"/>
      <c r="DU16" s="509"/>
      <c r="DV16" s="509"/>
      <c r="DW16" s="509"/>
      <c r="DX16" s="509"/>
      <c r="DY16" s="509"/>
      <c r="DZ16" s="509"/>
      <c r="EA16" s="509"/>
      <c r="EB16" s="509"/>
      <c r="EC16" s="510"/>
      <c r="ED16" s="509"/>
      <c r="EE16" s="509"/>
      <c r="EF16" s="509"/>
      <c r="EG16" s="509"/>
      <c r="EH16" s="509"/>
      <c r="EI16" s="509"/>
      <c r="EJ16" s="509"/>
      <c r="EK16" s="509"/>
      <c r="EL16" s="509"/>
      <c r="EM16" s="509"/>
      <c r="EN16" s="509"/>
      <c r="EO16" s="509"/>
      <c r="EP16" s="509"/>
      <c r="EQ16" s="508"/>
      <c r="ER16" s="509"/>
      <c r="ES16" s="509"/>
      <c r="ET16" s="509"/>
      <c r="EU16" s="509"/>
      <c r="EV16" s="509"/>
      <c r="EW16" s="509"/>
      <c r="EX16" s="509"/>
      <c r="EY16" s="509"/>
      <c r="EZ16" s="509"/>
      <c r="FA16" s="509"/>
      <c r="FB16" s="509"/>
      <c r="FC16" s="509"/>
      <c r="FD16" s="509"/>
      <c r="FE16" s="509"/>
      <c r="FF16" s="509"/>
      <c r="FG16" s="510"/>
      <c r="FH16" s="509"/>
      <c r="FI16" s="509"/>
      <c r="FJ16" s="509"/>
      <c r="FK16" s="509"/>
      <c r="FL16" s="509"/>
      <c r="FM16" s="509"/>
      <c r="FN16" s="509"/>
      <c r="FO16" s="509"/>
      <c r="FP16" s="509"/>
      <c r="FQ16" s="509"/>
      <c r="FR16" s="509"/>
      <c r="FS16" s="509"/>
      <c r="FT16" s="509"/>
      <c r="FU16" s="509"/>
      <c r="FV16" s="509"/>
      <c r="FW16" s="508"/>
      <c r="FX16" s="509"/>
      <c r="FY16" s="509"/>
      <c r="FZ16" s="509"/>
      <c r="GA16" s="511" t="str">
        <f ca="1">IFERROR(__xludf.DUMMYFUNCTION("""COMPUTED_VALUE"""),"total_points")</f>
        <v>total_points</v>
      </c>
      <c r="GB16" s="497">
        <f ca="1">IFERROR(__xludf.DUMMYFUNCTION("""COMPUTED_VALUE"""),875000)</f>
        <v>875000</v>
      </c>
      <c r="GC16" s="510"/>
      <c r="GD16" s="509"/>
      <c r="GE16" s="511"/>
      <c r="GF16" s="497"/>
      <c r="GG16" s="497"/>
      <c r="GH16" s="497" t="str">
        <f t="shared" si="1"/>
        <v>:</v>
      </c>
      <c r="GI16" s="510"/>
      <c r="GJ16" s="509"/>
      <c r="GK16" s="509"/>
    </row>
    <row r="17" spans="1:193" ht="15.75" customHeight="1" x14ac:dyDescent="0.15">
      <c r="A17" s="482" t="str">
        <f ca="1">IFERROR(__xludf.DUMMYFUNCTION("""COMPUTED_VALUE"""),"total_points level 11")</f>
        <v>total_points level 11</v>
      </c>
      <c r="B17" s="482" t="b">
        <f t="shared" ca="1" si="0"/>
        <v>0</v>
      </c>
      <c r="C17" s="507" t="str">
        <f ca="1">IFERROR(__xludf.DUMMYFUNCTION("""set""&amp;PROPER(index(SPLIT(GA17, ""_""), 0, 2))&amp;""ToLevel""&amp;AV17"),"setPointsToLevel11")</f>
        <v>setPointsToLevel11</v>
      </c>
      <c r="D17" s="507" t="str">
        <f ca="1">IFERROR(__xludf.DUMMYFUNCTION("""COMPUTED_VALUE"""),"rewardIfAllRequirementsMet")</f>
        <v>rewardIfAllRequirementsMet</v>
      </c>
      <c r="E17" s="497"/>
      <c r="F17" s="497"/>
      <c r="G17" s="508"/>
      <c r="H17" s="509"/>
      <c r="I17" s="509"/>
      <c r="J17" s="509"/>
      <c r="K17" s="509"/>
      <c r="L17" s="509"/>
      <c r="M17" s="497"/>
      <c r="N17" s="510"/>
      <c r="O17" s="497"/>
      <c r="P17" s="509"/>
      <c r="Q17" s="509"/>
      <c r="R17" s="509"/>
      <c r="S17" s="509"/>
      <c r="T17" s="509"/>
      <c r="U17" s="509"/>
      <c r="V17" s="509"/>
      <c r="W17" s="509"/>
      <c r="X17" s="509"/>
      <c r="Y17" s="509"/>
      <c r="Z17" s="509"/>
      <c r="AA17" s="497"/>
      <c r="AB17" s="509"/>
      <c r="AC17" s="510"/>
      <c r="AD17" s="509"/>
      <c r="AE17" s="509"/>
      <c r="AF17" s="509"/>
      <c r="AG17" s="509"/>
      <c r="AH17" s="509"/>
      <c r="AI17" s="508"/>
      <c r="AJ17" s="509"/>
      <c r="AK17" s="509"/>
      <c r="AL17" s="509"/>
      <c r="AM17" s="509"/>
      <c r="AN17" s="509"/>
      <c r="AO17" s="510"/>
      <c r="AP17" s="509"/>
      <c r="AQ17" s="509"/>
      <c r="AR17" s="509"/>
      <c r="AS17" s="509"/>
      <c r="AT17" s="509"/>
      <c r="AU17" s="511" t="str">
        <f ca="1">IFERROR(__xludf.DUMMYFUNCTION("""COMPUTED_VALUE"""),"levels.total_points.level")</f>
        <v>levels.total_points.level</v>
      </c>
      <c r="AV17" s="497">
        <f ca="1">IFERROR(__xludf.DUMMYFUNCTION("""COMPUTED_VALUE"""),11)</f>
        <v>11</v>
      </c>
      <c r="AW17" s="497" t="str">
        <f ca="1">IFERROR(__xludf.DUMMYFUNCTION("""COMPUTED_VALUE"""),"set")</f>
        <v>set</v>
      </c>
      <c r="AX17" s="510" t="str">
        <f ca="1">IFERROR(__xludf.DUMMYFUNCTION("""COMPUTED_VALUE"""),"levels.total_points.valueNeededForNextLevel")</f>
        <v>levels.total_points.valueNeededForNextLevel</v>
      </c>
      <c r="AY17" s="509">
        <f ca="1">IFERROR(__xludf.DUMMYFUNCTION("""COMPUTED_VALUE"""),1100000)</f>
        <v>1100000</v>
      </c>
      <c r="AZ17" s="509" t="str">
        <f ca="1">IFERROR(__xludf.DUMMYFUNCTION("""COMPUTED_VALUE"""),"set")</f>
        <v>set</v>
      </c>
      <c r="BA17" s="513" t="str">
        <f ca="1">IFERROR(__xludf.DUMMYFUNCTION("""COMPUTED_VALUE"""),"all")</f>
        <v>all</v>
      </c>
      <c r="BB17" s="508"/>
      <c r="BC17" s="509"/>
      <c r="BD17" s="509"/>
      <c r="BE17" s="509"/>
      <c r="BF17" s="509"/>
      <c r="BG17" s="509"/>
      <c r="BH17" s="509"/>
      <c r="BI17" s="509"/>
      <c r="BJ17" s="509"/>
      <c r="BK17" s="509"/>
      <c r="BL17" s="509"/>
      <c r="BM17" s="509"/>
      <c r="BN17" s="514"/>
      <c r="BO17" s="510"/>
      <c r="BP17" s="509"/>
      <c r="BQ17" s="509"/>
      <c r="BR17" s="509"/>
      <c r="BS17" s="509"/>
      <c r="BT17" s="509"/>
      <c r="BU17" s="509"/>
      <c r="BV17" s="509"/>
      <c r="BW17" s="509"/>
      <c r="BX17" s="509"/>
      <c r="BY17" s="509"/>
      <c r="BZ17" s="509"/>
      <c r="CA17" s="514"/>
      <c r="CB17" s="510"/>
      <c r="CC17" s="509"/>
      <c r="CD17" s="509"/>
      <c r="CE17" s="509"/>
      <c r="CF17" s="509"/>
      <c r="CG17" s="509"/>
      <c r="CH17" s="509"/>
      <c r="CI17" s="509"/>
      <c r="CJ17" s="509"/>
      <c r="CK17" s="509"/>
      <c r="CL17" s="509"/>
      <c r="CM17" s="509"/>
      <c r="CN17" s="514"/>
      <c r="CO17" s="509"/>
      <c r="CP17" s="509"/>
      <c r="CQ17" s="509"/>
      <c r="CR17" s="509"/>
      <c r="CS17" s="509"/>
      <c r="CT17" s="509"/>
      <c r="CU17" s="509"/>
      <c r="CV17" s="509"/>
      <c r="CW17" s="509"/>
      <c r="CX17" s="509"/>
      <c r="CY17" s="509"/>
      <c r="CZ17" s="509"/>
      <c r="DA17" s="514"/>
      <c r="DB17" s="509"/>
      <c r="DC17" s="509"/>
      <c r="DD17" s="509"/>
      <c r="DE17" s="509"/>
      <c r="DF17" s="509"/>
      <c r="DG17" s="509"/>
      <c r="DH17" s="509"/>
      <c r="DI17" s="509"/>
      <c r="DJ17" s="509"/>
      <c r="DK17" s="509"/>
      <c r="DL17" s="509"/>
      <c r="DM17" s="509"/>
      <c r="DN17" s="515"/>
      <c r="DO17" s="509"/>
      <c r="DP17" s="509"/>
      <c r="DQ17" s="509"/>
      <c r="DR17" s="509"/>
      <c r="DS17" s="509"/>
      <c r="DT17" s="509"/>
      <c r="DU17" s="509"/>
      <c r="DV17" s="509"/>
      <c r="DW17" s="509"/>
      <c r="DX17" s="509"/>
      <c r="DY17" s="509"/>
      <c r="DZ17" s="509"/>
      <c r="EA17" s="509"/>
      <c r="EB17" s="509"/>
      <c r="EC17" s="510"/>
      <c r="ED17" s="509"/>
      <c r="EE17" s="509"/>
      <c r="EF17" s="509"/>
      <c r="EG17" s="509"/>
      <c r="EH17" s="509"/>
      <c r="EI17" s="509"/>
      <c r="EJ17" s="509"/>
      <c r="EK17" s="509"/>
      <c r="EL17" s="509"/>
      <c r="EM17" s="509"/>
      <c r="EN17" s="509"/>
      <c r="EO17" s="509"/>
      <c r="EP17" s="509"/>
      <c r="EQ17" s="508"/>
      <c r="ER17" s="509"/>
      <c r="ES17" s="509"/>
      <c r="ET17" s="509"/>
      <c r="EU17" s="509"/>
      <c r="EV17" s="509"/>
      <c r="EW17" s="509"/>
      <c r="EX17" s="509"/>
      <c r="EY17" s="509"/>
      <c r="EZ17" s="509"/>
      <c r="FA17" s="509"/>
      <c r="FB17" s="509"/>
      <c r="FC17" s="509"/>
      <c r="FD17" s="509"/>
      <c r="FE17" s="509"/>
      <c r="FF17" s="509"/>
      <c r="FG17" s="510"/>
      <c r="FH17" s="509"/>
      <c r="FI17" s="509"/>
      <c r="FJ17" s="509"/>
      <c r="FK17" s="509"/>
      <c r="FL17" s="509"/>
      <c r="FM17" s="509"/>
      <c r="FN17" s="509"/>
      <c r="FO17" s="509"/>
      <c r="FP17" s="509"/>
      <c r="FQ17" s="509"/>
      <c r="FR17" s="509"/>
      <c r="FS17" s="509"/>
      <c r="FT17" s="509"/>
      <c r="FU17" s="509"/>
      <c r="FV17" s="509"/>
      <c r="FW17" s="508"/>
      <c r="FX17" s="509"/>
      <c r="FY17" s="509"/>
      <c r="FZ17" s="509"/>
      <c r="GA17" s="511" t="str">
        <f ca="1">IFERROR(__xludf.DUMMYFUNCTION("""COMPUTED_VALUE"""),"total_points")</f>
        <v>total_points</v>
      </c>
      <c r="GB17" s="497">
        <f ca="1">IFERROR(__xludf.DUMMYFUNCTION("""COMPUTED_VALUE"""),1000000)</f>
        <v>1000000</v>
      </c>
      <c r="GC17" s="510"/>
      <c r="GD17" s="509"/>
      <c r="GE17" s="511"/>
      <c r="GF17" s="497"/>
      <c r="GG17" s="497"/>
      <c r="GH17" s="497" t="str">
        <f t="shared" si="1"/>
        <v>:</v>
      </c>
      <c r="GI17" s="510"/>
      <c r="GJ17" s="509"/>
      <c r="GK17" s="509"/>
    </row>
    <row r="18" spans="1:193" ht="15.75" customHeight="1" x14ac:dyDescent="0.15">
      <c r="A18" s="482" t="str">
        <f ca="1">IFERROR(__xludf.DUMMYFUNCTION("""COMPUTED_VALUE"""),"total_points level 12")</f>
        <v>total_points level 12</v>
      </c>
      <c r="B18" s="482" t="b">
        <f t="shared" ca="1" si="0"/>
        <v>0</v>
      </c>
      <c r="C18" s="507" t="str">
        <f ca="1">IFERROR(__xludf.DUMMYFUNCTION("""set""&amp;PROPER(index(SPLIT(GA18, ""_""), 0, 2))&amp;""ToLevel""&amp;AV18"),"setPointsToLevel12")</f>
        <v>setPointsToLevel12</v>
      </c>
      <c r="D18" s="507" t="str">
        <f ca="1">IFERROR(__xludf.DUMMYFUNCTION("""COMPUTED_VALUE"""),"rewardIfAllRequirementsMet")</f>
        <v>rewardIfAllRequirementsMet</v>
      </c>
      <c r="E18" s="497"/>
      <c r="F18" s="497"/>
      <c r="G18" s="508"/>
      <c r="H18" s="509"/>
      <c r="I18" s="509"/>
      <c r="J18" s="509"/>
      <c r="K18" s="509"/>
      <c r="L18" s="509"/>
      <c r="M18" s="497"/>
      <c r="N18" s="510"/>
      <c r="O18" s="497"/>
      <c r="P18" s="509"/>
      <c r="Q18" s="509"/>
      <c r="R18" s="509"/>
      <c r="S18" s="509"/>
      <c r="T18" s="509"/>
      <c r="U18" s="509"/>
      <c r="V18" s="509"/>
      <c r="W18" s="509"/>
      <c r="X18" s="509"/>
      <c r="Y18" s="509"/>
      <c r="Z18" s="509"/>
      <c r="AA18" s="497"/>
      <c r="AB18" s="509"/>
      <c r="AC18" s="510"/>
      <c r="AD18" s="509"/>
      <c r="AE18" s="509"/>
      <c r="AF18" s="509"/>
      <c r="AG18" s="509"/>
      <c r="AH18" s="509"/>
      <c r="AI18" s="508"/>
      <c r="AJ18" s="509"/>
      <c r="AK18" s="509"/>
      <c r="AL18" s="509"/>
      <c r="AM18" s="509"/>
      <c r="AN18" s="509"/>
      <c r="AO18" s="510"/>
      <c r="AP18" s="509"/>
      <c r="AQ18" s="509"/>
      <c r="AR18" s="509"/>
      <c r="AS18" s="509"/>
      <c r="AT18" s="509"/>
      <c r="AU18" s="511" t="str">
        <f ca="1">IFERROR(__xludf.DUMMYFUNCTION("""COMPUTED_VALUE"""),"levels.total_points.level")</f>
        <v>levels.total_points.level</v>
      </c>
      <c r="AV18" s="497">
        <f ca="1">IFERROR(__xludf.DUMMYFUNCTION("""COMPUTED_VALUE"""),12)</f>
        <v>12</v>
      </c>
      <c r="AW18" s="497" t="str">
        <f ca="1">IFERROR(__xludf.DUMMYFUNCTION("""COMPUTED_VALUE"""),"set")</f>
        <v>set</v>
      </c>
      <c r="AX18" s="510" t="str">
        <f ca="1">IFERROR(__xludf.DUMMYFUNCTION("""COMPUTED_VALUE"""),"levels.total_points.valueNeededForNextLevel")</f>
        <v>levels.total_points.valueNeededForNextLevel</v>
      </c>
      <c r="AY18" s="509">
        <f ca="1">IFERROR(__xludf.DUMMYFUNCTION("""COMPUTED_VALUE"""),1200000)</f>
        <v>1200000</v>
      </c>
      <c r="AZ18" s="509" t="str">
        <f ca="1">IFERROR(__xludf.DUMMYFUNCTION("""COMPUTED_VALUE"""),"set")</f>
        <v>set</v>
      </c>
      <c r="BA18" s="513" t="str">
        <f ca="1">IFERROR(__xludf.DUMMYFUNCTION("""COMPUTED_VALUE"""),"all")</f>
        <v>all</v>
      </c>
      <c r="BB18" s="508"/>
      <c r="BC18" s="509"/>
      <c r="BD18" s="509"/>
      <c r="BE18" s="509"/>
      <c r="BF18" s="509"/>
      <c r="BG18" s="509"/>
      <c r="BH18" s="509"/>
      <c r="BI18" s="509"/>
      <c r="BJ18" s="509"/>
      <c r="BK18" s="509"/>
      <c r="BL18" s="509"/>
      <c r="BM18" s="509"/>
      <c r="BN18" s="514"/>
      <c r="BO18" s="510"/>
      <c r="BP18" s="509"/>
      <c r="BQ18" s="509"/>
      <c r="BR18" s="509"/>
      <c r="BS18" s="509"/>
      <c r="BT18" s="509"/>
      <c r="BU18" s="509"/>
      <c r="BV18" s="509"/>
      <c r="BW18" s="509"/>
      <c r="BX18" s="509"/>
      <c r="BY18" s="509"/>
      <c r="BZ18" s="509"/>
      <c r="CA18" s="514"/>
      <c r="CB18" s="510"/>
      <c r="CC18" s="509"/>
      <c r="CD18" s="509"/>
      <c r="CE18" s="509"/>
      <c r="CF18" s="509"/>
      <c r="CG18" s="509"/>
      <c r="CH18" s="509"/>
      <c r="CI18" s="509"/>
      <c r="CJ18" s="509"/>
      <c r="CK18" s="509"/>
      <c r="CL18" s="509"/>
      <c r="CM18" s="509"/>
      <c r="CN18" s="514"/>
      <c r="CO18" s="509"/>
      <c r="CP18" s="509"/>
      <c r="CQ18" s="509"/>
      <c r="CR18" s="509"/>
      <c r="CS18" s="509"/>
      <c r="CT18" s="509"/>
      <c r="CU18" s="509"/>
      <c r="CV18" s="509"/>
      <c r="CW18" s="509"/>
      <c r="CX18" s="509"/>
      <c r="CY18" s="509"/>
      <c r="CZ18" s="509"/>
      <c r="DA18" s="514"/>
      <c r="DB18" s="509"/>
      <c r="DC18" s="509"/>
      <c r="DD18" s="509"/>
      <c r="DE18" s="509"/>
      <c r="DF18" s="509"/>
      <c r="DG18" s="509"/>
      <c r="DH18" s="509"/>
      <c r="DI18" s="509"/>
      <c r="DJ18" s="509"/>
      <c r="DK18" s="509"/>
      <c r="DL18" s="509"/>
      <c r="DM18" s="509"/>
      <c r="DN18" s="515"/>
      <c r="DO18" s="509"/>
      <c r="DP18" s="509"/>
      <c r="DQ18" s="509"/>
      <c r="DR18" s="509"/>
      <c r="DS18" s="509"/>
      <c r="DT18" s="509"/>
      <c r="DU18" s="509"/>
      <c r="DV18" s="509"/>
      <c r="DW18" s="509"/>
      <c r="DX18" s="509"/>
      <c r="DY18" s="509"/>
      <c r="DZ18" s="509"/>
      <c r="EA18" s="509"/>
      <c r="EB18" s="509"/>
      <c r="EC18" s="510"/>
      <c r="ED18" s="509"/>
      <c r="EE18" s="509"/>
      <c r="EF18" s="509"/>
      <c r="EG18" s="509"/>
      <c r="EH18" s="509"/>
      <c r="EI18" s="509"/>
      <c r="EJ18" s="509"/>
      <c r="EK18" s="509"/>
      <c r="EL18" s="509"/>
      <c r="EM18" s="509"/>
      <c r="EN18" s="509"/>
      <c r="EO18" s="509"/>
      <c r="EP18" s="509"/>
      <c r="EQ18" s="508"/>
      <c r="ER18" s="509"/>
      <c r="ES18" s="509"/>
      <c r="ET18" s="509"/>
      <c r="EU18" s="509"/>
      <c r="EV18" s="509"/>
      <c r="EW18" s="509"/>
      <c r="EX18" s="509"/>
      <c r="EY18" s="509"/>
      <c r="EZ18" s="509"/>
      <c r="FA18" s="509"/>
      <c r="FB18" s="509"/>
      <c r="FC18" s="509"/>
      <c r="FD18" s="509"/>
      <c r="FE18" s="509"/>
      <c r="FF18" s="509"/>
      <c r="FG18" s="510"/>
      <c r="FH18" s="509"/>
      <c r="FI18" s="509"/>
      <c r="FJ18" s="509"/>
      <c r="FK18" s="509"/>
      <c r="FL18" s="509"/>
      <c r="FM18" s="509"/>
      <c r="FN18" s="509"/>
      <c r="FO18" s="509"/>
      <c r="FP18" s="509"/>
      <c r="FQ18" s="509"/>
      <c r="FR18" s="509"/>
      <c r="FS18" s="509"/>
      <c r="FT18" s="509"/>
      <c r="FU18" s="509"/>
      <c r="FV18" s="509"/>
      <c r="FW18" s="508"/>
      <c r="FX18" s="509"/>
      <c r="FY18" s="509"/>
      <c r="FZ18" s="509"/>
      <c r="GA18" s="511" t="str">
        <f ca="1">IFERROR(__xludf.DUMMYFUNCTION("""COMPUTED_VALUE"""),"total_points")</f>
        <v>total_points</v>
      </c>
      <c r="GB18" s="497">
        <f ca="1">IFERROR(__xludf.DUMMYFUNCTION("""COMPUTED_VALUE"""),1100000)</f>
        <v>1100000</v>
      </c>
      <c r="GC18" s="510"/>
      <c r="GD18" s="509"/>
      <c r="GE18" s="511"/>
      <c r="GF18" s="497"/>
      <c r="GG18" s="497"/>
      <c r="GH18" s="497" t="str">
        <f t="shared" si="1"/>
        <v>:</v>
      </c>
      <c r="GI18" s="510"/>
      <c r="GJ18" s="509"/>
      <c r="GK18" s="509"/>
    </row>
    <row r="19" spans="1:193" ht="15.75" customHeight="1" x14ac:dyDescent="0.15">
      <c r="A19" s="482" t="str">
        <f ca="1">IFERROR(__xludf.DUMMYFUNCTION("""COMPUTED_VALUE"""),"total_points level 13")</f>
        <v>total_points level 13</v>
      </c>
      <c r="B19" s="482" t="b">
        <f t="shared" ca="1" si="0"/>
        <v>0</v>
      </c>
      <c r="C19" s="507" t="str">
        <f ca="1">IFERROR(__xludf.DUMMYFUNCTION("""set""&amp;PROPER(index(SPLIT(GA19, ""_""), 0, 2))&amp;""ToLevel""&amp;AV19"),"setPointsToLevel13")</f>
        <v>setPointsToLevel13</v>
      </c>
      <c r="D19" s="507" t="str">
        <f ca="1">IFERROR(__xludf.DUMMYFUNCTION("""COMPUTED_VALUE"""),"rewardIfAllRequirementsMet")</f>
        <v>rewardIfAllRequirementsMet</v>
      </c>
      <c r="E19" s="497"/>
      <c r="F19" s="497"/>
      <c r="G19" s="508"/>
      <c r="H19" s="509"/>
      <c r="I19" s="509"/>
      <c r="J19" s="509"/>
      <c r="K19" s="509"/>
      <c r="L19" s="509"/>
      <c r="M19" s="497"/>
      <c r="N19" s="510"/>
      <c r="O19" s="497"/>
      <c r="P19" s="509"/>
      <c r="Q19" s="509"/>
      <c r="R19" s="509"/>
      <c r="S19" s="509"/>
      <c r="T19" s="509"/>
      <c r="U19" s="509"/>
      <c r="V19" s="509"/>
      <c r="W19" s="509"/>
      <c r="X19" s="509"/>
      <c r="Y19" s="509"/>
      <c r="Z19" s="509"/>
      <c r="AA19" s="497"/>
      <c r="AB19" s="509"/>
      <c r="AC19" s="510"/>
      <c r="AD19" s="509"/>
      <c r="AE19" s="509"/>
      <c r="AF19" s="509"/>
      <c r="AG19" s="509"/>
      <c r="AH19" s="509"/>
      <c r="AI19" s="508"/>
      <c r="AJ19" s="509"/>
      <c r="AK19" s="509"/>
      <c r="AL19" s="509"/>
      <c r="AM19" s="509"/>
      <c r="AN19" s="509"/>
      <c r="AO19" s="510"/>
      <c r="AP19" s="509"/>
      <c r="AQ19" s="509"/>
      <c r="AR19" s="509"/>
      <c r="AS19" s="509"/>
      <c r="AT19" s="509"/>
      <c r="AU19" s="511" t="str">
        <f ca="1">IFERROR(__xludf.DUMMYFUNCTION("""COMPUTED_VALUE"""),"levels.total_points.level")</f>
        <v>levels.total_points.level</v>
      </c>
      <c r="AV19" s="497">
        <f ca="1">IFERROR(__xludf.DUMMYFUNCTION("""COMPUTED_VALUE"""),13)</f>
        <v>13</v>
      </c>
      <c r="AW19" s="497" t="str">
        <f ca="1">IFERROR(__xludf.DUMMYFUNCTION("""COMPUTED_VALUE"""),"set")</f>
        <v>set</v>
      </c>
      <c r="AX19" s="510" t="str">
        <f ca="1">IFERROR(__xludf.DUMMYFUNCTION("""COMPUTED_VALUE"""),"levels.total_points.valueNeededForNextLevel")</f>
        <v>levels.total_points.valueNeededForNextLevel</v>
      </c>
      <c r="AY19" s="509">
        <f ca="1">IFERROR(__xludf.DUMMYFUNCTION("""COMPUTED_VALUE"""),1300000)</f>
        <v>1300000</v>
      </c>
      <c r="AZ19" s="509" t="str">
        <f ca="1">IFERROR(__xludf.DUMMYFUNCTION("""COMPUTED_VALUE"""),"set")</f>
        <v>set</v>
      </c>
      <c r="BA19" s="513" t="str">
        <f ca="1">IFERROR(__xludf.DUMMYFUNCTION("""COMPUTED_VALUE"""),"all")</f>
        <v>all</v>
      </c>
      <c r="BB19" s="508"/>
      <c r="BC19" s="509"/>
      <c r="BD19" s="509"/>
      <c r="BE19" s="509"/>
      <c r="BF19" s="509"/>
      <c r="BG19" s="509"/>
      <c r="BH19" s="509"/>
      <c r="BI19" s="509"/>
      <c r="BJ19" s="509"/>
      <c r="BK19" s="509"/>
      <c r="BL19" s="509"/>
      <c r="BM19" s="509"/>
      <c r="BN19" s="514"/>
      <c r="BO19" s="510"/>
      <c r="BP19" s="509"/>
      <c r="BQ19" s="509"/>
      <c r="BR19" s="509"/>
      <c r="BS19" s="509"/>
      <c r="BT19" s="509"/>
      <c r="BU19" s="509"/>
      <c r="BV19" s="509"/>
      <c r="BW19" s="509"/>
      <c r="BX19" s="509"/>
      <c r="BY19" s="509"/>
      <c r="BZ19" s="509"/>
      <c r="CA19" s="514"/>
      <c r="CB19" s="510"/>
      <c r="CC19" s="509"/>
      <c r="CD19" s="509"/>
      <c r="CE19" s="509"/>
      <c r="CF19" s="509"/>
      <c r="CG19" s="509"/>
      <c r="CH19" s="509"/>
      <c r="CI19" s="509"/>
      <c r="CJ19" s="509"/>
      <c r="CK19" s="509"/>
      <c r="CL19" s="509"/>
      <c r="CM19" s="509"/>
      <c r="CN19" s="514"/>
      <c r="CO19" s="509"/>
      <c r="CP19" s="509"/>
      <c r="CQ19" s="509"/>
      <c r="CR19" s="509"/>
      <c r="CS19" s="509"/>
      <c r="CT19" s="509"/>
      <c r="CU19" s="509"/>
      <c r="CV19" s="509"/>
      <c r="CW19" s="509"/>
      <c r="CX19" s="509"/>
      <c r="CY19" s="509"/>
      <c r="CZ19" s="509"/>
      <c r="DA19" s="514"/>
      <c r="DB19" s="509"/>
      <c r="DC19" s="509"/>
      <c r="DD19" s="509"/>
      <c r="DE19" s="509"/>
      <c r="DF19" s="509"/>
      <c r="DG19" s="509"/>
      <c r="DH19" s="509"/>
      <c r="DI19" s="509"/>
      <c r="DJ19" s="509"/>
      <c r="DK19" s="509"/>
      <c r="DL19" s="509"/>
      <c r="DM19" s="509"/>
      <c r="DN19" s="515"/>
      <c r="DO19" s="509"/>
      <c r="DP19" s="509"/>
      <c r="DQ19" s="509"/>
      <c r="DR19" s="509"/>
      <c r="DS19" s="509"/>
      <c r="DT19" s="509"/>
      <c r="DU19" s="509"/>
      <c r="DV19" s="509"/>
      <c r="DW19" s="509"/>
      <c r="DX19" s="509"/>
      <c r="DY19" s="509"/>
      <c r="DZ19" s="509"/>
      <c r="EA19" s="509"/>
      <c r="EB19" s="509"/>
      <c r="EC19" s="510"/>
      <c r="ED19" s="509"/>
      <c r="EE19" s="509"/>
      <c r="EF19" s="509"/>
      <c r="EG19" s="509"/>
      <c r="EH19" s="509"/>
      <c r="EI19" s="509"/>
      <c r="EJ19" s="509"/>
      <c r="EK19" s="509"/>
      <c r="EL19" s="509"/>
      <c r="EM19" s="509"/>
      <c r="EN19" s="509"/>
      <c r="EO19" s="509"/>
      <c r="EP19" s="509"/>
      <c r="EQ19" s="508"/>
      <c r="ER19" s="509"/>
      <c r="ES19" s="509"/>
      <c r="ET19" s="509"/>
      <c r="EU19" s="509"/>
      <c r="EV19" s="509"/>
      <c r="EW19" s="509"/>
      <c r="EX19" s="509"/>
      <c r="EY19" s="509"/>
      <c r="EZ19" s="509"/>
      <c r="FA19" s="509"/>
      <c r="FB19" s="509"/>
      <c r="FC19" s="509"/>
      <c r="FD19" s="509"/>
      <c r="FE19" s="509"/>
      <c r="FF19" s="509"/>
      <c r="FG19" s="510"/>
      <c r="FH19" s="509"/>
      <c r="FI19" s="509"/>
      <c r="FJ19" s="509"/>
      <c r="FK19" s="509"/>
      <c r="FL19" s="509"/>
      <c r="FM19" s="509"/>
      <c r="FN19" s="509"/>
      <c r="FO19" s="509"/>
      <c r="FP19" s="509"/>
      <c r="FQ19" s="509"/>
      <c r="FR19" s="509"/>
      <c r="FS19" s="509"/>
      <c r="FT19" s="509"/>
      <c r="FU19" s="509"/>
      <c r="FV19" s="509"/>
      <c r="FW19" s="508"/>
      <c r="FX19" s="509"/>
      <c r="FY19" s="509"/>
      <c r="FZ19" s="509"/>
      <c r="GA19" s="511" t="str">
        <f ca="1">IFERROR(__xludf.DUMMYFUNCTION("""COMPUTED_VALUE"""),"total_points")</f>
        <v>total_points</v>
      </c>
      <c r="GB19" s="497">
        <f ca="1">IFERROR(__xludf.DUMMYFUNCTION("""COMPUTED_VALUE"""),1200000)</f>
        <v>1200000</v>
      </c>
      <c r="GC19" s="510"/>
      <c r="GD19" s="509"/>
      <c r="GE19" s="511"/>
      <c r="GF19" s="497"/>
      <c r="GG19" s="497"/>
      <c r="GH19" s="497" t="str">
        <f t="shared" si="1"/>
        <v>:</v>
      </c>
      <c r="GI19" s="510"/>
      <c r="GJ19" s="509"/>
      <c r="GK19" s="509"/>
    </row>
    <row r="20" spans="1:193" ht="15.75" customHeight="1" x14ac:dyDescent="0.15">
      <c r="A20" s="482" t="str">
        <f ca="1">IFERROR(__xludf.DUMMYFUNCTION("""COMPUTED_VALUE"""),"total_points level 14")</f>
        <v>total_points level 14</v>
      </c>
      <c r="B20" s="482" t="b">
        <f t="shared" ca="1" si="0"/>
        <v>0</v>
      </c>
      <c r="C20" s="507" t="str">
        <f ca="1">IFERROR(__xludf.DUMMYFUNCTION("""set""&amp;PROPER(index(SPLIT(GA20, ""_""), 0, 2))&amp;""ToLevel""&amp;AV20"),"setPointsToLevel14")</f>
        <v>setPointsToLevel14</v>
      </c>
      <c r="D20" s="507" t="str">
        <f ca="1">IFERROR(__xludf.DUMMYFUNCTION("""COMPUTED_VALUE"""),"rewardIfAllRequirementsMet")</f>
        <v>rewardIfAllRequirementsMet</v>
      </c>
      <c r="E20" s="497"/>
      <c r="F20" s="497"/>
      <c r="G20" s="508"/>
      <c r="H20" s="509"/>
      <c r="I20" s="509"/>
      <c r="J20" s="509"/>
      <c r="K20" s="509"/>
      <c r="L20" s="509"/>
      <c r="M20" s="497"/>
      <c r="N20" s="510"/>
      <c r="O20" s="497"/>
      <c r="P20" s="509"/>
      <c r="Q20" s="509"/>
      <c r="R20" s="509"/>
      <c r="S20" s="509"/>
      <c r="T20" s="509"/>
      <c r="U20" s="509"/>
      <c r="V20" s="509"/>
      <c r="W20" s="509"/>
      <c r="X20" s="509"/>
      <c r="Y20" s="509"/>
      <c r="Z20" s="509"/>
      <c r="AA20" s="497"/>
      <c r="AB20" s="509"/>
      <c r="AC20" s="510"/>
      <c r="AD20" s="509"/>
      <c r="AE20" s="509"/>
      <c r="AF20" s="509"/>
      <c r="AG20" s="509"/>
      <c r="AH20" s="509"/>
      <c r="AI20" s="508"/>
      <c r="AJ20" s="509"/>
      <c r="AK20" s="509"/>
      <c r="AL20" s="509"/>
      <c r="AM20" s="509"/>
      <c r="AN20" s="509"/>
      <c r="AO20" s="510"/>
      <c r="AP20" s="509"/>
      <c r="AQ20" s="509"/>
      <c r="AR20" s="509"/>
      <c r="AS20" s="509"/>
      <c r="AT20" s="509"/>
      <c r="AU20" s="511" t="str">
        <f ca="1">IFERROR(__xludf.DUMMYFUNCTION("""COMPUTED_VALUE"""),"levels.total_points.level")</f>
        <v>levels.total_points.level</v>
      </c>
      <c r="AV20" s="497">
        <f ca="1">IFERROR(__xludf.DUMMYFUNCTION("""COMPUTED_VALUE"""),14)</f>
        <v>14</v>
      </c>
      <c r="AW20" s="497" t="str">
        <f ca="1">IFERROR(__xludf.DUMMYFUNCTION("""COMPUTED_VALUE"""),"set")</f>
        <v>set</v>
      </c>
      <c r="AX20" s="510" t="str">
        <f ca="1">IFERROR(__xludf.DUMMYFUNCTION("""COMPUTED_VALUE"""),"levels.total_points.valueNeededForNextLevel")</f>
        <v>levels.total_points.valueNeededForNextLevel</v>
      </c>
      <c r="AY20" s="509">
        <f ca="1">IFERROR(__xludf.DUMMYFUNCTION("""COMPUTED_VALUE"""),1400000)</f>
        <v>1400000</v>
      </c>
      <c r="AZ20" s="509" t="str">
        <f ca="1">IFERROR(__xludf.DUMMYFUNCTION("""COMPUTED_VALUE"""),"set")</f>
        <v>set</v>
      </c>
      <c r="BA20" s="513" t="str">
        <f ca="1">IFERROR(__xludf.DUMMYFUNCTION("""COMPUTED_VALUE"""),"all")</f>
        <v>all</v>
      </c>
      <c r="BB20" s="508"/>
      <c r="BC20" s="509"/>
      <c r="BD20" s="509"/>
      <c r="BE20" s="509"/>
      <c r="BF20" s="509"/>
      <c r="BG20" s="509"/>
      <c r="BH20" s="509"/>
      <c r="BI20" s="509"/>
      <c r="BJ20" s="509"/>
      <c r="BK20" s="509"/>
      <c r="BL20" s="509"/>
      <c r="BM20" s="509"/>
      <c r="BN20" s="514"/>
      <c r="BO20" s="510"/>
      <c r="BP20" s="509"/>
      <c r="BQ20" s="509"/>
      <c r="BR20" s="509"/>
      <c r="BS20" s="509"/>
      <c r="BT20" s="509"/>
      <c r="BU20" s="509"/>
      <c r="BV20" s="509"/>
      <c r="BW20" s="509"/>
      <c r="BX20" s="509"/>
      <c r="BY20" s="509"/>
      <c r="BZ20" s="509"/>
      <c r="CA20" s="514"/>
      <c r="CB20" s="510"/>
      <c r="CC20" s="509"/>
      <c r="CD20" s="509"/>
      <c r="CE20" s="509"/>
      <c r="CF20" s="509"/>
      <c r="CG20" s="509"/>
      <c r="CH20" s="509"/>
      <c r="CI20" s="509"/>
      <c r="CJ20" s="509"/>
      <c r="CK20" s="509"/>
      <c r="CL20" s="509"/>
      <c r="CM20" s="509"/>
      <c r="CN20" s="514"/>
      <c r="CO20" s="509"/>
      <c r="CP20" s="509"/>
      <c r="CQ20" s="509"/>
      <c r="CR20" s="509"/>
      <c r="CS20" s="509"/>
      <c r="CT20" s="509"/>
      <c r="CU20" s="509"/>
      <c r="CV20" s="509"/>
      <c r="CW20" s="509"/>
      <c r="CX20" s="509"/>
      <c r="CY20" s="509"/>
      <c r="CZ20" s="509"/>
      <c r="DA20" s="514"/>
      <c r="DB20" s="509"/>
      <c r="DC20" s="509"/>
      <c r="DD20" s="509"/>
      <c r="DE20" s="509"/>
      <c r="DF20" s="509"/>
      <c r="DG20" s="509"/>
      <c r="DH20" s="509"/>
      <c r="DI20" s="509"/>
      <c r="DJ20" s="509"/>
      <c r="DK20" s="509"/>
      <c r="DL20" s="509"/>
      <c r="DM20" s="509"/>
      <c r="DN20" s="515"/>
      <c r="DO20" s="509"/>
      <c r="DP20" s="509"/>
      <c r="DQ20" s="509"/>
      <c r="DR20" s="509"/>
      <c r="DS20" s="509"/>
      <c r="DT20" s="509"/>
      <c r="DU20" s="509"/>
      <c r="DV20" s="509"/>
      <c r="DW20" s="509"/>
      <c r="DX20" s="509"/>
      <c r="DY20" s="509"/>
      <c r="DZ20" s="509"/>
      <c r="EA20" s="509"/>
      <c r="EB20" s="509"/>
      <c r="EC20" s="510"/>
      <c r="ED20" s="509"/>
      <c r="EE20" s="509"/>
      <c r="EF20" s="509"/>
      <c r="EG20" s="509"/>
      <c r="EH20" s="509"/>
      <c r="EI20" s="509"/>
      <c r="EJ20" s="509"/>
      <c r="EK20" s="509"/>
      <c r="EL20" s="509"/>
      <c r="EM20" s="509"/>
      <c r="EN20" s="509"/>
      <c r="EO20" s="509"/>
      <c r="EP20" s="509"/>
      <c r="EQ20" s="508"/>
      <c r="ER20" s="509"/>
      <c r="ES20" s="509"/>
      <c r="ET20" s="509"/>
      <c r="EU20" s="509"/>
      <c r="EV20" s="509"/>
      <c r="EW20" s="509"/>
      <c r="EX20" s="509"/>
      <c r="EY20" s="509"/>
      <c r="EZ20" s="509"/>
      <c r="FA20" s="509"/>
      <c r="FB20" s="509"/>
      <c r="FC20" s="509"/>
      <c r="FD20" s="509"/>
      <c r="FE20" s="509"/>
      <c r="FF20" s="509"/>
      <c r="FG20" s="510"/>
      <c r="FH20" s="509"/>
      <c r="FI20" s="509"/>
      <c r="FJ20" s="509"/>
      <c r="FK20" s="509"/>
      <c r="FL20" s="509"/>
      <c r="FM20" s="509"/>
      <c r="FN20" s="509"/>
      <c r="FO20" s="509"/>
      <c r="FP20" s="509"/>
      <c r="FQ20" s="509"/>
      <c r="FR20" s="509"/>
      <c r="FS20" s="509"/>
      <c r="FT20" s="509"/>
      <c r="FU20" s="509"/>
      <c r="FV20" s="509"/>
      <c r="FW20" s="508"/>
      <c r="FX20" s="509"/>
      <c r="FY20" s="509"/>
      <c r="FZ20" s="509"/>
      <c r="GA20" s="511" t="str">
        <f ca="1">IFERROR(__xludf.DUMMYFUNCTION("""COMPUTED_VALUE"""),"total_points")</f>
        <v>total_points</v>
      </c>
      <c r="GB20" s="497">
        <f ca="1">IFERROR(__xludf.DUMMYFUNCTION("""COMPUTED_VALUE"""),1300000)</f>
        <v>1300000</v>
      </c>
      <c r="GC20" s="510"/>
      <c r="GD20" s="509"/>
      <c r="GE20" s="511"/>
      <c r="GF20" s="497"/>
      <c r="GG20" s="497"/>
      <c r="GH20" s="497" t="str">
        <f t="shared" si="1"/>
        <v>:</v>
      </c>
      <c r="GI20" s="510"/>
      <c r="GJ20" s="509"/>
      <c r="GK20" s="509"/>
    </row>
    <row r="21" spans="1:193" ht="15.75" customHeight="1" x14ac:dyDescent="0.15">
      <c r="A21" s="482" t="str">
        <f ca="1">IFERROR(__xludf.DUMMYFUNCTION("""COMPUTED_VALUE"""),"total_points level 15")</f>
        <v>total_points level 15</v>
      </c>
      <c r="B21" s="482" t="b">
        <f t="shared" ca="1" si="0"/>
        <v>0</v>
      </c>
      <c r="C21" s="507" t="str">
        <f ca="1">IFERROR(__xludf.DUMMYFUNCTION("""set""&amp;PROPER(index(SPLIT(GA21, ""_""), 0, 2))&amp;""ToLevel""&amp;AV21"),"setPointsToLevel15")</f>
        <v>setPointsToLevel15</v>
      </c>
      <c r="D21" s="507" t="str">
        <f ca="1">IFERROR(__xludf.DUMMYFUNCTION("""COMPUTED_VALUE"""),"rewardIfAllRequirementsMet")</f>
        <v>rewardIfAllRequirementsMet</v>
      </c>
      <c r="E21" s="497"/>
      <c r="F21" s="497"/>
      <c r="G21" s="508"/>
      <c r="H21" s="509"/>
      <c r="I21" s="509"/>
      <c r="J21" s="509"/>
      <c r="K21" s="509"/>
      <c r="L21" s="509"/>
      <c r="M21" s="497"/>
      <c r="N21" s="510"/>
      <c r="O21" s="497"/>
      <c r="P21" s="509"/>
      <c r="Q21" s="509"/>
      <c r="R21" s="509"/>
      <c r="S21" s="509"/>
      <c r="T21" s="509"/>
      <c r="U21" s="509"/>
      <c r="V21" s="509"/>
      <c r="W21" s="509"/>
      <c r="X21" s="509"/>
      <c r="Y21" s="509"/>
      <c r="Z21" s="509"/>
      <c r="AA21" s="497"/>
      <c r="AB21" s="509"/>
      <c r="AC21" s="510"/>
      <c r="AD21" s="509"/>
      <c r="AE21" s="509"/>
      <c r="AF21" s="509"/>
      <c r="AG21" s="509"/>
      <c r="AH21" s="509"/>
      <c r="AI21" s="508"/>
      <c r="AJ21" s="509"/>
      <c r="AK21" s="509"/>
      <c r="AL21" s="509"/>
      <c r="AM21" s="509"/>
      <c r="AN21" s="509"/>
      <c r="AO21" s="510"/>
      <c r="AP21" s="509"/>
      <c r="AQ21" s="509"/>
      <c r="AR21" s="509"/>
      <c r="AS21" s="509"/>
      <c r="AT21" s="509"/>
      <c r="AU21" s="511" t="str">
        <f ca="1">IFERROR(__xludf.DUMMYFUNCTION("""COMPUTED_VALUE"""),"levels.total_points.level")</f>
        <v>levels.total_points.level</v>
      </c>
      <c r="AV21" s="497">
        <f ca="1">IFERROR(__xludf.DUMMYFUNCTION("""COMPUTED_VALUE"""),15)</f>
        <v>15</v>
      </c>
      <c r="AW21" s="497" t="str">
        <f ca="1">IFERROR(__xludf.DUMMYFUNCTION("""COMPUTED_VALUE"""),"set")</f>
        <v>set</v>
      </c>
      <c r="AX21" s="510" t="str">
        <f ca="1">IFERROR(__xludf.DUMMYFUNCTION("""COMPUTED_VALUE"""),"levels.total_points.valueNeededForNextLevel")</f>
        <v>levels.total_points.valueNeededForNextLevel</v>
      </c>
      <c r="AY21" s="509">
        <f ca="1">IFERROR(__xludf.DUMMYFUNCTION("""COMPUTED_VALUE"""),1500000)</f>
        <v>1500000</v>
      </c>
      <c r="AZ21" s="509" t="str">
        <f ca="1">IFERROR(__xludf.DUMMYFUNCTION("""COMPUTED_VALUE"""),"set")</f>
        <v>set</v>
      </c>
      <c r="BA21" s="513" t="str">
        <f ca="1">IFERROR(__xludf.DUMMYFUNCTION("""COMPUTED_VALUE"""),"all")</f>
        <v>all</v>
      </c>
      <c r="BB21" s="508"/>
      <c r="BC21" s="509"/>
      <c r="BD21" s="509"/>
      <c r="BE21" s="509"/>
      <c r="BF21" s="509"/>
      <c r="BG21" s="509"/>
      <c r="BH21" s="509"/>
      <c r="BI21" s="509"/>
      <c r="BJ21" s="509"/>
      <c r="BK21" s="509"/>
      <c r="BL21" s="509"/>
      <c r="BM21" s="509"/>
      <c r="BN21" s="514"/>
      <c r="BO21" s="510"/>
      <c r="BP21" s="509"/>
      <c r="BQ21" s="509"/>
      <c r="BR21" s="509"/>
      <c r="BS21" s="509"/>
      <c r="BT21" s="509"/>
      <c r="BU21" s="509"/>
      <c r="BV21" s="509"/>
      <c r="BW21" s="509"/>
      <c r="BX21" s="509"/>
      <c r="BY21" s="509"/>
      <c r="BZ21" s="509"/>
      <c r="CA21" s="514"/>
      <c r="CB21" s="510"/>
      <c r="CC21" s="509"/>
      <c r="CD21" s="509"/>
      <c r="CE21" s="509"/>
      <c r="CF21" s="509"/>
      <c r="CG21" s="509"/>
      <c r="CH21" s="509"/>
      <c r="CI21" s="509"/>
      <c r="CJ21" s="509"/>
      <c r="CK21" s="509"/>
      <c r="CL21" s="509"/>
      <c r="CM21" s="509"/>
      <c r="CN21" s="514"/>
      <c r="CO21" s="509"/>
      <c r="CP21" s="509"/>
      <c r="CQ21" s="509"/>
      <c r="CR21" s="509"/>
      <c r="CS21" s="509"/>
      <c r="CT21" s="509"/>
      <c r="CU21" s="509"/>
      <c r="CV21" s="509"/>
      <c r="CW21" s="509"/>
      <c r="CX21" s="509"/>
      <c r="CY21" s="509"/>
      <c r="CZ21" s="509"/>
      <c r="DA21" s="514"/>
      <c r="DB21" s="509"/>
      <c r="DC21" s="509"/>
      <c r="DD21" s="509"/>
      <c r="DE21" s="509"/>
      <c r="DF21" s="509"/>
      <c r="DG21" s="509"/>
      <c r="DH21" s="509"/>
      <c r="DI21" s="509"/>
      <c r="DJ21" s="509"/>
      <c r="DK21" s="509"/>
      <c r="DL21" s="509"/>
      <c r="DM21" s="509"/>
      <c r="DN21" s="515"/>
      <c r="DO21" s="509"/>
      <c r="DP21" s="509"/>
      <c r="DQ21" s="509"/>
      <c r="DR21" s="509"/>
      <c r="DS21" s="509"/>
      <c r="DT21" s="509"/>
      <c r="DU21" s="509"/>
      <c r="DV21" s="509"/>
      <c r="DW21" s="509"/>
      <c r="DX21" s="509"/>
      <c r="DY21" s="509"/>
      <c r="DZ21" s="509"/>
      <c r="EA21" s="509"/>
      <c r="EB21" s="509"/>
      <c r="EC21" s="510"/>
      <c r="ED21" s="509"/>
      <c r="EE21" s="509"/>
      <c r="EF21" s="509"/>
      <c r="EG21" s="509"/>
      <c r="EH21" s="509"/>
      <c r="EI21" s="509"/>
      <c r="EJ21" s="509"/>
      <c r="EK21" s="509"/>
      <c r="EL21" s="509"/>
      <c r="EM21" s="509"/>
      <c r="EN21" s="509"/>
      <c r="EO21" s="509"/>
      <c r="EP21" s="509"/>
      <c r="EQ21" s="508"/>
      <c r="ER21" s="509"/>
      <c r="ES21" s="509"/>
      <c r="ET21" s="509"/>
      <c r="EU21" s="509"/>
      <c r="EV21" s="509"/>
      <c r="EW21" s="509"/>
      <c r="EX21" s="509"/>
      <c r="EY21" s="509"/>
      <c r="EZ21" s="509"/>
      <c r="FA21" s="509"/>
      <c r="FB21" s="509"/>
      <c r="FC21" s="509"/>
      <c r="FD21" s="509"/>
      <c r="FE21" s="509"/>
      <c r="FF21" s="509"/>
      <c r="FG21" s="510"/>
      <c r="FH21" s="509"/>
      <c r="FI21" s="509"/>
      <c r="FJ21" s="509"/>
      <c r="FK21" s="509"/>
      <c r="FL21" s="509"/>
      <c r="FM21" s="509"/>
      <c r="FN21" s="509"/>
      <c r="FO21" s="509"/>
      <c r="FP21" s="509"/>
      <c r="FQ21" s="509"/>
      <c r="FR21" s="509"/>
      <c r="FS21" s="509"/>
      <c r="FT21" s="509"/>
      <c r="FU21" s="509"/>
      <c r="FV21" s="509"/>
      <c r="FW21" s="508"/>
      <c r="FX21" s="509"/>
      <c r="FY21" s="509"/>
      <c r="FZ21" s="509"/>
      <c r="GA21" s="511" t="str">
        <f ca="1">IFERROR(__xludf.DUMMYFUNCTION("""COMPUTED_VALUE"""),"total_points")</f>
        <v>total_points</v>
      </c>
      <c r="GB21" s="497">
        <f ca="1">IFERROR(__xludf.DUMMYFUNCTION("""COMPUTED_VALUE"""),1400000)</f>
        <v>1400000</v>
      </c>
      <c r="GC21" s="510"/>
      <c r="GD21" s="509"/>
      <c r="GE21" s="511"/>
      <c r="GF21" s="497"/>
      <c r="GG21" s="497"/>
      <c r="GH21" s="497" t="str">
        <f t="shared" si="1"/>
        <v>:</v>
      </c>
      <c r="GI21" s="510"/>
      <c r="GJ21" s="509"/>
      <c r="GK21" s="509"/>
    </row>
    <row r="22" spans="1:193" ht="15.75" customHeight="1" x14ac:dyDescent="0.15">
      <c r="A22" s="482" t="str">
        <f ca="1">IFERROR(__xludf.DUMMYFUNCTION("""COMPUTED_VALUE"""),"total_points level 16")</f>
        <v>total_points level 16</v>
      </c>
      <c r="B22" s="482" t="b">
        <f t="shared" ca="1" si="0"/>
        <v>0</v>
      </c>
      <c r="C22" s="507" t="str">
        <f ca="1">IFERROR(__xludf.DUMMYFUNCTION("""set""&amp;PROPER(index(SPLIT(GA22, ""_""), 0, 2))&amp;""ToLevel""&amp;AV22"),"setPointsToLevel16")</f>
        <v>setPointsToLevel16</v>
      </c>
      <c r="D22" s="507" t="str">
        <f ca="1">IFERROR(__xludf.DUMMYFUNCTION("""COMPUTED_VALUE"""),"rewardIfAllRequirementsMet")</f>
        <v>rewardIfAllRequirementsMet</v>
      </c>
      <c r="E22" s="497"/>
      <c r="F22" s="497"/>
      <c r="G22" s="508"/>
      <c r="H22" s="509"/>
      <c r="I22" s="509"/>
      <c r="J22" s="509"/>
      <c r="K22" s="509"/>
      <c r="L22" s="509"/>
      <c r="M22" s="497"/>
      <c r="N22" s="510"/>
      <c r="O22" s="497"/>
      <c r="P22" s="509"/>
      <c r="Q22" s="509"/>
      <c r="R22" s="509"/>
      <c r="S22" s="509"/>
      <c r="T22" s="509"/>
      <c r="U22" s="509"/>
      <c r="V22" s="509"/>
      <c r="W22" s="509"/>
      <c r="X22" s="509"/>
      <c r="Y22" s="509"/>
      <c r="Z22" s="509"/>
      <c r="AA22" s="497"/>
      <c r="AB22" s="509"/>
      <c r="AC22" s="510"/>
      <c r="AD22" s="509"/>
      <c r="AE22" s="509"/>
      <c r="AF22" s="509"/>
      <c r="AG22" s="509"/>
      <c r="AH22" s="509"/>
      <c r="AI22" s="508"/>
      <c r="AJ22" s="509"/>
      <c r="AK22" s="509"/>
      <c r="AL22" s="509"/>
      <c r="AM22" s="509"/>
      <c r="AN22" s="509"/>
      <c r="AO22" s="510"/>
      <c r="AP22" s="509"/>
      <c r="AQ22" s="509"/>
      <c r="AR22" s="509"/>
      <c r="AS22" s="509"/>
      <c r="AT22" s="509"/>
      <c r="AU22" s="511" t="str">
        <f ca="1">IFERROR(__xludf.DUMMYFUNCTION("""COMPUTED_VALUE"""),"levels.total_points.level")</f>
        <v>levels.total_points.level</v>
      </c>
      <c r="AV22" s="497">
        <f ca="1">IFERROR(__xludf.DUMMYFUNCTION("""COMPUTED_VALUE"""),16)</f>
        <v>16</v>
      </c>
      <c r="AW22" s="497" t="str">
        <f ca="1">IFERROR(__xludf.DUMMYFUNCTION("""COMPUTED_VALUE"""),"set")</f>
        <v>set</v>
      </c>
      <c r="AX22" s="510" t="str">
        <f ca="1">IFERROR(__xludf.DUMMYFUNCTION("""COMPUTED_VALUE"""),"levels.total_points.valueNeededForNextLevel")</f>
        <v>levels.total_points.valueNeededForNextLevel</v>
      </c>
      <c r="AY22" s="509">
        <f ca="1">IFERROR(__xludf.DUMMYFUNCTION("""COMPUTED_VALUE"""),1600000)</f>
        <v>1600000</v>
      </c>
      <c r="AZ22" s="509" t="str">
        <f ca="1">IFERROR(__xludf.DUMMYFUNCTION("""COMPUTED_VALUE"""),"set")</f>
        <v>set</v>
      </c>
      <c r="BA22" s="513" t="str">
        <f ca="1">IFERROR(__xludf.DUMMYFUNCTION("""COMPUTED_VALUE"""),"all")</f>
        <v>all</v>
      </c>
      <c r="BB22" s="508"/>
      <c r="BC22" s="509"/>
      <c r="BD22" s="509"/>
      <c r="BE22" s="509"/>
      <c r="BF22" s="509"/>
      <c r="BG22" s="509"/>
      <c r="BH22" s="509"/>
      <c r="BI22" s="509"/>
      <c r="BJ22" s="509"/>
      <c r="BK22" s="509"/>
      <c r="BL22" s="509"/>
      <c r="BM22" s="509"/>
      <c r="BN22" s="514"/>
      <c r="BO22" s="510"/>
      <c r="BP22" s="509"/>
      <c r="BQ22" s="509"/>
      <c r="BR22" s="509"/>
      <c r="BS22" s="509"/>
      <c r="BT22" s="509"/>
      <c r="BU22" s="509"/>
      <c r="BV22" s="509"/>
      <c r="BW22" s="509"/>
      <c r="BX22" s="509"/>
      <c r="BY22" s="509"/>
      <c r="BZ22" s="509"/>
      <c r="CA22" s="514"/>
      <c r="CB22" s="510"/>
      <c r="CC22" s="509"/>
      <c r="CD22" s="509"/>
      <c r="CE22" s="509"/>
      <c r="CF22" s="509"/>
      <c r="CG22" s="509"/>
      <c r="CH22" s="509"/>
      <c r="CI22" s="509"/>
      <c r="CJ22" s="509"/>
      <c r="CK22" s="509"/>
      <c r="CL22" s="509"/>
      <c r="CM22" s="509"/>
      <c r="CN22" s="514"/>
      <c r="CO22" s="509"/>
      <c r="CP22" s="509"/>
      <c r="CQ22" s="509"/>
      <c r="CR22" s="509"/>
      <c r="CS22" s="509"/>
      <c r="CT22" s="509"/>
      <c r="CU22" s="509"/>
      <c r="CV22" s="509"/>
      <c r="CW22" s="509"/>
      <c r="CX22" s="509"/>
      <c r="CY22" s="509"/>
      <c r="CZ22" s="509"/>
      <c r="DA22" s="514"/>
      <c r="DB22" s="509"/>
      <c r="DC22" s="509"/>
      <c r="DD22" s="509"/>
      <c r="DE22" s="509"/>
      <c r="DF22" s="509"/>
      <c r="DG22" s="509"/>
      <c r="DH22" s="509"/>
      <c r="DI22" s="509"/>
      <c r="DJ22" s="509"/>
      <c r="DK22" s="509"/>
      <c r="DL22" s="509"/>
      <c r="DM22" s="509"/>
      <c r="DN22" s="515"/>
      <c r="DO22" s="509"/>
      <c r="DP22" s="509"/>
      <c r="DQ22" s="509"/>
      <c r="DR22" s="509"/>
      <c r="DS22" s="509"/>
      <c r="DT22" s="509"/>
      <c r="DU22" s="509"/>
      <c r="DV22" s="509"/>
      <c r="DW22" s="509"/>
      <c r="DX22" s="509"/>
      <c r="DY22" s="509"/>
      <c r="DZ22" s="509"/>
      <c r="EA22" s="509"/>
      <c r="EB22" s="509"/>
      <c r="EC22" s="510"/>
      <c r="ED22" s="509"/>
      <c r="EE22" s="509"/>
      <c r="EF22" s="509"/>
      <c r="EG22" s="509"/>
      <c r="EH22" s="509"/>
      <c r="EI22" s="509"/>
      <c r="EJ22" s="509"/>
      <c r="EK22" s="509"/>
      <c r="EL22" s="509"/>
      <c r="EM22" s="509"/>
      <c r="EN22" s="509"/>
      <c r="EO22" s="509"/>
      <c r="EP22" s="509"/>
      <c r="EQ22" s="508"/>
      <c r="ER22" s="509"/>
      <c r="ES22" s="509"/>
      <c r="ET22" s="509"/>
      <c r="EU22" s="509"/>
      <c r="EV22" s="509"/>
      <c r="EW22" s="509"/>
      <c r="EX22" s="509"/>
      <c r="EY22" s="509"/>
      <c r="EZ22" s="509"/>
      <c r="FA22" s="509"/>
      <c r="FB22" s="509"/>
      <c r="FC22" s="509"/>
      <c r="FD22" s="509"/>
      <c r="FE22" s="509"/>
      <c r="FF22" s="509"/>
      <c r="FG22" s="510"/>
      <c r="FH22" s="509"/>
      <c r="FI22" s="509"/>
      <c r="FJ22" s="509"/>
      <c r="FK22" s="509"/>
      <c r="FL22" s="509"/>
      <c r="FM22" s="509"/>
      <c r="FN22" s="509"/>
      <c r="FO22" s="509"/>
      <c r="FP22" s="509"/>
      <c r="FQ22" s="509"/>
      <c r="FR22" s="509"/>
      <c r="FS22" s="509"/>
      <c r="FT22" s="509"/>
      <c r="FU22" s="509"/>
      <c r="FV22" s="509"/>
      <c r="FW22" s="508"/>
      <c r="FX22" s="509"/>
      <c r="FY22" s="509"/>
      <c r="FZ22" s="509"/>
      <c r="GA22" s="511" t="str">
        <f ca="1">IFERROR(__xludf.DUMMYFUNCTION("""COMPUTED_VALUE"""),"total_points")</f>
        <v>total_points</v>
      </c>
      <c r="GB22" s="497">
        <f ca="1">IFERROR(__xludf.DUMMYFUNCTION("""COMPUTED_VALUE"""),1500000)</f>
        <v>1500000</v>
      </c>
      <c r="GC22" s="510"/>
      <c r="GD22" s="509"/>
      <c r="GE22" s="511"/>
      <c r="GF22" s="497"/>
      <c r="GG22" s="497"/>
      <c r="GH22" s="497" t="str">
        <f t="shared" si="1"/>
        <v>:</v>
      </c>
      <c r="GI22" s="510"/>
      <c r="GJ22" s="509"/>
      <c r="GK22" s="509"/>
    </row>
    <row r="23" spans="1:193" ht="15.75" customHeight="1" x14ac:dyDescent="0.15">
      <c r="A23" s="482" t="str">
        <f ca="1">IFERROR(__xludf.DUMMYFUNCTION("""COMPUTED_VALUE"""),"total_points level 17")</f>
        <v>total_points level 17</v>
      </c>
      <c r="B23" s="482" t="b">
        <f t="shared" ca="1" si="0"/>
        <v>0</v>
      </c>
      <c r="C23" s="507" t="str">
        <f ca="1">IFERROR(__xludf.DUMMYFUNCTION("""set""&amp;PROPER(index(SPLIT(GA23, ""_""), 0, 2))&amp;""ToLevel""&amp;AV23"),"setPointsToLevel17")</f>
        <v>setPointsToLevel17</v>
      </c>
      <c r="D23" s="507" t="str">
        <f ca="1">IFERROR(__xludf.DUMMYFUNCTION("""COMPUTED_VALUE"""),"rewardIfAllRequirementsMet")</f>
        <v>rewardIfAllRequirementsMet</v>
      </c>
      <c r="E23" s="497"/>
      <c r="F23" s="497"/>
      <c r="G23" s="508"/>
      <c r="H23" s="509"/>
      <c r="I23" s="509"/>
      <c r="J23" s="509"/>
      <c r="K23" s="509"/>
      <c r="L23" s="509"/>
      <c r="M23" s="497"/>
      <c r="N23" s="510"/>
      <c r="O23" s="497"/>
      <c r="P23" s="509"/>
      <c r="Q23" s="509"/>
      <c r="R23" s="509"/>
      <c r="S23" s="509"/>
      <c r="T23" s="509"/>
      <c r="U23" s="509"/>
      <c r="V23" s="509"/>
      <c r="W23" s="509"/>
      <c r="X23" s="509"/>
      <c r="Y23" s="509"/>
      <c r="Z23" s="509"/>
      <c r="AA23" s="497"/>
      <c r="AB23" s="509"/>
      <c r="AC23" s="510"/>
      <c r="AD23" s="509"/>
      <c r="AE23" s="509"/>
      <c r="AF23" s="509"/>
      <c r="AG23" s="509"/>
      <c r="AH23" s="509"/>
      <c r="AI23" s="508"/>
      <c r="AJ23" s="509"/>
      <c r="AK23" s="509"/>
      <c r="AL23" s="509"/>
      <c r="AM23" s="509"/>
      <c r="AN23" s="509"/>
      <c r="AO23" s="510"/>
      <c r="AP23" s="509"/>
      <c r="AQ23" s="509"/>
      <c r="AR23" s="509"/>
      <c r="AS23" s="509"/>
      <c r="AT23" s="509"/>
      <c r="AU23" s="511" t="str">
        <f ca="1">IFERROR(__xludf.DUMMYFUNCTION("""COMPUTED_VALUE"""),"levels.total_points.level")</f>
        <v>levels.total_points.level</v>
      </c>
      <c r="AV23" s="497">
        <f ca="1">IFERROR(__xludf.DUMMYFUNCTION("""COMPUTED_VALUE"""),17)</f>
        <v>17</v>
      </c>
      <c r="AW23" s="497" t="str">
        <f ca="1">IFERROR(__xludf.DUMMYFUNCTION("""COMPUTED_VALUE"""),"set")</f>
        <v>set</v>
      </c>
      <c r="AX23" s="510" t="str">
        <f ca="1">IFERROR(__xludf.DUMMYFUNCTION("""COMPUTED_VALUE"""),"levels.total_points.valueNeededForNextLevel")</f>
        <v>levels.total_points.valueNeededForNextLevel</v>
      </c>
      <c r="AY23" s="509">
        <f ca="1">IFERROR(__xludf.DUMMYFUNCTION("""COMPUTED_VALUE"""),1700000)</f>
        <v>1700000</v>
      </c>
      <c r="AZ23" s="509" t="str">
        <f ca="1">IFERROR(__xludf.DUMMYFUNCTION("""COMPUTED_VALUE"""),"set")</f>
        <v>set</v>
      </c>
      <c r="BA23" s="513" t="str">
        <f ca="1">IFERROR(__xludf.DUMMYFUNCTION("""COMPUTED_VALUE"""),"all")</f>
        <v>all</v>
      </c>
      <c r="BB23" s="508"/>
      <c r="BC23" s="509"/>
      <c r="BD23" s="509"/>
      <c r="BE23" s="509"/>
      <c r="BF23" s="509"/>
      <c r="BG23" s="509"/>
      <c r="BH23" s="509"/>
      <c r="BI23" s="509"/>
      <c r="BJ23" s="509"/>
      <c r="BK23" s="509"/>
      <c r="BL23" s="509"/>
      <c r="BM23" s="509"/>
      <c r="BN23" s="514"/>
      <c r="BO23" s="510"/>
      <c r="BP23" s="509"/>
      <c r="BQ23" s="509"/>
      <c r="BR23" s="509"/>
      <c r="BS23" s="509"/>
      <c r="BT23" s="509"/>
      <c r="BU23" s="509"/>
      <c r="BV23" s="509"/>
      <c r="BW23" s="509"/>
      <c r="BX23" s="509"/>
      <c r="BY23" s="509"/>
      <c r="BZ23" s="509"/>
      <c r="CA23" s="514"/>
      <c r="CB23" s="510"/>
      <c r="CC23" s="509"/>
      <c r="CD23" s="509"/>
      <c r="CE23" s="509"/>
      <c r="CF23" s="509"/>
      <c r="CG23" s="509"/>
      <c r="CH23" s="509"/>
      <c r="CI23" s="509"/>
      <c r="CJ23" s="509"/>
      <c r="CK23" s="509"/>
      <c r="CL23" s="509"/>
      <c r="CM23" s="509"/>
      <c r="CN23" s="514"/>
      <c r="CO23" s="509"/>
      <c r="CP23" s="509"/>
      <c r="CQ23" s="509"/>
      <c r="CR23" s="509"/>
      <c r="CS23" s="509"/>
      <c r="CT23" s="509"/>
      <c r="CU23" s="509"/>
      <c r="CV23" s="509"/>
      <c r="CW23" s="509"/>
      <c r="CX23" s="509"/>
      <c r="CY23" s="509"/>
      <c r="CZ23" s="509"/>
      <c r="DA23" s="514"/>
      <c r="DB23" s="509"/>
      <c r="DC23" s="509"/>
      <c r="DD23" s="509"/>
      <c r="DE23" s="509"/>
      <c r="DF23" s="509"/>
      <c r="DG23" s="509"/>
      <c r="DH23" s="509"/>
      <c r="DI23" s="509"/>
      <c r="DJ23" s="509"/>
      <c r="DK23" s="509"/>
      <c r="DL23" s="509"/>
      <c r="DM23" s="509"/>
      <c r="DN23" s="515"/>
      <c r="DO23" s="509"/>
      <c r="DP23" s="509"/>
      <c r="DQ23" s="509"/>
      <c r="DR23" s="509"/>
      <c r="DS23" s="509"/>
      <c r="DT23" s="509"/>
      <c r="DU23" s="509"/>
      <c r="DV23" s="509"/>
      <c r="DW23" s="509"/>
      <c r="DX23" s="509"/>
      <c r="DY23" s="509"/>
      <c r="DZ23" s="509"/>
      <c r="EA23" s="509"/>
      <c r="EB23" s="509"/>
      <c r="EC23" s="510"/>
      <c r="ED23" s="509"/>
      <c r="EE23" s="509"/>
      <c r="EF23" s="509"/>
      <c r="EG23" s="509"/>
      <c r="EH23" s="509"/>
      <c r="EI23" s="509"/>
      <c r="EJ23" s="509"/>
      <c r="EK23" s="509"/>
      <c r="EL23" s="509"/>
      <c r="EM23" s="509"/>
      <c r="EN23" s="509"/>
      <c r="EO23" s="509"/>
      <c r="EP23" s="509"/>
      <c r="EQ23" s="508"/>
      <c r="ER23" s="509"/>
      <c r="ES23" s="509"/>
      <c r="ET23" s="509"/>
      <c r="EU23" s="509"/>
      <c r="EV23" s="509"/>
      <c r="EW23" s="509"/>
      <c r="EX23" s="509"/>
      <c r="EY23" s="509"/>
      <c r="EZ23" s="509"/>
      <c r="FA23" s="509"/>
      <c r="FB23" s="509"/>
      <c r="FC23" s="509"/>
      <c r="FD23" s="509"/>
      <c r="FE23" s="509"/>
      <c r="FF23" s="509"/>
      <c r="FG23" s="510"/>
      <c r="FH23" s="509"/>
      <c r="FI23" s="509"/>
      <c r="FJ23" s="509"/>
      <c r="FK23" s="509"/>
      <c r="FL23" s="509"/>
      <c r="FM23" s="509"/>
      <c r="FN23" s="509"/>
      <c r="FO23" s="509"/>
      <c r="FP23" s="509"/>
      <c r="FQ23" s="509"/>
      <c r="FR23" s="509"/>
      <c r="FS23" s="509"/>
      <c r="FT23" s="509"/>
      <c r="FU23" s="509"/>
      <c r="FV23" s="509"/>
      <c r="FW23" s="508"/>
      <c r="FX23" s="509"/>
      <c r="FY23" s="509"/>
      <c r="FZ23" s="509"/>
      <c r="GA23" s="511" t="str">
        <f ca="1">IFERROR(__xludf.DUMMYFUNCTION("""COMPUTED_VALUE"""),"total_points")</f>
        <v>total_points</v>
      </c>
      <c r="GB23" s="497">
        <f ca="1">IFERROR(__xludf.DUMMYFUNCTION("""COMPUTED_VALUE"""),1600000)</f>
        <v>1600000</v>
      </c>
      <c r="GC23" s="510"/>
      <c r="GD23" s="509"/>
      <c r="GE23" s="511"/>
      <c r="GF23" s="497"/>
      <c r="GG23" s="497"/>
      <c r="GH23" s="497" t="str">
        <f t="shared" si="1"/>
        <v>:</v>
      </c>
      <c r="GI23" s="510"/>
      <c r="GJ23" s="509"/>
      <c r="GK23" s="509"/>
    </row>
    <row r="24" spans="1:193" ht="15.75" customHeight="1" x14ac:dyDescent="0.15">
      <c r="A24" s="482" t="str">
        <f ca="1">IFERROR(__xludf.DUMMYFUNCTION("""COMPUTED_VALUE"""),"total_points level 18")</f>
        <v>total_points level 18</v>
      </c>
      <c r="B24" s="482" t="b">
        <f t="shared" ca="1" si="0"/>
        <v>0</v>
      </c>
      <c r="C24" s="507" t="str">
        <f ca="1">IFERROR(__xludf.DUMMYFUNCTION("""set""&amp;PROPER(index(SPLIT(GA24, ""_""), 0, 2))&amp;""ToLevel""&amp;AV24"),"setPointsToLevel18")</f>
        <v>setPointsToLevel18</v>
      </c>
      <c r="D24" s="507" t="str">
        <f ca="1">IFERROR(__xludf.DUMMYFUNCTION("""COMPUTED_VALUE"""),"rewardIfAllRequirementsMet")</f>
        <v>rewardIfAllRequirementsMet</v>
      </c>
      <c r="E24" s="497"/>
      <c r="F24" s="497"/>
      <c r="G24" s="508"/>
      <c r="H24" s="509"/>
      <c r="I24" s="509"/>
      <c r="J24" s="509"/>
      <c r="K24" s="509"/>
      <c r="L24" s="509"/>
      <c r="M24" s="497"/>
      <c r="N24" s="510"/>
      <c r="O24" s="497"/>
      <c r="P24" s="509"/>
      <c r="Q24" s="509"/>
      <c r="R24" s="509"/>
      <c r="S24" s="509"/>
      <c r="T24" s="509"/>
      <c r="U24" s="509"/>
      <c r="V24" s="509"/>
      <c r="W24" s="509"/>
      <c r="X24" s="509"/>
      <c r="Y24" s="509"/>
      <c r="Z24" s="509"/>
      <c r="AA24" s="497"/>
      <c r="AB24" s="509"/>
      <c r="AC24" s="510"/>
      <c r="AD24" s="509"/>
      <c r="AE24" s="509"/>
      <c r="AF24" s="509"/>
      <c r="AG24" s="509"/>
      <c r="AH24" s="509"/>
      <c r="AI24" s="508"/>
      <c r="AJ24" s="509"/>
      <c r="AK24" s="509"/>
      <c r="AL24" s="509"/>
      <c r="AM24" s="509"/>
      <c r="AN24" s="509"/>
      <c r="AO24" s="510"/>
      <c r="AP24" s="509"/>
      <c r="AQ24" s="509"/>
      <c r="AR24" s="509"/>
      <c r="AS24" s="509"/>
      <c r="AT24" s="509"/>
      <c r="AU24" s="511" t="str">
        <f ca="1">IFERROR(__xludf.DUMMYFUNCTION("""COMPUTED_VALUE"""),"levels.total_points.level")</f>
        <v>levels.total_points.level</v>
      </c>
      <c r="AV24" s="497">
        <f ca="1">IFERROR(__xludf.DUMMYFUNCTION("""COMPUTED_VALUE"""),18)</f>
        <v>18</v>
      </c>
      <c r="AW24" s="497" t="str">
        <f ca="1">IFERROR(__xludf.DUMMYFUNCTION("""COMPUTED_VALUE"""),"set")</f>
        <v>set</v>
      </c>
      <c r="AX24" s="510" t="str">
        <f ca="1">IFERROR(__xludf.DUMMYFUNCTION("""COMPUTED_VALUE"""),"levels.total_points.valueNeededForNextLevel")</f>
        <v>levels.total_points.valueNeededForNextLevel</v>
      </c>
      <c r="AY24" s="509">
        <f ca="1">IFERROR(__xludf.DUMMYFUNCTION("""COMPUTED_VALUE"""),1800000)</f>
        <v>1800000</v>
      </c>
      <c r="AZ24" s="509" t="str">
        <f ca="1">IFERROR(__xludf.DUMMYFUNCTION("""COMPUTED_VALUE"""),"set")</f>
        <v>set</v>
      </c>
      <c r="BA24" s="513" t="str">
        <f ca="1">IFERROR(__xludf.DUMMYFUNCTION("""COMPUTED_VALUE"""),"all")</f>
        <v>all</v>
      </c>
      <c r="BB24" s="508"/>
      <c r="BC24" s="509"/>
      <c r="BD24" s="509"/>
      <c r="BE24" s="509"/>
      <c r="BF24" s="509"/>
      <c r="BG24" s="509"/>
      <c r="BH24" s="509"/>
      <c r="BI24" s="509"/>
      <c r="BJ24" s="509"/>
      <c r="BK24" s="509"/>
      <c r="BL24" s="509"/>
      <c r="BM24" s="509"/>
      <c r="BN24" s="514"/>
      <c r="BO24" s="510"/>
      <c r="BP24" s="509"/>
      <c r="BQ24" s="509"/>
      <c r="BR24" s="509"/>
      <c r="BS24" s="509"/>
      <c r="BT24" s="509"/>
      <c r="BU24" s="509"/>
      <c r="BV24" s="509"/>
      <c r="BW24" s="509"/>
      <c r="BX24" s="509"/>
      <c r="BY24" s="509"/>
      <c r="BZ24" s="509"/>
      <c r="CA24" s="514"/>
      <c r="CB24" s="510"/>
      <c r="CC24" s="509"/>
      <c r="CD24" s="509"/>
      <c r="CE24" s="509"/>
      <c r="CF24" s="509"/>
      <c r="CG24" s="509"/>
      <c r="CH24" s="509"/>
      <c r="CI24" s="509"/>
      <c r="CJ24" s="509"/>
      <c r="CK24" s="509"/>
      <c r="CL24" s="509"/>
      <c r="CM24" s="509"/>
      <c r="CN24" s="514"/>
      <c r="CO24" s="509"/>
      <c r="CP24" s="509"/>
      <c r="CQ24" s="509"/>
      <c r="CR24" s="509"/>
      <c r="CS24" s="509"/>
      <c r="CT24" s="509"/>
      <c r="CU24" s="509"/>
      <c r="CV24" s="509"/>
      <c r="CW24" s="509"/>
      <c r="CX24" s="509"/>
      <c r="CY24" s="509"/>
      <c r="CZ24" s="509"/>
      <c r="DA24" s="514"/>
      <c r="DB24" s="509"/>
      <c r="DC24" s="509"/>
      <c r="DD24" s="509"/>
      <c r="DE24" s="509"/>
      <c r="DF24" s="509"/>
      <c r="DG24" s="509"/>
      <c r="DH24" s="509"/>
      <c r="DI24" s="509"/>
      <c r="DJ24" s="509"/>
      <c r="DK24" s="509"/>
      <c r="DL24" s="509"/>
      <c r="DM24" s="509"/>
      <c r="DN24" s="515"/>
      <c r="DO24" s="509"/>
      <c r="DP24" s="509"/>
      <c r="DQ24" s="509"/>
      <c r="DR24" s="509"/>
      <c r="DS24" s="509"/>
      <c r="DT24" s="509"/>
      <c r="DU24" s="509"/>
      <c r="DV24" s="509"/>
      <c r="DW24" s="509"/>
      <c r="DX24" s="509"/>
      <c r="DY24" s="509"/>
      <c r="DZ24" s="509"/>
      <c r="EA24" s="509"/>
      <c r="EB24" s="509"/>
      <c r="EC24" s="510"/>
      <c r="ED24" s="509"/>
      <c r="EE24" s="509"/>
      <c r="EF24" s="509"/>
      <c r="EG24" s="509"/>
      <c r="EH24" s="509"/>
      <c r="EI24" s="509"/>
      <c r="EJ24" s="509"/>
      <c r="EK24" s="509"/>
      <c r="EL24" s="509"/>
      <c r="EM24" s="509"/>
      <c r="EN24" s="509"/>
      <c r="EO24" s="509"/>
      <c r="EP24" s="509"/>
      <c r="EQ24" s="508"/>
      <c r="ER24" s="509"/>
      <c r="ES24" s="509"/>
      <c r="ET24" s="509"/>
      <c r="EU24" s="509"/>
      <c r="EV24" s="509"/>
      <c r="EW24" s="509"/>
      <c r="EX24" s="509"/>
      <c r="EY24" s="509"/>
      <c r="EZ24" s="509"/>
      <c r="FA24" s="509"/>
      <c r="FB24" s="509"/>
      <c r="FC24" s="509"/>
      <c r="FD24" s="509"/>
      <c r="FE24" s="509"/>
      <c r="FF24" s="509"/>
      <c r="FG24" s="510"/>
      <c r="FH24" s="509"/>
      <c r="FI24" s="509"/>
      <c r="FJ24" s="509"/>
      <c r="FK24" s="509"/>
      <c r="FL24" s="509"/>
      <c r="FM24" s="509"/>
      <c r="FN24" s="509"/>
      <c r="FO24" s="509"/>
      <c r="FP24" s="509"/>
      <c r="FQ24" s="509"/>
      <c r="FR24" s="509"/>
      <c r="FS24" s="509"/>
      <c r="FT24" s="509"/>
      <c r="FU24" s="509"/>
      <c r="FV24" s="509"/>
      <c r="FW24" s="508"/>
      <c r="FX24" s="509"/>
      <c r="FY24" s="509"/>
      <c r="FZ24" s="509"/>
      <c r="GA24" s="511" t="str">
        <f ca="1">IFERROR(__xludf.DUMMYFUNCTION("""COMPUTED_VALUE"""),"total_points")</f>
        <v>total_points</v>
      </c>
      <c r="GB24" s="497">
        <f ca="1">IFERROR(__xludf.DUMMYFUNCTION("""COMPUTED_VALUE"""),1700000)</f>
        <v>1700000</v>
      </c>
      <c r="GC24" s="510"/>
      <c r="GD24" s="509"/>
      <c r="GE24" s="511"/>
      <c r="GF24" s="497"/>
      <c r="GG24" s="497"/>
      <c r="GH24" s="497" t="str">
        <f t="shared" si="1"/>
        <v>:</v>
      </c>
      <c r="GI24" s="510"/>
      <c r="GJ24" s="509"/>
      <c r="GK24" s="509"/>
    </row>
    <row r="25" spans="1:193" ht="15.75" customHeight="1" x14ac:dyDescent="0.15">
      <c r="A25" s="482" t="str">
        <f ca="1">IFERROR(__xludf.DUMMYFUNCTION("""COMPUTED_VALUE"""),"total_points level 19")</f>
        <v>total_points level 19</v>
      </c>
      <c r="B25" s="482" t="b">
        <f t="shared" ca="1" si="0"/>
        <v>0</v>
      </c>
      <c r="C25" s="507" t="str">
        <f ca="1">IFERROR(__xludf.DUMMYFUNCTION("""set""&amp;PROPER(index(SPLIT(GA25, ""_""), 0, 2))&amp;""ToLevel""&amp;AV25"),"setPointsToLevel19")</f>
        <v>setPointsToLevel19</v>
      </c>
      <c r="D25" s="507" t="str">
        <f ca="1">IFERROR(__xludf.DUMMYFUNCTION("""COMPUTED_VALUE"""),"rewardIfAllRequirementsMet")</f>
        <v>rewardIfAllRequirementsMet</v>
      </c>
      <c r="E25" s="497"/>
      <c r="F25" s="497"/>
      <c r="G25" s="508"/>
      <c r="H25" s="509"/>
      <c r="I25" s="509"/>
      <c r="J25" s="509"/>
      <c r="K25" s="509"/>
      <c r="L25" s="509"/>
      <c r="M25" s="497"/>
      <c r="N25" s="510"/>
      <c r="O25" s="497"/>
      <c r="P25" s="509"/>
      <c r="Q25" s="509"/>
      <c r="R25" s="509"/>
      <c r="S25" s="509"/>
      <c r="T25" s="509"/>
      <c r="U25" s="509"/>
      <c r="V25" s="509"/>
      <c r="W25" s="509"/>
      <c r="X25" s="509"/>
      <c r="Y25" s="509"/>
      <c r="Z25" s="509"/>
      <c r="AA25" s="497"/>
      <c r="AB25" s="509"/>
      <c r="AC25" s="510"/>
      <c r="AD25" s="509"/>
      <c r="AE25" s="509"/>
      <c r="AF25" s="509"/>
      <c r="AG25" s="509"/>
      <c r="AH25" s="509"/>
      <c r="AI25" s="508"/>
      <c r="AJ25" s="509"/>
      <c r="AK25" s="509"/>
      <c r="AL25" s="509"/>
      <c r="AM25" s="509"/>
      <c r="AN25" s="509"/>
      <c r="AO25" s="510"/>
      <c r="AP25" s="509"/>
      <c r="AQ25" s="509"/>
      <c r="AR25" s="509"/>
      <c r="AS25" s="509"/>
      <c r="AT25" s="509"/>
      <c r="AU25" s="511" t="str">
        <f ca="1">IFERROR(__xludf.DUMMYFUNCTION("""COMPUTED_VALUE"""),"levels.total_points.level")</f>
        <v>levels.total_points.level</v>
      </c>
      <c r="AV25" s="497">
        <f ca="1">IFERROR(__xludf.DUMMYFUNCTION("""COMPUTED_VALUE"""),19)</f>
        <v>19</v>
      </c>
      <c r="AW25" s="497" t="str">
        <f ca="1">IFERROR(__xludf.DUMMYFUNCTION("""COMPUTED_VALUE"""),"set")</f>
        <v>set</v>
      </c>
      <c r="AX25" s="510" t="str">
        <f ca="1">IFERROR(__xludf.DUMMYFUNCTION("""COMPUTED_VALUE"""),"levels.total_points.valueNeededForNextLevel")</f>
        <v>levels.total_points.valueNeededForNextLevel</v>
      </c>
      <c r="AY25" s="509">
        <f ca="1">IFERROR(__xludf.DUMMYFUNCTION("""COMPUTED_VALUE"""),1900000)</f>
        <v>1900000</v>
      </c>
      <c r="AZ25" s="509" t="str">
        <f ca="1">IFERROR(__xludf.DUMMYFUNCTION("""COMPUTED_VALUE"""),"set")</f>
        <v>set</v>
      </c>
      <c r="BA25" s="513" t="str">
        <f ca="1">IFERROR(__xludf.DUMMYFUNCTION("""COMPUTED_VALUE"""),"all")</f>
        <v>all</v>
      </c>
      <c r="BB25" s="508"/>
      <c r="BC25" s="509"/>
      <c r="BD25" s="509"/>
      <c r="BE25" s="509"/>
      <c r="BF25" s="509"/>
      <c r="BG25" s="509"/>
      <c r="BH25" s="509"/>
      <c r="BI25" s="509"/>
      <c r="BJ25" s="509"/>
      <c r="BK25" s="509"/>
      <c r="BL25" s="509"/>
      <c r="BM25" s="509"/>
      <c r="BN25" s="514"/>
      <c r="BO25" s="510"/>
      <c r="BP25" s="509"/>
      <c r="BQ25" s="509"/>
      <c r="BR25" s="509"/>
      <c r="BS25" s="509"/>
      <c r="BT25" s="509"/>
      <c r="BU25" s="509"/>
      <c r="BV25" s="509"/>
      <c r="BW25" s="509"/>
      <c r="BX25" s="509"/>
      <c r="BY25" s="509"/>
      <c r="BZ25" s="509"/>
      <c r="CA25" s="514"/>
      <c r="CB25" s="510"/>
      <c r="CC25" s="509"/>
      <c r="CD25" s="509"/>
      <c r="CE25" s="509"/>
      <c r="CF25" s="509"/>
      <c r="CG25" s="509"/>
      <c r="CH25" s="509"/>
      <c r="CI25" s="509"/>
      <c r="CJ25" s="509"/>
      <c r="CK25" s="509"/>
      <c r="CL25" s="509"/>
      <c r="CM25" s="509"/>
      <c r="CN25" s="514"/>
      <c r="CO25" s="509"/>
      <c r="CP25" s="509"/>
      <c r="CQ25" s="509"/>
      <c r="CR25" s="509"/>
      <c r="CS25" s="509"/>
      <c r="CT25" s="509"/>
      <c r="CU25" s="509"/>
      <c r="CV25" s="509"/>
      <c r="CW25" s="509"/>
      <c r="CX25" s="509"/>
      <c r="CY25" s="509"/>
      <c r="CZ25" s="509"/>
      <c r="DA25" s="514"/>
      <c r="DB25" s="509"/>
      <c r="DC25" s="509"/>
      <c r="DD25" s="509"/>
      <c r="DE25" s="509"/>
      <c r="DF25" s="509"/>
      <c r="DG25" s="509"/>
      <c r="DH25" s="509"/>
      <c r="DI25" s="509"/>
      <c r="DJ25" s="509"/>
      <c r="DK25" s="509"/>
      <c r="DL25" s="509"/>
      <c r="DM25" s="509"/>
      <c r="DN25" s="515"/>
      <c r="DO25" s="509"/>
      <c r="DP25" s="509"/>
      <c r="DQ25" s="509"/>
      <c r="DR25" s="509"/>
      <c r="DS25" s="509"/>
      <c r="DT25" s="509"/>
      <c r="DU25" s="509"/>
      <c r="DV25" s="509"/>
      <c r="DW25" s="509"/>
      <c r="DX25" s="509"/>
      <c r="DY25" s="509"/>
      <c r="DZ25" s="509"/>
      <c r="EA25" s="509"/>
      <c r="EB25" s="509"/>
      <c r="EC25" s="510"/>
      <c r="ED25" s="509"/>
      <c r="EE25" s="509"/>
      <c r="EF25" s="509"/>
      <c r="EG25" s="509"/>
      <c r="EH25" s="509"/>
      <c r="EI25" s="509"/>
      <c r="EJ25" s="509"/>
      <c r="EK25" s="509"/>
      <c r="EL25" s="509"/>
      <c r="EM25" s="509"/>
      <c r="EN25" s="509"/>
      <c r="EO25" s="509"/>
      <c r="EP25" s="509"/>
      <c r="EQ25" s="508"/>
      <c r="ER25" s="509"/>
      <c r="ES25" s="509"/>
      <c r="ET25" s="509"/>
      <c r="EU25" s="509"/>
      <c r="EV25" s="509"/>
      <c r="EW25" s="509"/>
      <c r="EX25" s="509"/>
      <c r="EY25" s="509"/>
      <c r="EZ25" s="509"/>
      <c r="FA25" s="509"/>
      <c r="FB25" s="509"/>
      <c r="FC25" s="509"/>
      <c r="FD25" s="509"/>
      <c r="FE25" s="509"/>
      <c r="FF25" s="509"/>
      <c r="FG25" s="510"/>
      <c r="FH25" s="509"/>
      <c r="FI25" s="509"/>
      <c r="FJ25" s="509"/>
      <c r="FK25" s="509"/>
      <c r="FL25" s="509"/>
      <c r="FM25" s="509"/>
      <c r="FN25" s="509"/>
      <c r="FO25" s="509"/>
      <c r="FP25" s="509"/>
      <c r="FQ25" s="509"/>
      <c r="FR25" s="509"/>
      <c r="FS25" s="509"/>
      <c r="FT25" s="509"/>
      <c r="FU25" s="509"/>
      <c r="FV25" s="509"/>
      <c r="FW25" s="508"/>
      <c r="FX25" s="509"/>
      <c r="FY25" s="509"/>
      <c r="FZ25" s="509"/>
      <c r="GA25" s="511" t="str">
        <f ca="1">IFERROR(__xludf.DUMMYFUNCTION("""COMPUTED_VALUE"""),"total_points")</f>
        <v>total_points</v>
      </c>
      <c r="GB25" s="497">
        <f ca="1">IFERROR(__xludf.DUMMYFUNCTION("""COMPUTED_VALUE"""),1800000)</f>
        <v>1800000</v>
      </c>
      <c r="GC25" s="510"/>
      <c r="GD25" s="509"/>
      <c r="GE25" s="511"/>
      <c r="GF25" s="497"/>
      <c r="GG25" s="497"/>
      <c r="GH25" s="497" t="str">
        <f t="shared" si="1"/>
        <v>:</v>
      </c>
      <c r="GI25" s="510"/>
      <c r="GJ25" s="509"/>
      <c r="GK25" s="509"/>
    </row>
    <row r="26" spans="1:193" ht="15.75" customHeight="1" x14ac:dyDescent="0.15">
      <c r="A26" s="482" t="str">
        <f ca="1">IFERROR(__xludf.DUMMYFUNCTION("""COMPUTED_VALUE"""),"total_points level 20")</f>
        <v>total_points level 20</v>
      </c>
      <c r="B26" s="482" t="b">
        <f t="shared" ca="1" si="0"/>
        <v>0</v>
      </c>
      <c r="C26" s="507" t="str">
        <f ca="1">IFERROR(__xludf.DUMMYFUNCTION("""set""&amp;PROPER(index(SPLIT(GA26, ""_""), 0, 2))&amp;""ToLevel""&amp;AV26"),"setPointsToLevel20")</f>
        <v>setPointsToLevel20</v>
      </c>
      <c r="D26" s="507" t="str">
        <f ca="1">IFERROR(__xludf.DUMMYFUNCTION("""COMPUTED_VALUE"""),"rewardIfAllRequirementsMet")</f>
        <v>rewardIfAllRequirementsMet</v>
      </c>
      <c r="E26" s="497"/>
      <c r="F26" s="497"/>
      <c r="G26" s="508"/>
      <c r="H26" s="509"/>
      <c r="I26" s="509"/>
      <c r="J26" s="509"/>
      <c r="K26" s="509"/>
      <c r="L26" s="509"/>
      <c r="M26" s="497"/>
      <c r="N26" s="510"/>
      <c r="O26" s="497"/>
      <c r="P26" s="509"/>
      <c r="Q26" s="509"/>
      <c r="R26" s="509"/>
      <c r="S26" s="509"/>
      <c r="T26" s="509"/>
      <c r="U26" s="509"/>
      <c r="V26" s="509"/>
      <c r="W26" s="509"/>
      <c r="X26" s="509"/>
      <c r="Y26" s="509"/>
      <c r="Z26" s="509"/>
      <c r="AA26" s="497"/>
      <c r="AB26" s="509"/>
      <c r="AC26" s="510"/>
      <c r="AD26" s="509"/>
      <c r="AE26" s="509"/>
      <c r="AF26" s="509"/>
      <c r="AG26" s="509"/>
      <c r="AH26" s="509"/>
      <c r="AI26" s="508"/>
      <c r="AJ26" s="509"/>
      <c r="AK26" s="509"/>
      <c r="AL26" s="509"/>
      <c r="AM26" s="509"/>
      <c r="AN26" s="509"/>
      <c r="AO26" s="510"/>
      <c r="AP26" s="509"/>
      <c r="AQ26" s="509"/>
      <c r="AR26" s="509"/>
      <c r="AS26" s="509"/>
      <c r="AT26" s="509"/>
      <c r="AU26" s="511" t="str">
        <f ca="1">IFERROR(__xludf.DUMMYFUNCTION("""COMPUTED_VALUE"""),"levels.total_points.level")</f>
        <v>levels.total_points.level</v>
      </c>
      <c r="AV26" s="497">
        <f ca="1">IFERROR(__xludf.DUMMYFUNCTION("""COMPUTED_VALUE"""),20)</f>
        <v>20</v>
      </c>
      <c r="AW26" s="497" t="str">
        <f ca="1">IFERROR(__xludf.DUMMYFUNCTION("""COMPUTED_VALUE"""),"set")</f>
        <v>set</v>
      </c>
      <c r="AX26" s="510" t="str">
        <f ca="1">IFERROR(__xludf.DUMMYFUNCTION("""COMPUTED_VALUE"""),"levels.total_points.valueNeededForNextLevel")</f>
        <v>levels.total_points.valueNeededForNextLevel</v>
      </c>
      <c r="AY26" s="509">
        <f ca="1">IFERROR(__xludf.DUMMYFUNCTION("""COMPUTED_VALUE"""),2000000)</f>
        <v>2000000</v>
      </c>
      <c r="AZ26" s="509" t="str">
        <f ca="1">IFERROR(__xludf.DUMMYFUNCTION("""COMPUTED_VALUE"""),"set")</f>
        <v>set</v>
      </c>
      <c r="BA26" s="513" t="str">
        <f ca="1">IFERROR(__xludf.DUMMYFUNCTION("""COMPUTED_VALUE"""),"all")</f>
        <v>all</v>
      </c>
      <c r="BB26" s="508"/>
      <c r="BC26" s="509"/>
      <c r="BD26" s="509"/>
      <c r="BE26" s="509"/>
      <c r="BF26" s="509"/>
      <c r="BG26" s="509"/>
      <c r="BH26" s="509"/>
      <c r="BI26" s="509"/>
      <c r="BJ26" s="509"/>
      <c r="BK26" s="509"/>
      <c r="BL26" s="509"/>
      <c r="BM26" s="509"/>
      <c r="BN26" s="514"/>
      <c r="BO26" s="510"/>
      <c r="BP26" s="509"/>
      <c r="BQ26" s="509"/>
      <c r="BR26" s="509"/>
      <c r="BS26" s="509"/>
      <c r="BT26" s="509"/>
      <c r="BU26" s="509"/>
      <c r="BV26" s="509"/>
      <c r="BW26" s="509"/>
      <c r="BX26" s="509"/>
      <c r="BY26" s="509"/>
      <c r="BZ26" s="509"/>
      <c r="CA26" s="514"/>
      <c r="CB26" s="510"/>
      <c r="CC26" s="509"/>
      <c r="CD26" s="509"/>
      <c r="CE26" s="509"/>
      <c r="CF26" s="509"/>
      <c r="CG26" s="509"/>
      <c r="CH26" s="509"/>
      <c r="CI26" s="509"/>
      <c r="CJ26" s="509"/>
      <c r="CK26" s="509"/>
      <c r="CL26" s="509"/>
      <c r="CM26" s="509"/>
      <c r="CN26" s="514"/>
      <c r="CO26" s="509"/>
      <c r="CP26" s="509"/>
      <c r="CQ26" s="509"/>
      <c r="CR26" s="509"/>
      <c r="CS26" s="509"/>
      <c r="CT26" s="509"/>
      <c r="CU26" s="509"/>
      <c r="CV26" s="509"/>
      <c r="CW26" s="509"/>
      <c r="CX26" s="509"/>
      <c r="CY26" s="509"/>
      <c r="CZ26" s="509"/>
      <c r="DA26" s="514"/>
      <c r="DB26" s="509"/>
      <c r="DC26" s="509"/>
      <c r="DD26" s="509"/>
      <c r="DE26" s="509"/>
      <c r="DF26" s="509"/>
      <c r="DG26" s="509"/>
      <c r="DH26" s="509"/>
      <c r="DI26" s="509"/>
      <c r="DJ26" s="509"/>
      <c r="DK26" s="509"/>
      <c r="DL26" s="509"/>
      <c r="DM26" s="509"/>
      <c r="DN26" s="515"/>
      <c r="DO26" s="509"/>
      <c r="DP26" s="509"/>
      <c r="DQ26" s="509"/>
      <c r="DR26" s="509"/>
      <c r="DS26" s="509"/>
      <c r="DT26" s="509"/>
      <c r="DU26" s="509"/>
      <c r="DV26" s="509"/>
      <c r="DW26" s="509"/>
      <c r="DX26" s="509"/>
      <c r="DY26" s="509"/>
      <c r="DZ26" s="509"/>
      <c r="EA26" s="509"/>
      <c r="EB26" s="509"/>
      <c r="EC26" s="510"/>
      <c r="ED26" s="509"/>
      <c r="EE26" s="509"/>
      <c r="EF26" s="509"/>
      <c r="EG26" s="509"/>
      <c r="EH26" s="509"/>
      <c r="EI26" s="509"/>
      <c r="EJ26" s="509"/>
      <c r="EK26" s="509"/>
      <c r="EL26" s="509"/>
      <c r="EM26" s="509"/>
      <c r="EN26" s="509"/>
      <c r="EO26" s="509"/>
      <c r="EP26" s="509"/>
      <c r="EQ26" s="508"/>
      <c r="ER26" s="509"/>
      <c r="ES26" s="509"/>
      <c r="ET26" s="509"/>
      <c r="EU26" s="509"/>
      <c r="EV26" s="509"/>
      <c r="EW26" s="509"/>
      <c r="EX26" s="509"/>
      <c r="EY26" s="509"/>
      <c r="EZ26" s="509"/>
      <c r="FA26" s="509"/>
      <c r="FB26" s="509"/>
      <c r="FC26" s="509"/>
      <c r="FD26" s="509"/>
      <c r="FE26" s="509"/>
      <c r="FF26" s="509"/>
      <c r="FG26" s="510"/>
      <c r="FH26" s="509"/>
      <c r="FI26" s="509"/>
      <c r="FJ26" s="509"/>
      <c r="FK26" s="509"/>
      <c r="FL26" s="509"/>
      <c r="FM26" s="509"/>
      <c r="FN26" s="509"/>
      <c r="FO26" s="509"/>
      <c r="FP26" s="509"/>
      <c r="FQ26" s="509"/>
      <c r="FR26" s="509"/>
      <c r="FS26" s="509"/>
      <c r="FT26" s="509"/>
      <c r="FU26" s="509"/>
      <c r="FV26" s="509"/>
      <c r="FW26" s="508"/>
      <c r="FX26" s="509"/>
      <c r="FY26" s="509"/>
      <c r="FZ26" s="509"/>
      <c r="GA26" s="511" t="str">
        <f ca="1">IFERROR(__xludf.DUMMYFUNCTION("""COMPUTED_VALUE"""),"total_points")</f>
        <v>total_points</v>
      </c>
      <c r="GB26" s="497">
        <f ca="1">IFERROR(__xludf.DUMMYFUNCTION("""COMPUTED_VALUE"""),1900000)</f>
        <v>1900000</v>
      </c>
      <c r="GC26" s="510"/>
      <c r="GD26" s="509"/>
      <c r="GE26" s="511"/>
      <c r="GF26" s="497"/>
      <c r="GG26" s="497"/>
      <c r="GH26" s="497" t="str">
        <f t="shared" si="1"/>
        <v>:</v>
      </c>
      <c r="GI26" s="510"/>
      <c r="GJ26" s="509"/>
      <c r="GK26" s="509"/>
    </row>
    <row r="27" spans="1:193" ht="15.75" customHeight="1" x14ac:dyDescent="0.15">
      <c r="A27" s="482" t="str">
        <f ca="1">IFERROR(__xludf.DUMMYFUNCTION("""COMPUTED_VALUE"""),"total_points level 21")</f>
        <v>total_points level 21</v>
      </c>
      <c r="B27" s="482" t="b">
        <f t="shared" ca="1" si="0"/>
        <v>0</v>
      </c>
      <c r="C27" s="507" t="str">
        <f ca="1">IFERROR(__xludf.DUMMYFUNCTION("""set""&amp;PROPER(index(SPLIT(GA27, ""_""), 0, 2))&amp;""ToLevel""&amp;AV27"),"setPointsToLevel21")</f>
        <v>setPointsToLevel21</v>
      </c>
      <c r="D27" s="507" t="str">
        <f ca="1">IFERROR(__xludf.DUMMYFUNCTION("""COMPUTED_VALUE"""),"rewardIfAllRequirementsMet")</f>
        <v>rewardIfAllRequirementsMet</v>
      </c>
      <c r="E27" s="497"/>
      <c r="F27" s="497"/>
      <c r="G27" s="508"/>
      <c r="H27" s="509"/>
      <c r="I27" s="509"/>
      <c r="J27" s="509"/>
      <c r="K27" s="509"/>
      <c r="L27" s="509"/>
      <c r="M27" s="497"/>
      <c r="N27" s="510"/>
      <c r="O27" s="497"/>
      <c r="P27" s="509"/>
      <c r="Q27" s="509"/>
      <c r="R27" s="509"/>
      <c r="S27" s="509"/>
      <c r="T27" s="509"/>
      <c r="U27" s="509"/>
      <c r="V27" s="509"/>
      <c r="W27" s="509"/>
      <c r="X27" s="509"/>
      <c r="Y27" s="509"/>
      <c r="Z27" s="509"/>
      <c r="AA27" s="497"/>
      <c r="AB27" s="509"/>
      <c r="AC27" s="510"/>
      <c r="AD27" s="509"/>
      <c r="AE27" s="509"/>
      <c r="AF27" s="509"/>
      <c r="AG27" s="509"/>
      <c r="AH27" s="509"/>
      <c r="AI27" s="508"/>
      <c r="AJ27" s="509"/>
      <c r="AK27" s="509"/>
      <c r="AL27" s="509"/>
      <c r="AM27" s="509"/>
      <c r="AN27" s="509"/>
      <c r="AO27" s="510"/>
      <c r="AP27" s="509"/>
      <c r="AQ27" s="509"/>
      <c r="AR27" s="509"/>
      <c r="AS27" s="509"/>
      <c r="AT27" s="509"/>
      <c r="AU27" s="511" t="str">
        <f ca="1">IFERROR(__xludf.DUMMYFUNCTION("""COMPUTED_VALUE"""),"levels.total_points.level")</f>
        <v>levels.total_points.level</v>
      </c>
      <c r="AV27" s="497">
        <f ca="1">IFERROR(__xludf.DUMMYFUNCTION("""COMPUTED_VALUE"""),21)</f>
        <v>21</v>
      </c>
      <c r="AW27" s="497" t="str">
        <f ca="1">IFERROR(__xludf.DUMMYFUNCTION("""COMPUTED_VALUE"""),"set")</f>
        <v>set</v>
      </c>
      <c r="AX27" s="510" t="str">
        <f ca="1">IFERROR(__xludf.DUMMYFUNCTION("""COMPUTED_VALUE"""),"levels.total_points.valueNeededForNextLevel")</f>
        <v>levels.total_points.valueNeededForNextLevel</v>
      </c>
      <c r="AY27" s="509">
        <f ca="1">IFERROR(__xludf.DUMMYFUNCTION("""COMPUTED_VALUE"""),2100000)</f>
        <v>2100000</v>
      </c>
      <c r="AZ27" s="509" t="str">
        <f ca="1">IFERROR(__xludf.DUMMYFUNCTION("""COMPUTED_VALUE"""),"set")</f>
        <v>set</v>
      </c>
      <c r="BA27" s="513" t="str">
        <f ca="1">IFERROR(__xludf.DUMMYFUNCTION("""COMPUTED_VALUE"""),"all")</f>
        <v>all</v>
      </c>
      <c r="BB27" s="508"/>
      <c r="BC27" s="509"/>
      <c r="BD27" s="509"/>
      <c r="BE27" s="509"/>
      <c r="BF27" s="509"/>
      <c r="BG27" s="509"/>
      <c r="BH27" s="509"/>
      <c r="BI27" s="509"/>
      <c r="BJ27" s="509"/>
      <c r="BK27" s="509"/>
      <c r="BL27" s="509"/>
      <c r="BM27" s="509"/>
      <c r="BN27" s="514"/>
      <c r="BO27" s="510"/>
      <c r="BP27" s="509"/>
      <c r="BQ27" s="509"/>
      <c r="BR27" s="509"/>
      <c r="BS27" s="509"/>
      <c r="BT27" s="509"/>
      <c r="BU27" s="509"/>
      <c r="BV27" s="509"/>
      <c r="BW27" s="509"/>
      <c r="BX27" s="509"/>
      <c r="BY27" s="509"/>
      <c r="BZ27" s="509"/>
      <c r="CA27" s="514"/>
      <c r="CB27" s="510"/>
      <c r="CC27" s="509"/>
      <c r="CD27" s="509"/>
      <c r="CE27" s="509"/>
      <c r="CF27" s="509"/>
      <c r="CG27" s="509"/>
      <c r="CH27" s="509"/>
      <c r="CI27" s="509"/>
      <c r="CJ27" s="509"/>
      <c r="CK27" s="509"/>
      <c r="CL27" s="509"/>
      <c r="CM27" s="509"/>
      <c r="CN27" s="514"/>
      <c r="CO27" s="509"/>
      <c r="CP27" s="509"/>
      <c r="CQ27" s="509"/>
      <c r="CR27" s="509"/>
      <c r="CS27" s="509"/>
      <c r="CT27" s="509"/>
      <c r="CU27" s="509"/>
      <c r="CV27" s="509"/>
      <c r="CW27" s="509"/>
      <c r="CX27" s="509"/>
      <c r="CY27" s="509"/>
      <c r="CZ27" s="509"/>
      <c r="DA27" s="514"/>
      <c r="DB27" s="509"/>
      <c r="DC27" s="509"/>
      <c r="DD27" s="509"/>
      <c r="DE27" s="509"/>
      <c r="DF27" s="509"/>
      <c r="DG27" s="509"/>
      <c r="DH27" s="509"/>
      <c r="DI27" s="509"/>
      <c r="DJ27" s="509"/>
      <c r="DK27" s="509"/>
      <c r="DL27" s="509"/>
      <c r="DM27" s="509"/>
      <c r="DN27" s="515"/>
      <c r="DO27" s="509"/>
      <c r="DP27" s="509"/>
      <c r="DQ27" s="509"/>
      <c r="DR27" s="509"/>
      <c r="DS27" s="509"/>
      <c r="DT27" s="509"/>
      <c r="DU27" s="509"/>
      <c r="DV27" s="509"/>
      <c r="DW27" s="509"/>
      <c r="DX27" s="509"/>
      <c r="DY27" s="509"/>
      <c r="DZ27" s="509"/>
      <c r="EA27" s="509"/>
      <c r="EB27" s="509"/>
      <c r="EC27" s="510"/>
      <c r="ED27" s="509"/>
      <c r="EE27" s="509"/>
      <c r="EF27" s="509"/>
      <c r="EG27" s="509"/>
      <c r="EH27" s="509"/>
      <c r="EI27" s="509"/>
      <c r="EJ27" s="509"/>
      <c r="EK27" s="509"/>
      <c r="EL27" s="509"/>
      <c r="EM27" s="509"/>
      <c r="EN27" s="509"/>
      <c r="EO27" s="509"/>
      <c r="EP27" s="509"/>
      <c r="EQ27" s="508"/>
      <c r="ER27" s="509"/>
      <c r="ES27" s="509"/>
      <c r="ET27" s="509"/>
      <c r="EU27" s="509"/>
      <c r="EV27" s="509"/>
      <c r="EW27" s="509"/>
      <c r="EX27" s="509"/>
      <c r="EY27" s="509"/>
      <c r="EZ27" s="509"/>
      <c r="FA27" s="509"/>
      <c r="FB27" s="509"/>
      <c r="FC27" s="509"/>
      <c r="FD27" s="509"/>
      <c r="FE27" s="509"/>
      <c r="FF27" s="509"/>
      <c r="FG27" s="510"/>
      <c r="FH27" s="509"/>
      <c r="FI27" s="509"/>
      <c r="FJ27" s="509"/>
      <c r="FK27" s="509"/>
      <c r="FL27" s="509"/>
      <c r="FM27" s="509"/>
      <c r="FN27" s="509"/>
      <c r="FO27" s="509"/>
      <c r="FP27" s="509"/>
      <c r="FQ27" s="509"/>
      <c r="FR27" s="509"/>
      <c r="FS27" s="509"/>
      <c r="FT27" s="509"/>
      <c r="FU27" s="509"/>
      <c r="FV27" s="509"/>
      <c r="FW27" s="508"/>
      <c r="FX27" s="509"/>
      <c r="FY27" s="509"/>
      <c r="FZ27" s="509"/>
      <c r="GA27" s="511" t="str">
        <f ca="1">IFERROR(__xludf.DUMMYFUNCTION("""COMPUTED_VALUE"""),"total_points")</f>
        <v>total_points</v>
      </c>
      <c r="GB27" s="497">
        <f ca="1">IFERROR(__xludf.DUMMYFUNCTION("""COMPUTED_VALUE"""),2000000)</f>
        <v>2000000</v>
      </c>
      <c r="GC27" s="510"/>
      <c r="GD27" s="509"/>
      <c r="GE27" s="511"/>
      <c r="GF27" s="497"/>
      <c r="GG27" s="497"/>
      <c r="GH27" s="497" t="str">
        <f t="shared" si="1"/>
        <v>:</v>
      </c>
      <c r="GI27" s="510"/>
      <c r="GJ27" s="509"/>
      <c r="GK27" s="509"/>
    </row>
    <row r="28" spans="1:193" ht="15.75" customHeight="1" x14ac:dyDescent="0.15">
      <c r="A28" s="482" t="str">
        <f ca="1">IFERROR(__xludf.DUMMYFUNCTION("""COMPUTED_VALUE"""),"total_points level 22")</f>
        <v>total_points level 22</v>
      </c>
      <c r="B28" s="482" t="b">
        <f t="shared" ca="1" si="0"/>
        <v>0</v>
      </c>
      <c r="C28" s="507" t="str">
        <f ca="1">IFERROR(__xludf.DUMMYFUNCTION("""set""&amp;PROPER(index(SPLIT(GA28, ""_""), 0, 2))&amp;""ToLevel""&amp;AV28"),"setPointsToLevel22")</f>
        <v>setPointsToLevel22</v>
      </c>
      <c r="D28" s="507" t="str">
        <f ca="1">IFERROR(__xludf.DUMMYFUNCTION("""COMPUTED_VALUE"""),"rewardIfAllRequirementsMet")</f>
        <v>rewardIfAllRequirementsMet</v>
      </c>
      <c r="E28" s="497"/>
      <c r="F28" s="497"/>
      <c r="G28" s="508"/>
      <c r="H28" s="509"/>
      <c r="I28" s="509"/>
      <c r="J28" s="509"/>
      <c r="K28" s="509"/>
      <c r="L28" s="509"/>
      <c r="M28" s="497"/>
      <c r="N28" s="510"/>
      <c r="O28" s="497"/>
      <c r="P28" s="509"/>
      <c r="Q28" s="509"/>
      <c r="R28" s="509"/>
      <c r="S28" s="509"/>
      <c r="T28" s="509"/>
      <c r="U28" s="509"/>
      <c r="V28" s="509"/>
      <c r="W28" s="509"/>
      <c r="X28" s="509"/>
      <c r="Y28" s="509"/>
      <c r="Z28" s="509"/>
      <c r="AA28" s="497"/>
      <c r="AB28" s="509"/>
      <c r="AC28" s="510"/>
      <c r="AD28" s="509"/>
      <c r="AE28" s="509"/>
      <c r="AF28" s="509"/>
      <c r="AG28" s="509"/>
      <c r="AH28" s="509"/>
      <c r="AI28" s="508"/>
      <c r="AJ28" s="509"/>
      <c r="AK28" s="509"/>
      <c r="AL28" s="509"/>
      <c r="AM28" s="509"/>
      <c r="AN28" s="509"/>
      <c r="AO28" s="510"/>
      <c r="AP28" s="509"/>
      <c r="AQ28" s="509"/>
      <c r="AR28" s="509"/>
      <c r="AS28" s="509"/>
      <c r="AT28" s="509"/>
      <c r="AU28" s="511" t="str">
        <f ca="1">IFERROR(__xludf.DUMMYFUNCTION("""COMPUTED_VALUE"""),"levels.total_points.level")</f>
        <v>levels.total_points.level</v>
      </c>
      <c r="AV28" s="497">
        <f ca="1">IFERROR(__xludf.DUMMYFUNCTION("""COMPUTED_VALUE"""),22)</f>
        <v>22</v>
      </c>
      <c r="AW28" s="497" t="str">
        <f ca="1">IFERROR(__xludf.DUMMYFUNCTION("""COMPUTED_VALUE"""),"set")</f>
        <v>set</v>
      </c>
      <c r="AX28" s="510" t="str">
        <f ca="1">IFERROR(__xludf.DUMMYFUNCTION("""COMPUTED_VALUE"""),"levels.total_points.valueNeededForNextLevel")</f>
        <v>levels.total_points.valueNeededForNextLevel</v>
      </c>
      <c r="AY28" s="509">
        <f ca="1">IFERROR(__xludf.DUMMYFUNCTION("""COMPUTED_VALUE"""),2200000)</f>
        <v>2200000</v>
      </c>
      <c r="AZ28" s="509" t="str">
        <f ca="1">IFERROR(__xludf.DUMMYFUNCTION("""COMPUTED_VALUE"""),"set")</f>
        <v>set</v>
      </c>
      <c r="BA28" s="513" t="str">
        <f ca="1">IFERROR(__xludf.DUMMYFUNCTION("""COMPUTED_VALUE"""),"all")</f>
        <v>all</v>
      </c>
      <c r="BB28" s="508"/>
      <c r="BC28" s="509"/>
      <c r="BD28" s="509"/>
      <c r="BE28" s="509"/>
      <c r="BF28" s="509"/>
      <c r="BG28" s="509"/>
      <c r="BH28" s="509"/>
      <c r="BI28" s="509"/>
      <c r="BJ28" s="509"/>
      <c r="BK28" s="509"/>
      <c r="BL28" s="509"/>
      <c r="BM28" s="509"/>
      <c r="BN28" s="514"/>
      <c r="BO28" s="510"/>
      <c r="BP28" s="509"/>
      <c r="BQ28" s="509"/>
      <c r="BR28" s="509"/>
      <c r="BS28" s="509"/>
      <c r="BT28" s="509"/>
      <c r="BU28" s="509"/>
      <c r="BV28" s="509"/>
      <c r="BW28" s="509"/>
      <c r="BX28" s="509"/>
      <c r="BY28" s="509"/>
      <c r="BZ28" s="509"/>
      <c r="CA28" s="514"/>
      <c r="CB28" s="510"/>
      <c r="CC28" s="509"/>
      <c r="CD28" s="509"/>
      <c r="CE28" s="509"/>
      <c r="CF28" s="509"/>
      <c r="CG28" s="509"/>
      <c r="CH28" s="509"/>
      <c r="CI28" s="509"/>
      <c r="CJ28" s="509"/>
      <c r="CK28" s="509"/>
      <c r="CL28" s="509"/>
      <c r="CM28" s="509"/>
      <c r="CN28" s="514"/>
      <c r="CO28" s="509"/>
      <c r="CP28" s="509"/>
      <c r="CQ28" s="509"/>
      <c r="CR28" s="509"/>
      <c r="CS28" s="509"/>
      <c r="CT28" s="509"/>
      <c r="CU28" s="509"/>
      <c r="CV28" s="509"/>
      <c r="CW28" s="509"/>
      <c r="CX28" s="509"/>
      <c r="CY28" s="509"/>
      <c r="CZ28" s="509"/>
      <c r="DA28" s="514"/>
      <c r="DB28" s="509"/>
      <c r="DC28" s="509"/>
      <c r="DD28" s="509"/>
      <c r="DE28" s="509"/>
      <c r="DF28" s="509"/>
      <c r="DG28" s="509"/>
      <c r="DH28" s="509"/>
      <c r="DI28" s="509"/>
      <c r="DJ28" s="509"/>
      <c r="DK28" s="509"/>
      <c r="DL28" s="509"/>
      <c r="DM28" s="509"/>
      <c r="DN28" s="515"/>
      <c r="DO28" s="509"/>
      <c r="DP28" s="509"/>
      <c r="DQ28" s="509"/>
      <c r="DR28" s="509"/>
      <c r="DS28" s="509"/>
      <c r="DT28" s="509"/>
      <c r="DU28" s="509"/>
      <c r="DV28" s="509"/>
      <c r="DW28" s="509"/>
      <c r="DX28" s="509"/>
      <c r="DY28" s="509"/>
      <c r="DZ28" s="509"/>
      <c r="EA28" s="509"/>
      <c r="EB28" s="509"/>
      <c r="EC28" s="510"/>
      <c r="ED28" s="509"/>
      <c r="EE28" s="509"/>
      <c r="EF28" s="509"/>
      <c r="EG28" s="509"/>
      <c r="EH28" s="509"/>
      <c r="EI28" s="509"/>
      <c r="EJ28" s="509"/>
      <c r="EK28" s="509"/>
      <c r="EL28" s="509"/>
      <c r="EM28" s="509"/>
      <c r="EN28" s="509"/>
      <c r="EO28" s="509"/>
      <c r="EP28" s="509"/>
      <c r="EQ28" s="508"/>
      <c r="ER28" s="509"/>
      <c r="ES28" s="509"/>
      <c r="ET28" s="509"/>
      <c r="EU28" s="509"/>
      <c r="EV28" s="509"/>
      <c r="EW28" s="509"/>
      <c r="EX28" s="509"/>
      <c r="EY28" s="509"/>
      <c r="EZ28" s="509"/>
      <c r="FA28" s="509"/>
      <c r="FB28" s="509"/>
      <c r="FC28" s="509"/>
      <c r="FD28" s="509"/>
      <c r="FE28" s="509"/>
      <c r="FF28" s="509"/>
      <c r="FG28" s="510"/>
      <c r="FH28" s="509"/>
      <c r="FI28" s="509"/>
      <c r="FJ28" s="509"/>
      <c r="FK28" s="509"/>
      <c r="FL28" s="509"/>
      <c r="FM28" s="509"/>
      <c r="FN28" s="509"/>
      <c r="FO28" s="509"/>
      <c r="FP28" s="509"/>
      <c r="FQ28" s="509"/>
      <c r="FR28" s="509"/>
      <c r="FS28" s="509"/>
      <c r="FT28" s="509"/>
      <c r="FU28" s="509"/>
      <c r="FV28" s="509"/>
      <c r="FW28" s="508"/>
      <c r="FX28" s="509"/>
      <c r="FY28" s="509"/>
      <c r="FZ28" s="509"/>
      <c r="GA28" s="511" t="str">
        <f ca="1">IFERROR(__xludf.DUMMYFUNCTION("""COMPUTED_VALUE"""),"total_points")</f>
        <v>total_points</v>
      </c>
      <c r="GB28" s="497">
        <f ca="1">IFERROR(__xludf.DUMMYFUNCTION("""COMPUTED_VALUE"""),2100000)</f>
        <v>2100000</v>
      </c>
      <c r="GC28" s="510"/>
      <c r="GD28" s="509"/>
      <c r="GE28" s="511"/>
      <c r="GF28" s="497"/>
      <c r="GG28" s="497"/>
      <c r="GH28" s="497" t="str">
        <f t="shared" si="1"/>
        <v>:</v>
      </c>
      <c r="GI28" s="510"/>
      <c r="GJ28" s="509"/>
      <c r="GK28" s="509"/>
    </row>
    <row r="29" spans="1:193" ht="15.75" customHeight="1" x14ac:dyDescent="0.15">
      <c r="A29" s="482" t="str">
        <f ca="1">IFERROR(__xludf.DUMMYFUNCTION("""COMPUTED_VALUE"""),"total_points level 23")</f>
        <v>total_points level 23</v>
      </c>
      <c r="B29" s="482" t="b">
        <f t="shared" ca="1" si="0"/>
        <v>0</v>
      </c>
      <c r="C29" s="507" t="str">
        <f ca="1">IFERROR(__xludf.DUMMYFUNCTION("""set""&amp;PROPER(index(SPLIT(GA29, ""_""), 0, 2))&amp;""ToLevel""&amp;AV29"),"setPointsToLevel23")</f>
        <v>setPointsToLevel23</v>
      </c>
      <c r="D29" s="507" t="str">
        <f ca="1">IFERROR(__xludf.DUMMYFUNCTION("""COMPUTED_VALUE"""),"rewardIfAllRequirementsMet")</f>
        <v>rewardIfAllRequirementsMet</v>
      </c>
      <c r="E29" s="497"/>
      <c r="F29" s="497"/>
      <c r="G29" s="508"/>
      <c r="H29" s="509"/>
      <c r="I29" s="509"/>
      <c r="J29" s="509"/>
      <c r="K29" s="509"/>
      <c r="L29" s="509"/>
      <c r="M29" s="497"/>
      <c r="N29" s="510"/>
      <c r="O29" s="497"/>
      <c r="P29" s="509"/>
      <c r="Q29" s="509"/>
      <c r="R29" s="509"/>
      <c r="S29" s="509"/>
      <c r="T29" s="509"/>
      <c r="U29" s="509"/>
      <c r="V29" s="509"/>
      <c r="W29" s="509"/>
      <c r="X29" s="509"/>
      <c r="Y29" s="509"/>
      <c r="Z29" s="509"/>
      <c r="AA29" s="497"/>
      <c r="AB29" s="509"/>
      <c r="AC29" s="510"/>
      <c r="AD29" s="509"/>
      <c r="AE29" s="509"/>
      <c r="AF29" s="509"/>
      <c r="AG29" s="509"/>
      <c r="AH29" s="509"/>
      <c r="AI29" s="508"/>
      <c r="AJ29" s="509"/>
      <c r="AK29" s="509"/>
      <c r="AL29" s="509"/>
      <c r="AM29" s="509"/>
      <c r="AN29" s="509"/>
      <c r="AO29" s="510"/>
      <c r="AP29" s="509"/>
      <c r="AQ29" s="509"/>
      <c r="AR29" s="509"/>
      <c r="AS29" s="509"/>
      <c r="AT29" s="509"/>
      <c r="AU29" s="511" t="str">
        <f ca="1">IFERROR(__xludf.DUMMYFUNCTION("""COMPUTED_VALUE"""),"levels.total_points.level")</f>
        <v>levels.total_points.level</v>
      </c>
      <c r="AV29" s="497">
        <f ca="1">IFERROR(__xludf.DUMMYFUNCTION("""COMPUTED_VALUE"""),23)</f>
        <v>23</v>
      </c>
      <c r="AW29" s="497" t="str">
        <f ca="1">IFERROR(__xludf.DUMMYFUNCTION("""COMPUTED_VALUE"""),"set")</f>
        <v>set</v>
      </c>
      <c r="AX29" s="510" t="str">
        <f ca="1">IFERROR(__xludf.DUMMYFUNCTION("""COMPUTED_VALUE"""),"levels.total_points.valueNeededForNextLevel")</f>
        <v>levels.total_points.valueNeededForNextLevel</v>
      </c>
      <c r="AY29" s="509">
        <f ca="1">IFERROR(__xludf.DUMMYFUNCTION("""COMPUTED_VALUE"""),2300000)</f>
        <v>2300000</v>
      </c>
      <c r="AZ29" s="509" t="str">
        <f ca="1">IFERROR(__xludf.DUMMYFUNCTION("""COMPUTED_VALUE"""),"set")</f>
        <v>set</v>
      </c>
      <c r="BA29" s="513" t="str">
        <f ca="1">IFERROR(__xludf.DUMMYFUNCTION("""COMPUTED_VALUE"""),"all")</f>
        <v>all</v>
      </c>
      <c r="BB29" s="508"/>
      <c r="BC29" s="509"/>
      <c r="BD29" s="509"/>
      <c r="BE29" s="509"/>
      <c r="BF29" s="509"/>
      <c r="BG29" s="509"/>
      <c r="BH29" s="509"/>
      <c r="BI29" s="509"/>
      <c r="BJ29" s="509"/>
      <c r="BK29" s="509"/>
      <c r="BL29" s="509"/>
      <c r="BM29" s="509"/>
      <c r="BN29" s="514"/>
      <c r="BO29" s="510"/>
      <c r="BP29" s="509"/>
      <c r="BQ29" s="509"/>
      <c r="BR29" s="509"/>
      <c r="BS29" s="509"/>
      <c r="BT29" s="509"/>
      <c r="BU29" s="509"/>
      <c r="BV29" s="509"/>
      <c r="BW29" s="509"/>
      <c r="BX29" s="509"/>
      <c r="BY29" s="509"/>
      <c r="BZ29" s="509"/>
      <c r="CA29" s="514"/>
      <c r="CB29" s="510"/>
      <c r="CC29" s="509"/>
      <c r="CD29" s="509"/>
      <c r="CE29" s="509"/>
      <c r="CF29" s="509"/>
      <c r="CG29" s="509"/>
      <c r="CH29" s="509"/>
      <c r="CI29" s="509"/>
      <c r="CJ29" s="509"/>
      <c r="CK29" s="509"/>
      <c r="CL29" s="509"/>
      <c r="CM29" s="509"/>
      <c r="CN29" s="514"/>
      <c r="CO29" s="509"/>
      <c r="CP29" s="509"/>
      <c r="CQ29" s="509"/>
      <c r="CR29" s="509"/>
      <c r="CS29" s="509"/>
      <c r="CT29" s="509"/>
      <c r="CU29" s="509"/>
      <c r="CV29" s="509"/>
      <c r="CW29" s="509"/>
      <c r="CX29" s="509"/>
      <c r="CY29" s="509"/>
      <c r="CZ29" s="509"/>
      <c r="DA29" s="514"/>
      <c r="DB29" s="509"/>
      <c r="DC29" s="509"/>
      <c r="DD29" s="509"/>
      <c r="DE29" s="509"/>
      <c r="DF29" s="509"/>
      <c r="DG29" s="509"/>
      <c r="DH29" s="509"/>
      <c r="DI29" s="509"/>
      <c r="DJ29" s="509"/>
      <c r="DK29" s="509"/>
      <c r="DL29" s="509"/>
      <c r="DM29" s="509"/>
      <c r="DN29" s="515"/>
      <c r="DO29" s="509"/>
      <c r="DP29" s="509"/>
      <c r="DQ29" s="509"/>
      <c r="DR29" s="509"/>
      <c r="DS29" s="509"/>
      <c r="DT29" s="509"/>
      <c r="DU29" s="509"/>
      <c r="DV29" s="509"/>
      <c r="DW29" s="509"/>
      <c r="DX29" s="509"/>
      <c r="DY29" s="509"/>
      <c r="DZ29" s="509"/>
      <c r="EA29" s="509"/>
      <c r="EB29" s="509"/>
      <c r="EC29" s="510"/>
      <c r="ED29" s="509"/>
      <c r="EE29" s="509"/>
      <c r="EF29" s="509"/>
      <c r="EG29" s="509"/>
      <c r="EH29" s="509"/>
      <c r="EI29" s="509"/>
      <c r="EJ29" s="509"/>
      <c r="EK29" s="509"/>
      <c r="EL29" s="509"/>
      <c r="EM29" s="509"/>
      <c r="EN29" s="509"/>
      <c r="EO29" s="509"/>
      <c r="EP29" s="509"/>
      <c r="EQ29" s="508"/>
      <c r="ER29" s="509"/>
      <c r="ES29" s="509"/>
      <c r="ET29" s="509"/>
      <c r="EU29" s="509"/>
      <c r="EV29" s="509"/>
      <c r="EW29" s="509"/>
      <c r="EX29" s="509"/>
      <c r="EY29" s="509"/>
      <c r="EZ29" s="509"/>
      <c r="FA29" s="509"/>
      <c r="FB29" s="509"/>
      <c r="FC29" s="509"/>
      <c r="FD29" s="509"/>
      <c r="FE29" s="509"/>
      <c r="FF29" s="509"/>
      <c r="FG29" s="510"/>
      <c r="FH29" s="509"/>
      <c r="FI29" s="509"/>
      <c r="FJ29" s="509"/>
      <c r="FK29" s="509"/>
      <c r="FL29" s="509"/>
      <c r="FM29" s="509"/>
      <c r="FN29" s="509"/>
      <c r="FO29" s="509"/>
      <c r="FP29" s="509"/>
      <c r="FQ29" s="509"/>
      <c r="FR29" s="509"/>
      <c r="FS29" s="509"/>
      <c r="FT29" s="509"/>
      <c r="FU29" s="509"/>
      <c r="FV29" s="509"/>
      <c r="FW29" s="508"/>
      <c r="FX29" s="509"/>
      <c r="FY29" s="509"/>
      <c r="FZ29" s="509"/>
      <c r="GA29" s="511" t="str">
        <f ca="1">IFERROR(__xludf.DUMMYFUNCTION("""COMPUTED_VALUE"""),"total_points")</f>
        <v>total_points</v>
      </c>
      <c r="GB29" s="497">
        <f ca="1">IFERROR(__xludf.DUMMYFUNCTION("""COMPUTED_VALUE"""),2200000)</f>
        <v>2200000</v>
      </c>
      <c r="GC29" s="510"/>
      <c r="GD29" s="509"/>
      <c r="GE29" s="511"/>
      <c r="GF29" s="497"/>
      <c r="GG29" s="497"/>
      <c r="GH29" s="497" t="str">
        <f t="shared" si="1"/>
        <v>:</v>
      </c>
      <c r="GI29" s="510"/>
      <c r="GJ29" s="509"/>
      <c r="GK29" s="509"/>
    </row>
    <row r="30" spans="1:193" ht="15.75" customHeight="1" x14ac:dyDescent="0.15">
      <c r="A30" s="482" t="str">
        <f ca="1">IFERROR(__xludf.DUMMYFUNCTION("""COMPUTED_VALUE"""),"total_points level 24")</f>
        <v>total_points level 24</v>
      </c>
      <c r="B30" s="482" t="b">
        <f t="shared" ca="1" si="0"/>
        <v>0</v>
      </c>
      <c r="C30" s="507" t="str">
        <f ca="1">IFERROR(__xludf.DUMMYFUNCTION("""set""&amp;PROPER(index(SPLIT(GA30, ""_""), 0, 2))&amp;""ToLevel""&amp;AV30"),"setPointsToLevel24")</f>
        <v>setPointsToLevel24</v>
      </c>
      <c r="D30" s="507" t="str">
        <f ca="1">IFERROR(__xludf.DUMMYFUNCTION("""COMPUTED_VALUE"""),"rewardIfAllRequirementsMet")</f>
        <v>rewardIfAllRequirementsMet</v>
      </c>
      <c r="E30" s="497"/>
      <c r="F30" s="497"/>
      <c r="G30" s="508"/>
      <c r="H30" s="509"/>
      <c r="I30" s="509"/>
      <c r="J30" s="509"/>
      <c r="K30" s="509"/>
      <c r="L30" s="509"/>
      <c r="M30" s="497"/>
      <c r="N30" s="510"/>
      <c r="O30" s="497"/>
      <c r="P30" s="509"/>
      <c r="Q30" s="509"/>
      <c r="R30" s="509"/>
      <c r="S30" s="509"/>
      <c r="T30" s="509"/>
      <c r="U30" s="509"/>
      <c r="V30" s="509"/>
      <c r="W30" s="509"/>
      <c r="X30" s="509"/>
      <c r="Y30" s="509"/>
      <c r="Z30" s="509"/>
      <c r="AA30" s="497"/>
      <c r="AB30" s="509"/>
      <c r="AC30" s="510"/>
      <c r="AD30" s="509"/>
      <c r="AE30" s="509"/>
      <c r="AF30" s="509"/>
      <c r="AG30" s="509"/>
      <c r="AH30" s="509"/>
      <c r="AI30" s="508"/>
      <c r="AJ30" s="509"/>
      <c r="AK30" s="509"/>
      <c r="AL30" s="509"/>
      <c r="AM30" s="509"/>
      <c r="AN30" s="509"/>
      <c r="AO30" s="510"/>
      <c r="AP30" s="509"/>
      <c r="AQ30" s="509"/>
      <c r="AR30" s="509"/>
      <c r="AS30" s="509"/>
      <c r="AT30" s="509"/>
      <c r="AU30" s="511" t="str">
        <f ca="1">IFERROR(__xludf.DUMMYFUNCTION("""COMPUTED_VALUE"""),"levels.total_points.level")</f>
        <v>levels.total_points.level</v>
      </c>
      <c r="AV30" s="497">
        <f ca="1">IFERROR(__xludf.DUMMYFUNCTION("""COMPUTED_VALUE"""),24)</f>
        <v>24</v>
      </c>
      <c r="AW30" s="497" t="str">
        <f ca="1">IFERROR(__xludf.DUMMYFUNCTION("""COMPUTED_VALUE"""),"set")</f>
        <v>set</v>
      </c>
      <c r="AX30" s="510" t="str">
        <f ca="1">IFERROR(__xludf.DUMMYFUNCTION("""COMPUTED_VALUE"""),"levels.total_points.valueNeededForNextLevel")</f>
        <v>levels.total_points.valueNeededForNextLevel</v>
      </c>
      <c r="AY30" s="509">
        <f ca="1">IFERROR(__xludf.DUMMYFUNCTION("""COMPUTED_VALUE"""),2400000)</f>
        <v>2400000</v>
      </c>
      <c r="AZ30" s="509" t="str">
        <f ca="1">IFERROR(__xludf.DUMMYFUNCTION("""COMPUTED_VALUE"""),"set")</f>
        <v>set</v>
      </c>
      <c r="BA30" s="513" t="str">
        <f ca="1">IFERROR(__xludf.DUMMYFUNCTION("""COMPUTED_VALUE"""),"all")</f>
        <v>all</v>
      </c>
      <c r="BB30" s="508"/>
      <c r="BC30" s="509"/>
      <c r="BD30" s="509"/>
      <c r="BE30" s="509"/>
      <c r="BF30" s="509"/>
      <c r="BG30" s="509"/>
      <c r="BH30" s="509"/>
      <c r="BI30" s="509"/>
      <c r="BJ30" s="509"/>
      <c r="BK30" s="509"/>
      <c r="BL30" s="509"/>
      <c r="BM30" s="509"/>
      <c r="BN30" s="514"/>
      <c r="BO30" s="510"/>
      <c r="BP30" s="509"/>
      <c r="BQ30" s="509"/>
      <c r="BR30" s="509"/>
      <c r="BS30" s="509"/>
      <c r="BT30" s="509"/>
      <c r="BU30" s="509"/>
      <c r="BV30" s="509"/>
      <c r="BW30" s="509"/>
      <c r="BX30" s="509"/>
      <c r="BY30" s="509"/>
      <c r="BZ30" s="509"/>
      <c r="CA30" s="514"/>
      <c r="CB30" s="510"/>
      <c r="CC30" s="509"/>
      <c r="CD30" s="509"/>
      <c r="CE30" s="509"/>
      <c r="CF30" s="509"/>
      <c r="CG30" s="509"/>
      <c r="CH30" s="509"/>
      <c r="CI30" s="509"/>
      <c r="CJ30" s="509"/>
      <c r="CK30" s="509"/>
      <c r="CL30" s="509"/>
      <c r="CM30" s="509"/>
      <c r="CN30" s="514"/>
      <c r="CO30" s="509"/>
      <c r="CP30" s="509"/>
      <c r="CQ30" s="509"/>
      <c r="CR30" s="509"/>
      <c r="CS30" s="509"/>
      <c r="CT30" s="509"/>
      <c r="CU30" s="509"/>
      <c r="CV30" s="509"/>
      <c r="CW30" s="509"/>
      <c r="CX30" s="509"/>
      <c r="CY30" s="509"/>
      <c r="CZ30" s="509"/>
      <c r="DA30" s="514"/>
      <c r="DB30" s="509"/>
      <c r="DC30" s="509"/>
      <c r="DD30" s="509"/>
      <c r="DE30" s="509"/>
      <c r="DF30" s="509"/>
      <c r="DG30" s="509"/>
      <c r="DH30" s="509"/>
      <c r="DI30" s="509"/>
      <c r="DJ30" s="509"/>
      <c r="DK30" s="509"/>
      <c r="DL30" s="509"/>
      <c r="DM30" s="509"/>
      <c r="DN30" s="515"/>
      <c r="DO30" s="509"/>
      <c r="DP30" s="509"/>
      <c r="DQ30" s="509"/>
      <c r="DR30" s="509"/>
      <c r="DS30" s="509"/>
      <c r="DT30" s="509"/>
      <c r="DU30" s="509"/>
      <c r="DV30" s="509"/>
      <c r="DW30" s="509"/>
      <c r="DX30" s="509"/>
      <c r="DY30" s="509"/>
      <c r="DZ30" s="509"/>
      <c r="EA30" s="509"/>
      <c r="EB30" s="509"/>
      <c r="EC30" s="510"/>
      <c r="ED30" s="509"/>
      <c r="EE30" s="509"/>
      <c r="EF30" s="509"/>
      <c r="EG30" s="509"/>
      <c r="EH30" s="509"/>
      <c r="EI30" s="509"/>
      <c r="EJ30" s="509"/>
      <c r="EK30" s="509"/>
      <c r="EL30" s="509"/>
      <c r="EM30" s="509"/>
      <c r="EN30" s="509"/>
      <c r="EO30" s="509"/>
      <c r="EP30" s="509"/>
      <c r="EQ30" s="508"/>
      <c r="ER30" s="509"/>
      <c r="ES30" s="509"/>
      <c r="ET30" s="509"/>
      <c r="EU30" s="509"/>
      <c r="EV30" s="509"/>
      <c r="EW30" s="509"/>
      <c r="EX30" s="509"/>
      <c r="EY30" s="509"/>
      <c r="EZ30" s="509"/>
      <c r="FA30" s="509"/>
      <c r="FB30" s="509"/>
      <c r="FC30" s="509"/>
      <c r="FD30" s="509"/>
      <c r="FE30" s="509"/>
      <c r="FF30" s="509"/>
      <c r="FG30" s="510"/>
      <c r="FH30" s="509"/>
      <c r="FI30" s="509"/>
      <c r="FJ30" s="509"/>
      <c r="FK30" s="509"/>
      <c r="FL30" s="509"/>
      <c r="FM30" s="509"/>
      <c r="FN30" s="509"/>
      <c r="FO30" s="509"/>
      <c r="FP30" s="509"/>
      <c r="FQ30" s="509"/>
      <c r="FR30" s="509"/>
      <c r="FS30" s="509"/>
      <c r="FT30" s="509"/>
      <c r="FU30" s="509"/>
      <c r="FV30" s="509"/>
      <c r="FW30" s="508"/>
      <c r="FX30" s="509"/>
      <c r="FY30" s="509"/>
      <c r="FZ30" s="509"/>
      <c r="GA30" s="511" t="str">
        <f ca="1">IFERROR(__xludf.DUMMYFUNCTION("""COMPUTED_VALUE"""),"total_points")</f>
        <v>total_points</v>
      </c>
      <c r="GB30" s="497">
        <f ca="1">IFERROR(__xludf.DUMMYFUNCTION("""COMPUTED_VALUE"""),2300000)</f>
        <v>2300000</v>
      </c>
      <c r="GC30" s="510"/>
      <c r="GD30" s="509"/>
      <c r="GE30" s="511"/>
      <c r="GF30" s="497"/>
      <c r="GG30" s="497"/>
      <c r="GH30" s="497" t="str">
        <f t="shared" si="1"/>
        <v>:</v>
      </c>
      <c r="GI30" s="510"/>
      <c r="GJ30" s="509"/>
      <c r="GK30" s="509"/>
    </row>
    <row r="31" spans="1:193" ht="15.75" customHeight="1" x14ac:dyDescent="0.15">
      <c r="A31" s="482" t="str">
        <f ca="1">IFERROR(__xludf.DUMMYFUNCTION("""COMPUTED_VALUE"""),"total_points level 25")</f>
        <v>total_points level 25</v>
      </c>
      <c r="B31" s="482" t="b">
        <f t="shared" ca="1" si="0"/>
        <v>0</v>
      </c>
      <c r="C31" s="507" t="str">
        <f ca="1">IFERROR(__xludf.DUMMYFUNCTION("""set""&amp;PROPER(index(SPLIT(GA31, ""_""), 0, 2))&amp;""ToLevel""&amp;AV31"),"setPointsToLevel25")</f>
        <v>setPointsToLevel25</v>
      </c>
      <c r="D31" s="507" t="str">
        <f ca="1">IFERROR(__xludf.DUMMYFUNCTION("""COMPUTED_VALUE"""),"rewardIfAllRequirementsMet")</f>
        <v>rewardIfAllRequirementsMet</v>
      </c>
      <c r="E31" s="497"/>
      <c r="F31" s="497"/>
      <c r="G31" s="508"/>
      <c r="H31" s="509"/>
      <c r="I31" s="509"/>
      <c r="J31" s="509"/>
      <c r="K31" s="509"/>
      <c r="L31" s="509"/>
      <c r="M31" s="497"/>
      <c r="N31" s="510"/>
      <c r="O31" s="497"/>
      <c r="P31" s="509"/>
      <c r="Q31" s="509"/>
      <c r="R31" s="509"/>
      <c r="S31" s="509"/>
      <c r="T31" s="509"/>
      <c r="U31" s="509"/>
      <c r="V31" s="509"/>
      <c r="W31" s="509"/>
      <c r="X31" s="509"/>
      <c r="Y31" s="509"/>
      <c r="Z31" s="509"/>
      <c r="AA31" s="497"/>
      <c r="AB31" s="509"/>
      <c r="AC31" s="510"/>
      <c r="AD31" s="509"/>
      <c r="AE31" s="509"/>
      <c r="AF31" s="509"/>
      <c r="AG31" s="509"/>
      <c r="AH31" s="509"/>
      <c r="AI31" s="508"/>
      <c r="AJ31" s="509"/>
      <c r="AK31" s="509"/>
      <c r="AL31" s="509"/>
      <c r="AM31" s="509"/>
      <c r="AN31" s="509"/>
      <c r="AO31" s="510"/>
      <c r="AP31" s="509"/>
      <c r="AQ31" s="509"/>
      <c r="AR31" s="509"/>
      <c r="AS31" s="509"/>
      <c r="AT31" s="509"/>
      <c r="AU31" s="511" t="str">
        <f ca="1">IFERROR(__xludf.DUMMYFUNCTION("""COMPUTED_VALUE"""),"levels.total_points.level")</f>
        <v>levels.total_points.level</v>
      </c>
      <c r="AV31" s="497">
        <f ca="1">IFERROR(__xludf.DUMMYFUNCTION("""COMPUTED_VALUE"""),25)</f>
        <v>25</v>
      </c>
      <c r="AW31" s="497" t="str">
        <f ca="1">IFERROR(__xludf.DUMMYFUNCTION("""COMPUTED_VALUE"""),"set")</f>
        <v>set</v>
      </c>
      <c r="AX31" s="510" t="str">
        <f ca="1">IFERROR(__xludf.DUMMYFUNCTION("""COMPUTED_VALUE"""),"levels.total_points.valueNeededForNextLevel")</f>
        <v>levels.total_points.valueNeededForNextLevel</v>
      </c>
      <c r="AY31" s="509">
        <f ca="1">IFERROR(__xludf.DUMMYFUNCTION("""COMPUTED_VALUE"""),2500000)</f>
        <v>2500000</v>
      </c>
      <c r="AZ31" s="509" t="str">
        <f ca="1">IFERROR(__xludf.DUMMYFUNCTION("""COMPUTED_VALUE"""),"set")</f>
        <v>set</v>
      </c>
      <c r="BA31" s="513" t="str">
        <f ca="1">IFERROR(__xludf.DUMMYFUNCTION("""COMPUTED_VALUE"""),"all")</f>
        <v>all</v>
      </c>
      <c r="BB31" s="508"/>
      <c r="BC31" s="509"/>
      <c r="BD31" s="509"/>
      <c r="BE31" s="509"/>
      <c r="BF31" s="509"/>
      <c r="BG31" s="509"/>
      <c r="BH31" s="509"/>
      <c r="BI31" s="509"/>
      <c r="BJ31" s="509"/>
      <c r="BK31" s="509"/>
      <c r="BL31" s="509"/>
      <c r="BM31" s="509"/>
      <c r="BN31" s="514"/>
      <c r="BO31" s="510"/>
      <c r="BP31" s="509"/>
      <c r="BQ31" s="509"/>
      <c r="BR31" s="509"/>
      <c r="BS31" s="509"/>
      <c r="BT31" s="509"/>
      <c r="BU31" s="509"/>
      <c r="BV31" s="509"/>
      <c r="BW31" s="509"/>
      <c r="BX31" s="509"/>
      <c r="BY31" s="509"/>
      <c r="BZ31" s="509"/>
      <c r="CA31" s="514"/>
      <c r="CB31" s="510"/>
      <c r="CC31" s="509"/>
      <c r="CD31" s="509"/>
      <c r="CE31" s="509"/>
      <c r="CF31" s="509"/>
      <c r="CG31" s="509"/>
      <c r="CH31" s="509"/>
      <c r="CI31" s="509"/>
      <c r="CJ31" s="509"/>
      <c r="CK31" s="509"/>
      <c r="CL31" s="509"/>
      <c r="CM31" s="509"/>
      <c r="CN31" s="514"/>
      <c r="CO31" s="509"/>
      <c r="CP31" s="509"/>
      <c r="CQ31" s="509"/>
      <c r="CR31" s="509"/>
      <c r="CS31" s="509"/>
      <c r="CT31" s="509"/>
      <c r="CU31" s="509"/>
      <c r="CV31" s="509"/>
      <c r="CW31" s="509"/>
      <c r="CX31" s="509"/>
      <c r="CY31" s="509"/>
      <c r="CZ31" s="509"/>
      <c r="DA31" s="514"/>
      <c r="DB31" s="509"/>
      <c r="DC31" s="509"/>
      <c r="DD31" s="509"/>
      <c r="DE31" s="509"/>
      <c r="DF31" s="509"/>
      <c r="DG31" s="509"/>
      <c r="DH31" s="509"/>
      <c r="DI31" s="509"/>
      <c r="DJ31" s="509"/>
      <c r="DK31" s="509"/>
      <c r="DL31" s="509"/>
      <c r="DM31" s="509"/>
      <c r="DN31" s="515"/>
      <c r="DO31" s="509"/>
      <c r="DP31" s="509"/>
      <c r="DQ31" s="509"/>
      <c r="DR31" s="509"/>
      <c r="DS31" s="509"/>
      <c r="DT31" s="509"/>
      <c r="DU31" s="509"/>
      <c r="DV31" s="509"/>
      <c r="DW31" s="509"/>
      <c r="DX31" s="509"/>
      <c r="DY31" s="509"/>
      <c r="DZ31" s="509"/>
      <c r="EA31" s="509"/>
      <c r="EB31" s="509"/>
      <c r="EC31" s="510"/>
      <c r="ED31" s="509"/>
      <c r="EE31" s="509"/>
      <c r="EF31" s="509"/>
      <c r="EG31" s="509"/>
      <c r="EH31" s="509"/>
      <c r="EI31" s="509"/>
      <c r="EJ31" s="509"/>
      <c r="EK31" s="509"/>
      <c r="EL31" s="509"/>
      <c r="EM31" s="509"/>
      <c r="EN31" s="509"/>
      <c r="EO31" s="509"/>
      <c r="EP31" s="509"/>
      <c r="EQ31" s="508"/>
      <c r="ER31" s="509"/>
      <c r="ES31" s="509"/>
      <c r="ET31" s="509"/>
      <c r="EU31" s="509"/>
      <c r="EV31" s="509"/>
      <c r="EW31" s="509"/>
      <c r="EX31" s="509"/>
      <c r="EY31" s="509"/>
      <c r="EZ31" s="509"/>
      <c r="FA31" s="509"/>
      <c r="FB31" s="509"/>
      <c r="FC31" s="509"/>
      <c r="FD31" s="509"/>
      <c r="FE31" s="509"/>
      <c r="FF31" s="509"/>
      <c r="FG31" s="510"/>
      <c r="FH31" s="509"/>
      <c r="FI31" s="509"/>
      <c r="FJ31" s="509"/>
      <c r="FK31" s="509"/>
      <c r="FL31" s="509"/>
      <c r="FM31" s="509"/>
      <c r="FN31" s="509"/>
      <c r="FO31" s="509"/>
      <c r="FP31" s="509"/>
      <c r="FQ31" s="509"/>
      <c r="FR31" s="509"/>
      <c r="FS31" s="509"/>
      <c r="FT31" s="509"/>
      <c r="FU31" s="509"/>
      <c r="FV31" s="509"/>
      <c r="FW31" s="508"/>
      <c r="FX31" s="509"/>
      <c r="FY31" s="509"/>
      <c r="FZ31" s="509"/>
      <c r="GA31" s="511" t="str">
        <f ca="1">IFERROR(__xludf.DUMMYFUNCTION("""COMPUTED_VALUE"""),"total_points")</f>
        <v>total_points</v>
      </c>
      <c r="GB31" s="497">
        <f ca="1">IFERROR(__xludf.DUMMYFUNCTION("""COMPUTED_VALUE"""),2400000)</f>
        <v>2400000</v>
      </c>
      <c r="GC31" s="510"/>
      <c r="GD31" s="509"/>
      <c r="GE31" s="511"/>
      <c r="GF31" s="497"/>
      <c r="GG31" s="497"/>
      <c r="GH31" s="497" t="str">
        <f t="shared" si="1"/>
        <v>:</v>
      </c>
      <c r="GI31" s="510"/>
      <c r="GJ31" s="509"/>
      <c r="GK31" s="509"/>
    </row>
    <row r="32" spans="1:193" ht="15.75" customHeight="1" x14ac:dyDescent="0.15">
      <c r="A32" s="482" t="str">
        <f ca="1">IFERROR(__xludf.DUMMYFUNCTION("""COMPUTED_VALUE"""),"total_points level 26")</f>
        <v>total_points level 26</v>
      </c>
      <c r="B32" s="482" t="b">
        <f t="shared" ca="1" si="0"/>
        <v>0</v>
      </c>
      <c r="C32" s="507" t="str">
        <f ca="1">IFERROR(__xludf.DUMMYFUNCTION("""set""&amp;PROPER(index(SPLIT(GA32, ""_""), 0, 2))&amp;""ToLevel""&amp;AV32"),"setPointsToLevel26")</f>
        <v>setPointsToLevel26</v>
      </c>
      <c r="D32" s="507" t="str">
        <f ca="1">IFERROR(__xludf.DUMMYFUNCTION("""COMPUTED_VALUE"""),"rewardIfAllRequirementsMet")</f>
        <v>rewardIfAllRequirementsMet</v>
      </c>
      <c r="E32" s="497"/>
      <c r="F32" s="497"/>
      <c r="G32" s="508"/>
      <c r="H32" s="509"/>
      <c r="I32" s="509"/>
      <c r="J32" s="509"/>
      <c r="K32" s="509"/>
      <c r="L32" s="509"/>
      <c r="M32" s="497"/>
      <c r="N32" s="510"/>
      <c r="O32" s="497"/>
      <c r="P32" s="509"/>
      <c r="Q32" s="509"/>
      <c r="R32" s="509"/>
      <c r="S32" s="509"/>
      <c r="T32" s="509"/>
      <c r="U32" s="509"/>
      <c r="V32" s="509"/>
      <c r="W32" s="509"/>
      <c r="X32" s="509"/>
      <c r="Y32" s="509"/>
      <c r="Z32" s="509"/>
      <c r="AA32" s="497"/>
      <c r="AB32" s="509"/>
      <c r="AC32" s="510"/>
      <c r="AD32" s="509"/>
      <c r="AE32" s="509"/>
      <c r="AF32" s="509"/>
      <c r="AG32" s="509"/>
      <c r="AH32" s="509"/>
      <c r="AI32" s="508"/>
      <c r="AJ32" s="509"/>
      <c r="AK32" s="509"/>
      <c r="AL32" s="509"/>
      <c r="AM32" s="509"/>
      <c r="AN32" s="509"/>
      <c r="AO32" s="510"/>
      <c r="AP32" s="509"/>
      <c r="AQ32" s="509"/>
      <c r="AR32" s="509"/>
      <c r="AS32" s="509"/>
      <c r="AT32" s="509"/>
      <c r="AU32" s="511" t="str">
        <f ca="1">IFERROR(__xludf.DUMMYFUNCTION("""COMPUTED_VALUE"""),"levels.total_points.level")</f>
        <v>levels.total_points.level</v>
      </c>
      <c r="AV32" s="497">
        <f ca="1">IFERROR(__xludf.DUMMYFUNCTION("""COMPUTED_VALUE"""),26)</f>
        <v>26</v>
      </c>
      <c r="AW32" s="497" t="str">
        <f ca="1">IFERROR(__xludf.DUMMYFUNCTION("""COMPUTED_VALUE"""),"set")</f>
        <v>set</v>
      </c>
      <c r="AX32" s="510" t="str">
        <f ca="1">IFERROR(__xludf.DUMMYFUNCTION("""COMPUTED_VALUE"""),"levels.total_points.valueNeededForNextLevel")</f>
        <v>levels.total_points.valueNeededForNextLevel</v>
      </c>
      <c r="AY32" s="509">
        <f ca="1">IFERROR(__xludf.DUMMYFUNCTION("""COMPUTED_VALUE"""),2600000)</f>
        <v>2600000</v>
      </c>
      <c r="AZ32" s="509" t="str">
        <f ca="1">IFERROR(__xludf.DUMMYFUNCTION("""COMPUTED_VALUE"""),"set")</f>
        <v>set</v>
      </c>
      <c r="BA32" s="513" t="str">
        <f ca="1">IFERROR(__xludf.DUMMYFUNCTION("""COMPUTED_VALUE"""),"all")</f>
        <v>all</v>
      </c>
      <c r="BB32" s="508"/>
      <c r="BC32" s="509"/>
      <c r="BD32" s="509"/>
      <c r="BE32" s="509"/>
      <c r="BF32" s="509"/>
      <c r="BG32" s="509"/>
      <c r="BH32" s="509"/>
      <c r="BI32" s="509"/>
      <c r="BJ32" s="509"/>
      <c r="BK32" s="509"/>
      <c r="BL32" s="509"/>
      <c r="BM32" s="509"/>
      <c r="BN32" s="514"/>
      <c r="BO32" s="510"/>
      <c r="BP32" s="509"/>
      <c r="BQ32" s="509"/>
      <c r="BR32" s="509"/>
      <c r="BS32" s="509"/>
      <c r="BT32" s="509"/>
      <c r="BU32" s="509"/>
      <c r="BV32" s="509"/>
      <c r="BW32" s="509"/>
      <c r="BX32" s="509"/>
      <c r="BY32" s="509"/>
      <c r="BZ32" s="509"/>
      <c r="CA32" s="514"/>
      <c r="CB32" s="510"/>
      <c r="CC32" s="509"/>
      <c r="CD32" s="509"/>
      <c r="CE32" s="509"/>
      <c r="CF32" s="509"/>
      <c r="CG32" s="509"/>
      <c r="CH32" s="509"/>
      <c r="CI32" s="509"/>
      <c r="CJ32" s="509"/>
      <c r="CK32" s="509"/>
      <c r="CL32" s="509"/>
      <c r="CM32" s="509"/>
      <c r="CN32" s="514"/>
      <c r="CO32" s="509"/>
      <c r="CP32" s="509"/>
      <c r="CQ32" s="509"/>
      <c r="CR32" s="509"/>
      <c r="CS32" s="509"/>
      <c r="CT32" s="509"/>
      <c r="CU32" s="509"/>
      <c r="CV32" s="509"/>
      <c r="CW32" s="509"/>
      <c r="CX32" s="509"/>
      <c r="CY32" s="509"/>
      <c r="CZ32" s="509"/>
      <c r="DA32" s="514"/>
      <c r="DB32" s="509"/>
      <c r="DC32" s="509"/>
      <c r="DD32" s="509"/>
      <c r="DE32" s="509"/>
      <c r="DF32" s="509"/>
      <c r="DG32" s="509"/>
      <c r="DH32" s="509"/>
      <c r="DI32" s="509"/>
      <c r="DJ32" s="509"/>
      <c r="DK32" s="509"/>
      <c r="DL32" s="509"/>
      <c r="DM32" s="509"/>
      <c r="DN32" s="515"/>
      <c r="DO32" s="509"/>
      <c r="DP32" s="509"/>
      <c r="DQ32" s="509"/>
      <c r="DR32" s="509"/>
      <c r="DS32" s="509"/>
      <c r="DT32" s="509"/>
      <c r="DU32" s="509"/>
      <c r="DV32" s="509"/>
      <c r="DW32" s="509"/>
      <c r="DX32" s="509"/>
      <c r="DY32" s="509"/>
      <c r="DZ32" s="509"/>
      <c r="EA32" s="509"/>
      <c r="EB32" s="509"/>
      <c r="EC32" s="510"/>
      <c r="ED32" s="509"/>
      <c r="EE32" s="509"/>
      <c r="EF32" s="509"/>
      <c r="EG32" s="509"/>
      <c r="EH32" s="509"/>
      <c r="EI32" s="509"/>
      <c r="EJ32" s="509"/>
      <c r="EK32" s="509"/>
      <c r="EL32" s="509"/>
      <c r="EM32" s="509"/>
      <c r="EN32" s="509"/>
      <c r="EO32" s="509"/>
      <c r="EP32" s="509"/>
      <c r="EQ32" s="508"/>
      <c r="ER32" s="509"/>
      <c r="ES32" s="509"/>
      <c r="ET32" s="509"/>
      <c r="EU32" s="509"/>
      <c r="EV32" s="509"/>
      <c r="EW32" s="509"/>
      <c r="EX32" s="509"/>
      <c r="EY32" s="509"/>
      <c r="EZ32" s="509"/>
      <c r="FA32" s="509"/>
      <c r="FB32" s="509"/>
      <c r="FC32" s="509"/>
      <c r="FD32" s="509"/>
      <c r="FE32" s="509"/>
      <c r="FF32" s="509"/>
      <c r="FG32" s="510"/>
      <c r="FH32" s="509"/>
      <c r="FI32" s="509"/>
      <c r="FJ32" s="509"/>
      <c r="FK32" s="509"/>
      <c r="FL32" s="509"/>
      <c r="FM32" s="509"/>
      <c r="FN32" s="509"/>
      <c r="FO32" s="509"/>
      <c r="FP32" s="509"/>
      <c r="FQ32" s="509"/>
      <c r="FR32" s="509"/>
      <c r="FS32" s="509"/>
      <c r="FT32" s="509"/>
      <c r="FU32" s="509"/>
      <c r="FV32" s="509"/>
      <c r="FW32" s="508"/>
      <c r="FX32" s="509"/>
      <c r="FY32" s="509"/>
      <c r="FZ32" s="509"/>
      <c r="GA32" s="511" t="str">
        <f ca="1">IFERROR(__xludf.DUMMYFUNCTION("""COMPUTED_VALUE"""),"total_points")</f>
        <v>total_points</v>
      </c>
      <c r="GB32" s="497">
        <f ca="1">IFERROR(__xludf.DUMMYFUNCTION("""COMPUTED_VALUE"""),2500000)</f>
        <v>2500000</v>
      </c>
      <c r="GC32" s="510"/>
      <c r="GD32" s="509"/>
      <c r="GE32" s="511"/>
      <c r="GF32" s="497"/>
      <c r="GG32" s="497"/>
      <c r="GH32" s="497" t="str">
        <f t="shared" si="1"/>
        <v>:</v>
      </c>
      <c r="GI32" s="510"/>
      <c r="GJ32" s="509"/>
      <c r="GK32" s="509"/>
    </row>
    <row r="33" spans="1:193" ht="15.75" customHeight="1" x14ac:dyDescent="0.15">
      <c r="A33" s="482" t="str">
        <f ca="1">IFERROR(__xludf.DUMMYFUNCTION("""COMPUTED_VALUE"""),"total_points level 27")</f>
        <v>total_points level 27</v>
      </c>
      <c r="B33" s="482" t="b">
        <f t="shared" ca="1" si="0"/>
        <v>0</v>
      </c>
      <c r="C33" s="507" t="str">
        <f ca="1">IFERROR(__xludf.DUMMYFUNCTION("""set""&amp;PROPER(index(SPLIT(GA33, ""_""), 0, 2))&amp;""ToLevel""&amp;AV33"),"setPointsToLevel27")</f>
        <v>setPointsToLevel27</v>
      </c>
      <c r="D33" s="507" t="str">
        <f ca="1">IFERROR(__xludf.DUMMYFUNCTION("""COMPUTED_VALUE"""),"rewardIfAllRequirementsMet")</f>
        <v>rewardIfAllRequirementsMet</v>
      </c>
      <c r="E33" s="497"/>
      <c r="F33" s="497"/>
      <c r="G33" s="508"/>
      <c r="H33" s="509"/>
      <c r="I33" s="509"/>
      <c r="J33" s="509"/>
      <c r="K33" s="509"/>
      <c r="L33" s="509"/>
      <c r="M33" s="497"/>
      <c r="N33" s="510"/>
      <c r="O33" s="497"/>
      <c r="P33" s="509"/>
      <c r="Q33" s="509"/>
      <c r="R33" s="509"/>
      <c r="S33" s="509"/>
      <c r="T33" s="509"/>
      <c r="U33" s="509"/>
      <c r="V33" s="509"/>
      <c r="W33" s="509"/>
      <c r="X33" s="509"/>
      <c r="Y33" s="509"/>
      <c r="Z33" s="509"/>
      <c r="AA33" s="497"/>
      <c r="AB33" s="509"/>
      <c r="AC33" s="510"/>
      <c r="AD33" s="509"/>
      <c r="AE33" s="509"/>
      <c r="AF33" s="509"/>
      <c r="AG33" s="509"/>
      <c r="AH33" s="509"/>
      <c r="AI33" s="508"/>
      <c r="AJ33" s="509"/>
      <c r="AK33" s="509"/>
      <c r="AL33" s="509"/>
      <c r="AM33" s="509"/>
      <c r="AN33" s="509"/>
      <c r="AO33" s="510"/>
      <c r="AP33" s="509"/>
      <c r="AQ33" s="509"/>
      <c r="AR33" s="509"/>
      <c r="AS33" s="509"/>
      <c r="AT33" s="509"/>
      <c r="AU33" s="511" t="str">
        <f ca="1">IFERROR(__xludf.DUMMYFUNCTION("""COMPUTED_VALUE"""),"levels.total_points.level")</f>
        <v>levels.total_points.level</v>
      </c>
      <c r="AV33" s="497">
        <f ca="1">IFERROR(__xludf.DUMMYFUNCTION("""COMPUTED_VALUE"""),27)</f>
        <v>27</v>
      </c>
      <c r="AW33" s="497" t="str">
        <f ca="1">IFERROR(__xludf.DUMMYFUNCTION("""COMPUTED_VALUE"""),"set")</f>
        <v>set</v>
      </c>
      <c r="AX33" s="510" t="str">
        <f ca="1">IFERROR(__xludf.DUMMYFUNCTION("""COMPUTED_VALUE"""),"levels.total_points.valueNeededForNextLevel")</f>
        <v>levels.total_points.valueNeededForNextLevel</v>
      </c>
      <c r="AY33" s="509">
        <f ca="1">IFERROR(__xludf.DUMMYFUNCTION("""COMPUTED_VALUE"""),2700000)</f>
        <v>2700000</v>
      </c>
      <c r="AZ33" s="509" t="str">
        <f ca="1">IFERROR(__xludf.DUMMYFUNCTION("""COMPUTED_VALUE"""),"set")</f>
        <v>set</v>
      </c>
      <c r="BA33" s="513" t="str">
        <f ca="1">IFERROR(__xludf.DUMMYFUNCTION("""COMPUTED_VALUE"""),"all")</f>
        <v>all</v>
      </c>
      <c r="BB33" s="508"/>
      <c r="BC33" s="509"/>
      <c r="BD33" s="509"/>
      <c r="BE33" s="509"/>
      <c r="BF33" s="509"/>
      <c r="BG33" s="509"/>
      <c r="BH33" s="509"/>
      <c r="BI33" s="509"/>
      <c r="BJ33" s="509"/>
      <c r="BK33" s="509"/>
      <c r="BL33" s="509"/>
      <c r="BM33" s="509"/>
      <c r="BN33" s="514"/>
      <c r="BO33" s="510"/>
      <c r="BP33" s="509"/>
      <c r="BQ33" s="509"/>
      <c r="BR33" s="509"/>
      <c r="BS33" s="509"/>
      <c r="BT33" s="509"/>
      <c r="BU33" s="509"/>
      <c r="BV33" s="509"/>
      <c r="BW33" s="509"/>
      <c r="BX33" s="509"/>
      <c r="BY33" s="509"/>
      <c r="BZ33" s="509"/>
      <c r="CA33" s="514"/>
      <c r="CB33" s="510"/>
      <c r="CC33" s="509"/>
      <c r="CD33" s="509"/>
      <c r="CE33" s="509"/>
      <c r="CF33" s="509"/>
      <c r="CG33" s="509"/>
      <c r="CH33" s="509"/>
      <c r="CI33" s="509"/>
      <c r="CJ33" s="509"/>
      <c r="CK33" s="509"/>
      <c r="CL33" s="509"/>
      <c r="CM33" s="509"/>
      <c r="CN33" s="514"/>
      <c r="CO33" s="509"/>
      <c r="CP33" s="509"/>
      <c r="CQ33" s="509"/>
      <c r="CR33" s="509"/>
      <c r="CS33" s="509"/>
      <c r="CT33" s="509"/>
      <c r="CU33" s="509"/>
      <c r="CV33" s="509"/>
      <c r="CW33" s="509"/>
      <c r="CX33" s="509"/>
      <c r="CY33" s="509"/>
      <c r="CZ33" s="509"/>
      <c r="DA33" s="514"/>
      <c r="DB33" s="509"/>
      <c r="DC33" s="509"/>
      <c r="DD33" s="509"/>
      <c r="DE33" s="509"/>
      <c r="DF33" s="509"/>
      <c r="DG33" s="509"/>
      <c r="DH33" s="509"/>
      <c r="DI33" s="509"/>
      <c r="DJ33" s="509"/>
      <c r="DK33" s="509"/>
      <c r="DL33" s="509"/>
      <c r="DM33" s="509"/>
      <c r="DN33" s="515"/>
      <c r="DO33" s="509"/>
      <c r="DP33" s="509"/>
      <c r="DQ33" s="509"/>
      <c r="DR33" s="509"/>
      <c r="DS33" s="509"/>
      <c r="DT33" s="509"/>
      <c r="DU33" s="509"/>
      <c r="DV33" s="509"/>
      <c r="DW33" s="509"/>
      <c r="DX33" s="509"/>
      <c r="DY33" s="509"/>
      <c r="DZ33" s="509"/>
      <c r="EA33" s="509"/>
      <c r="EB33" s="509"/>
      <c r="EC33" s="510"/>
      <c r="ED33" s="509"/>
      <c r="EE33" s="509"/>
      <c r="EF33" s="509"/>
      <c r="EG33" s="509"/>
      <c r="EH33" s="509"/>
      <c r="EI33" s="509"/>
      <c r="EJ33" s="509"/>
      <c r="EK33" s="509"/>
      <c r="EL33" s="509"/>
      <c r="EM33" s="509"/>
      <c r="EN33" s="509"/>
      <c r="EO33" s="509"/>
      <c r="EP33" s="509"/>
      <c r="EQ33" s="508"/>
      <c r="ER33" s="509"/>
      <c r="ES33" s="509"/>
      <c r="ET33" s="509"/>
      <c r="EU33" s="509"/>
      <c r="EV33" s="509"/>
      <c r="EW33" s="509"/>
      <c r="EX33" s="509"/>
      <c r="EY33" s="509"/>
      <c r="EZ33" s="509"/>
      <c r="FA33" s="509"/>
      <c r="FB33" s="509"/>
      <c r="FC33" s="509"/>
      <c r="FD33" s="509"/>
      <c r="FE33" s="509"/>
      <c r="FF33" s="509"/>
      <c r="FG33" s="510"/>
      <c r="FH33" s="509"/>
      <c r="FI33" s="509"/>
      <c r="FJ33" s="509"/>
      <c r="FK33" s="509"/>
      <c r="FL33" s="509"/>
      <c r="FM33" s="509"/>
      <c r="FN33" s="509"/>
      <c r="FO33" s="509"/>
      <c r="FP33" s="509"/>
      <c r="FQ33" s="509"/>
      <c r="FR33" s="509"/>
      <c r="FS33" s="509"/>
      <c r="FT33" s="509"/>
      <c r="FU33" s="509"/>
      <c r="FV33" s="509"/>
      <c r="FW33" s="508"/>
      <c r="FX33" s="509"/>
      <c r="FY33" s="509"/>
      <c r="FZ33" s="509"/>
      <c r="GA33" s="511" t="str">
        <f ca="1">IFERROR(__xludf.DUMMYFUNCTION("""COMPUTED_VALUE"""),"total_points")</f>
        <v>total_points</v>
      </c>
      <c r="GB33" s="497">
        <f ca="1">IFERROR(__xludf.DUMMYFUNCTION("""COMPUTED_VALUE"""),2600000)</f>
        <v>2600000</v>
      </c>
      <c r="GC33" s="510"/>
      <c r="GD33" s="509"/>
      <c r="GE33" s="511"/>
      <c r="GF33" s="497"/>
      <c r="GG33" s="497"/>
      <c r="GH33" s="497" t="str">
        <f t="shared" si="1"/>
        <v>:</v>
      </c>
      <c r="GI33" s="510"/>
      <c r="GJ33" s="509"/>
      <c r="GK33" s="509"/>
    </row>
    <row r="34" spans="1:193" ht="15.75" customHeight="1" x14ac:dyDescent="0.15">
      <c r="A34" s="482" t="str">
        <f ca="1">IFERROR(__xludf.DUMMYFUNCTION("""COMPUTED_VALUE"""),"total_points level 28")</f>
        <v>total_points level 28</v>
      </c>
      <c r="B34" s="482" t="b">
        <f t="shared" ca="1" si="0"/>
        <v>0</v>
      </c>
      <c r="C34" s="507" t="str">
        <f ca="1">IFERROR(__xludf.DUMMYFUNCTION("""set""&amp;PROPER(index(SPLIT(GA34, ""_""), 0, 2))&amp;""ToLevel""&amp;AV34"),"setPointsToLevel28")</f>
        <v>setPointsToLevel28</v>
      </c>
      <c r="D34" s="507" t="str">
        <f ca="1">IFERROR(__xludf.DUMMYFUNCTION("""COMPUTED_VALUE"""),"rewardIfAllRequirementsMet")</f>
        <v>rewardIfAllRequirementsMet</v>
      </c>
      <c r="E34" s="497"/>
      <c r="F34" s="497"/>
      <c r="G34" s="508"/>
      <c r="H34" s="509"/>
      <c r="I34" s="509"/>
      <c r="J34" s="509"/>
      <c r="K34" s="509"/>
      <c r="L34" s="509"/>
      <c r="M34" s="497"/>
      <c r="N34" s="510"/>
      <c r="O34" s="497"/>
      <c r="P34" s="509"/>
      <c r="Q34" s="509"/>
      <c r="R34" s="509"/>
      <c r="S34" s="509"/>
      <c r="T34" s="509"/>
      <c r="U34" s="509"/>
      <c r="V34" s="509"/>
      <c r="W34" s="509"/>
      <c r="X34" s="509"/>
      <c r="Y34" s="509"/>
      <c r="Z34" s="509"/>
      <c r="AA34" s="497"/>
      <c r="AB34" s="509"/>
      <c r="AC34" s="510"/>
      <c r="AD34" s="509"/>
      <c r="AE34" s="509"/>
      <c r="AF34" s="509"/>
      <c r="AG34" s="509"/>
      <c r="AH34" s="509"/>
      <c r="AI34" s="508"/>
      <c r="AJ34" s="509"/>
      <c r="AK34" s="509"/>
      <c r="AL34" s="509"/>
      <c r="AM34" s="509"/>
      <c r="AN34" s="509"/>
      <c r="AO34" s="510"/>
      <c r="AP34" s="509"/>
      <c r="AQ34" s="509"/>
      <c r="AR34" s="509"/>
      <c r="AS34" s="509"/>
      <c r="AT34" s="509"/>
      <c r="AU34" s="511" t="str">
        <f ca="1">IFERROR(__xludf.DUMMYFUNCTION("""COMPUTED_VALUE"""),"levels.total_points.level")</f>
        <v>levels.total_points.level</v>
      </c>
      <c r="AV34" s="497">
        <f ca="1">IFERROR(__xludf.DUMMYFUNCTION("""COMPUTED_VALUE"""),28)</f>
        <v>28</v>
      </c>
      <c r="AW34" s="497" t="str">
        <f ca="1">IFERROR(__xludf.DUMMYFUNCTION("""COMPUTED_VALUE"""),"set")</f>
        <v>set</v>
      </c>
      <c r="AX34" s="510" t="str">
        <f ca="1">IFERROR(__xludf.DUMMYFUNCTION("""COMPUTED_VALUE"""),"levels.total_points.valueNeededForNextLevel")</f>
        <v>levels.total_points.valueNeededForNextLevel</v>
      </c>
      <c r="AY34" s="509">
        <f ca="1">IFERROR(__xludf.DUMMYFUNCTION("""COMPUTED_VALUE"""),2800000)</f>
        <v>2800000</v>
      </c>
      <c r="AZ34" s="509" t="str">
        <f ca="1">IFERROR(__xludf.DUMMYFUNCTION("""COMPUTED_VALUE"""),"set")</f>
        <v>set</v>
      </c>
      <c r="BA34" s="513" t="str">
        <f ca="1">IFERROR(__xludf.DUMMYFUNCTION("""COMPUTED_VALUE"""),"all")</f>
        <v>all</v>
      </c>
      <c r="BB34" s="508"/>
      <c r="BC34" s="509"/>
      <c r="BD34" s="509"/>
      <c r="BE34" s="509"/>
      <c r="BF34" s="509"/>
      <c r="BG34" s="509"/>
      <c r="BH34" s="509"/>
      <c r="BI34" s="509"/>
      <c r="BJ34" s="509"/>
      <c r="BK34" s="509"/>
      <c r="BL34" s="509"/>
      <c r="BM34" s="509"/>
      <c r="BN34" s="514"/>
      <c r="BO34" s="510"/>
      <c r="BP34" s="509"/>
      <c r="BQ34" s="509"/>
      <c r="BR34" s="509"/>
      <c r="BS34" s="509"/>
      <c r="BT34" s="509"/>
      <c r="BU34" s="509"/>
      <c r="BV34" s="509"/>
      <c r="BW34" s="509"/>
      <c r="BX34" s="509"/>
      <c r="BY34" s="509"/>
      <c r="BZ34" s="509"/>
      <c r="CA34" s="514"/>
      <c r="CB34" s="510"/>
      <c r="CC34" s="509"/>
      <c r="CD34" s="509"/>
      <c r="CE34" s="509"/>
      <c r="CF34" s="509"/>
      <c r="CG34" s="509"/>
      <c r="CH34" s="509"/>
      <c r="CI34" s="509"/>
      <c r="CJ34" s="509"/>
      <c r="CK34" s="509"/>
      <c r="CL34" s="509"/>
      <c r="CM34" s="509"/>
      <c r="CN34" s="514"/>
      <c r="CO34" s="509"/>
      <c r="CP34" s="509"/>
      <c r="CQ34" s="509"/>
      <c r="CR34" s="509"/>
      <c r="CS34" s="509"/>
      <c r="CT34" s="509"/>
      <c r="CU34" s="509"/>
      <c r="CV34" s="509"/>
      <c r="CW34" s="509"/>
      <c r="CX34" s="509"/>
      <c r="CY34" s="509"/>
      <c r="CZ34" s="509"/>
      <c r="DA34" s="514"/>
      <c r="DB34" s="509"/>
      <c r="DC34" s="509"/>
      <c r="DD34" s="509"/>
      <c r="DE34" s="509"/>
      <c r="DF34" s="509"/>
      <c r="DG34" s="509"/>
      <c r="DH34" s="509"/>
      <c r="DI34" s="509"/>
      <c r="DJ34" s="509"/>
      <c r="DK34" s="509"/>
      <c r="DL34" s="509"/>
      <c r="DM34" s="509"/>
      <c r="DN34" s="515"/>
      <c r="DO34" s="509"/>
      <c r="DP34" s="509"/>
      <c r="DQ34" s="509"/>
      <c r="DR34" s="509"/>
      <c r="DS34" s="509"/>
      <c r="DT34" s="509"/>
      <c r="DU34" s="509"/>
      <c r="DV34" s="509"/>
      <c r="DW34" s="509"/>
      <c r="DX34" s="509"/>
      <c r="DY34" s="509"/>
      <c r="DZ34" s="509"/>
      <c r="EA34" s="509"/>
      <c r="EB34" s="509"/>
      <c r="EC34" s="510"/>
      <c r="ED34" s="509"/>
      <c r="EE34" s="509"/>
      <c r="EF34" s="509"/>
      <c r="EG34" s="509"/>
      <c r="EH34" s="509"/>
      <c r="EI34" s="509"/>
      <c r="EJ34" s="509"/>
      <c r="EK34" s="509"/>
      <c r="EL34" s="509"/>
      <c r="EM34" s="509"/>
      <c r="EN34" s="509"/>
      <c r="EO34" s="509"/>
      <c r="EP34" s="509"/>
      <c r="EQ34" s="508"/>
      <c r="ER34" s="509"/>
      <c r="ES34" s="509"/>
      <c r="ET34" s="509"/>
      <c r="EU34" s="509"/>
      <c r="EV34" s="509"/>
      <c r="EW34" s="509"/>
      <c r="EX34" s="509"/>
      <c r="EY34" s="509"/>
      <c r="EZ34" s="509"/>
      <c r="FA34" s="509"/>
      <c r="FB34" s="509"/>
      <c r="FC34" s="509"/>
      <c r="FD34" s="509"/>
      <c r="FE34" s="509"/>
      <c r="FF34" s="509"/>
      <c r="FG34" s="510"/>
      <c r="FH34" s="509"/>
      <c r="FI34" s="509"/>
      <c r="FJ34" s="509"/>
      <c r="FK34" s="509"/>
      <c r="FL34" s="509"/>
      <c r="FM34" s="509"/>
      <c r="FN34" s="509"/>
      <c r="FO34" s="509"/>
      <c r="FP34" s="509"/>
      <c r="FQ34" s="509"/>
      <c r="FR34" s="509"/>
      <c r="FS34" s="509"/>
      <c r="FT34" s="509"/>
      <c r="FU34" s="509"/>
      <c r="FV34" s="509"/>
      <c r="FW34" s="508"/>
      <c r="FX34" s="509"/>
      <c r="FY34" s="509"/>
      <c r="FZ34" s="509"/>
      <c r="GA34" s="511" t="str">
        <f ca="1">IFERROR(__xludf.DUMMYFUNCTION("""COMPUTED_VALUE"""),"total_points")</f>
        <v>total_points</v>
      </c>
      <c r="GB34" s="497">
        <f ca="1">IFERROR(__xludf.DUMMYFUNCTION("""COMPUTED_VALUE"""),2700000)</f>
        <v>2700000</v>
      </c>
      <c r="GC34" s="510"/>
      <c r="GD34" s="509"/>
      <c r="GE34" s="511"/>
      <c r="GF34" s="497"/>
      <c r="GG34" s="497"/>
      <c r="GH34" s="497" t="str">
        <f t="shared" si="1"/>
        <v>:</v>
      </c>
      <c r="GI34" s="510"/>
      <c r="GJ34" s="509"/>
      <c r="GK34" s="509"/>
    </row>
    <row r="35" spans="1:193" ht="15.75" customHeight="1" x14ac:dyDescent="0.15">
      <c r="A35" s="482" t="str">
        <f ca="1">IFERROR(__xludf.DUMMYFUNCTION("""COMPUTED_VALUE"""),"total_points level 29")</f>
        <v>total_points level 29</v>
      </c>
      <c r="B35" s="482" t="b">
        <f t="shared" ca="1" si="0"/>
        <v>0</v>
      </c>
      <c r="C35" s="507" t="str">
        <f ca="1">IFERROR(__xludf.DUMMYFUNCTION("""set""&amp;PROPER(index(SPLIT(GA35, ""_""), 0, 2))&amp;""ToLevel""&amp;AV35"),"setPointsToLevel29")</f>
        <v>setPointsToLevel29</v>
      </c>
      <c r="D35" s="507" t="str">
        <f ca="1">IFERROR(__xludf.DUMMYFUNCTION("""COMPUTED_VALUE"""),"rewardIfAllRequirementsMet")</f>
        <v>rewardIfAllRequirementsMet</v>
      </c>
      <c r="E35" s="497"/>
      <c r="F35" s="497"/>
      <c r="G35" s="508"/>
      <c r="H35" s="509"/>
      <c r="I35" s="509"/>
      <c r="J35" s="509"/>
      <c r="K35" s="509"/>
      <c r="L35" s="509"/>
      <c r="M35" s="497"/>
      <c r="N35" s="510"/>
      <c r="O35" s="497"/>
      <c r="P35" s="509"/>
      <c r="Q35" s="509"/>
      <c r="R35" s="509"/>
      <c r="S35" s="509"/>
      <c r="T35" s="509"/>
      <c r="U35" s="509"/>
      <c r="V35" s="509"/>
      <c r="W35" s="509"/>
      <c r="X35" s="509"/>
      <c r="Y35" s="509"/>
      <c r="Z35" s="509"/>
      <c r="AA35" s="497"/>
      <c r="AB35" s="509"/>
      <c r="AC35" s="510"/>
      <c r="AD35" s="509"/>
      <c r="AE35" s="509"/>
      <c r="AF35" s="509"/>
      <c r="AG35" s="509"/>
      <c r="AH35" s="509"/>
      <c r="AI35" s="508"/>
      <c r="AJ35" s="509"/>
      <c r="AK35" s="509"/>
      <c r="AL35" s="509"/>
      <c r="AM35" s="509"/>
      <c r="AN35" s="509"/>
      <c r="AO35" s="510"/>
      <c r="AP35" s="509"/>
      <c r="AQ35" s="509"/>
      <c r="AR35" s="509"/>
      <c r="AS35" s="509"/>
      <c r="AT35" s="509"/>
      <c r="AU35" s="511" t="str">
        <f ca="1">IFERROR(__xludf.DUMMYFUNCTION("""COMPUTED_VALUE"""),"levels.total_points.level")</f>
        <v>levels.total_points.level</v>
      </c>
      <c r="AV35" s="497">
        <f ca="1">IFERROR(__xludf.DUMMYFUNCTION("""COMPUTED_VALUE"""),29)</f>
        <v>29</v>
      </c>
      <c r="AW35" s="497" t="str">
        <f ca="1">IFERROR(__xludf.DUMMYFUNCTION("""COMPUTED_VALUE"""),"set")</f>
        <v>set</v>
      </c>
      <c r="AX35" s="510" t="str">
        <f ca="1">IFERROR(__xludf.DUMMYFUNCTION("""COMPUTED_VALUE"""),"levels.total_points.valueNeededForNextLevel")</f>
        <v>levels.total_points.valueNeededForNextLevel</v>
      </c>
      <c r="AY35" s="509">
        <f ca="1">IFERROR(__xludf.DUMMYFUNCTION("""COMPUTED_VALUE"""),2900000)</f>
        <v>2900000</v>
      </c>
      <c r="AZ35" s="509" t="str">
        <f ca="1">IFERROR(__xludf.DUMMYFUNCTION("""COMPUTED_VALUE"""),"set")</f>
        <v>set</v>
      </c>
      <c r="BA35" s="513" t="str">
        <f ca="1">IFERROR(__xludf.DUMMYFUNCTION("""COMPUTED_VALUE"""),"all")</f>
        <v>all</v>
      </c>
      <c r="BB35" s="508"/>
      <c r="BC35" s="509"/>
      <c r="BD35" s="509"/>
      <c r="BE35" s="509"/>
      <c r="BF35" s="509"/>
      <c r="BG35" s="509"/>
      <c r="BH35" s="509"/>
      <c r="BI35" s="509"/>
      <c r="BJ35" s="509"/>
      <c r="BK35" s="509"/>
      <c r="BL35" s="509"/>
      <c r="BM35" s="509"/>
      <c r="BN35" s="514"/>
      <c r="BO35" s="510"/>
      <c r="BP35" s="509"/>
      <c r="BQ35" s="509"/>
      <c r="BR35" s="509"/>
      <c r="BS35" s="509"/>
      <c r="BT35" s="509"/>
      <c r="BU35" s="509"/>
      <c r="BV35" s="509"/>
      <c r="BW35" s="509"/>
      <c r="BX35" s="509"/>
      <c r="BY35" s="509"/>
      <c r="BZ35" s="509"/>
      <c r="CA35" s="514"/>
      <c r="CB35" s="510"/>
      <c r="CC35" s="509"/>
      <c r="CD35" s="509"/>
      <c r="CE35" s="509"/>
      <c r="CF35" s="509"/>
      <c r="CG35" s="509"/>
      <c r="CH35" s="509"/>
      <c r="CI35" s="509"/>
      <c r="CJ35" s="509"/>
      <c r="CK35" s="509"/>
      <c r="CL35" s="509"/>
      <c r="CM35" s="509"/>
      <c r="CN35" s="514"/>
      <c r="CO35" s="509"/>
      <c r="CP35" s="509"/>
      <c r="CQ35" s="509"/>
      <c r="CR35" s="509"/>
      <c r="CS35" s="509"/>
      <c r="CT35" s="509"/>
      <c r="CU35" s="509"/>
      <c r="CV35" s="509"/>
      <c r="CW35" s="509"/>
      <c r="CX35" s="509"/>
      <c r="CY35" s="509"/>
      <c r="CZ35" s="509"/>
      <c r="DA35" s="514"/>
      <c r="DB35" s="509"/>
      <c r="DC35" s="509"/>
      <c r="DD35" s="509"/>
      <c r="DE35" s="509"/>
      <c r="DF35" s="509"/>
      <c r="DG35" s="509"/>
      <c r="DH35" s="509"/>
      <c r="DI35" s="509"/>
      <c r="DJ35" s="509"/>
      <c r="DK35" s="509"/>
      <c r="DL35" s="509"/>
      <c r="DM35" s="509"/>
      <c r="DN35" s="515"/>
      <c r="DO35" s="509"/>
      <c r="DP35" s="509"/>
      <c r="DQ35" s="509"/>
      <c r="DR35" s="509"/>
      <c r="DS35" s="509"/>
      <c r="DT35" s="509"/>
      <c r="DU35" s="509"/>
      <c r="DV35" s="509"/>
      <c r="DW35" s="509"/>
      <c r="DX35" s="509"/>
      <c r="DY35" s="509"/>
      <c r="DZ35" s="509"/>
      <c r="EA35" s="509"/>
      <c r="EB35" s="509"/>
      <c r="EC35" s="510"/>
      <c r="ED35" s="509"/>
      <c r="EE35" s="509"/>
      <c r="EF35" s="509"/>
      <c r="EG35" s="509"/>
      <c r="EH35" s="509"/>
      <c r="EI35" s="509"/>
      <c r="EJ35" s="509"/>
      <c r="EK35" s="509"/>
      <c r="EL35" s="509"/>
      <c r="EM35" s="509"/>
      <c r="EN35" s="509"/>
      <c r="EO35" s="509"/>
      <c r="EP35" s="509"/>
      <c r="EQ35" s="508"/>
      <c r="ER35" s="509"/>
      <c r="ES35" s="509"/>
      <c r="ET35" s="509"/>
      <c r="EU35" s="509"/>
      <c r="EV35" s="509"/>
      <c r="EW35" s="509"/>
      <c r="EX35" s="509"/>
      <c r="EY35" s="509"/>
      <c r="EZ35" s="509"/>
      <c r="FA35" s="509"/>
      <c r="FB35" s="509"/>
      <c r="FC35" s="509"/>
      <c r="FD35" s="509"/>
      <c r="FE35" s="509"/>
      <c r="FF35" s="509"/>
      <c r="FG35" s="510"/>
      <c r="FH35" s="509"/>
      <c r="FI35" s="509"/>
      <c r="FJ35" s="509"/>
      <c r="FK35" s="509"/>
      <c r="FL35" s="509"/>
      <c r="FM35" s="509"/>
      <c r="FN35" s="509"/>
      <c r="FO35" s="509"/>
      <c r="FP35" s="509"/>
      <c r="FQ35" s="509"/>
      <c r="FR35" s="509"/>
      <c r="FS35" s="509"/>
      <c r="FT35" s="509"/>
      <c r="FU35" s="509"/>
      <c r="FV35" s="509"/>
      <c r="FW35" s="508"/>
      <c r="FX35" s="509"/>
      <c r="FY35" s="509"/>
      <c r="FZ35" s="509"/>
      <c r="GA35" s="511" t="str">
        <f ca="1">IFERROR(__xludf.DUMMYFUNCTION("""COMPUTED_VALUE"""),"total_points")</f>
        <v>total_points</v>
      </c>
      <c r="GB35" s="497">
        <f ca="1">IFERROR(__xludf.DUMMYFUNCTION("""COMPUTED_VALUE"""),2800000)</f>
        <v>2800000</v>
      </c>
      <c r="GC35" s="510"/>
      <c r="GD35" s="509"/>
      <c r="GE35" s="511"/>
      <c r="GF35" s="497"/>
      <c r="GG35" s="497"/>
      <c r="GH35" s="497" t="str">
        <f t="shared" si="1"/>
        <v>:</v>
      </c>
      <c r="GI35" s="510"/>
      <c r="GJ35" s="509"/>
      <c r="GK35" s="509"/>
    </row>
    <row r="36" spans="1:193" ht="15.75" customHeight="1" x14ac:dyDescent="0.15">
      <c r="A36" s="482" t="str">
        <f ca="1">IFERROR(__xludf.DUMMYFUNCTION("""COMPUTED_VALUE"""),"total_points level 30")</f>
        <v>total_points level 30</v>
      </c>
      <c r="B36" s="482" t="b">
        <f t="shared" ca="1" si="0"/>
        <v>0</v>
      </c>
      <c r="C36" s="507" t="str">
        <f ca="1">IFERROR(__xludf.DUMMYFUNCTION("""set""&amp;PROPER(index(SPLIT(GA36, ""_""), 0, 2))&amp;""ToLevel""&amp;AV36"),"setPointsToLevel30")</f>
        <v>setPointsToLevel30</v>
      </c>
      <c r="D36" s="507" t="str">
        <f ca="1">IFERROR(__xludf.DUMMYFUNCTION("""COMPUTED_VALUE"""),"rewardIfAllRequirementsMet")</f>
        <v>rewardIfAllRequirementsMet</v>
      </c>
      <c r="E36" s="497"/>
      <c r="F36" s="497"/>
      <c r="G36" s="508"/>
      <c r="H36" s="509"/>
      <c r="I36" s="509"/>
      <c r="J36" s="509"/>
      <c r="K36" s="509"/>
      <c r="L36" s="509"/>
      <c r="M36" s="497"/>
      <c r="N36" s="510"/>
      <c r="O36" s="497"/>
      <c r="P36" s="509"/>
      <c r="Q36" s="509"/>
      <c r="R36" s="509"/>
      <c r="S36" s="509"/>
      <c r="T36" s="509"/>
      <c r="U36" s="509"/>
      <c r="V36" s="509"/>
      <c r="W36" s="509"/>
      <c r="X36" s="509"/>
      <c r="Y36" s="509"/>
      <c r="Z36" s="509"/>
      <c r="AA36" s="497"/>
      <c r="AB36" s="509"/>
      <c r="AC36" s="510"/>
      <c r="AD36" s="509"/>
      <c r="AE36" s="509"/>
      <c r="AF36" s="509"/>
      <c r="AG36" s="509"/>
      <c r="AH36" s="509"/>
      <c r="AI36" s="508"/>
      <c r="AJ36" s="509"/>
      <c r="AK36" s="509"/>
      <c r="AL36" s="509"/>
      <c r="AM36" s="509"/>
      <c r="AN36" s="509"/>
      <c r="AO36" s="510"/>
      <c r="AP36" s="509"/>
      <c r="AQ36" s="509"/>
      <c r="AR36" s="509"/>
      <c r="AS36" s="509"/>
      <c r="AT36" s="509"/>
      <c r="AU36" s="511" t="str">
        <f ca="1">IFERROR(__xludf.DUMMYFUNCTION("""COMPUTED_VALUE"""),"levels.total_points.level")</f>
        <v>levels.total_points.level</v>
      </c>
      <c r="AV36" s="497">
        <f ca="1">IFERROR(__xludf.DUMMYFUNCTION("""COMPUTED_VALUE"""),30)</f>
        <v>30</v>
      </c>
      <c r="AW36" s="497" t="str">
        <f ca="1">IFERROR(__xludf.DUMMYFUNCTION("""COMPUTED_VALUE"""),"set")</f>
        <v>set</v>
      </c>
      <c r="AX36" s="510" t="str">
        <f ca="1">IFERROR(__xludf.DUMMYFUNCTION("""COMPUTED_VALUE"""),"levels.total_points.valueNeededForNextLevel")</f>
        <v>levels.total_points.valueNeededForNextLevel</v>
      </c>
      <c r="AY36" s="509">
        <f ca="1">IFERROR(__xludf.DUMMYFUNCTION("""COMPUTED_VALUE"""),3000000)</f>
        <v>3000000</v>
      </c>
      <c r="AZ36" s="509" t="str">
        <f ca="1">IFERROR(__xludf.DUMMYFUNCTION("""COMPUTED_VALUE"""),"set")</f>
        <v>set</v>
      </c>
      <c r="BA36" s="513" t="str">
        <f ca="1">IFERROR(__xludf.DUMMYFUNCTION("""COMPUTED_VALUE"""),"all")</f>
        <v>all</v>
      </c>
      <c r="BB36" s="508"/>
      <c r="BC36" s="509"/>
      <c r="BD36" s="509"/>
      <c r="BE36" s="509"/>
      <c r="BF36" s="509"/>
      <c r="BG36" s="509"/>
      <c r="BH36" s="509"/>
      <c r="BI36" s="509"/>
      <c r="BJ36" s="509"/>
      <c r="BK36" s="509"/>
      <c r="BL36" s="509"/>
      <c r="BM36" s="509"/>
      <c r="BN36" s="514"/>
      <c r="BO36" s="510"/>
      <c r="BP36" s="509"/>
      <c r="BQ36" s="509"/>
      <c r="BR36" s="509"/>
      <c r="BS36" s="509"/>
      <c r="BT36" s="509"/>
      <c r="BU36" s="509"/>
      <c r="BV36" s="509"/>
      <c r="BW36" s="509"/>
      <c r="BX36" s="509"/>
      <c r="BY36" s="509"/>
      <c r="BZ36" s="509"/>
      <c r="CA36" s="514"/>
      <c r="CB36" s="510"/>
      <c r="CC36" s="509"/>
      <c r="CD36" s="509"/>
      <c r="CE36" s="509"/>
      <c r="CF36" s="509"/>
      <c r="CG36" s="509"/>
      <c r="CH36" s="509"/>
      <c r="CI36" s="509"/>
      <c r="CJ36" s="509"/>
      <c r="CK36" s="509"/>
      <c r="CL36" s="509"/>
      <c r="CM36" s="509"/>
      <c r="CN36" s="514"/>
      <c r="CO36" s="509"/>
      <c r="CP36" s="509"/>
      <c r="CQ36" s="509"/>
      <c r="CR36" s="509"/>
      <c r="CS36" s="509"/>
      <c r="CT36" s="509"/>
      <c r="CU36" s="509"/>
      <c r="CV36" s="509"/>
      <c r="CW36" s="509"/>
      <c r="CX36" s="509"/>
      <c r="CY36" s="509"/>
      <c r="CZ36" s="509"/>
      <c r="DA36" s="514"/>
      <c r="DB36" s="509"/>
      <c r="DC36" s="509"/>
      <c r="DD36" s="509"/>
      <c r="DE36" s="509"/>
      <c r="DF36" s="509"/>
      <c r="DG36" s="509"/>
      <c r="DH36" s="509"/>
      <c r="DI36" s="509"/>
      <c r="DJ36" s="509"/>
      <c r="DK36" s="509"/>
      <c r="DL36" s="509"/>
      <c r="DM36" s="509"/>
      <c r="DN36" s="515"/>
      <c r="DO36" s="509"/>
      <c r="DP36" s="509"/>
      <c r="DQ36" s="509"/>
      <c r="DR36" s="509"/>
      <c r="DS36" s="509"/>
      <c r="DT36" s="509"/>
      <c r="DU36" s="509"/>
      <c r="DV36" s="509"/>
      <c r="DW36" s="509"/>
      <c r="DX36" s="509"/>
      <c r="DY36" s="509"/>
      <c r="DZ36" s="509"/>
      <c r="EA36" s="509"/>
      <c r="EB36" s="509"/>
      <c r="EC36" s="510"/>
      <c r="ED36" s="509"/>
      <c r="EE36" s="509"/>
      <c r="EF36" s="509"/>
      <c r="EG36" s="509"/>
      <c r="EH36" s="509"/>
      <c r="EI36" s="509"/>
      <c r="EJ36" s="509"/>
      <c r="EK36" s="509"/>
      <c r="EL36" s="509"/>
      <c r="EM36" s="509"/>
      <c r="EN36" s="509"/>
      <c r="EO36" s="509"/>
      <c r="EP36" s="509"/>
      <c r="EQ36" s="508"/>
      <c r="ER36" s="509"/>
      <c r="ES36" s="509"/>
      <c r="ET36" s="509"/>
      <c r="EU36" s="509"/>
      <c r="EV36" s="509"/>
      <c r="EW36" s="509"/>
      <c r="EX36" s="509"/>
      <c r="EY36" s="509"/>
      <c r="EZ36" s="509"/>
      <c r="FA36" s="509"/>
      <c r="FB36" s="509"/>
      <c r="FC36" s="509"/>
      <c r="FD36" s="509"/>
      <c r="FE36" s="509"/>
      <c r="FF36" s="509"/>
      <c r="FG36" s="510"/>
      <c r="FH36" s="509"/>
      <c r="FI36" s="509"/>
      <c r="FJ36" s="509"/>
      <c r="FK36" s="509"/>
      <c r="FL36" s="509"/>
      <c r="FM36" s="509"/>
      <c r="FN36" s="509"/>
      <c r="FO36" s="509"/>
      <c r="FP36" s="509"/>
      <c r="FQ36" s="509"/>
      <c r="FR36" s="509"/>
      <c r="FS36" s="509"/>
      <c r="FT36" s="509"/>
      <c r="FU36" s="509"/>
      <c r="FV36" s="509"/>
      <c r="FW36" s="508"/>
      <c r="FX36" s="509"/>
      <c r="FY36" s="509"/>
      <c r="FZ36" s="509"/>
      <c r="GA36" s="511" t="str">
        <f ca="1">IFERROR(__xludf.DUMMYFUNCTION("""COMPUTED_VALUE"""),"total_points")</f>
        <v>total_points</v>
      </c>
      <c r="GB36" s="497">
        <f ca="1">IFERROR(__xludf.DUMMYFUNCTION("""COMPUTED_VALUE"""),2900000)</f>
        <v>2900000</v>
      </c>
      <c r="GC36" s="510"/>
      <c r="GD36" s="509"/>
      <c r="GE36" s="511"/>
      <c r="GF36" s="497"/>
      <c r="GG36" s="497"/>
      <c r="GH36" s="497" t="str">
        <f t="shared" si="1"/>
        <v>:</v>
      </c>
      <c r="GI36" s="510"/>
      <c r="GJ36" s="509"/>
      <c r="GK36" s="509"/>
    </row>
    <row r="37" spans="1:193" ht="15.75" customHeight="1" x14ac:dyDescent="0.15">
      <c r="A37" s="482" t="str">
        <f ca="1">IFERROR(__xludf.DUMMYFUNCTION("""COMPUTED_VALUE"""),"total_points level 31")</f>
        <v>total_points level 31</v>
      </c>
      <c r="B37" s="482" t="b">
        <f t="shared" ca="1" si="0"/>
        <v>0</v>
      </c>
      <c r="C37" s="507" t="str">
        <f ca="1">IFERROR(__xludf.DUMMYFUNCTION("""set""&amp;PROPER(index(SPLIT(GA37, ""_""), 0, 2))&amp;""ToLevel""&amp;AV37"),"setPointsToLevel31")</f>
        <v>setPointsToLevel31</v>
      </c>
      <c r="D37" s="507" t="str">
        <f ca="1">IFERROR(__xludf.DUMMYFUNCTION("""COMPUTED_VALUE"""),"rewardIfAllRequirementsMet")</f>
        <v>rewardIfAllRequirementsMet</v>
      </c>
      <c r="E37" s="497"/>
      <c r="F37" s="497"/>
      <c r="G37" s="508"/>
      <c r="H37" s="509"/>
      <c r="I37" s="509"/>
      <c r="J37" s="509"/>
      <c r="K37" s="509"/>
      <c r="L37" s="509"/>
      <c r="M37" s="497"/>
      <c r="N37" s="510"/>
      <c r="O37" s="497"/>
      <c r="P37" s="509"/>
      <c r="Q37" s="509"/>
      <c r="R37" s="509"/>
      <c r="S37" s="509"/>
      <c r="T37" s="509"/>
      <c r="U37" s="509"/>
      <c r="V37" s="509"/>
      <c r="W37" s="509"/>
      <c r="X37" s="509"/>
      <c r="Y37" s="509"/>
      <c r="Z37" s="509"/>
      <c r="AA37" s="497"/>
      <c r="AB37" s="509"/>
      <c r="AC37" s="510"/>
      <c r="AD37" s="509"/>
      <c r="AE37" s="509"/>
      <c r="AF37" s="509"/>
      <c r="AG37" s="509"/>
      <c r="AH37" s="509"/>
      <c r="AI37" s="508"/>
      <c r="AJ37" s="509"/>
      <c r="AK37" s="509"/>
      <c r="AL37" s="509"/>
      <c r="AM37" s="509"/>
      <c r="AN37" s="509"/>
      <c r="AO37" s="510"/>
      <c r="AP37" s="509"/>
      <c r="AQ37" s="509"/>
      <c r="AR37" s="509"/>
      <c r="AS37" s="509"/>
      <c r="AT37" s="509"/>
      <c r="AU37" s="511" t="str">
        <f ca="1">IFERROR(__xludf.DUMMYFUNCTION("""COMPUTED_VALUE"""),"levels.total_points.level")</f>
        <v>levels.total_points.level</v>
      </c>
      <c r="AV37" s="497">
        <f ca="1">IFERROR(__xludf.DUMMYFUNCTION("""COMPUTED_VALUE"""),31)</f>
        <v>31</v>
      </c>
      <c r="AW37" s="497" t="str">
        <f ca="1">IFERROR(__xludf.DUMMYFUNCTION("""COMPUTED_VALUE"""),"set")</f>
        <v>set</v>
      </c>
      <c r="AX37" s="510" t="str">
        <f ca="1">IFERROR(__xludf.DUMMYFUNCTION("""COMPUTED_VALUE"""),"levels.total_points.valueNeededForNextLevel")</f>
        <v>levels.total_points.valueNeededForNextLevel</v>
      </c>
      <c r="AY37" s="509">
        <f ca="1">IFERROR(__xludf.DUMMYFUNCTION("""COMPUTED_VALUE"""),3100000)</f>
        <v>3100000</v>
      </c>
      <c r="AZ37" s="509" t="str">
        <f ca="1">IFERROR(__xludf.DUMMYFUNCTION("""COMPUTED_VALUE"""),"set")</f>
        <v>set</v>
      </c>
      <c r="BA37" s="513" t="str">
        <f ca="1">IFERROR(__xludf.DUMMYFUNCTION("""COMPUTED_VALUE"""),"all")</f>
        <v>all</v>
      </c>
      <c r="BB37" s="508"/>
      <c r="BC37" s="509"/>
      <c r="BD37" s="509"/>
      <c r="BE37" s="509"/>
      <c r="BF37" s="509"/>
      <c r="BG37" s="509"/>
      <c r="BH37" s="509"/>
      <c r="BI37" s="509"/>
      <c r="BJ37" s="509"/>
      <c r="BK37" s="509"/>
      <c r="BL37" s="509"/>
      <c r="BM37" s="509"/>
      <c r="BN37" s="514"/>
      <c r="BO37" s="510"/>
      <c r="BP37" s="509"/>
      <c r="BQ37" s="509"/>
      <c r="BR37" s="509"/>
      <c r="BS37" s="509"/>
      <c r="BT37" s="509"/>
      <c r="BU37" s="509"/>
      <c r="BV37" s="509"/>
      <c r="BW37" s="509"/>
      <c r="BX37" s="509"/>
      <c r="BY37" s="509"/>
      <c r="BZ37" s="509"/>
      <c r="CA37" s="514"/>
      <c r="CB37" s="510"/>
      <c r="CC37" s="509"/>
      <c r="CD37" s="509"/>
      <c r="CE37" s="509"/>
      <c r="CF37" s="509"/>
      <c r="CG37" s="509"/>
      <c r="CH37" s="509"/>
      <c r="CI37" s="509"/>
      <c r="CJ37" s="509"/>
      <c r="CK37" s="509"/>
      <c r="CL37" s="509"/>
      <c r="CM37" s="509"/>
      <c r="CN37" s="514"/>
      <c r="CO37" s="509"/>
      <c r="CP37" s="509"/>
      <c r="CQ37" s="509"/>
      <c r="CR37" s="509"/>
      <c r="CS37" s="509"/>
      <c r="CT37" s="509"/>
      <c r="CU37" s="509"/>
      <c r="CV37" s="509"/>
      <c r="CW37" s="509"/>
      <c r="CX37" s="509"/>
      <c r="CY37" s="509"/>
      <c r="CZ37" s="509"/>
      <c r="DA37" s="514"/>
      <c r="DB37" s="509"/>
      <c r="DC37" s="509"/>
      <c r="DD37" s="509"/>
      <c r="DE37" s="509"/>
      <c r="DF37" s="509"/>
      <c r="DG37" s="509"/>
      <c r="DH37" s="509"/>
      <c r="DI37" s="509"/>
      <c r="DJ37" s="509"/>
      <c r="DK37" s="509"/>
      <c r="DL37" s="509"/>
      <c r="DM37" s="509"/>
      <c r="DN37" s="515"/>
      <c r="DO37" s="509"/>
      <c r="DP37" s="509"/>
      <c r="DQ37" s="509"/>
      <c r="DR37" s="509"/>
      <c r="DS37" s="509"/>
      <c r="DT37" s="509"/>
      <c r="DU37" s="509"/>
      <c r="DV37" s="509"/>
      <c r="DW37" s="509"/>
      <c r="DX37" s="509"/>
      <c r="DY37" s="509"/>
      <c r="DZ37" s="509"/>
      <c r="EA37" s="509"/>
      <c r="EB37" s="509"/>
      <c r="EC37" s="510"/>
      <c r="ED37" s="509"/>
      <c r="EE37" s="509"/>
      <c r="EF37" s="509"/>
      <c r="EG37" s="509"/>
      <c r="EH37" s="509"/>
      <c r="EI37" s="509"/>
      <c r="EJ37" s="509"/>
      <c r="EK37" s="509"/>
      <c r="EL37" s="509"/>
      <c r="EM37" s="509"/>
      <c r="EN37" s="509"/>
      <c r="EO37" s="509"/>
      <c r="EP37" s="509"/>
      <c r="EQ37" s="508"/>
      <c r="ER37" s="509"/>
      <c r="ES37" s="509"/>
      <c r="ET37" s="509"/>
      <c r="EU37" s="509"/>
      <c r="EV37" s="509"/>
      <c r="EW37" s="509"/>
      <c r="EX37" s="509"/>
      <c r="EY37" s="509"/>
      <c r="EZ37" s="509"/>
      <c r="FA37" s="509"/>
      <c r="FB37" s="509"/>
      <c r="FC37" s="509"/>
      <c r="FD37" s="509"/>
      <c r="FE37" s="509"/>
      <c r="FF37" s="509"/>
      <c r="FG37" s="510"/>
      <c r="FH37" s="509"/>
      <c r="FI37" s="509"/>
      <c r="FJ37" s="509"/>
      <c r="FK37" s="509"/>
      <c r="FL37" s="509"/>
      <c r="FM37" s="509"/>
      <c r="FN37" s="509"/>
      <c r="FO37" s="509"/>
      <c r="FP37" s="509"/>
      <c r="FQ37" s="509"/>
      <c r="FR37" s="509"/>
      <c r="FS37" s="509"/>
      <c r="FT37" s="509"/>
      <c r="FU37" s="509"/>
      <c r="FV37" s="509"/>
      <c r="FW37" s="508"/>
      <c r="FX37" s="509"/>
      <c r="FY37" s="509"/>
      <c r="FZ37" s="509"/>
      <c r="GA37" s="511" t="str">
        <f ca="1">IFERROR(__xludf.DUMMYFUNCTION("""COMPUTED_VALUE"""),"total_points")</f>
        <v>total_points</v>
      </c>
      <c r="GB37" s="497">
        <f ca="1">IFERROR(__xludf.DUMMYFUNCTION("""COMPUTED_VALUE"""),3000000)</f>
        <v>3000000</v>
      </c>
      <c r="GC37" s="510"/>
      <c r="GD37" s="509"/>
      <c r="GE37" s="511"/>
      <c r="GF37" s="497"/>
      <c r="GG37" s="497"/>
      <c r="GH37" s="497" t="str">
        <f t="shared" si="1"/>
        <v>:</v>
      </c>
      <c r="GI37" s="510"/>
      <c r="GJ37" s="509"/>
      <c r="GK37" s="509"/>
    </row>
    <row r="38" spans="1:193" ht="15.75" customHeight="1" x14ac:dyDescent="0.15">
      <c r="A38" s="482" t="str">
        <f ca="1">IFERROR(__xludf.DUMMYFUNCTION("""COMPUTED_VALUE"""),"total_points level 32")</f>
        <v>total_points level 32</v>
      </c>
      <c r="B38" s="482" t="b">
        <f t="shared" ca="1" si="0"/>
        <v>0</v>
      </c>
      <c r="C38" s="507" t="str">
        <f ca="1">IFERROR(__xludf.DUMMYFUNCTION("""set""&amp;PROPER(index(SPLIT(GA38, ""_""), 0, 2))&amp;""ToLevel""&amp;AV38"),"setPointsToLevel32")</f>
        <v>setPointsToLevel32</v>
      </c>
      <c r="D38" s="507" t="str">
        <f ca="1">IFERROR(__xludf.DUMMYFUNCTION("""COMPUTED_VALUE"""),"rewardIfAllRequirementsMet")</f>
        <v>rewardIfAllRequirementsMet</v>
      </c>
      <c r="E38" s="497"/>
      <c r="F38" s="497"/>
      <c r="G38" s="508"/>
      <c r="H38" s="509"/>
      <c r="I38" s="509"/>
      <c r="J38" s="509"/>
      <c r="K38" s="509"/>
      <c r="L38" s="509"/>
      <c r="M38" s="497"/>
      <c r="N38" s="510"/>
      <c r="O38" s="497"/>
      <c r="P38" s="509"/>
      <c r="Q38" s="509"/>
      <c r="R38" s="509"/>
      <c r="S38" s="509"/>
      <c r="T38" s="509"/>
      <c r="U38" s="509"/>
      <c r="V38" s="509"/>
      <c r="W38" s="509"/>
      <c r="X38" s="509"/>
      <c r="Y38" s="509"/>
      <c r="Z38" s="509"/>
      <c r="AA38" s="497"/>
      <c r="AB38" s="509"/>
      <c r="AC38" s="510"/>
      <c r="AD38" s="509"/>
      <c r="AE38" s="509"/>
      <c r="AF38" s="509"/>
      <c r="AG38" s="509"/>
      <c r="AH38" s="509"/>
      <c r="AI38" s="508"/>
      <c r="AJ38" s="509"/>
      <c r="AK38" s="509"/>
      <c r="AL38" s="509"/>
      <c r="AM38" s="509"/>
      <c r="AN38" s="509"/>
      <c r="AO38" s="510"/>
      <c r="AP38" s="509"/>
      <c r="AQ38" s="509"/>
      <c r="AR38" s="509"/>
      <c r="AS38" s="509"/>
      <c r="AT38" s="509"/>
      <c r="AU38" s="511" t="str">
        <f ca="1">IFERROR(__xludf.DUMMYFUNCTION("""COMPUTED_VALUE"""),"levels.total_points.level")</f>
        <v>levels.total_points.level</v>
      </c>
      <c r="AV38" s="497">
        <f ca="1">IFERROR(__xludf.DUMMYFUNCTION("""COMPUTED_VALUE"""),32)</f>
        <v>32</v>
      </c>
      <c r="AW38" s="497" t="str">
        <f ca="1">IFERROR(__xludf.DUMMYFUNCTION("""COMPUTED_VALUE"""),"set")</f>
        <v>set</v>
      </c>
      <c r="AX38" s="510" t="str">
        <f ca="1">IFERROR(__xludf.DUMMYFUNCTION("""COMPUTED_VALUE"""),"levels.total_points.valueNeededForNextLevel")</f>
        <v>levels.total_points.valueNeededForNextLevel</v>
      </c>
      <c r="AY38" s="509">
        <f ca="1">IFERROR(__xludf.DUMMYFUNCTION("""COMPUTED_VALUE"""),3200000)</f>
        <v>3200000</v>
      </c>
      <c r="AZ38" s="509" t="str">
        <f ca="1">IFERROR(__xludf.DUMMYFUNCTION("""COMPUTED_VALUE"""),"set")</f>
        <v>set</v>
      </c>
      <c r="BA38" s="513" t="str">
        <f ca="1">IFERROR(__xludf.DUMMYFUNCTION("""COMPUTED_VALUE"""),"all")</f>
        <v>all</v>
      </c>
      <c r="BB38" s="508"/>
      <c r="BC38" s="509"/>
      <c r="BD38" s="509"/>
      <c r="BE38" s="509"/>
      <c r="BF38" s="509"/>
      <c r="BG38" s="509"/>
      <c r="BH38" s="509"/>
      <c r="BI38" s="509"/>
      <c r="BJ38" s="509"/>
      <c r="BK38" s="509"/>
      <c r="BL38" s="509"/>
      <c r="BM38" s="509"/>
      <c r="BN38" s="514"/>
      <c r="BO38" s="510"/>
      <c r="BP38" s="509"/>
      <c r="BQ38" s="509"/>
      <c r="BR38" s="509"/>
      <c r="BS38" s="509"/>
      <c r="BT38" s="509"/>
      <c r="BU38" s="509"/>
      <c r="BV38" s="509"/>
      <c r="BW38" s="509"/>
      <c r="BX38" s="509"/>
      <c r="BY38" s="509"/>
      <c r="BZ38" s="509"/>
      <c r="CA38" s="514"/>
      <c r="CB38" s="510"/>
      <c r="CC38" s="509"/>
      <c r="CD38" s="509"/>
      <c r="CE38" s="509"/>
      <c r="CF38" s="509"/>
      <c r="CG38" s="509"/>
      <c r="CH38" s="509"/>
      <c r="CI38" s="509"/>
      <c r="CJ38" s="509"/>
      <c r="CK38" s="509"/>
      <c r="CL38" s="509"/>
      <c r="CM38" s="509"/>
      <c r="CN38" s="514"/>
      <c r="CO38" s="509"/>
      <c r="CP38" s="509"/>
      <c r="CQ38" s="509"/>
      <c r="CR38" s="509"/>
      <c r="CS38" s="509"/>
      <c r="CT38" s="509"/>
      <c r="CU38" s="509"/>
      <c r="CV38" s="509"/>
      <c r="CW38" s="509"/>
      <c r="CX38" s="509"/>
      <c r="CY38" s="509"/>
      <c r="CZ38" s="509"/>
      <c r="DA38" s="514"/>
      <c r="DB38" s="509"/>
      <c r="DC38" s="509"/>
      <c r="DD38" s="509"/>
      <c r="DE38" s="509"/>
      <c r="DF38" s="509"/>
      <c r="DG38" s="509"/>
      <c r="DH38" s="509"/>
      <c r="DI38" s="509"/>
      <c r="DJ38" s="509"/>
      <c r="DK38" s="509"/>
      <c r="DL38" s="509"/>
      <c r="DM38" s="509"/>
      <c r="DN38" s="515"/>
      <c r="DO38" s="509"/>
      <c r="DP38" s="509"/>
      <c r="DQ38" s="509"/>
      <c r="DR38" s="509"/>
      <c r="DS38" s="509"/>
      <c r="DT38" s="509"/>
      <c r="DU38" s="509"/>
      <c r="DV38" s="509"/>
      <c r="DW38" s="509"/>
      <c r="DX38" s="509"/>
      <c r="DY38" s="509"/>
      <c r="DZ38" s="509"/>
      <c r="EA38" s="509"/>
      <c r="EB38" s="509"/>
      <c r="EC38" s="510"/>
      <c r="ED38" s="509"/>
      <c r="EE38" s="509"/>
      <c r="EF38" s="509"/>
      <c r="EG38" s="509"/>
      <c r="EH38" s="509"/>
      <c r="EI38" s="509"/>
      <c r="EJ38" s="509"/>
      <c r="EK38" s="509"/>
      <c r="EL38" s="509"/>
      <c r="EM38" s="509"/>
      <c r="EN38" s="509"/>
      <c r="EO38" s="509"/>
      <c r="EP38" s="509"/>
      <c r="EQ38" s="508"/>
      <c r="ER38" s="509"/>
      <c r="ES38" s="509"/>
      <c r="ET38" s="509"/>
      <c r="EU38" s="509"/>
      <c r="EV38" s="509"/>
      <c r="EW38" s="509"/>
      <c r="EX38" s="509"/>
      <c r="EY38" s="509"/>
      <c r="EZ38" s="509"/>
      <c r="FA38" s="509"/>
      <c r="FB38" s="509"/>
      <c r="FC38" s="509"/>
      <c r="FD38" s="509"/>
      <c r="FE38" s="509"/>
      <c r="FF38" s="509"/>
      <c r="FG38" s="510"/>
      <c r="FH38" s="509"/>
      <c r="FI38" s="509"/>
      <c r="FJ38" s="509"/>
      <c r="FK38" s="509"/>
      <c r="FL38" s="509"/>
      <c r="FM38" s="509"/>
      <c r="FN38" s="509"/>
      <c r="FO38" s="509"/>
      <c r="FP38" s="509"/>
      <c r="FQ38" s="509"/>
      <c r="FR38" s="509"/>
      <c r="FS38" s="509"/>
      <c r="FT38" s="509"/>
      <c r="FU38" s="509"/>
      <c r="FV38" s="509"/>
      <c r="FW38" s="508"/>
      <c r="FX38" s="509"/>
      <c r="FY38" s="509"/>
      <c r="FZ38" s="509"/>
      <c r="GA38" s="511" t="str">
        <f ca="1">IFERROR(__xludf.DUMMYFUNCTION("""COMPUTED_VALUE"""),"total_points")</f>
        <v>total_points</v>
      </c>
      <c r="GB38" s="497">
        <f ca="1">IFERROR(__xludf.DUMMYFUNCTION("""COMPUTED_VALUE"""),3100000)</f>
        <v>3100000</v>
      </c>
      <c r="GC38" s="510"/>
      <c r="GD38" s="509"/>
      <c r="GE38" s="511"/>
      <c r="GF38" s="497"/>
      <c r="GG38" s="497"/>
      <c r="GH38" s="497" t="str">
        <f t="shared" si="1"/>
        <v>:</v>
      </c>
      <c r="GI38" s="510"/>
      <c r="GJ38" s="509"/>
      <c r="GK38" s="509"/>
    </row>
    <row r="39" spans="1:193" ht="15.75" customHeight="1" x14ac:dyDescent="0.15">
      <c r="A39" s="482" t="str">
        <f ca="1">IFERROR(__xludf.DUMMYFUNCTION("""COMPUTED_VALUE"""),"total_points level 33")</f>
        <v>total_points level 33</v>
      </c>
      <c r="B39" s="482" t="b">
        <f t="shared" ca="1" si="0"/>
        <v>0</v>
      </c>
      <c r="C39" s="507" t="str">
        <f ca="1">IFERROR(__xludf.DUMMYFUNCTION("""set""&amp;PROPER(index(SPLIT(GA39, ""_""), 0, 2))&amp;""ToLevel""&amp;AV39"),"setPointsToLevel33")</f>
        <v>setPointsToLevel33</v>
      </c>
      <c r="D39" s="507" t="str">
        <f ca="1">IFERROR(__xludf.DUMMYFUNCTION("""COMPUTED_VALUE"""),"rewardIfAllRequirementsMet")</f>
        <v>rewardIfAllRequirementsMet</v>
      </c>
      <c r="E39" s="497"/>
      <c r="F39" s="497"/>
      <c r="G39" s="508"/>
      <c r="H39" s="509"/>
      <c r="I39" s="509"/>
      <c r="J39" s="509"/>
      <c r="K39" s="509"/>
      <c r="L39" s="509"/>
      <c r="M39" s="497"/>
      <c r="N39" s="510"/>
      <c r="O39" s="497"/>
      <c r="P39" s="509"/>
      <c r="Q39" s="509"/>
      <c r="R39" s="509"/>
      <c r="S39" s="509"/>
      <c r="T39" s="509"/>
      <c r="U39" s="509"/>
      <c r="V39" s="509"/>
      <c r="W39" s="509"/>
      <c r="X39" s="509"/>
      <c r="Y39" s="509"/>
      <c r="Z39" s="509"/>
      <c r="AA39" s="497"/>
      <c r="AB39" s="509"/>
      <c r="AC39" s="510"/>
      <c r="AD39" s="509"/>
      <c r="AE39" s="509"/>
      <c r="AF39" s="509"/>
      <c r="AG39" s="509"/>
      <c r="AH39" s="509"/>
      <c r="AI39" s="508"/>
      <c r="AJ39" s="509"/>
      <c r="AK39" s="509"/>
      <c r="AL39" s="509"/>
      <c r="AM39" s="509"/>
      <c r="AN39" s="509"/>
      <c r="AO39" s="510"/>
      <c r="AP39" s="509"/>
      <c r="AQ39" s="509"/>
      <c r="AR39" s="509"/>
      <c r="AS39" s="509"/>
      <c r="AT39" s="509"/>
      <c r="AU39" s="511" t="str">
        <f ca="1">IFERROR(__xludf.DUMMYFUNCTION("""COMPUTED_VALUE"""),"levels.total_points.level")</f>
        <v>levels.total_points.level</v>
      </c>
      <c r="AV39" s="497">
        <f ca="1">IFERROR(__xludf.DUMMYFUNCTION("""COMPUTED_VALUE"""),33)</f>
        <v>33</v>
      </c>
      <c r="AW39" s="497" t="str">
        <f ca="1">IFERROR(__xludf.DUMMYFUNCTION("""COMPUTED_VALUE"""),"set")</f>
        <v>set</v>
      </c>
      <c r="AX39" s="510" t="str">
        <f ca="1">IFERROR(__xludf.DUMMYFUNCTION("""COMPUTED_VALUE"""),"levels.total_points.valueNeededForNextLevel")</f>
        <v>levels.total_points.valueNeededForNextLevel</v>
      </c>
      <c r="AY39" s="509">
        <f ca="1">IFERROR(__xludf.DUMMYFUNCTION("""COMPUTED_VALUE"""),3300000)</f>
        <v>3300000</v>
      </c>
      <c r="AZ39" s="509" t="str">
        <f ca="1">IFERROR(__xludf.DUMMYFUNCTION("""COMPUTED_VALUE"""),"set")</f>
        <v>set</v>
      </c>
      <c r="BA39" s="513" t="str">
        <f ca="1">IFERROR(__xludf.DUMMYFUNCTION("""COMPUTED_VALUE"""),"all")</f>
        <v>all</v>
      </c>
      <c r="BB39" s="508"/>
      <c r="BC39" s="509"/>
      <c r="BD39" s="509"/>
      <c r="BE39" s="509"/>
      <c r="BF39" s="509"/>
      <c r="BG39" s="509"/>
      <c r="BH39" s="509"/>
      <c r="BI39" s="509"/>
      <c r="BJ39" s="509"/>
      <c r="BK39" s="509"/>
      <c r="BL39" s="509"/>
      <c r="BM39" s="509"/>
      <c r="BN39" s="514"/>
      <c r="BO39" s="510"/>
      <c r="BP39" s="509"/>
      <c r="BQ39" s="509"/>
      <c r="BR39" s="509"/>
      <c r="BS39" s="509"/>
      <c r="BT39" s="509"/>
      <c r="BU39" s="509"/>
      <c r="BV39" s="509"/>
      <c r="BW39" s="509"/>
      <c r="BX39" s="509"/>
      <c r="BY39" s="509"/>
      <c r="BZ39" s="509"/>
      <c r="CA39" s="514"/>
      <c r="CB39" s="510"/>
      <c r="CC39" s="509"/>
      <c r="CD39" s="509"/>
      <c r="CE39" s="509"/>
      <c r="CF39" s="509"/>
      <c r="CG39" s="509"/>
      <c r="CH39" s="509"/>
      <c r="CI39" s="509"/>
      <c r="CJ39" s="509"/>
      <c r="CK39" s="509"/>
      <c r="CL39" s="509"/>
      <c r="CM39" s="509"/>
      <c r="CN39" s="514"/>
      <c r="CO39" s="509"/>
      <c r="CP39" s="509"/>
      <c r="CQ39" s="509"/>
      <c r="CR39" s="509"/>
      <c r="CS39" s="509"/>
      <c r="CT39" s="509"/>
      <c r="CU39" s="509"/>
      <c r="CV39" s="509"/>
      <c r="CW39" s="509"/>
      <c r="CX39" s="509"/>
      <c r="CY39" s="509"/>
      <c r="CZ39" s="509"/>
      <c r="DA39" s="514"/>
      <c r="DB39" s="509"/>
      <c r="DC39" s="509"/>
      <c r="DD39" s="509"/>
      <c r="DE39" s="509"/>
      <c r="DF39" s="509"/>
      <c r="DG39" s="509"/>
      <c r="DH39" s="509"/>
      <c r="DI39" s="509"/>
      <c r="DJ39" s="509"/>
      <c r="DK39" s="509"/>
      <c r="DL39" s="509"/>
      <c r="DM39" s="509"/>
      <c r="DN39" s="515"/>
      <c r="DO39" s="509"/>
      <c r="DP39" s="509"/>
      <c r="DQ39" s="509"/>
      <c r="DR39" s="509"/>
      <c r="DS39" s="509"/>
      <c r="DT39" s="509"/>
      <c r="DU39" s="509"/>
      <c r="DV39" s="509"/>
      <c r="DW39" s="509"/>
      <c r="DX39" s="509"/>
      <c r="DY39" s="509"/>
      <c r="DZ39" s="509"/>
      <c r="EA39" s="509"/>
      <c r="EB39" s="509"/>
      <c r="EC39" s="510"/>
      <c r="ED39" s="509"/>
      <c r="EE39" s="509"/>
      <c r="EF39" s="509"/>
      <c r="EG39" s="509"/>
      <c r="EH39" s="509"/>
      <c r="EI39" s="509"/>
      <c r="EJ39" s="509"/>
      <c r="EK39" s="509"/>
      <c r="EL39" s="509"/>
      <c r="EM39" s="509"/>
      <c r="EN39" s="509"/>
      <c r="EO39" s="509"/>
      <c r="EP39" s="509"/>
      <c r="EQ39" s="508"/>
      <c r="ER39" s="509"/>
      <c r="ES39" s="509"/>
      <c r="ET39" s="509"/>
      <c r="EU39" s="509"/>
      <c r="EV39" s="509"/>
      <c r="EW39" s="509"/>
      <c r="EX39" s="509"/>
      <c r="EY39" s="509"/>
      <c r="EZ39" s="509"/>
      <c r="FA39" s="509"/>
      <c r="FB39" s="509"/>
      <c r="FC39" s="509"/>
      <c r="FD39" s="509"/>
      <c r="FE39" s="509"/>
      <c r="FF39" s="509"/>
      <c r="FG39" s="510"/>
      <c r="FH39" s="509"/>
      <c r="FI39" s="509"/>
      <c r="FJ39" s="509"/>
      <c r="FK39" s="509"/>
      <c r="FL39" s="509"/>
      <c r="FM39" s="509"/>
      <c r="FN39" s="509"/>
      <c r="FO39" s="509"/>
      <c r="FP39" s="509"/>
      <c r="FQ39" s="509"/>
      <c r="FR39" s="509"/>
      <c r="FS39" s="509"/>
      <c r="FT39" s="509"/>
      <c r="FU39" s="509"/>
      <c r="FV39" s="509"/>
      <c r="FW39" s="508"/>
      <c r="FX39" s="509"/>
      <c r="FY39" s="509"/>
      <c r="FZ39" s="509"/>
      <c r="GA39" s="511" t="str">
        <f ca="1">IFERROR(__xludf.DUMMYFUNCTION("""COMPUTED_VALUE"""),"total_points")</f>
        <v>total_points</v>
      </c>
      <c r="GB39" s="497">
        <f ca="1">IFERROR(__xludf.DUMMYFUNCTION("""COMPUTED_VALUE"""),3200000)</f>
        <v>3200000</v>
      </c>
      <c r="GC39" s="510"/>
      <c r="GD39" s="509"/>
      <c r="GE39" s="511"/>
      <c r="GF39" s="497"/>
      <c r="GG39" s="497"/>
      <c r="GH39" s="497" t="str">
        <f t="shared" si="1"/>
        <v>:</v>
      </c>
      <c r="GI39" s="510"/>
      <c r="GJ39" s="509"/>
      <c r="GK39" s="509"/>
    </row>
    <row r="40" spans="1:193" ht="15.75" customHeight="1" x14ac:dyDescent="0.15">
      <c r="A40" s="482" t="str">
        <f ca="1">IFERROR(__xludf.DUMMYFUNCTION("""COMPUTED_VALUE"""),"total_points level 34")</f>
        <v>total_points level 34</v>
      </c>
      <c r="B40" s="482" t="b">
        <f t="shared" ca="1" si="0"/>
        <v>0</v>
      </c>
      <c r="C40" s="507" t="str">
        <f ca="1">IFERROR(__xludf.DUMMYFUNCTION("""set""&amp;PROPER(index(SPLIT(GA40, ""_""), 0, 2))&amp;""ToLevel""&amp;AV40"),"setPointsToLevel34")</f>
        <v>setPointsToLevel34</v>
      </c>
      <c r="D40" s="507" t="str">
        <f ca="1">IFERROR(__xludf.DUMMYFUNCTION("""COMPUTED_VALUE"""),"rewardIfAllRequirementsMet")</f>
        <v>rewardIfAllRequirementsMet</v>
      </c>
      <c r="E40" s="497"/>
      <c r="F40" s="497"/>
      <c r="G40" s="508"/>
      <c r="H40" s="509"/>
      <c r="I40" s="509"/>
      <c r="J40" s="509"/>
      <c r="K40" s="509"/>
      <c r="L40" s="509"/>
      <c r="M40" s="497"/>
      <c r="N40" s="510"/>
      <c r="O40" s="497"/>
      <c r="P40" s="509"/>
      <c r="Q40" s="509"/>
      <c r="R40" s="509"/>
      <c r="S40" s="509"/>
      <c r="T40" s="509"/>
      <c r="U40" s="509"/>
      <c r="V40" s="509"/>
      <c r="W40" s="509"/>
      <c r="X40" s="509"/>
      <c r="Y40" s="509"/>
      <c r="Z40" s="509"/>
      <c r="AA40" s="497"/>
      <c r="AB40" s="509"/>
      <c r="AC40" s="510"/>
      <c r="AD40" s="509"/>
      <c r="AE40" s="509"/>
      <c r="AF40" s="509"/>
      <c r="AG40" s="509"/>
      <c r="AH40" s="509"/>
      <c r="AI40" s="508"/>
      <c r="AJ40" s="509"/>
      <c r="AK40" s="509"/>
      <c r="AL40" s="509"/>
      <c r="AM40" s="509"/>
      <c r="AN40" s="509"/>
      <c r="AO40" s="510"/>
      <c r="AP40" s="509"/>
      <c r="AQ40" s="509"/>
      <c r="AR40" s="509"/>
      <c r="AS40" s="509"/>
      <c r="AT40" s="509"/>
      <c r="AU40" s="511" t="str">
        <f ca="1">IFERROR(__xludf.DUMMYFUNCTION("""COMPUTED_VALUE"""),"levels.total_points.level")</f>
        <v>levels.total_points.level</v>
      </c>
      <c r="AV40" s="497">
        <f ca="1">IFERROR(__xludf.DUMMYFUNCTION("""COMPUTED_VALUE"""),34)</f>
        <v>34</v>
      </c>
      <c r="AW40" s="497" t="str">
        <f ca="1">IFERROR(__xludf.DUMMYFUNCTION("""COMPUTED_VALUE"""),"set")</f>
        <v>set</v>
      </c>
      <c r="AX40" s="510" t="str">
        <f ca="1">IFERROR(__xludf.DUMMYFUNCTION("""COMPUTED_VALUE"""),"levels.total_points.valueNeededForNextLevel")</f>
        <v>levels.total_points.valueNeededForNextLevel</v>
      </c>
      <c r="AY40" s="509">
        <f ca="1">IFERROR(__xludf.DUMMYFUNCTION("""COMPUTED_VALUE"""),3400000)</f>
        <v>3400000</v>
      </c>
      <c r="AZ40" s="509" t="str">
        <f ca="1">IFERROR(__xludf.DUMMYFUNCTION("""COMPUTED_VALUE"""),"set")</f>
        <v>set</v>
      </c>
      <c r="BA40" s="513" t="str">
        <f ca="1">IFERROR(__xludf.DUMMYFUNCTION("""COMPUTED_VALUE"""),"all")</f>
        <v>all</v>
      </c>
      <c r="BB40" s="508"/>
      <c r="BC40" s="509"/>
      <c r="BD40" s="509"/>
      <c r="BE40" s="509"/>
      <c r="BF40" s="509"/>
      <c r="BG40" s="509"/>
      <c r="BH40" s="509"/>
      <c r="BI40" s="509"/>
      <c r="BJ40" s="509"/>
      <c r="BK40" s="509"/>
      <c r="BL40" s="509"/>
      <c r="BM40" s="509"/>
      <c r="BN40" s="514"/>
      <c r="BO40" s="510"/>
      <c r="BP40" s="509"/>
      <c r="BQ40" s="509"/>
      <c r="BR40" s="509"/>
      <c r="BS40" s="509"/>
      <c r="BT40" s="509"/>
      <c r="BU40" s="509"/>
      <c r="BV40" s="509"/>
      <c r="BW40" s="509"/>
      <c r="BX40" s="509"/>
      <c r="BY40" s="509"/>
      <c r="BZ40" s="509"/>
      <c r="CA40" s="514"/>
      <c r="CB40" s="510"/>
      <c r="CC40" s="509"/>
      <c r="CD40" s="509"/>
      <c r="CE40" s="509"/>
      <c r="CF40" s="509"/>
      <c r="CG40" s="509"/>
      <c r="CH40" s="509"/>
      <c r="CI40" s="509"/>
      <c r="CJ40" s="509"/>
      <c r="CK40" s="509"/>
      <c r="CL40" s="509"/>
      <c r="CM40" s="509"/>
      <c r="CN40" s="514"/>
      <c r="CO40" s="509"/>
      <c r="CP40" s="509"/>
      <c r="CQ40" s="509"/>
      <c r="CR40" s="509"/>
      <c r="CS40" s="509"/>
      <c r="CT40" s="509"/>
      <c r="CU40" s="509"/>
      <c r="CV40" s="509"/>
      <c r="CW40" s="509"/>
      <c r="CX40" s="509"/>
      <c r="CY40" s="509"/>
      <c r="CZ40" s="509"/>
      <c r="DA40" s="514"/>
      <c r="DB40" s="509"/>
      <c r="DC40" s="509"/>
      <c r="DD40" s="509"/>
      <c r="DE40" s="509"/>
      <c r="DF40" s="509"/>
      <c r="DG40" s="509"/>
      <c r="DH40" s="509"/>
      <c r="DI40" s="509"/>
      <c r="DJ40" s="509"/>
      <c r="DK40" s="509"/>
      <c r="DL40" s="509"/>
      <c r="DM40" s="509"/>
      <c r="DN40" s="515"/>
      <c r="DO40" s="509"/>
      <c r="DP40" s="509"/>
      <c r="DQ40" s="509"/>
      <c r="DR40" s="509"/>
      <c r="DS40" s="509"/>
      <c r="DT40" s="509"/>
      <c r="DU40" s="509"/>
      <c r="DV40" s="509"/>
      <c r="DW40" s="509"/>
      <c r="DX40" s="509"/>
      <c r="DY40" s="509"/>
      <c r="DZ40" s="509"/>
      <c r="EA40" s="509"/>
      <c r="EB40" s="509"/>
      <c r="EC40" s="510"/>
      <c r="ED40" s="509"/>
      <c r="EE40" s="509"/>
      <c r="EF40" s="509"/>
      <c r="EG40" s="509"/>
      <c r="EH40" s="509"/>
      <c r="EI40" s="509"/>
      <c r="EJ40" s="509"/>
      <c r="EK40" s="509"/>
      <c r="EL40" s="509"/>
      <c r="EM40" s="509"/>
      <c r="EN40" s="509"/>
      <c r="EO40" s="509"/>
      <c r="EP40" s="509"/>
      <c r="EQ40" s="508"/>
      <c r="ER40" s="509"/>
      <c r="ES40" s="509"/>
      <c r="ET40" s="509"/>
      <c r="EU40" s="509"/>
      <c r="EV40" s="509"/>
      <c r="EW40" s="509"/>
      <c r="EX40" s="509"/>
      <c r="EY40" s="509"/>
      <c r="EZ40" s="509"/>
      <c r="FA40" s="509"/>
      <c r="FB40" s="509"/>
      <c r="FC40" s="509"/>
      <c r="FD40" s="509"/>
      <c r="FE40" s="509"/>
      <c r="FF40" s="509"/>
      <c r="FG40" s="510"/>
      <c r="FH40" s="509"/>
      <c r="FI40" s="509"/>
      <c r="FJ40" s="509"/>
      <c r="FK40" s="509"/>
      <c r="FL40" s="509"/>
      <c r="FM40" s="509"/>
      <c r="FN40" s="509"/>
      <c r="FO40" s="509"/>
      <c r="FP40" s="509"/>
      <c r="FQ40" s="509"/>
      <c r="FR40" s="509"/>
      <c r="FS40" s="509"/>
      <c r="FT40" s="509"/>
      <c r="FU40" s="509"/>
      <c r="FV40" s="509"/>
      <c r="FW40" s="508"/>
      <c r="FX40" s="509"/>
      <c r="FY40" s="509"/>
      <c r="FZ40" s="509"/>
      <c r="GA40" s="511" t="str">
        <f ca="1">IFERROR(__xludf.DUMMYFUNCTION("""COMPUTED_VALUE"""),"total_points")</f>
        <v>total_points</v>
      </c>
      <c r="GB40" s="497">
        <f ca="1">IFERROR(__xludf.DUMMYFUNCTION("""COMPUTED_VALUE"""),3300000)</f>
        <v>3300000</v>
      </c>
      <c r="GC40" s="510"/>
      <c r="GD40" s="509"/>
      <c r="GE40" s="511"/>
      <c r="GF40" s="497"/>
      <c r="GG40" s="497"/>
      <c r="GH40" s="497" t="str">
        <f t="shared" si="1"/>
        <v>:</v>
      </c>
      <c r="GI40" s="510"/>
      <c r="GJ40" s="509"/>
      <c r="GK40" s="509"/>
    </row>
    <row r="41" spans="1:193" ht="15.75" customHeight="1" x14ac:dyDescent="0.15">
      <c r="A41" s="482" t="str">
        <f ca="1">IFERROR(__xludf.DUMMYFUNCTION("""COMPUTED_VALUE"""),"total_points level 35")</f>
        <v>total_points level 35</v>
      </c>
      <c r="B41" s="482" t="b">
        <f t="shared" ca="1" si="0"/>
        <v>0</v>
      </c>
      <c r="C41" s="507" t="str">
        <f ca="1">IFERROR(__xludf.DUMMYFUNCTION("""set""&amp;PROPER(index(SPLIT(GA41, ""_""), 0, 2))&amp;""ToLevel""&amp;AV41"),"setPointsToLevel35")</f>
        <v>setPointsToLevel35</v>
      </c>
      <c r="D41" s="507" t="str">
        <f ca="1">IFERROR(__xludf.DUMMYFUNCTION("""COMPUTED_VALUE"""),"rewardIfAllRequirementsMet")</f>
        <v>rewardIfAllRequirementsMet</v>
      </c>
      <c r="E41" s="497"/>
      <c r="F41" s="497"/>
      <c r="G41" s="508"/>
      <c r="H41" s="509"/>
      <c r="I41" s="509"/>
      <c r="J41" s="509"/>
      <c r="K41" s="509"/>
      <c r="L41" s="509"/>
      <c r="M41" s="497"/>
      <c r="N41" s="510"/>
      <c r="O41" s="497"/>
      <c r="P41" s="509"/>
      <c r="Q41" s="509"/>
      <c r="R41" s="509"/>
      <c r="S41" s="509"/>
      <c r="T41" s="509"/>
      <c r="U41" s="509"/>
      <c r="V41" s="509"/>
      <c r="W41" s="509"/>
      <c r="X41" s="509"/>
      <c r="Y41" s="509"/>
      <c r="Z41" s="509"/>
      <c r="AA41" s="497"/>
      <c r="AB41" s="509"/>
      <c r="AC41" s="510"/>
      <c r="AD41" s="509"/>
      <c r="AE41" s="509"/>
      <c r="AF41" s="509"/>
      <c r="AG41" s="509"/>
      <c r="AH41" s="509"/>
      <c r="AI41" s="508"/>
      <c r="AJ41" s="509"/>
      <c r="AK41" s="509"/>
      <c r="AL41" s="509"/>
      <c r="AM41" s="509"/>
      <c r="AN41" s="509"/>
      <c r="AO41" s="510"/>
      <c r="AP41" s="509"/>
      <c r="AQ41" s="509"/>
      <c r="AR41" s="509"/>
      <c r="AS41" s="509"/>
      <c r="AT41" s="509"/>
      <c r="AU41" s="511" t="str">
        <f ca="1">IFERROR(__xludf.DUMMYFUNCTION("""COMPUTED_VALUE"""),"levels.total_points.level")</f>
        <v>levels.total_points.level</v>
      </c>
      <c r="AV41" s="497">
        <f ca="1">IFERROR(__xludf.DUMMYFUNCTION("""COMPUTED_VALUE"""),35)</f>
        <v>35</v>
      </c>
      <c r="AW41" s="497" t="str">
        <f ca="1">IFERROR(__xludf.DUMMYFUNCTION("""COMPUTED_VALUE"""),"set")</f>
        <v>set</v>
      </c>
      <c r="AX41" s="510" t="str">
        <f ca="1">IFERROR(__xludf.DUMMYFUNCTION("""COMPUTED_VALUE"""),"levels.total_points.valueNeededForNextLevel")</f>
        <v>levels.total_points.valueNeededForNextLevel</v>
      </c>
      <c r="AY41" s="509">
        <f ca="1">IFERROR(__xludf.DUMMYFUNCTION("""COMPUTED_VALUE"""),3500000)</f>
        <v>3500000</v>
      </c>
      <c r="AZ41" s="509" t="str">
        <f ca="1">IFERROR(__xludf.DUMMYFUNCTION("""COMPUTED_VALUE"""),"set")</f>
        <v>set</v>
      </c>
      <c r="BA41" s="513" t="str">
        <f ca="1">IFERROR(__xludf.DUMMYFUNCTION("""COMPUTED_VALUE"""),"all")</f>
        <v>all</v>
      </c>
      <c r="BB41" s="508"/>
      <c r="BC41" s="509"/>
      <c r="BD41" s="509"/>
      <c r="BE41" s="509"/>
      <c r="BF41" s="509"/>
      <c r="BG41" s="509"/>
      <c r="BH41" s="509"/>
      <c r="BI41" s="509"/>
      <c r="BJ41" s="509"/>
      <c r="BK41" s="509"/>
      <c r="BL41" s="509"/>
      <c r="BM41" s="509"/>
      <c r="BN41" s="514"/>
      <c r="BO41" s="510"/>
      <c r="BP41" s="509"/>
      <c r="BQ41" s="509"/>
      <c r="BR41" s="509"/>
      <c r="BS41" s="509"/>
      <c r="BT41" s="509"/>
      <c r="BU41" s="509"/>
      <c r="BV41" s="509"/>
      <c r="BW41" s="509"/>
      <c r="BX41" s="509"/>
      <c r="BY41" s="509"/>
      <c r="BZ41" s="509"/>
      <c r="CA41" s="514"/>
      <c r="CB41" s="510"/>
      <c r="CC41" s="509"/>
      <c r="CD41" s="509"/>
      <c r="CE41" s="509"/>
      <c r="CF41" s="509"/>
      <c r="CG41" s="509"/>
      <c r="CH41" s="509"/>
      <c r="CI41" s="509"/>
      <c r="CJ41" s="509"/>
      <c r="CK41" s="509"/>
      <c r="CL41" s="509"/>
      <c r="CM41" s="509"/>
      <c r="CN41" s="514"/>
      <c r="CO41" s="509"/>
      <c r="CP41" s="509"/>
      <c r="CQ41" s="509"/>
      <c r="CR41" s="509"/>
      <c r="CS41" s="509"/>
      <c r="CT41" s="509"/>
      <c r="CU41" s="509"/>
      <c r="CV41" s="509"/>
      <c r="CW41" s="509"/>
      <c r="CX41" s="509"/>
      <c r="CY41" s="509"/>
      <c r="CZ41" s="509"/>
      <c r="DA41" s="514"/>
      <c r="DB41" s="509"/>
      <c r="DC41" s="509"/>
      <c r="DD41" s="509"/>
      <c r="DE41" s="509"/>
      <c r="DF41" s="509"/>
      <c r="DG41" s="509"/>
      <c r="DH41" s="509"/>
      <c r="DI41" s="509"/>
      <c r="DJ41" s="509"/>
      <c r="DK41" s="509"/>
      <c r="DL41" s="509"/>
      <c r="DM41" s="509"/>
      <c r="DN41" s="515"/>
      <c r="DO41" s="509"/>
      <c r="DP41" s="509"/>
      <c r="DQ41" s="509"/>
      <c r="DR41" s="509"/>
      <c r="DS41" s="509"/>
      <c r="DT41" s="509"/>
      <c r="DU41" s="509"/>
      <c r="DV41" s="509"/>
      <c r="DW41" s="509"/>
      <c r="DX41" s="509"/>
      <c r="DY41" s="509"/>
      <c r="DZ41" s="509"/>
      <c r="EA41" s="509"/>
      <c r="EB41" s="509"/>
      <c r="EC41" s="510"/>
      <c r="ED41" s="509"/>
      <c r="EE41" s="509"/>
      <c r="EF41" s="509"/>
      <c r="EG41" s="509"/>
      <c r="EH41" s="509"/>
      <c r="EI41" s="509"/>
      <c r="EJ41" s="509"/>
      <c r="EK41" s="509"/>
      <c r="EL41" s="509"/>
      <c r="EM41" s="509"/>
      <c r="EN41" s="509"/>
      <c r="EO41" s="509"/>
      <c r="EP41" s="509"/>
      <c r="EQ41" s="508"/>
      <c r="ER41" s="509"/>
      <c r="ES41" s="509"/>
      <c r="ET41" s="509"/>
      <c r="EU41" s="509"/>
      <c r="EV41" s="509"/>
      <c r="EW41" s="509"/>
      <c r="EX41" s="509"/>
      <c r="EY41" s="509"/>
      <c r="EZ41" s="509"/>
      <c r="FA41" s="509"/>
      <c r="FB41" s="509"/>
      <c r="FC41" s="509"/>
      <c r="FD41" s="509"/>
      <c r="FE41" s="509"/>
      <c r="FF41" s="509"/>
      <c r="FG41" s="510"/>
      <c r="FH41" s="509"/>
      <c r="FI41" s="509"/>
      <c r="FJ41" s="509"/>
      <c r="FK41" s="509"/>
      <c r="FL41" s="509"/>
      <c r="FM41" s="509"/>
      <c r="FN41" s="509"/>
      <c r="FO41" s="509"/>
      <c r="FP41" s="509"/>
      <c r="FQ41" s="509"/>
      <c r="FR41" s="509"/>
      <c r="FS41" s="509"/>
      <c r="FT41" s="509"/>
      <c r="FU41" s="509"/>
      <c r="FV41" s="509"/>
      <c r="FW41" s="508"/>
      <c r="FX41" s="509"/>
      <c r="FY41" s="509"/>
      <c r="FZ41" s="509"/>
      <c r="GA41" s="511" t="str">
        <f ca="1">IFERROR(__xludf.DUMMYFUNCTION("""COMPUTED_VALUE"""),"total_points")</f>
        <v>total_points</v>
      </c>
      <c r="GB41" s="497">
        <f ca="1">IFERROR(__xludf.DUMMYFUNCTION("""COMPUTED_VALUE"""),3400000)</f>
        <v>3400000</v>
      </c>
      <c r="GC41" s="510"/>
      <c r="GD41" s="509"/>
      <c r="GE41" s="511"/>
      <c r="GF41" s="497"/>
      <c r="GG41" s="497"/>
      <c r="GH41" s="497" t="str">
        <f t="shared" si="1"/>
        <v>:</v>
      </c>
      <c r="GI41" s="510"/>
      <c r="GJ41" s="509"/>
      <c r="GK41" s="509"/>
    </row>
    <row r="42" spans="1:193" ht="15.75" customHeight="1" x14ac:dyDescent="0.15">
      <c r="A42" s="482" t="str">
        <f ca="1">IFERROR(__xludf.DUMMYFUNCTION("""COMPUTED_VALUE"""),"total_points level 36")</f>
        <v>total_points level 36</v>
      </c>
      <c r="B42" s="482" t="b">
        <f t="shared" ca="1" si="0"/>
        <v>0</v>
      </c>
      <c r="C42" s="507" t="str">
        <f ca="1">IFERROR(__xludf.DUMMYFUNCTION("""set""&amp;PROPER(index(SPLIT(GA42, ""_""), 0, 2))&amp;""ToLevel""&amp;AV42"),"setPointsToLevel36")</f>
        <v>setPointsToLevel36</v>
      </c>
      <c r="D42" s="507" t="str">
        <f ca="1">IFERROR(__xludf.DUMMYFUNCTION("""COMPUTED_VALUE"""),"rewardIfAllRequirementsMet")</f>
        <v>rewardIfAllRequirementsMet</v>
      </c>
      <c r="E42" s="497"/>
      <c r="F42" s="497"/>
      <c r="G42" s="508"/>
      <c r="H42" s="509"/>
      <c r="I42" s="509"/>
      <c r="J42" s="509"/>
      <c r="K42" s="509"/>
      <c r="L42" s="509"/>
      <c r="M42" s="497"/>
      <c r="N42" s="510"/>
      <c r="O42" s="497"/>
      <c r="P42" s="509"/>
      <c r="Q42" s="509"/>
      <c r="R42" s="509"/>
      <c r="S42" s="509"/>
      <c r="T42" s="509"/>
      <c r="U42" s="509"/>
      <c r="V42" s="509"/>
      <c r="W42" s="509"/>
      <c r="X42" s="509"/>
      <c r="Y42" s="509"/>
      <c r="Z42" s="509"/>
      <c r="AA42" s="497"/>
      <c r="AB42" s="509"/>
      <c r="AC42" s="510"/>
      <c r="AD42" s="509"/>
      <c r="AE42" s="509"/>
      <c r="AF42" s="509"/>
      <c r="AG42" s="509"/>
      <c r="AH42" s="509"/>
      <c r="AI42" s="508"/>
      <c r="AJ42" s="509"/>
      <c r="AK42" s="509"/>
      <c r="AL42" s="509"/>
      <c r="AM42" s="509"/>
      <c r="AN42" s="509"/>
      <c r="AO42" s="510"/>
      <c r="AP42" s="509"/>
      <c r="AQ42" s="509"/>
      <c r="AR42" s="509"/>
      <c r="AS42" s="509"/>
      <c r="AT42" s="509"/>
      <c r="AU42" s="511" t="str">
        <f ca="1">IFERROR(__xludf.DUMMYFUNCTION("""COMPUTED_VALUE"""),"levels.total_points.level")</f>
        <v>levels.total_points.level</v>
      </c>
      <c r="AV42" s="497">
        <f ca="1">IFERROR(__xludf.DUMMYFUNCTION("""COMPUTED_VALUE"""),36)</f>
        <v>36</v>
      </c>
      <c r="AW42" s="497" t="str">
        <f ca="1">IFERROR(__xludf.DUMMYFUNCTION("""COMPUTED_VALUE"""),"set")</f>
        <v>set</v>
      </c>
      <c r="AX42" s="510" t="str">
        <f ca="1">IFERROR(__xludf.DUMMYFUNCTION("""COMPUTED_VALUE"""),"levels.total_points.valueNeededForNextLevel")</f>
        <v>levels.total_points.valueNeededForNextLevel</v>
      </c>
      <c r="AY42" s="509">
        <f ca="1">IFERROR(__xludf.DUMMYFUNCTION("""COMPUTED_VALUE"""),3600000)</f>
        <v>3600000</v>
      </c>
      <c r="AZ42" s="509" t="str">
        <f ca="1">IFERROR(__xludf.DUMMYFUNCTION("""COMPUTED_VALUE"""),"set")</f>
        <v>set</v>
      </c>
      <c r="BA42" s="513" t="str">
        <f ca="1">IFERROR(__xludf.DUMMYFUNCTION("""COMPUTED_VALUE"""),"all")</f>
        <v>all</v>
      </c>
      <c r="BB42" s="508"/>
      <c r="BC42" s="509"/>
      <c r="BD42" s="509"/>
      <c r="BE42" s="509"/>
      <c r="BF42" s="509"/>
      <c r="BG42" s="509"/>
      <c r="BH42" s="509"/>
      <c r="BI42" s="509"/>
      <c r="BJ42" s="509"/>
      <c r="BK42" s="509"/>
      <c r="BL42" s="509"/>
      <c r="BM42" s="509"/>
      <c r="BN42" s="514"/>
      <c r="BO42" s="510"/>
      <c r="BP42" s="509"/>
      <c r="BQ42" s="509"/>
      <c r="BR42" s="509"/>
      <c r="BS42" s="509"/>
      <c r="BT42" s="509"/>
      <c r="BU42" s="509"/>
      <c r="BV42" s="509"/>
      <c r="BW42" s="509"/>
      <c r="BX42" s="509"/>
      <c r="BY42" s="509"/>
      <c r="BZ42" s="509"/>
      <c r="CA42" s="514"/>
      <c r="CB42" s="510"/>
      <c r="CC42" s="509"/>
      <c r="CD42" s="509"/>
      <c r="CE42" s="509"/>
      <c r="CF42" s="509"/>
      <c r="CG42" s="509"/>
      <c r="CH42" s="509"/>
      <c r="CI42" s="509"/>
      <c r="CJ42" s="509"/>
      <c r="CK42" s="509"/>
      <c r="CL42" s="509"/>
      <c r="CM42" s="509"/>
      <c r="CN42" s="514"/>
      <c r="CO42" s="509"/>
      <c r="CP42" s="509"/>
      <c r="CQ42" s="509"/>
      <c r="CR42" s="509"/>
      <c r="CS42" s="509"/>
      <c r="CT42" s="509"/>
      <c r="CU42" s="509"/>
      <c r="CV42" s="509"/>
      <c r="CW42" s="509"/>
      <c r="CX42" s="509"/>
      <c r="CY42" s="509"/>
      <c r="CZ42" s="509"/>
      <c r="DA42" s="514"/>
      <c r="DB42" s="509"/>
      <c r="DC42" s="509"/>
      <c r="DD42" s="509"/>
      <c r="DE42" s="509"/>
      <c r="DF42" s="509"/>
      <c r="DG42" s="509"/>
      <c r="DH42" s="509"/>
      <c r="DI42" s="509"/>
      <c r="DJ42" s="509"/>
      <c r="DK42" s="509"/>
      <c r="DL42" s="509"/>
      <c r="DM42" s="509"/>
      <c r="DN42" s="515"/>
      <c r="DO42" s="509"/>
      <c r="DP42" s="509"/>
      <c r="DQ42" s="509"/>
      <c r="DR42" s="509"/>
      <c r="DS42" s="509"/>
      <c r="DT42" s="509"/>
      <c r="DU42" s="509"/>
      <c r="DV42" s="509"/>
      <c r="DW42" s="509"/>
      <c r="DX42" s="509"/>
      <c r="DY42" s="509"/>
      <c r="DZ42" s="509"/>
      <c r="EA42" s="509"/>
      <c r="EB42" s="509"/>
      <c r="EC42" s="510"/>
      <c r="ED42" s="509"/>
      <c r="EE42" s="509"/>
      <c r="EF42" s="509"/>
      <c r="EG42" s="509"/>
      <c r="EH42" s="509"/>
      <c r="EI42" s="509"/>
      <c r="EJ42" s="509"/>
      <c r="EK42" s="509"/>
      <c r="EL42" s="509"/>
      <c r="EM42" s="509"/>
      <c r="EN42" s="509"/>
      <c r="EO42" s="509"/>
      <c r="EP42" s="509"/>
      <c r="EQ42" s="508"/>
      <c r="ER42" s="509"/>
      <c r="ES42" s="509"/>
      <c r="ET42" s="509"/>
      <c r="EU42" s="509"/>
      <c r="EV42" s="509"/>
      <c r="EW42" s="509"/>
      <c r="EX42" s="509"/>
      <c r="EY42" s="509"/>
      <c r="EZ42" s="509"/>
      <c r="FA42" s="509"/>
      <c r="FB42" s="509"/>
      <c r="FC42" s="509"/>
      <c r="FD42" s="509"/>
      <c r="FE42" s="509"/>
      <c r="FF42" s="509"/>
      <c r="FG42" s="510"/>
      <c r="FH42" s="509"/>
      <c r="FI42" s="509"/>
      <c r="FJ42" s="509"/>
      <c r="FK42" s="509"/>
      <c r="FL42" s="509"/>
      <c r="FM42" s="509"/>
      <c r="FN42" s="509"/>
      <c r="FO42" s="509"/>
      <c r="FP42" s="509"/>
      <c r="FQ42" s="509"/>
      <c r="FR42" s="509"/>
      <c r="FS42" s="509"/>
      <c r="FT42" s="509"/>
      <c r="FU42" s="509"/>
      <c r="FV42" s="509"/>
      <c r="FW42" s="508"/>
      <c r="FX42" s="509"/>
      <c r="FY42" s="509"/>
      <c r="FZ42" s="509"/>
      <c r="GA42" s="511" t="str">
        <f ca="1">IFERROR(__xludf.DUMMYFUNCTION("""COMPUTED_VALUE"""),"total_points")</f>
        <v>total_points</v>
      </c>
      <c r="GB42" s="497">
        <f ca="1">IFERROR(__xludf.DUMMYFUNCTION("""COMPUTED_VALUE"""),3500000)</f>
        <v>3500000</v>
      </c>
      <c r="GC42" s="510"/>
      <c r="GD42" s="509"/>
      <c r="GE42" s="511"/>
      <c r="GF42" s="497"/>
      <c r="GG42" s="497"/>
      <c r="GH42" s="497" t="str">
        <f t="shared" si="1"/>
        <v>:</v>
      </c>
      <c r="GI42" s="510"/>
      <c r="GJ42" s="509"/>
      <c r="GK42" s="509"/>
    </row>
    <row r="43" spans="1:193" ht="15.75" customHeight="1" x14ac:dyDescent="0.15">
      <c r="A43" s="482" t="str">
        <f ca="1">IFERROR(__xludf.DUMMYFUNCTION("""COMPUTED_VALUE"""),"total_points level 37")</f>
        <v>total_points level 37</v>
      </c>
      <c r="B43" s="482" t="b">
        <f t="shared" ca="1" si="0"/>
        <v>0</v>
      </c>
      <c r="C43" s="507" t="str">
        <f ca="1">IFERROR(__xludf.DUMMYFUNCTION("""set""&amp;PROPER(index(SPLIT(GA43, ""_""), 0, 2))&amp;""ToLevel""&amp;AV43"),"setPointsToLevel37")</f>
        <v>setPointsToLevel37</v>
      </c>
      <c r="D43" s="507" t="str">
        <f ca="1">IFERROR(__xludf.DUMMYFUNCTION("""COMPUTED_VALUE"""),"rewardIfAllRequirementsMet")</f>
        <v>rewardIfAllRequirementsMet</v>
      </c>
      <c r="E43" s="497"/>
      <c r="F43" s="497"/>
      <c r="G43" s="508"/>
      <c r="H43" s="509"/>
      <c r="I43" s="509"/>
      <c r="J43" s="509"/>
      <c r="K43" s="509"/>
      <c r="L43" s="509"/>
      <c r="M43" s="497"/>
      <c r="N43" s="510"/>
      <c r="O43" s="497"/>
      <c r="P43" s="509"/>
      <c r="Q43" s="509"/>
      <c r="R43" s="509"/>
      <c r="S43" s="509"/>
      <c r="T43" s="509"/>
      <c r="U43" s="509"/>
      <c r="V43" s="509"/>
      <c r="W43" s="509"/>
      <c r="X43" s="509"/>
      <c r="Y43" s="509"/>
      <c r="Z43" s="509"/>
      <c r="AA43" s="497"/>
      <c r="AB43" s="509"/>
      <c r="AC43" s="510"/>
      <c r="AD43" s="509"/>
      <c r="AE43" s="509"/>
      <c r="AF43" s="509"/>
      <c r="AG43" s="509"/>
      <c r="AH43" s="509"/>
      <c r="AI43" s="508"/>
      <c r="AJ43" s="509"/>
      <c r="AK43" s="509"/>
      <c r="AL43" s="509"/>
      <c r="AM43" s="509"/>
      <c r="AN43" s="509"/>
      <c r="AO43" s="510"/>
      <c r="AP43" s="509"/>
      <c r="AQ43" s="509"/>
      <c r="AR43" s="509"/>
      <c r="AS43" s="509"/>
      <c r="AT43" s="509"/>
      <c r="AU43" s="511" t="str">
        <f ca="1">IFERROR(__xludf.DUMMYFUNCTION("""COMPUTED_VALUE"""),"levels.total_points.level")</f>
        <v>levels.total_points.level</v>
      </c>
      <c r="AV43" s="497">
        <f ca="1">IFERROR(__xludf.DUMMYFUNCTION("""COMPUTED_VALUE"""),37)</f>
        <v>37</v>
      </c>
      <c r="AW43" s="497" t="str">
        <f ca="1">IFERROR(__xludf.DUMMYFUNCTION("""COMPUTED_VALUE"""),"set")</f>
        <v>set</v>
      </c>
      <c r="AX43" s="510" t="str">
        <f ca="1">IFERROR(__xludf.DUMMYFUNCTION("""COMPUTED_VALUE"""),"levels.total_points.valueNeededForNextLevel")</f>
        <v>levels.total_points.valueNeededForNextLevel</v>
      </c>
      <c r="AY43" s="509">
        <f ca="1">IFERROR(__xludf.DUMMYFUNCTION("""COMPUTED_VALUE"""),3700000)</f>
        <v>3700000</v>
      </c>
      <c r="AZ43" s="509" t="str">
        <f ca="1">IFERROR(__xludf.DUMMYFUNCTION("""COMPUTED_VALUE"""),"set")</f>
        <v>set</v>
      </c>
      <c r="BA43" s="513" t="str">
        <f ca="1">IFERROR(__xludf.DUMMYFUNCTION("""COMPUTED_VALUE"""),"all")</f>
        <v>all</v>
      </c>
      <c r="BB43" s="508"/>
      <c r="BC43" s="509"/>
      <c r="BD43" s="509"/>
      <c r="BE43" s="509"/>
      <c r="BF43" s="509"/>
      <c r="BG43" s="509"/>
      <c r="BH43" s="509"/>
      <c r="BI43" s="509"/>
      <c r="BJ43" s="509"/>
      <c r="BK43" s="509"/>
      <c r="BL43" s="509"/>
      <c r="BM43" s="509"/>
      <c r="BN43" s="514"/>
      <c r="BO43" s="510"/>
      <c r="BP43" s="509"/>
      <c r="BQ43" s="509"/>
      <c r="BR43" s="509"/>
      <c r="BS43" s="509"/>
      <c r="BT43" s="509"/>
      <c r="BU43" s="509"/>
      <c r="BV43" s="509"/>
      <c r="BW43" s="509"/>
      <c r="BX43" s="509"/>
      <c r="BY43" s="509"/>
      <c r="BZ43" s="509"/>
      <c r="CA43" s="514"/>
      <c r="CB43" s="510"/>
      <c r="CC43" s="509"/>
      <c r="CD43" s="509"/>
      <c r="CE43" s="509"/>
      <c r="CF43" s="509"/>
      <c r="CG43" s="509"/>
      <c r="CH43" s="509"/>
      <c r="CI43" s="509"/>
      <c r="CJ43" s="509"/>
      <c r="CK43" s="509"/>
      <c r="CL43" s="509"/>
      <c r="CM43" s="509"/>
      <c r="CN43" s="514"/>
      <c r="CO43" s="509"/>
      <c r="CP43" s="509"/>
      <c r="CQ43" s="509"/>
      <c r="CR43" s="509"/>
      <c r="CS43" s="509"/>
      <c r="CT43" s="509"/>
      <c r="CU43" s="509"/>
      <c r="CV43" s="509"/>
      <c r="CW43" s="509"/>
      <c r="CX43" s="509"/>
      <c r="CY43" s="509"/>
      <c r="CZ43" s="509"/>
      <c r="DA43" s="514"/>
      <c r="DB43" s="509"/>
      <c r="DC43" s="509"/>
      <c r="DD43" s="509"/>
      <c r="DE43" s="509"/>
      <c r="DF43" s="509"/>
      <c r="DG43" s="509"/>
      <c r="DH43" s="509"/>
      <c r="DI43" s="509"/>
      <c r="DJ43" s="509"/>
      <c r="DK43" s="509"/>
      <c r="DL43" s="509"/>
      <c r="DM43" s="509"/>
      <c r="DN43" s="515"/>
      <c r="DO43" s="509"/>
      <c r="DP43" s="509"/>
      <c r="DQ43" s="509"/>
      <c r="DR43" s="509"/>
      <c r="DS43" s="509"/>
      <c r="DT43" s="509"/>
      <c r="DU43" s="509"/>
      <c r="DV43" s="509"/>
      <c r="DW43" s="509"/>
      <c r="DX43" s="509"/>
      <c r="DY43" s="509"/>
      <c r="DZ43" s="509"/>
      <c r="EA43" s="509"/>
      <c r="EB43" s="509"/>
      <c r="EC43" s="510"/>
      <c r="ED43" s="509"/>
      <c r="EE43" s="509"/>
      <c r="EF43" s="509"/>
      <c r="EG43" s="509"/>
      <c r="EH43" s="509"/>
      <c r="EI43" s="509"/>
      <c r="EJ43" s="509"/>
      <c r="EK43" s="509"/>
      <c r="EL43" s="509"/>
      <c r="EM43" s="509"/>
      <c r="EN43" s="509"/>
      <c r="EO43" s="509"/>
      <c r="EP43" s="509"/>
      <c r="EQ43" s="508"/>
      <c r="ER43" s="509"/>
      <c r="ES43" s="509"/>
      <c r="ET43" s="509"/>
      <c r="EU43" s="509"/>
      <c r="EV43" s="509"/>
      <c r="EW43" s="509"/>
      <c r="EX43" s="509"/>
      <c r="EY43" s="509"/>
      <c r="EZ43" s="509"/>
      <c r="FA43" s="509"/>
      <c r="FB43" s="509"/>
      <c r="FC43" s="509"/>
      <c r="FD43" s="509"/>
      <c r="FE43" s="509"/>
      <c r="FF43" s="509"/>
      <c r="FG43" s="510"/>
      <c r="FH43" s="509"/>
      <c r="FI43" s="509"/>
      <c r="FJ43" s="509"/>
      <c r="FK43" s="509"/>
      <c r="FL43" s="509"/>
      <c r="FM43" s="509"/>
      <c r="FN43" s="509"/>
      <c r="FO43" s="509"/>
      <c r="FP43" s="509"/>
      <c r="FQ43" s="509"/>
      <c r="FR43" s="509"/>
      <c r="FS43" s="509"/>
      <c r="FT43" s="509"/>
      <c r="FU43" s="509"/>
      <c r="FV43" s="509"/>
      <c r="FW43" s="508"/>
      <c r="FX43" s="509"/>
      <c r="FY43" s="509"/>
      <c r="FZ43" s="509"/>
      <c r="GA43" s="511" t="str">
        <f ca="1">IFERROR(__xludf.DUMMYFUNCTION("""COMPUTED_VALUE"""),"total_points")</f>
        <v>total_points</v>
      </c>
      <c r="GB43" s="497">
        <f ca="1">IFERROR(__xludf.DUMMYFUNCTION("""COMPUTED_VALUE"""),3600000)</f>
        <v>3600000</v>
      </c>
      <c r="GC43" s="510"/>
      <c r="GD43" s="509"/>
      <c r="GE43" s="511"/>
      <c r="GF43" s="497"/>
      <c r="GG43" s="497"/>
      <c r="GH43" s="497" t="str">
        <f t="shared" si="1"/>
        <v>:</v>
      </c>
      <c r="GI43" s="510"/>
      <c r="GJ43" s="509"/>
      <c r="GK43" s="509"/>
    </row>
    <row r="44" spans="1:193" ht="15.75" customHeight="1" x14ac:dyDescent="0.15">
      <c r="A44" s="482" t="str">
        <f ca="1">IFERROR(__xludf.DUMMYFUNCTION("""COMPUTED_VALUE"""),"total_points level 38")</f>
        <v>total_points level 38</v>
      </c>
      <c r="B44" s="482" t="b">
        <f t="shared" ca="1" si="0"/>
        <v>0</v>
      </c>
      <c r="C44" s="507" t="str">
        <f ca="1">IFERROR(__xludf.DUMMYFUNCTION("""set""&amp;PROPER(index(SPLIT(GA44, ""_""), 0, 2))&amp;""ToLevel""&amp;AV44"),"setPointsToLevel38")</f>
        <v>setPointsToLevel38</v>
      </c>
      <c r="D44" s="507" t="str">
        <f ca="1">IFERROR(__xludf.DUMMYFUNCTION("""COMPUTED_VALUE"""),"rewardIfAllRequirementsMet")</f>
        <v>rewardIfAllRequirementsMet</v>
      </c>
      <c r="E44" s="497"/>
      <c r="F44" s="497"/>
      <c r="G44" s="508"/>
      <c r="H44" s="509"/>
      <c r="I44" s="509"/>
      <c r="J44" s="509"/>
      <c r="K44" s="509"/>
      <c r="L44" s="509"/>
      <c r="M44" s="497"/>
      <c r="N44" s="510"/>
      <c r="O44" s="497"/>
      <c r="P44" s="509"/>
      <c r="Q44" s="509"/>
      <c r="R44" s="509"/>
      <c r="S44" s="509"/>
      <c r="T44" s="509"/>
      <c r="U44" s="509"/>
      <c r="V44" s="509"/>
      <c r="W44" s="509"/>
      <c r="X44" s="509"/>
      <c r="Y44" s="509"/>
      <c r="Z44" s="509"/>
      <c r="AA44" s="497"/>
      <c r="AB44" s="509"/>
      <c r="AC44" s="510"/>
      <c r="AD44" s="509"/>
      <c r="AE44" s="509"/>
      <c r="AF44" s="509"/>
      <c r="AG44" s="509"/>
      <c r="AH44" s="509"/>
      <c r="AI44" s="508"/>
      <c r="AJ44" s="509"/>
      <c r="AK44" s="509"/>
      <c r="AL44" s="509"/>
      <c r="AM44" s="509"/>
      <c r="AN44" s="509"/>
      <c r="AO44" s="510"/>
      <c r="AP44" s="509"/>
      <c r="AQ44" s="509"/>
      <c r="AR44" s="509"/>
      <c r="AS44" s="509"/>
      <c r="AT44" s="509"/>
      <c r="AU44" s="511" t="str">
        <f ca="1">IFERROR(__xludf.DUMMYFUNCTION("""COMPUTED_VALUE"""),"levels.total_points.level")</f>
        <v>levels.total_points.level</v>
      </c>
      <c r="AV44" s="497">
        <f ca="1">IFERROR(__xludf.DUMMYFUNCTION("""COMPUTED_VALUE"""),38)</f>
        <v>38</v>
      </c>
      <c r="AW44" s="497" t="str">
        <f ca="1">IFERROR(__xludf.DUMMYFUNCTION("""COMPUTED_VALUE"""),"set")</f>
        <v>set</v>
      </c>
      <c r="AX44" s="510" t="str">
        <f ca="1">IFERROR(__xludf.DUMMYFUNCTION("""COMPUTED_VALUE"""),"levels.total_points.valueNeededForNextLevel")</f>
        <v>levels.total_points.valueNeededForNextLevel</v>
      </c>
      <c r="AY44" s="509">
        <f ca="1">IFERROR(__xludf.DUMMYFUNCTION("""COMPUTED_VALUE"""),3800000)</f>
        <v>3800000</v>
      </c>
      <c r="AZ44" s="509" t="str">
        <f ca="1">IFERROR(__xludf.DUMMYFUNCTION("""COMPUTED_VALUE"""),"set")</f>
        <v>set</v>
      </c>
      <c r="BA44" s="513" t="str">
        <f ca="1">IFERROR(__xludf.DUMMYFUNCTION("""COMPUTED_VALUE"""),"all")</f>
        <v>all</v>
      </c>
      <c r="BB44" s="508"/>
      <c r="BC44" s="509"/>
      <c r="BD44" s="509"/>
      <c r="BE44" s="509"/>
      <c r="BF44" s="509"/>
      <c r="BG44" s="509"/>
      <c r="BH44" s="509"/>
      <c r="BI44" s="509"/>
      <c r="BJ44" s="509"/>
      <c r="BK44" s="509"/>
      <c r="BL44" s="509"/>
      <c r="BM44" s="509"/>
      <c r="BN44" s="514"/>
      <c r="BO44" s="510"/>
      <c r="BP44" s="509"/>
      <c r="BQ44" s="509"/>
      <c r="BR44" s="509"/>
      <c r="BS44" s="509"/>
      <c r="BT44" s="509"/>
      <c r="BU44" s="509"/>
      <c r="BV44" s="509"/>
      <c r="BW44" s="509"/>
      <c r="BX44" s="509"/>
      <c r="BY44" s="509"/>
      <c r="BZ44" s="509"/>
      <c r="CA44" s="514"/>
      <c r="CB44" s="510"/>
      <c r="CC44" s="509"/>
      <c r="CD44" s="509"/>
      <c r="CE44" s="509"/>
      <c r="CF44" s="509"/>
      <c r="CG44" s="509"/>
      <c r="CH44" s="509"/>
      <c r="CI44" s="509"/>
      <c r="CJ44" s="509"/>
      <c r="CK44" s="509"/>
      <c r="CL44" s="509"/>
      <c r="CM44" s="509"/>
      <c r="CN44" s="514"/>
      <c r="CO44" s="509"/>
      <c r="CP44" s="509"/>
      <c r="CQ44" s="509"/>
      <c r="CR44" s="509"/>
      <c r="CS44" s="509"/>
      <c r="CT44" s="509"/>
      <c r="CU44" s="509"/>
      <c r="CV44" s="509"/>
      <c r="CW44" s="509"/>
      <c r="CX44" s="509"/>
      <c r="CY44" s="509"/>
      <c r="CZ44" s="509"/>
      <c r="DA44" s="514"/>
      <c r="DB44" s="509"/>
      <c r="DC44" s="509"/>
      <c r="DD44" s="509"/>
      <c r="DE44" s="509"/>
      <c r="DF44" s="509"/>
      <c r="DG44" s="509"/>
      <c r="DH44" s="509"/>
      <c r="DI44" s="509"/>
      <c r="DJ44" s="509"/>
      <c r="DK44" s="509"/>
      <c r="DL44" s="509"/>
      <c r="DM44" s="509"/>
      <c r="DN44" s="515"/>
      <c r="DO44" s="509"/>
      <c r="DP44" s="509"/>
      <c r="DQ44" s="509"/>
      <c r="DR44" s="509"/>
      <c r="DS44" s="509"/>
      <c r="DT44" s="509"/>
      <c r="DU44" s="509"/>
      <c r="DV44" s="509"/>
      <c r="DW44" s="509"/>
      <c r="DX44" s="509"/>
      <c r="DY44" s="509"/>
      <c r="DZ44" s="509"/>
      <c r="EA44" s="509"/>
      <c r="EB44" s="509"/>
      <c r="EC44" s="510"/>
      <c r="ED44" s="509"/>
      <c r="EE44" s="509"/>
      <c r="EF44" s="509"/>
      <c r="EG44" s="509"/>
      <c r="EH44" s="509"/>
      <c r="EI44" s="509"/>
      <c r="EJ44" s="509"/>
      <c r="EK44" s="509"/>
      <c r="EL44" s="509"/>
      <c r="EM44" s="509"/>
      <c r="EN44" s="509"/>
      <c r="EO44" s="509"/>
      <c r="EP44" s="509"/>
      <c r="EQ44" s="508"/>
      <c r="ER44" s="509"/>
      <c r="ES44" s="509"/>
      <c r="ET44" s="509"/>
      <c r="EU44" s="509"/>
      <c r="EV44" s="509"/>
      <c r="EW44" s="509"/>
      <c r="EX44" s="509"/>
      <c r="EY44" s="509"/>
      <c r="EZ44" s="509"/>
      <c r="FA44" s="509"/>
      <c r="FB44" s="509"/>
      <c r="FC44" s="509"/>
      <c r="FD44" s="509"/>
      <c r="FE44" s="509"/>
      <c r="FF44" s="509"/>
      <c r="FG44" s="510"/>
      <c r="FH44" s="509"/>
      <c r="FI44" s="509"/>
      <c r="FJ44" s="509"/>
      <c r="FK44" s="509"/>
      <c r="FL44" s="509"/>
      <c r="FM44" s="509"/>
      <c r="FN44" s="509"/>
      <c r="FO44" s="509"/>
      <c r="FP44" s="509"/>
      <c r="FQ44" s="509"/>
      <c r="FR44" s="509"/>
      <c r="FS44" s="509"/>
      <c r="FT44" s="509"/>
      <c r="FU44" s="509"/>
      <c r="FV44" s="509"/>
      <c r="FW44" s="508"/>
      <c r="FX44" s="509"/>
      <c r="FY44" s="509"/>
      <c r="FZ44" s="509"/>
      <c r="GA44" s="511" t="str">
        <f ca="1">IFERROR(__xludf.DUMMYFUNCTION("""COMPUTED_VALUE"""),"total_points")</f>
        <v>total_points</v>
      </c>
      <c r="GB44" s="497">
        <f ca="1">IFERROR(__xludf.DUMMYFUNCTION("""COMPUTED_VALUE"""),3700000)</f>
        <v>3700000</v>
      </c>
      <c r="GC44" s="510"/>
      <c r="GD44" s="509"/>
      <c r="GE44" s="511"/>
      <c r="GF44" s="497"/>
      <c r="GG44" s="497"/>
      <c r="GH44" s="497" t="str">
        <f t="shared" si="1"/>
        <v>:</v>
      </c>
      <c r="GI44" s="510"/>
      <c r="GJ44" s="509"/>
      <c r="GK44" s="509"/>
    </row>
    <row r="45" spans="1:193" ht="15.75" customHeight="1" x14ac:dyDescent="0.15">
      <c r="A45" s="482" t="str">
        <f ca="1">IFERROR(__xludf.DUMMYFUNCTION("""COMPUTED_VALUE"""),"total_points level 39")</f>
        <v>total_points level 39</v>
      </c>
      <c r="B45" s="482" t="b">
        <f t="shared" ca="1" si="0"/>
        <v>0</v>
      </c>
      <c r="C45" s="507" t="str">
        <f ca="1">IFERROR(__xludf.DUMMYFUNCTION("""set""&amp;PROPER(index(SPLIT(GA45, ""_""), 0, 2))&amp;""ToLevel""&amp;AV45"),"setPointsToLevel39")</f>
        <v>setPointsToLevel39</v>
      </c>
      <c r="D45" s="507" t="str">
        <f ca="1">IFERROR(__xludf.DUMMYFUNCTION("""COMPUTED_VALUE"""),"rewardIfAllRequirementsMet")</f>
        <v>rewardIfAllRequirementsMet</v>
      </c>
      <c r="E45" s="497"/>
      <c r="F45" s="497"/>
      <c r="G45" s="508"/>
      <c r="H45" s="509"/>
      <c r="I45" s="509"/>
      <c r="J45" s="509"/>
      <c r="K45" s="509"/>
      <c r="L45" s="509"/>
      <c r="M45" s="497"/>
      <c r="N45" s="510"/>
      <c r="O45" s="497"/>
      <c r="P45" s="509"/>
      <c r="Q45" s="509"/>
      <c r="R45" s="509"/>
      <c r="S45" s="509"/>
      <c r="T45" s="509"/>
      <c r="U45" s="509"/>
      <c r="V45" s="509"/>
      <c r="W45" s="509"/>
      <c r="X45" s="509"/>
      <c r="Y45" s="509"/>
      <c r="Z45" s="509"/>
      <c r="AA45" s="497"/>
      <c r="AB45" s="509"/>
      <c r="AC45" s="510"/>
      <c r="AD45" s="509"/>
      <c r="AE45" s="509"/>
      <c r="AF45" s="509"/>
      <c r="AG45" s="509"/>
      <c r="AH45" s="509"/>
      <c r="AI45" s="508"/>
      <c r="AJ45" s="509"/>
      <c r="AK45" s="509"/>
      <c r="AL45" s="509"/>
      <c r="AM45" s="509"/>
      <c r="AN45" s="509"/>
      <c r="AO45" s="510"/>
      <c r="AP45" s="509"/>
      <c r="AQ45" s="509"/>
      <c r="AR45" s="509"/>
      <c r="AS45" s="509"/>
      <c r="AT45" s="509"/>
      <c r="AU45" s="511" t="str">
        <f ca="1">IFERROR(__xludf.DUMMYFUNCTION("""COMPUTED_VALUE"""),"levels.total_points.level")</f>
        <v>levels.total_points.level</v>
      </c>
      <c r="AV45" s="497">
        <f ca="1">IFERROR(__xludf.DUMMYFUNCTION("""COMPUTED_VALUE"""),39)</f>
        <v>39</v>
      </c>
      <c r="AW45" s="497" t="str">
        <f ca="1">IFERROR(__xludf.DUMMYFUNCTION("""COMPUTED_VALUE"""),"set")</f>
        <v>set</v>
      </c>
      <c r="AX45" s="510" t="str">
        <f ca="1">IFERROR(__xludf.DUMMYFUNCTION("""COMPUTED_VALUE"""),"levels.total_points.valueNeededForNextLevel")</f>
        <v>levels.total_points.valueNeededForNextLevel</v>
      </c>
      <c r="AY45" s="509">
        <f ca="1">IFERROR(__xludf.DUMMYFUNCTION("""COMPUTED_VALUE"""),3900000)</f>
        <v>3900000</v>
      </c>
      <c r="AZ45" s="509" t="str">
        <f ca="1">IFERROR(__xludf.DUMMYFUNCTION("""COMPUTED_VALUE"""),"set")</f>
        <v>set</v>
      </c>
      <c r="BA45" s="513" t="str">
        <f ca="1">IFERROR(__xludf.DUMMYFUNCTION("""COMPUTED_VALUE"""),"all")</f>
        <v>all</v>
      </c>
      <c r="BB45" s="508"/>
      <c r="BC45" s="509"/>
      <c r="BD45" s="509"/>
      <c r="BE45" s="509"/>
      <c r="BF45" s="509"/>
      <c r="BG45" s="509"/>
      <c r="BH45" s="509"/>
      <c r="BI45" s="509"/>
      <c r="BJ45" s="509"/>
      <c r="BK45" s="509"/>
      <c r="BL45" s="509"/>
      <c r="BM45" s="509"/>
      <c r="BN45" s="514"/>
      <c r="BO45" s="510"/>
      <c r="BP45" s="509"/>
      <c r="BQ45" s="509"/>
      <c r="BR45" s="509"/>
      <c r="BS45" s="509"/>
      <c r="BT45" s="509"/>
      <c r="BU45" s="509"/>
      <c r="BV45" s="509"/>
      <c r="BW45" s="509"/>
      <c r="BX45" s="509"/>
      <c r="BY45" s="509"/>
      <c r="BZ45" s="509"/>
      <c r="CA45" s="514"/>
      <c r="CB45" s="510"/>
      <c r="CC45" s="509"/>
      <c r="CD45" s="509"/>
      <c r="CE45" s="509"/>
      <c r="CF45" s="509"/>
      <c r="CG45" s="509"/>
      <c r="CH45" s="509"/>
      <c r="CI45" s="509"/>
      <c r="CJ45" s="509"/>
      <c r="CK45" s="509"/>
      <c r="CL45" s="509"/>
      <c r="CM45" s="509"/>
      <c r="CN45" s="514"/>
      <c r="CO45" s="509"/>
      <c r="CP45" s="509"/>
      <c r="CQ45" s="509"/>
      <c r="CR45" s="509"/>
      <c r="CS45" s="509"/>
      <c r="CT45" s="509"/>
      <c r="CU45" s="509"/>
      <c r="CV45" s="509"/>
      <c r="CW45" s="509"/>
      <c r="CX45" s="509"/>
      <c r="CY45" s="509"/>
      <c r="CZ45" s="509"/>
      <c r="DA45" s="514"/>
      <c r="DB45" s="509"/>
      <c r="DC45" s="509"/>
      <c r="DD45" s="509"/>
      <c r="DE45" s="509"/>
      <c r="DF45" s="509"/>
      <c r="DG45" s="509"/>
      <c r="DH45" s="509"/>
      <c r="DI45" s="509"/>
      <c r="DJ45" s="509"/>
      <c r="DK45" s="509"/>
      <c r="DL45" s="509"/>
      <c r="DM45" s="509"/>
      <c r="DN45" s="515"/>
      <c r="DO45" s="509"/>
      <c r="DP45" s="509"/>
      <c r="DQ45" s="509"/>
      <c r="DR45" s="509"/>
      <c r="DS45" s="509"/>
      <c r="DT45" s="509"/>
      <c r="DU45" s="509"/>
      <c r="DV45" s="509"/>
      <c r="DW45" s="509"/>
      <c r="DX45" s="509"/>
      <c r="DY45" s="509"/>
      <c r="DZ45" s="509"/>
      <c r="EA45" s="509"/>
      <c r="EB45" s="509"/>
      <c r="EC45" s="510"/>
      <c r="ED45" s="509"/>
      <c r="EE45" s="509"/>
      <c r="EF45" s="509"/>
      <c r="EG45" s="509"/>
      <c r="EH45" s="509"/>
      <c r="EI45" s="509"/>
      <c r="EJ45" s="509"/>
      <c r="EK45" s="509"/>
      <c r="EL45" s="509"/>
      <c r="EM45" s="509"/>
      <c r="EN45" s="509"/>
      <c r="EO45" s="509"/>
      <c r="EP45" s="509"/>
      <c r="EQ45" s="508"/>
      <c r="ER45" s="509"/>
      <c r="ES45" s="509"/>
      <c r="ET45" s="509"/>
      <c r="EU45" s="509"/>
      <c r="EV45" s="509"/>
      <c r="EW45" s="509"/>
      <c r="EX45" s="509"/>
      <c r="EY45" s="509"/>
      <c r="EZ45" s="509"/>
      <c r="FA45" s="509"/>
      <c r="FB45" s="509"/>
      <c r="FC45" s="509"/>
      <c r="FD45" s="509"/>
      <c r="FE45" s="509"/>
      <c r="FF45" s="509"/>
      <c r="FG45" s="510"/>
      <c r="FH45" s="509"/>
      <c r="FI45" s="509"/>
      <c r="FJ45" s="509"/>
      <c r="FK45" s="509"/>
      <c r="FL45" s="509"/>
      <c r="FM45" s="509"/>
      <c r="FN45" s="509"/>
      <c r="FO45" s="509"/>
      <c r="FP45" s="509"/>
      <c r="FQ45" s="509"/>
      <c r="FR45" s="509"/>
      <c r="FS45" s="509"/>
      <c r="FT45" s="509"/>
      <c r="FU45" s="509"/>
      <c r="FV45" s="509"/>
      <c r="FW45" s="508"/>
      <c r="FX45" s="509"/>
      <c r="FY45" s="509"/>
      <c r="FZ45" s="509"/>
      <c r="GA45" s="511" t="str">
        <f ca="1">IFERROR(__xludf.DUMMYFUNCTION("""COMPUTED_VALUE"""),"total_points")</f>
        <v>total_points</v>
      </c>
      <c r="GB45" s="497">
        <f ca="1">IFERROR(__xludf.DUMMYFUNCTION("""COMPUTED_VALUE"""),3800000)</f>
        <v>3800000</v>
      </c>
      <c r="GC45" s="510"/>
      <c r="GD45" s="509"/>
      <c r="GE45" s="511"/>
      <c r="GF45" s="497"/>
      <c r="GG45" s="497"/>
      <c r="GH45" s="497" t="str">
        <f t="shared" si="1"/>
        <v>:</v>
      </c>
      <c r="GI45" s="510"/>
      <c r="GJ45" s="509"/>
      <c r="GK45" s="509"/>
    </row>
    <row r="46" spans="1:193" ht="15.75" customHeight="1" x14ac:dyDescent="0.15">
      <c r="A46" s="482" t="str">
        <f ca="1">IFERROR(__xludf.DUMMYFUNCTION("""COMPUTED_VALUE"""),"total_points level 40")</f>
        <v>total_points level 40</v>
      </c>
      <c r="B46" s="482" t="b">
        <f t="shared" ca="1" si="0"/>
        <v>0</v>
      </c>
      <c r="C46" s="507" t="str">
        <f ca="1">IFERROR(__xludf.DUMMYFUNCTION("""set""&amp;PROPER(index(SPLIT(GA46, ""_""), 0, 2))&amp;""ToLevel""&amp;AV46"),"setPointsToLevel40")</f>
        <v>setPointsToLevel40</v>
      </c>
      <c r="D46" s="507" t="str">
        <f ca="1">IFERROR(__xludf.DUMMYFUNCTION("""COMPUTED_VALUE"""),"rewardIfAllRequirementsMet")</f>
        <v>rewardIfAllRequirementsMet</v>
      </c>
      <c r="E46" s="497"/>
      <c r="F46" s="497"/>
      <c r="G46" s="508"/>
      <c r="H46" s="509"/>
      <c r="I46" s="509"/>
      <c r="J46" s="509"/>
      <c r="K46" s="509"/>
      <c r="L46" s="509"/>
      <c r="M46" s="497"/>
      <c r="N46" s="510"/>
      <c r="O46" s="497"/>
      <c r="P46" s="509"/>
      <c r="Q46" s="509"/>
      <c r="R46" s="509"/>
      <c r="S46" s="509"/>
      <c r="T46" s="509"/>
      <c r="U46" s="509"/>
      <c r="V46" s="509"/>
      <c r="W46" s="509"/>
      <c r="X46" s="509"/>
      <c r="Y46" s="509"/>
      <c r="Z46" s="509"/>
      <c r="AA46" s="497"/>
      <c r="AB46" s="509"/>
      <c r="AC46" s="510"/>
      <c r="AD46" s="509"/>
      <c r="AE46" s="509"/>
      <c r="AF46" s="509"/>
      <c r="AG46" s="509"/>
      <c r="AH46" s="509"/>
      <c r="AI46" s="508"/>
      <c r="AJ46" s="509"/>
      <c r="AK46" s="509"/>
      <c r="AL46" s="509"/>
      <c r="AM46" s="509"/>
      <c r="AN46" s="509"/>
      <c r="AO46" s="510"/>
      <c r="AP46" s="509"/>
      <c r="AQ46" s="509"/>
      <c r="AR46" s="509"/>
      <c r="AS46" s="509"/>
      <c r="AT46" s="509"/>
      <c r="AU46" s="511" t="str">
        <f ca="1">IFERROR(__xludf.DUMMYFUNCTION("""COMPUTED_VALUE"""),"levels.total_points.level")</f>
        <v>levels.total_points.level</v>
      </c>
      <c r="AV46" s="497">
        <f ca="1">IFERROR(__xludf.DUMMYFUNCTION("""COMPUTED_VALUE"""),40)</f>
        <v>40</v>
      </c>
      <c r="AW46" s="497" t="str">
        <f ca="1">IFERROR(__xludf.DUMMYFUNCTION("""COMPUTED_VALUE"""),"set")</f>
        <v>set</v>
      </c>
      <c r="AX46" s="510" t="str">
        <f ca="1">IFERROR(__xludf.DUMMYFUNCTION("""COMPUTED_VALUE"""),"levels.total_points.valueNeededForNextLevel")</f>
        <v>levels.total_points.valueNeededForNextLevel</v>
      </c>
      <c r="AY46" s="509">
        <f ca="1">IFERROR(__xludf.DUMMYFUNCTION("""COMPUTED_VALUE"""),4000000)</f>
        <v>4000000</v>
      </c>
      <c r="AZ46" s="509" t="str">
        <f ca="1">IFERROR(__xludf.DUMMYFUNCTION("""COMPUTED_VALUE"""),"set")</f>
        <v>set</v>
      </c>
      <c r="BA46" s="513" t="str">
        <f ca="1">IFERROR(__xludf.DUMMYFUNCTION("""COMPUTED_VALUE"""),"all")</f>
        <v>all</v>
      </c>
      <c r="BB46" s="508"/>
      <c r="BC46" s="509"/>
      <c r="BD46" s="509"/>
      <c r="BE46" s="509"/>
      <c r="BF46" s="509"/>
      <c r="BG46" s="509"/>
      <c r="BH46" s="509"/>
      <c r="BI46" s="509"/>
      <c r="BJ46" s="509"/>
      <c r="BK46" s="509"/>
      <c r="BL46" s="509"/>
      <c r="BM46" s="509"/>
      <c r="BN46" s="514"/>
      <c r="BO46" s="510"/>
      <c r="BP46" s="509"/>
      <c r="BQ46" s="509"/>
      <c r="BR46" s="509"/>
      <c r="BS46" s="509"/>
      <c r="BT46" s="509"/>
      <c r="BU46" s="509"/>
      <c r="BV46" s="509"/>
      <c r="BW46" s="509"/>
      <c r="BX46" s="509"/>
      <c r="BY46" s="509"/>
      <c r="BZ46" s="509"/>
      <c r="CA46" s="514"/>
      <c r="CB46" s="510"/>
      <c r="CC46" s="509"/>
      <c r="CD46" s="509"/>
      <c r="CE46" s="509"/>
      <c r="CF46" s="509"/>
      <c r="CG46" s="509"/>
      <c r="CH46" s="509"/>
      <c r="CI46" s="509"/>
      <c r="CJ46" s="509"/>
      <c r="CK46" s="509"/>
      <c r="CL46" s="509"/>
      <c r="CM46" s="509"/>
      <c r="CN46" s="514"/>
      <c r="CO46" s="509"/>
      <c r="CP46" s="509"/>
      <c r="CQ46" s="509"/>
      <c r="CR46" s="509"/>
      <c r="CS46" s="509"/>
      <c r="CT46" s="509"/>
      <c r="CU46" s="509"/>
      <c r="CV46" s="509"/>
      <c r="CW46" s="509"/>
      <c r="CX46" s="509"/>
      <c r="CY46" s="509"/>
      <c r="CZ46" s="509"/>
      <c r="DA46" s="514"/>
      <c r="DB46" s="509"/>
      <c r="DC46" s="509"/>
      <c r="DD46" s="509"/>
      <c r="DE46" s="509"/>
      <c r="DF46" s="509"/>
      <c r="DG46" s="509"/>
      <c r="DH46" s="509"/>
      <c r="DI46" s="509"/>
      <c r="DJ46" s="509"/>
      <c r="DK46" s="509"/>
      <c r="DL46" s="509"/>
      <c r="DM46" s="509"/>
      <c r="DN46" s="515"/>
      <c r="DO46" s="509"/>
      <c r="DP46" s="509"/>
      <c r="DQ46" s="509"/>
      <c r="DR46" s="509"/>
      <c r="DS46" s="509"/>
      <c r="DT46" s="509"/>
      <c r="DU46" s="509"/>
      <c r="DV46" s="509"/>
      <c r="DW46" s="509"/>
      <c r="DX46" s="509"/>
      <c r="DY46" s="509"/>
      <c r="DZ46" s="509"/>
      <c r="EA46" s="509"/>
      <c r="EB46" s="509"/>
      <c r="EC46" s="510"/>
      <c r="ED46" s="509"/>
      <c r="EE46" s="509"/>
      <c r="EF46" s="509"/>
      <c r="EG46" s="509"/>
      <c r="EH46" s="509"/>
      <c r="EI46" s="509"/>
      <c r="EJ46" s="509"/>
      <c r="EK46" s="509"/>
      <c r="EL46" s="509"/>
      <c r="EM46" s="509"/>
      <c r="EN46" s="509"/>
      <c r="EO46" s="509"/>
      <c r="EP46" s="509"/>
      <c r="EQ46" s="508"/>
      <c r="ER46" s="509"/>
      <c r="ES46" s="509"/>
      <c r="ET46" s="509"/>
      <c r="EU46" s="509"/>
      <c r="EV46" s="509"/>
      <c r="EW46" s="509"/>
      <c r="EX46" s="509"/>
      <c r="EY46" s="509"/>
      <c r="EZ46" s="509"/>
      <c r="FA46" s="509"/>
      <c r="FB46" s="509"/>
      <c r="FC46" s="509"/>
      <c r="FD46" s="509"/>
      <c r="FE46" s="509"/>
      <c r="FF46" s="509"/>
      <c r="FG46" s="510"/>
      <c r="FH46" s="509"/>
      <c r="FI46" s="509"/>
      <c r="FJ46" s="509"/>
      <c r="FK46" s="509"/>
      <c r="FL46" s="509"/>
      <c r="FM46" s="509"/>
      <c r="FN46" s="509"/>
      <c r="FO46" s="509"/>
      <c r="FP46" s="509"/>
      <c r="FQ46" s="509"/>
      <c r="FR46" s="509"/>
      <c r="FS46" s="509"/>
      <c r="FT46" s="509"/>
      <c r="FU46" s="509"/>
      <c r="FV46" s="509"/>
      <c r="FW46" s="508"/>
      <c r="FX46" s="509"/>
      <c r="FY46" s="509"/>
      <c r="FZ46" s="509"/>
      <c r="GA46" s="511" t="str">
        <f ca="1">IFERROR(__xludf.DUMMYFUNCTION("""COMPUTED_VALUE"""),"total_points")</f>
        <v>total_points</v>
      </c>
      <c r="GB46" s="497">
        <f ca="1">IFERROR(__xludf.DUMMYFUNCTION("""COMPUTED_VALUE"""),3900000)</f>
        <v>3900000</v>
      </c>
      <c r="GC46" s="510"/>
      <c r="GD46" s="509"/>
      <c r="GE46" s="511"/>
      <c r="GF46" s="497"/>
      <c r="GG46" s="497"/>
      <c r="GH46" s="497" t="str">
        <f t="shared" si="1"/>
        <v>:</v>
      </c>
      <c r="GI46" s="510"/>
      <c r="GJ46" s="509"/>
      <c r="GK46" s="509"/>
    </row>
    <row r="47" spans="1:193" ht="15.75" customHeight="1" x14ac:dyDescent="0.15">
      <c r="A47" s="482" t="str">
        <f ca="1">IFERROR(__xludf.DUMMYFUNCTION("""COMPUTED_VALUE"""),"total_points level 41")</f>
        <v>total_points level 41</v>
      </c>
      <c r="B47" s="482" t="b">
        <f t="shared" ca="1" si="0"/>
        <v>0</v>
      </c>
      <c r="C47" s="507" t="str">
        <f ca="1">IFERROR(__xludf.DUMMYFUNCTION("""set""&amp;PROPER(index(SPLIT(GA47, ""_""), 0, 2))&amp;""ToLevel""&amp;AV47"),"setPointsToLevel41")</f>
        <v>setPointsToLevel41</v>
      </c>
      <c r="D47" s="507" t="str">
        <f ca="1">IFERROR(__xludf.DUMMYFUNCTION("""COMPUTED_VALUE"""),"rewardIfAllRequirementsMet")</f>
        <v>rewardIfAllRequirementsMet</v>
      </c>
      <c r="E47" s="497"/>
      <c r="F47" s="497"/>
      <c r="G47" s="508"/>
      <c r="H47" s="509"/>
      <c r="I47" s="509"/>
      <c r="J47" s="509"/>
      <c r="K47" s="509"/>
      <c r="L47" s="509"/>
      <c r="M47" s="497"/>
      <c r="N47" s="510"/>
      <c r="O47" s="497"/>
      <c r="P47" s="509"/>
      <c r="Q47" s="509"/>
      <c r="R47" s="509"/>
      <c r="S47" s="509"/>
      <c r="T47" s="509"/>
      <c r="U47" s="509"/>
      <c r="V47" s="509"/>
      <c r="W47" s="509"/>
      <c r="X47" s="509"/>
      <c r="Y47" s="509"/>
      <c r="Z47" s="509"/>
      <c r="AA47" s="497"/>
      <c r="AB47" s="509"/>
      <c r="AC47" s="510"/>
      <c r="AD47" s="509"/>
      <c r="AE47" s="509"/>
      <c r="AF47" s="509"/>
      <c r="AG47" s="509"/>
      <c r="AH47" s="509"/>
      <c r="AI47" s="508"/>
      <c r="AJ47" s="509"/>
      <c r="AK47" s="509"/>
      <c r="AL47" s="509"/>
      <c r="AM47" s="509"/>
      <c r="AN47" s="509"/>
      <c r="AO47" s="510"/>
      <c r="AP47" s="509"/>
      <c r="AQ47" s="509"/>
      <c r="AR47" s="509"/>
      <c r="AS47" s="509"/>
      <c r="AT47" s="509"/>
      <c r="AU47" s="511" t="str">
        <f ca="1">IFERROR(__xludf.DUMMYFUNCTION("""COMPUTED_VALUE"""),"levels.total_points.level")</f>
        <v>levels.total_points.level</v>
      </c>
      <c r="AV47" s="497">
        <f ca="1">IFERROR(__xludf.DUMMYFUNCTION("""COMPUTED_VALUE"""),41)</f>
        <v>41</v>
      </c>
      <c r="AW47" s="497" t="str">
        <f ca="1">IFERROR(__xludf.DUMMYFUNCTION("""COMPUTED_VALUE"""),"set")</f>
        <v>set</v>
      </c>
      <c r="AX47" s="510" t="str">
        <f ca="1">IFERROR(__xludf.DUMMYFUNCTION("""COMPUTED_VALUE"""),"levels.total_points.valueNeededForNextLevel")</f>
        <v>levels.total_points.valueNeededForNextLevel</v>
      </c>
      <c r="AY47" s="509">
        <f ca="1">IFERROR(__xludf.DUMMYFUNCTION("""COMPUTED_VALUE"""),4100000)</f>
        <v>4100000</v>
      </c>
      <c r="AZ47" s="509" t="str">
        <f ca="1">IFERROR(__xludf.DUMMYFUNCTION("""COMPUTED_VALUE"""),"set")</f>
        <v>set</v>
      </c>
      <c r="BA47" s="513" t="str">
        <f ca="1">IFERROR(__xludf.DUMMYFUNCTION("""COMPUTED_VALUE"""),"all")</f>
        <v>all</v>
      </c>
      <c r="BB47" s="508"/>
      <c r="BC47" s="509"/>
      <c r="BD47" s="509"/>
      <c r="BE47" s="509"/>
      <c r="BF47" s="509"/>
      <c r="BG47" s="509"/>
      <c r="BH47" s="509"/>
      <c r="BI47" s="509"/>
      <c r="BJ47" s="509"/>
      <c r="BK47" s="509"/>
      <c r="BL47" s="509"/>
      <c r="BM47" s="509"/>
      <c r="BN47" s="514"/>
      <c r="BO47" s="510"/>
      <c r="BP47" s="509"/>
      <c r="BQ47" s="509"/>
      <c r="BR47" s="509"/>
      <c r="BS47" s="509"/>
      <c r="BT47" s="509"/>
      <c r="BU47" s="509"/>
      <c r="BV47" s="509"/>
      <c r="BW47" s="509"/>
      <c r="BX47" s="509"/>
      <c r="BY47" s="509"/>
      <c r="BZ47" s="509"/>
      <c r="CA47" s="514"/>
      <c r="CB47" s="510"/>
      <c r="CC47" s="509"/>
      <c r="CD47" s="509"/>
      <c r="CE47" s="509"/>
      <c r="CF47" s="509"/>
      <c r="CG47" s="509"/>
      <c r="CH47" s="509"/>
      <c r="CI47" s="509"/>
      <c r="CJ47" s="509"/>
      <c r="CK47" s="509"/>
      <c r="CL47" s="509"/>
      <c r="CM47" s="509"/>
      <c r="CN47" s="514"/>
      <c r="CO47" s="509"/>
      <c r="CP47" s="509"/>
      <c r="CQ47" s="509"/>
      <c r="CR47" s="509"/>
      <c r="CS47" s="509"/>
      <c r="CT47" s="509"/>
      <c r="CU47" s="509"/>
      <c r="CV47" s="509"/>
      <c r="CW47" s="509"/>
      <c r="CX47" s="509"/>
      <c r="CY47" s="509"/>
      <c r="CZ47" s="509"/>
      <c r="DA47" s="514"/>
      <c r="DB47" s="509"/>
      <c r="DC47" s="509"/>
      <c r="DD47" s="509"/>
      <c r="DE47" s="509"/>
      <c r="DF47" s="509"/>
      <c r="DG47" s="509"/>
      <c r="DH47" s="509"/>
      <c r="DI47" s="509"/>
      <c r="DJ47" s="509"/>
      <c r="DK47" s="509"/>
      <c r="DL47" s="509"/>
      <c r="DM47" s="509"/>
      <c r="DN47" s="515"/>
      <c r="DO47" s="509"/>
      <c r="DP47" s="509"/>
      <c r="DQ47" s="509"/>
      <c r="DR47" s="509"/>
      <c r="DS47" s="509"/>
      <c r="DT47" s="509"/>
      <c r="DU47" s="509"/>
      <c r="DV47" s="509"/>
      <c r="DW47" s="509"/>
      <c r="DX47" s="509"/>
      <c r="DY47" s="509"/>
      <c r="DZ47" s="509"/>
      <c r="EA47" s="509"/>
      <c r="EB47" s="509"/>
      <c r="EC47" s="510"/>
      <c r="ED47" s="509"/>
      <c r="EE47" s="509"/>
      <c r="EF47" s="509"/>
      <c r="EG47" s="509"/>
      <c r="EH47" s="509"/>
      <c r="EI47" s="509"/>
      <c r="EJ47" s="509"/>
      <c r="EK47" s="509"/>
      <c r="EL47" s="509"/>
      <c r="EM47" s="509"/>
      <c r="EN47" s="509"/>
      <c r="EO47" s="509"/>
      <c r="EP47" s="509"/>
      <c r="EQ47" s="508"/>
      <c r="ER47" s="509"/>
      <c r="ES47" s="509"/>
      <c r="ET47" s="509"/>
      <c r="EU47" s="509"/>
      <c r="EV47" s="509"/>
      <c r="EW47" s="509"/>
      <c r="EX47" s="509"/>
      <c r="EY47" s="509"/>
      <c r="EZ47" s="509"/>
      <c r="FA47" s="509"/>
      <c r="FB47" s="509"/>
      <c r="FC47" s="509"/>
      <c r="FD47" s="509"/>
      <c r="FE47" s="509"/>
      <c r="FF47" s="509"/>
      <c r="FG47" s="510"/>
      <c r="FH47" s="509"/>
      <c r="FI47" s="509"/>
      <c r="FJ47" s="509"/>
      <c r="FK47" s="509"/>
      <c r="FL47" s="509"/>
      <c r="FM47" s="509"/>
      <c r="FN47" s="509"/>
      <c r="FO47" s="509"/>
      <c r="FP47" s="509"/>
      <c r="FQ47" s="509"/>
      <c r="FR47" s="509"/>
      <c r="FS47" s="509"/>
      <c r="FT47" s="509"/>
      <c r="FU47" s="509"/>
      <c r="FV47" s="509"/>
      <c r="FW47" s="508"/>
      <c r="FX47" s="509"/>
      <c r="FY47" s="509"/>
      <c r="FZ47" s="509"/>
      <c r="GA47" s="511" t="str">
        <f ca="1">IFERROR(__xludf.DUMMYFUNCTION("""COMPUTED_VALUE"""),"total_points")</f>
        <v>total_points</v>
      </c>
      <c r="GB47" s="497">
        <f ca="1">IFERROR(__xludf.DUMMYFUNCTION("""COMPUTED_VALUE"""),4000000)</f>
        <v>4000000</v>
      </c>
      <c r="GC47" s="510"/>
      <c r="GD47" s="509"/>
      <c r="GE47" s="511"/>
      <c r="GF47" s="497"/>
      <c r="GG47" s="497"/>
      <c r="GH47" s="497" t="str">
        <f t="shared" si="1"/>
        <v>:</v>
      </c>
      <c r="GI47" s="510"/>
      <c r="GJ47" s="509"/>
      <c r="GK47" s="509"/>
    </row>
    <row r="48" spans="1:193" ht="15.75" customHeight="1" x14ac:dyDescent="0.15">
      <c r="A48" s="482" t="str">
        <f ca="1">IFERROR(__xludf.DUMMYFUNCTION("""COMPUTED_VALUE"""),"total_points level 42")</f>
        <v>total_points level 42</v>
      </c>
      <c r="B48" s="482" t="b">
        <f t="shared" ca="1" si="0"/>
        <v>0</v>
      </c>
      <c r="C48" s="507" t="str">
        <f ca="1">IFERROR(__xludf.DUMMYFUNCTION("""set""&amp;PROPER(index(SPLIT(GA48, ""_""), 0, 2))&amp;""ToLevel""&amp;AV48"),"setPointsToLevel42")</f>
        <v>setPointsToLevel42</v>
      </c>
      <c r="D48" s="507" t="str">
        <f ca="1">IFERROR(__xludf.DUMMYFUNCTION("""COMPUTED_VALUE"""),"rewardIfAllRequirementsMet")</f>
        <v>rewardIfAllRequirementsMet</v>
      </c>
      <c r="E48" s="497"/>
      <c r="F48" s="497"/>
      <c r="G48" s="508"/>
      <c r="H48" s="509"/>
      <c r="I48" s="509"/>
      <c r="J48" s="509"/>
      <c r="K48" s="509"/>
      <c r="L48" s="509"/>
      <c r="M48" s="497"/>
      <c r="N48" s="510"/>
      <c r="O48" s="497"/>
      <c r="P48" s="509"/>
      <c r="Q48" s="509"/>
      <c r="R48" s="509"/>
      <c r="S48" s="509"/>
      <c r="T48" s="509"/>
      <c r="U48" s="509"/>
      <c r="V48" s="509"/>
      <c r="W48" s="509"/>
      <c r="X48" s="509"/>
      <c r="Y48" s="509"/>
      <c r="Z48" s="509"/>
      <c r="AA48" s="497"/>
      <c r="AB48" s="509"/>
      <c r="AC48" s="510"/>
      <c r="AD48" s="509"/>
      <c r="AE48" s="509"/>
      <c r="AF48" s="509"/>
      <c r="AG48" s="509"/>
      <c r="AH48" s="509"/>
      <c r="AI48" s="508"/>
      <c r="AJ48" s="509"/>
      <c r="AK48" s="509"/>
      <c r="AL48" s="509"/>
      <c r="AM48" s="509"/>
      <c r="AN48" s="509"/>
      <c r="AO48" s="510"/>
      <c r="AP48" s="509"/>
      <c r="AQ48" s="509"/>
      <c r="AR48" s="509"/>
      <c r="AS48" s="509"/>
      <c r="AT48" s="509"/>
      <c r="AU48" s="511" t="str">
        <f ca="1">IFERROR(__xludf.DUMMYFUNCTION("""COMPUTED_VALUE"""),"levels.total_points.level")</f>
        <v>levels.total_points.level</v>
      </c>
      <c r="AV48" s="497">
        <f ca="1">IFERROR(__xludf.DUMMYFUNCTION("""COMPUTED_VALUE"""),42)</f>
        <v>42</v>
      </c>
      <c r="AW48" s="497" t="str">
        <f ca="1">IFERROR(__xludf.DUMMYFUNCTION("""COMPUTED_VALUE"""),"set")</f>
        <v>set</v>
      </c>
      <c r="AX48" s="510" t="str">
        <f ca="1">IFERROR(__xludf.DUMMYFUNCTION("""COMPUTED_VALUE"""),"levels.total_points.valueNeededForNextLevel")</f>
        <v>levels.total_points.valueNeededForNextLevel</v>
      </c>
      <c r="AY48" s="509">
        <f ca="1">IFERROR(__xludf.DUMMYFUNCTION("""COMPUTED_VALUE"""),4200000)</f>
        <v>4200000</v>
      </c>
      <c r="AZ48" s="509" t="str">
        <f ca="1">IFERROR(__xludf.DUMMYFUNCTION("""COMPUTED_VALUE"""),"set")</f>
        <v>set</v>
      </c>
      <c r="BA48" s="513" t="str">
        <f ca="1">IFERROR(__xludf.DUMMYFUNCTION("""COMPUTED_VALUE"""),"all")</f>
        <v>all</v>
      </c>
      <c r="BB48" s="508"/>
      <c r="BC48" s="509"/>
      <c r="BD48" s="509"/>
      <c r="BE48" s="509"/>
      <c r="BF48" s="509"/>
      <c r="BG48" s="509"/>
      <c r="BH48" s="509"/>
      <c r="BI48" s="509"/>
      <c r="BJ48" s="509"/>
      <c r="BK48" s="509"/>
      <c r="BL48" s="509"/>
      <c r="BM48" s="509"/>
      <c r="BN48" s="514"/>
      <c r="BO48" s="510"/>
      <c r="BP48" s="509"/>
      <c r="BQ48" s="509"/>
      <c r="BR48" s="509"/>
      <c r="BS48" s="509"/>
      <c r="BT48" s="509"/>
      <c r="BU48" s="509"/>
      <c r="BV48" s="509"/>
      <c r="BW48" s="509"/>
      <c r="BX48" s="509"/>
      <c r="BY48" s="509"/>
      <c r="BZ48" s="509"/>
      <c r="CA48" s="514"/>
      <c r="CB48" s="510"/>
      <c r="CC48" s="509"/>
      <c r="CD48" s="509"/>
      <c r="CE48" s="509"/>
      <c r="CF48" s="509"/>
      <c r="CG48" s="509"/>
      <c r="CH48" s="509"/>
      <c r="CI48" s="509"/>
      <c r="CJ48" s="509"/>
      <c r="CK48" s="509"/>
      <c r="CL48" s="509"/>
      <c r="CM48" s="509"/>
      <c r="CN48" s="514"/>
      <c r="CO48" s="509"/>
      <c r="CP48" s="509"/>
      <c r="CQ48" s="509"/>
      <c r="CR48" s="509"/>
      <c r="CS48" s="509"/>
      <c r="CT48" s="509"/>
      <c r="CU48" s="509"/>
      <c r="CV48" s="509"/>
      <c r="CW48" s="509"/>
      <c r="CX48" s="509"/>
      <c r="CY48" s="509"/>
      <c r="CZ48" s="509"/>
      <c r="DA48" s="514"/>
      <c r="DB48" s="509"/>
      <c r="DC48" s="509"/>
      <c r="DD48" s="509"/>
      <c r="DE48" s="509"/>
      <c r="DF48" s="509"/>
      <c r="DG48" s="509"/>
      <c r="DH48" s="509"/>
      <c r="DI48" s="509"/>
      <c r="DJ48" s="509"/>
      <c r="DK48" s="509"/>
      <c r="DL48" s="509"/>
      <c r="DM48" s="509"/>
      <c r="DN48" s="515"/>
      <c r="DO48" s="509"/>
      <c r="DP48" s="509"/>
      <c r="DQ48" s="509"/>
      <c r="DR48" s="509"/>
      <c r="DS48" s="509"/>
      <c r="DT48" s="509"/>
      <c r="DU48" s="509"/>
      <c r="DV48" s="509"/>
      <c r="DW48" s="509"/>
      <c r="DX48" s="509"/>
      <c r="DY48" s="509"/>
      <c r="DZ48" s="509"/>
      <c r="EA48" s="509"/>
      <c r="EB48" s="509"/>
      <c r="EC48" s="510"/>
      <c r="ED48" s="509"/>
      <c r="EE48" s="509"/>
      <c r="EF48" s="509"/>
      <c r="EG48" s="509"/>
      <c r="EH48" s="509"/>
      <c r="EI48" s="509"/>
      <c r="EJ48" s="509"/>
      <c r="EK48" s="509"/>
      <c r="EL48" s="509"/>
      <c r="EM48" s="509"/>
      <c r="EN48" s="509"/>
      <c r="EO48" s="509"/>
      <c r="EP48" s="509"/>
      <c r="EQ48" s="508"/>
      <c r="ER48" s="509"/>
      <c r="ES48" s="509"/>
      <c r="ET48" s="509"/>
      <c r="EU48" s="509"/>
      <c r="EV48" s="509"/>
      <c r="EW48" s="509"/>
      <c r="EX48" s="509"/>
      <c r="EY48" s="509"/>
      <c r="EZ48" s="509"/>
      <c r="FA48" s="509"/>
      <c r="FB48" s="509"/>
      <c r="FC48" s="509"/>
      <c r="FD48" s="509"/>
      <c r="FE48" s="509"/>
      <c r="FF48" s="509"/>
      <c r="FG48" s="510"/>
      <c r="FH48" s="509"/>
      <c r="FI48" s="509"/>
      <c r="FJ48" s="509"/>
      <c r="FK48" s="509"/>
      <c r="FL48" s="509"/>
      <c r="FM48" s="509"/>
      <c r="FN48" s="509"/>
      <c r="FO48" s="509"/>
      <c r="FP48" s="509"/>
      <c r="FQ48" s="509"/>
      <c r="FR48" s="509"/>
      <c r="FS48" s="509"/>
      <c r="FT48" s="509"/>
      <c r="FU48" s="509"/>
      <c r="FV48" s="509"/>
      <c r="FW48" s="508"/>
      <c r="FX48" s="509"/>
      <c r="FY48" s="509"/>
      <c r="FZ48" s="509"/>
      <c r="GA48" s="511" t="str">
        <f ca="1">IFERROR(__xludf.DUMMYFUNCTION("""COMPUTED_VALUE"""),"total_points")</f>
        <v>total_points</v>
      </c>
      <c r="GB48" s="497">
        <f ca="1">IFERROR(__xludf.DUMMYFUNCTION("""COMPUTED_VALUE"""),4100000)</f>
        <v>4100000</v>
      </c>
      <c r="GC48" s="510"/>
      <c r="GD48" s="509"/>
      <c r="GE48" s="511"/>
      <c r="GF48" s="497"/>
      <c r="GG48" s="497"/>
      <c r="GH48" s="497" t="str">
        <f t="shared" si="1"/>
        <v>:</v>
      </c>
      <c r="GI48" s="510"/>
      <c r="GJ48" s="509"/>
      <c r="GK48" s="509"/>
    </row>
    <row r="49" spans="1:193" ht="15.75" customHeight="1" x14ac:dyDescent="0.15">
      <c r="A49" s="482" t="str">
        <f ca="1">IFERROR(__xludf.DUMMYFUNCTION("""COMPUTED_VALUE"""),"total_points level 43")</f>
        <v>total_points level 43</v>
      </c>
      <c r="B49" s="482" t="b">
        <f t="shared" ca="1" si="0"/>
        <v>0</v>
      </c>
      <c r="C49" s="507" t="str">
        <f ca="1">IFERROR(__xludf.DUMMYFUNCTION("""set""&amp;PROPER(index(SPLIT(GA49, ""_""), 0, 2))&amp;""ToLevel""&amp;AV49"),"setPointsToLevel43")</f>
        <v>setPointsToLevel43</v>
      </c>
      <c r="D49" s="507" t="str">
        <f ca="1">IFERROR(__xludf.DUMMYFUNCTION("""COMPUTED_VALUE"""),"rewardIfAllRequirementsMet")</f>
        <v>rewardIfAllRequirementsMet</v>
      </c>
      <c r="E49" s="497"/>
      <c r="F49" s="497"/>
      <c r="G49" s="508"/>
      <c r="H49" s="509"/>
      <c r="I49" s="509"/>
      <c r="J49" s="509"/>
      <c r="K49" s="509"/>
      <c r="L49" s="509"/>
      <c r="M49" s="497"/>
      <c r="N49" s="510"/>
      <c r="O49" s="497"/>
      <c r="P49" s="509"/>
      <c r="Q49" s="509"/>
      <c r="R49" s="509"/>
      <c r="S49" s="509"/>
      <c r="T49" s="509"/>
      <c r="U49" s="509"/>
      <c r="V49" s="509"/>
      <c r="W49" s="509"/>
      <c r="X49" s="509"/>
      <c r="Y49" s="509"/>
      <c r="Z49" s="509"/>
      <c r="AA49" s="497"/>
      <c r="AB49" s="509"/>
      <c r="AC49" s="510"/>
      <c r="AD49" s="509"/>
      <c r="AE49" s="509"/>
      <c r="AF49" s="509"/>
      <c r="AG49" s="509"/>
      <c r="AH49" s="509"/>
      <c r="AI49" s="508"/>
      <c r="AJ49" s="509"/>
      <c r="AK49" s="509"/>
      <c r="AL49" s="509"/>
      <c r="AM49" s="509"/>
      <c r="AN49" s="509"/>
      <c r="AO49" s="510"/>
      <c r="AP49" s="509"/>
      <c r="AQ49" s="509"/>
      <c r="AR49" s="509"/>
      <c r="AS49" s="509"/>
      <c r="AT49" s="509"/>
      <c r="AU49" s="511" t="str">
        <f ca="1">IFERROR(__xludf.DUMMYFUNCTION("""COMPUTED_VALUE"""),"levels.total_points.level")</f>
        <v>levels.total_points.level</v>
      </c>
      <c r="AV49" s="497">
        <f ca="1">IFERROR(__xludf.DUMMYFUNCTION("""COMPUTED_VALUE"""),43)</f>
        <v>43</v>
      </c>
      <c r="AW49" s="497" t="str">
        <f ca="1">IFERROR(__xludf.DUMMYFUNCTION("""COMPUTED_VALUE"""),"set")</f>
        <v>set</v>
      </c>
      <c r="AX49" s="510" t="str">
        <f ca="1">IFERROR(__xludf.DUMMYFUNCTION("""COMPUTED_VALUE"""),"levels.total_points.valueNeededForNextLevel")</f>
        <v>levels.total_points.valueNeededForNextLevel</v>
      </c>
      <c r="AY49" s="509">
        <f ca="1">IFERROR(__xludf.DUMMYFUNCTION("""COMPUTED_VALUE"""),4300000)</f>
        <v>4300000</v>
      </c>
      <c r="AZ49" s="509" t="str">
        <f ca="1">IFERROR(__xludf.DUMMYFUNCTION("""COMPUTED_VALUE"""),"set")</f>
        <v>set</v>
      </c>
      <c r="BA49" s="513" t="str">
        <f ca="1">IFERROR(__xludf.DUMMYFUNCTION("""COMPUTED_VALUE"""),"all")</f>
        <v>all</v>
      </c>
      <c r="BB49" s="508"/>
      <c r="BC49" s="509"/>
      <c r="BD49" s="509"/>
      <c r="BE49" s="509"/>
      <c r="BF49" s="509"/>
      <c r="BG49" s="509"/>
      <c r="BH49" s="509"/>
      <c r="BI49" s="509"/>
      <c r="BJ49" s="509"/>
      <c r="BK49" s="509"/>
      <c r="BL49" s="509"/>
      <c r="BM49" s="509"/>
      <c r="BN49" s="514"/>
      <c r="BO49" s="510"/>
      <c r="BP49" s="509"/>
      <c r="BQ49" s="509"/>
      <c r="BR49" s="509"/>
      <c r="BS49" s="509"/>
      <c r="BT49" s="509"/>
      <c r="BU49" s="509"/>
      <c r="BV49" s="509"/>
      <c r="BW49" s="509"/>
      <c r="BX49" s="509"/>
      <c r="BY49" s="509"/>
      <c r="BZ49" s="509"/>
      <c r="CA49" s="514"/>
      <c r="CB49" s="510"/>
      <c r="CC49" s="509"/>
      <c r="CD49" s="509"/>
      <c r="CE49" s="509"/>
      <c r="CF49" s="509"/>
      <c r="CG49" s="509"/>
      <c r="CH49" s="509"/>
      <c r="CI49" s="509"/>
      <c r="CJ49" s="509"/>
      <c r="CK49" s="509"/>
      <c r="CL49" s="509"/>
      <c r="CM49" s="509"/>
      <c r="CN49" s="514"/>
      <c r="CO49" s="509"/>
      <c r="CP49" s="509"/>
      <c r="CQ49" s="509"/>
      <c r="CR49" s="509"/>
      <c r="CS49" s="509"/>
      <c r="CT49" s="509"/>
      <c r="CU49" s="509"/>
      <c r="CV49" s="509"/>
      <c r="CW49" s="509"/>
      <c r="CX49" s="509"/>
      <c r="CY49" s="509"/>
      <c r="CZ49" s="509"/>
      <c r="DA49" s="514"/>
      <c r="DB49" s="509"/>
      <c r="DC49" s="509"/>
      <c r="DD49" s="509"/>
      <c r="DE49" s="509"/>
      <c r="DF49" s="509"/>
      <c r="DG49" s="509"/>
      <c r="DH49" s="509"/>
      <c r="DI49" s="509"/>
      <c r="DJ49" s="509"/>
      <c r="DK49" s="509"/>
      <c r="DL49" s="509"/>
      <c r="DM49" s="509"/>
      <c r="DN49" s="515"/>
      <c r="DO49" s="509"/>
      <c r="DP49" s="509"/>
      <c r="DQ49" s="509"/>
      <c r="DR49" s="509"/>
      <c r="DS49" s="509"/>
      <c r="DT49" s="509"/>
      <c r="DU49" s="509"/>
      <c r="DV49" s="509"/>
      <c r="DW49" s="509"/>
      <c r="DX49" s="509"/>
      <c r="DY49" s="509"/>
      <c r="DZ49" s="509"/>
      <c r="EA49" s="509"/>
      <c r="EB49" s="509"/>
      <c r="EC49" s="510"/>
      <c r="ED49" s="509"/>
      <c r="EE49" s="509"/>
      <c r="EF49" s="509"/>
      <c r="EG49" s="509"/>
      <c r="EH49" s="509"/>
      <c r="EI49" s="509"/>
      <c r="EJ49" s="509"/>
      <c r="EK49" s="509"/>
      <c r="EL49" s="509"/>
      <c r="EM49" s="509"/>
      <c r="EN49" s="509"/>
      <c r="EO49" s="509"/>
      <c r="EP49" s="509"/>
      <c r="EQ49" s="508"/>
      <c r="ER49" s="509"/>
      <c r="ES49" s="509"/>
      <c r="ET49" s="509"/>
      <c r="EU49" s="509"/>
      <c r="EV49" s="509"/>
      <c r="EW49" s="509"/>
      <c r="EX49" s="509"/>
      <c r="EY49" s="509"/>
      <c r="EZ49" s="509"/>
      <c r="FA49" s="509"/>
      <c r="FB49" s="509"/>
      <c r="FC49" s="509"/>
      <c r="FD49" s="509"/>
      <c r="FE49" s="509"/>
      <c r="FF49" s="509"/>
      <c r="FG49" s="510"/>
      <c r="FH49" s="509"/>
      <c r="FI49" s="509"/>
      <c r="FJ49" s="509"/>
      <c r="FK49" s="509"/>
      <c r="FL49" s="509"/>
      <c r="FM49" s="509"/>
      <c r="FN49" s="509"/>
      <c r="FO49" s="509"/>
      <c r="FP49" s="509"/>
      <c r="FQ49" s="509"/>
      <c r="FR49" s="509"/>
      <c r="FS49" s="509"/>
      <c r="FT49" s="509"/>
      <c r="FU49" s="509"/>
      <c r="FV49" s="509"/>
      <c r="FW49" s="508"/>
      <c r="FX49" s="509"/>
      <c r="FY49" s="509"/>
      <c r="FZ49" s="509"/>
      <c r="GA49" s="511" t="str">
        <f ca="1">IFERROR(__xludf.DUMMYFUNCTION("""COMPUTED_VALUE"""),"total_points")</f>
        <v>total_points</v>
      </c>
      <c r="GB49" s="497">
        <f ca="1">IFERROR(__xludf.DUMMYFUNCTION("""COMPUTED_VALUE"""),4200000)</f>
        <v>4200000</v>
      </c>
      <c r="GC49" s="510"/>
      <c r="GD49" s="509"/>
      <c r="GE49" s="511"/>
      <c r="GF49" s="497"/>
      <c r="GG49" s="497"/>
      <c r="GH49" s="497" t="str">
        <f t="shared" si="1"/>
        <v>:</v>
      </c>
      <c r="GI49" s="510"/>
      <c r="GJ49" s="509"/>
      <c r="GK49" s="509"/>
    </row>
    <row r="50" spans="1:193" ht="15.75" customHeight="1" x14ac:dyDescent="0.15">
      <c r="A50" s="482" t="str">
        <f ca="1">IFERROR(__xludf.DUMMYFUNCTION("""COMPUTED_VALUE"""),"total_points level 44")</f>
        <v>total_points level 44</v>
      </c>
      <c r="B50" s="482" t="b">
        <f t="shared" ca="1" si="0"/>
        <v>0</v>
      </c>
      <c r="C50" s="507" t="str">
        <f ca="1">IFERROR(__xludf.DUMMYFUNCTION("""set""&amp;PROPER(index(SPLIT(GA50, ""_""), 0, 2))&amp;""ToLevel""&amp;AV50"),"setPointsToLevel44")</f>
        <v>setPointsToLevel44</v>
      </c>
      <c r="D50" s="507" t="str">
        <f ca="1">IFERROR(__xludf.DUMMYFUNCTION("""COMPUTED_VALUE"""),"rewardIfAllRequirementsMet")</f>
        <v>rewardIfAllRequirementsMet</v>
      </c>
      <c r="E50" s="497"/>
      <c r="F50" s="497"/>
      <c r="G50" s="508"/>
      <c r="H50" s="509"/>
      <c r="I50" s="509"/>
      <c r="J50" s="509"/>
      <c r="K50" s="509"/>
      <c r="L50" s="509"/>
      <c r="M50" s="497"/>
      <c r="N50" s="510"/>
      <c r="O50" s="497"/>
      <c r="P50" s="509"/>
      <c r="Q50" s="509"/>
      <c r="R50" s="509"/>
      <c r="S50" s="509"/>
      <c r="T50" s="509"/>
      <c r="U50" s="509"/>
      <c r="V50" s="509"/>
      <c r="W50" s="509"/>
      <c r="X50" s="509"/>
      <c r="Y50" s="509"/>
      <c r="Z50" s="509"/>
      <c r="AA50" s="497"/>
      <c r="AB50" s="509"/>
      <c r="AC50" s="510"/>
      <c r="AD50" s="509"/>
      <c r="AE50" s="509"/>
      <c r="AF50" s="509"/>
      <c r="AG50" s="509"/>
      <c r="AH50" s="509"/>
      <c r="AI50" s="508"/>
      <c r="AJ50" s="509"/>
      <c r="AK50" s="509"/>
      <c r="AL50" s="509"/>
      <c r="AM50" s="509"/>
      <c r="AN50" s="509"/>
      <c r="AO50" s="510"/>
      <c r="AP50" s="509"/>
      <c r="AQ50" s="509"/>
      <c r="AR50" s="509"/>
      <c r="AS50" s="509"/>
      <c r="AT50" s="509"/>
      <c r="AU50" s="511" t="str">
        <f ca="1">IFERROR(__xludf.DUMMYFUNCTION("""COMPUTED_VALUE"""),"levels.total_points.level")</f>
        <v>levels.total_points.level</v>
      </c>
      <c r="AV50" s="497">
        <f ca="1">IFERROR(__xludf.DUMMYFUNCTION("""COMPUTED_VALUE"""),44)</f>
        <v>44</v>
      </c>
      <c r="AW50" s="497" t="str">
        <f ca="1">IFERROR(__xludf.DUMMYFUNCTION("""COMPUTED_VALUE"""),"set")</f>
        <v>set</v>
      </c>
      <c r="AX50" s="510" t="str">
        <f ca="1">IFERROR(__xludf.DUMMYFUNCTION("""COMPUTED_VALUE"""),"levels.total_points.valueNeededForNextLevel")</f>
        <v>levels.total_points.valueNeededForNextLevel</v>
      </c>
      <c r="AY50" s="509">
        <f ca="1">IFERROR(__xludf.DUMMYFUNCTION("""COMPUTED_VALUE"""),4400000)</f>
        <v>4400000</v>
      </c>
      <c r="AZ50" s="509" t="str">
        <f ca="1">IFERROR(__xludf.DUMMYFUNCTION("""COMPUTED_VALUE"""),"set")</f>
        <v>set</v>
      </c>
      <c r="BA50" s="513" t="str">
        <f ca="1">IFERROR(__xludf.DUMMYFUNCTION("""COMPUTED_VALUE"""),"all")</f>
        <v>all</v>
      </c>
      <c r="BB50" s="508"/>
      <c r="BC50" s="509"/>
      <c r="BD50" s="509"/>
      <c r="BE50" s="509"/>
      <c r="BF50" s="509"/>
      <c r="BG50" s="509"/>
      <c r="BH50" s="509"/>
      <c r="BI50" s="509"/>
      <c r="BJ50" s="509"/>
      <c r="BK50" s="509"/>
      <c r="BL50" s="509"/>
      <c r="BM50" s="509"/>
      <c r="BN50" s="514"/>
      <c r="BO50" s="510"/>
      <c r="BP50" s="509"/>
      <c r="BQ50" s="509"/>
      <c r="BR50" s="509"/>
      <c r="BS50" s="509"/>
      <c r="BT50" s="509"/>
      <c r="BU50" s="509"/>
      <c r="BV50" s="509"/>
      <c r="BW50" s="509"/>
      <c r="BX50" s="509"/>
      <c r="BY50" s="509"/>
      <c r="BZ50" s="509"/>
      <c r="CA50" s="514"/>
      <c r="CB50" s="510"/>
      <c r="CC50" s="509"/>
      <c r="CD50" s="509"/>
      <c r="CE50" s="509"/>
      <c r="CF50" s="509"/>
      <c r="CG50" s="509"/>
      <c r="CH50" s="509"/>
      <c r="CI50" s="509"/>
      <c r="CJ50" s="509"/>
      <c r="CK50" s="509"/>
      <c r="CL50" s="509"/>
      <c r="CM50" s="509"/>
      <c r="CN50" s="514"/>
      <c r="CO50" s="509"/>
      <c r="CP50" s="509"/>
      <c r="CQ50" s="509"/>
      <c r="CR50" s="509"/>
      <c r="CS50" s="509"/>
      <c r="CT50" s="509"/>
      <c r="CU50" s="509"/>
      <c r="CV50" s="509"/>
      <c r="CW50" s="509"/>
      <c r="CX50" s="509"/>
      <c r="CY50" s="509"/>
      <c r="CZ50" s="509"/>
      <c r="DA50" s="514"/>
      <c r="DB50" s="509"/>
      <c r="DC50" s="509"/>
      <c r="DD50" s="509"/>
      <c r="DE50" s="509"/>
      <c r="DF50" s="509"/>
      <c r="DG50" s="509"/>
      <c r="DH50" s="509"/>
      <c r="DI50" s="509"/>
      <c r="DJ50" s="509"/>
      <c r="DK50" s="509"/>
      <c r="DL50" s="509"/>
      <c r="DM50" s="509"/>
      <c r="DN50" s="515"/>
      <c r="DO50" s="509"/>
      <c r="DP50" s="509"/>
      <c r="DQ50" s="509"/>
      <c r="DR50" s="509"/>
      <c r="DS50" s="509"/>
      <c r="DT50" s="509"/>
      <c r="DU50" s="509"/>
      <c r="DV50" s="509"/>
      <c r="DW50" s="509"/>
      <c r="DX50" s="509"/>
      <c r="DY50" s="509"/>
      <c r="DZ50" s="509"/>
      <c r="EA50" s="509"/>
      <c r="EB50" s="509"/>
      <c r="EC50" s="510"/>
      <c r="ED50" s="509"/>
      <c r="EE50" s="509"/>
      <c r="EF50" s="509"/>
      <c r="EG50" s="509"/>
      <c r="EH50" s="509"/>
      <c r="EI50" s="509"/>
      <c r="EJ50" s="509"/>
      <c r="EK50" s="509"/>
      <c r="EL50" s="509"/>
      <c r="EM50" s="509"/>
      <c r="EN50" s="509"/>
      <c r="EO50" s="509"/>
      <c r="EP50" s="509"/>
      <c r="EQ50" s="508"/>
      <c r="ER50" s="509"/>
      <c r="ES50" s="509"/>
      <c r="ET50" s="509"/>
      <c r="EU50" s="509"/>
      <c r="EV50" s="509"/>
      <c r="EW50" s="509"/>
      <c r="EX50" s="509"/>
      <c r="EY50" s="509"/>
      <c r="EZ50" s="509"/>
      <c r="FA50" s="509"/>
      <c r="FB50" s="509"/>
      <c r="FC50" s="509"/>
      <c r="FD50" s="509"/>
      <c r="FE50" s="509"/>
      <c r="FF50" s="509"/>
      <c r="FG50" s="510"/>
      <c r="FH50" s="509"/>
      <c r="FI50" s="509"/>
      <c r="FJ50" s="509"/>
      <c r="FK50" s="509"/>
      <c r="FL50" s="509"/>
      <c r="FM50" s="509"/>
      <c r="FN50" s="509"/>
      <c r="FO50" s="509"/>
      <c r="FP50" s="509"/>
      <c r="FQ50" s="509"/>
      <c r="FR50" s="509"/>
      <c r="FS50" s="509"/>
      <c r="FT50" s="509"/>
      <c r="FU50" s="509"/>
      <c r="FV50" s="509"/>
      <c r="FW50" s="508"/>
      <c r="FX50" s="509"/>
      <c r="FY50" s="509"/>
      <c r="FZ50" s="509"/>
      <c r="GA50" s="511" t="str">
        <f ca="1">IFERROR(__xludf.DUMMYFUNCTION("""COMPUTED_VALUE"""),"total_points")</f>
        <v>total_points</v>
      </c>
      <c r="GB50" s="497">
        <f ca="1">IFERROR(__xludf.DUMMYFUNCTION("""COMPUTED_VALUE"""),4300000)</f>
        <v>4300000</v>
      </c>
      <c r="GC50" s="510"/>
      <c r="GD50" s="509"/>
      <c r="GE50" s="511"/>
      <c r="GF50" s="497"/>
      <c r="GG50" s="497"/>
      <c r="GH50" s="497" t="str">
        <f t="shared" si="1"/>
        <v>:</v>
      </c>
      <c r="GI50" s="510"/>
      <c r="GJ50" s="509"/>
      <c r="GK50" s="509"/>
    </row>
    <row r="51" spans="1:193" ht="15.75" customHeight="1" x14ac:dyDescent="0.15">
      <c r="A51" s="482" t="str">
        <f ca="1">IFERROR(__xludf.DUMMYFUNCTION("""COMPUTED_VALUE"""),"total_points level 45")</f>
        <v>total_points level 45</v>
      </c>
      <c r="B51" s="482" t="b">
        <f t="shared" ca="1" si="0"/>
        <v>0</v>
      </c>
      <c r="C51" s="507" t="str">
        <f ca="1">IFERROR(__xludf.DUMMYFUNCTION("""set""&amp;PROPER(index(SPLIT(GA51, ""_""), 0, 2))&amp;""ToLevel""&amp;AV51"),"setPointsToLevel45")</f>
        <v>setPointsToLevel45</v>
      </c>
      <c r="D51" s="507" t="str">
        <f ca="1">IFERROR(__xludf.DUMMYFUNCTION("""COMPUTED_VALUE"""),"rewardIfAllRequirementsMet")</f>
        <v>rewardIfAllRequirementsMet</v>
      </c>
      <c r="E51" s="497"/>
      <c r="F51" s="497"/>
      <c r="G51" s="508"/>
      <c r="H51" s="509"/>
      <c r="I51" s="509"/>
      <c r="J51" s="509"/>
      <c r="K51" s="509"/>
      <c r="L51" s="509"/>
      <c r="M51" s="497"/>
      <c r="N51" s="510"/>
      <c r="O51" s="497"/>
      <c r="P51" s="509"/>
      <c r="Q51" s="509"/>
      <c r="R51" s="509"/>
      <c r="S51" s="509"/>
      <c r="T51" s="509"/>
      <c r="U51" s="509"/>
      <c r="V51" s="509"/>
      <c r="W51" s="509"/>
      <c r="X51" s="509"/>
      <c r="Y51" s="509"/>
      <c r="Z51" s="509"/>
      <c r="AA51" s="497"/>
      <c r="AB51" s="509"/>
      <c r="AC51" s="510"/>
      <c r="AD51" s="509"/>
      <c r="AE51" s="509"/>
      <c r="AF51" s="509"/>
      <c r="AG51" s="509"/>
      <c r="AH51" s="509"/>
      <c r="AI51" s="508"/>
      <c r="AJ51" s="509"/>
      <c r="AK51" s="509"/>
      <c r="AL51" s="509"/>
      <c r="AM51" s="509"/>
      <c r="AN51" s="509"/>
      <c r="AO51" s="510"/>
      <c r="AP51" s="509"/>
      <c r="AQ51" s="509"/>
      <c r="AR51" s="509"/>
      <c r="AS51" s="509"/>
      <c r="AT51" s="509"/>
      <c r="AU51" s="511" t="str">
        <f ca="1">IFERROR(__xludf.DUMMYFUNCTION("""COMPUTED_VALUE"""),"levels.total_points.level")</f>
        <v>levels.total_points.level</v>
      </c>
      <c r="AV51" s="497">
        <f ca="1">IFERROR(__xludf.DUMMYFUNCTION("""COMPUTED_VALUE"""),45)</f>
        <v>45</v>
      </c>
      <c r="AW51" s="497" t="str">
        <f ca="1">IFERROR(__xludf.DUMMYFUNCTION("""COMPUTED_VALUE"""),"set")</f>
        <v>set</v>
      </c>
      <c r="AX51" s="510" t="str">
        <f ca="1">IFERROR(__xludf.DUMMYFUNCTION("""COMPUTED_VALUE"""),"levels.total_points.valueNeededForNextLevel")</f>
        <v>levels.total_points.valueNeededForNextLevel</v>
      </c>
      <c r="AY51" s="509">
        <f ca="1">IFERROR(__xludf.DUMMYFUNCTION("""COMPUTED_VALUE"""),4500000)</f>
        <v>4500000</v>
      </c>
      <c r="AZ51" s="509" t="str">
        <f ca="1">IFERROR(__xludf.DUMMYFUNCTION("""COMPUTED_VALUE"""),"set")</f>
        <v>set</v>
      </c>
      <c r="BA51" s="513" t="str">
        <f ca="1">IFERROR(__xludf.DUMMYFUNCTION("""COMPUTED_VALUE"""),"all")</f>
        <v>all</v>
      </c>
      <c r="BB51" s="508"/>
      <c r="BC51" s="509"/>
      <c r="BD51" s="509"/>
      <c r="BE51" s="509"/>
      <c r="BF51" s="509"/>
      <c r="BG51" s="509"/>
      <c r="BH51" s="509"/>
      <c r="BI51" s="509"/>
      <c r="BJ51" s="509"/>
      <c r="BK51" s="509"/>
      <c r="BL51" s="509"/>
      <c r="BM51" s="509"/>
      <c r="BN51" s="514"/>
      <c r="BO51" s="510"/>
      <c r="BP51" s="509"/>
      <c r="BQ51" s="509"/>
      <c r="BR51" s="509"/>
      <c r="BS51" s="509"/>
      <c r="BT51" s="509"/>
      <c r="BU51" s="509"/>
      <c r="BV51" s="509"/>
      <c r="BW51" s="509"/>
      <c r="BX51" s="509"/>
      <c r="BY51" s="509"/>
      <c r="BZ51" s="509"/>
      <c r="CA51" s="514"/>
      <c r="CB51" s="510"/>
      <c r="CC51" s="509"/>
      <c r="CD51" s="509"/>
      <c r="CE51" s="509"/>
      <c r="CF51" s="509"/>
      <c r="CG51" s="509"/>
      <c r="CH51" s="509"/>
      <c r="CI51" s="509"/>
      <c r="CJ51" s="509"/>
      <c r="CK51" s="509"/>
      <c r="CL51" s="509"/>
      <c r="CM51" s="509"/>
      <c r="CN51" s="514"/>
      <c r="CO51" s="509"/>
      <c r="CP51" s="509"/>
      <c r="CQ51" s="509"/>
      <c r="CR51" s="509"/>
      <c r="CS51" s="509"/>
      <c r="CT51" s="509"/>
      <c r="CU51" s="509"/>
      <c r="CV51" s="509"/>
      <c r="CW51" s="509"/>
      <c r="CX51" s="509"/>
      <c r="CY51" s="509"/>
      <c r="CZ51" s="509"/>
      <c r="DA51" s="514"/>
      <c r="DB51" s="509"/>
      <c r="DC51" s="509"/>
      <c r="DD51" s="509"/>
      <c r="DE51" s="509"/>
      <c r="DF51" s="509"/>
      <c r="DG51" s="509"/>
      <c r="DH51" s="509"/>
      <c r="DI51" s="509"/>
      <c r="DJ51" s="509"/>
      <c r="DK51" s="509"/>
      <c r="DL51" s="509"/>
      <c r="DM51" s="509"/>
      <c r="DN51" s="515"/>
      <c r="DO51" s="509"/>
      <c r="DP51" s="509"/>
      <c r="DQ51" s="509"/>
      <c r="DR51" s="509"/>
      <c r="DS51" s="509"/>
      <c r="DT51" s="509"/>
      <c r="DU51" s="509"/>
      <c r="DV51" s="509"/>
      <c r="DW51" s="509"/>
      <c r="DX51" s="509"/>
      <c r="DY51" s="509"/>
      <c r="DZ51" s="509"/>
      <c r="EA51" s="509"/>
      <c r="EB51" s="509"/>
      <c r="EC51" s="510"/>
      <c r="ED51" s="509"/>
      <c r="EE51" s="509"/>
      <c r="EF51" s="509"/>
      <c r="EG51" s="509"/>
      <c r="EH51" s="509"/>
      <c r="EI51" s="509"/>
      <c r="EJ51" s="509"/>
      <c r="EK51" s="509"/>
      <c r="EL51" s="509"/>
      <c r="EM51" s="509"/>
      <c r="EN51" s="509"/>
      <c r="EO51" s="509"/>
      <c r="EP51" s="509"/>
      <c r="EQ51" s="508"/>
      <c r="ER51" s="509"/>
      <c r="ES51" s="509"/>
      <c r="ET51" s="509"/>
      <c r="EU51" s="509"/>
      <c r="EV51" s="509"/>
      <c r="EW51" s="509"/>
      <c r="EX51" s="509"/>
      <c r="EY51" s="509"/>
      <c r="EZ51" s="509"/>
      <c r="FA51" s="509"/>
      <c r="FB51" s="509"/>
      <c r="FC51" s="509"/>
      <c r="FD51" s="509"/>
      <c r="FE51" s="509"/>
      <c r="FF51" s="509"/>
      <c r="FG51" s="510"/>
      <c r="FH51" s="509"/>
      <c r="FI51" s="509"/>
      <c r="FJ51" s="509"/>
      <c r="FK51" s="509"/>
      <c r="FL51" s="509"/>
      <c r="FM51" s="509"/>
      <c r="FN51" s="509"/>
      <c r="FO51" s="509"/>
      <c r="FP51" s="509"/>
      <c r="FQ51" s="509"/>
      <c r="FR51" s="509"/>
      <c r="FS51" s="509"/>
      <c r="FT51" s="509"/>
      <c r="FU51" s="509"/>
      <c r="FV51" s="509"/>
      <c r="FW51" s="508"/>
      <c r="FX51" s="509"/>
      <c r="FY51" s="509"/>
      <c r="FZ51" s="509"/>
      <c r="GA51" s="511" t="str">
        <f ca="1">IFERROR(__xludf.DUMMYFUNCTION("""COMPUTED_VALUE"""),"total_points")</f>
        <v>total_points</v>
      </c>
      <c r="GB51" s="497">
        <f ca="1">IFERROR(__xludf.DUMMYFUNCTION("""COMPUTED_VALUE"""),4400000)</f>
        <v>4400000</v>
      </c>
      <c r="GC51" s="510"/>
      <c r="GD51" s="509"/>
      <c r="GE51" s="511"/>
      <c r="GF51" s="497"/>
      <c r="GG51" s="497"/>
      <c r="GH51" s="497" t="str">
        <f t="shared" si="1"/>
        <v>:</v>
      </c>
      <c r="GI51" s="510"/>
      <c r="GJ51" s="509"/>
      <c r="GK51" s="509"/>
    </row>
    <row r="52" spans="1:193" ht="15.75" customHeight="1" x14ac:dyDescent="0.15">
      <c r="A52" s="482" t="str">
        <f ca="1">IFERROR(__xludf.DUMMYFUNCTION("""COMPUTED_VALUE"""),"total_points level 46")</f>
        <v>total_points level 46</v>
      </c>
      <c r="B52" s="482" t="b">
        <f t="shared" ca="1" si="0"/>
        <v>0</v>
      </c>
      <c r="C52" s="507" t="str">
        <f ca="1">IFERROR(__xludf.DUMMYFUNCTION("""set""&amp;PROPER(index(SPLIT(GA52, ""_""), 0, 2))&amp;""ToLevel""&amp;AV52"),"setPointsToLevel46")</f>
        <v>setPointsToLevel46</v>
      </c>
      <c r="D52" s="507" t="str">
        <f ca="1">IFERROR(__xludf.DUMMYFUNCTION("""COMPUTED_VALUE"""),"rewardIfAllRequirementsMet")</f>
        <v>rewardIfAllRequirementsMet</v>
      </c>
      <c r="E52" s="497"/>
      <c r="F52" s="497"/>
      <c r="G52" s="508"/>
      <c r="H52" s="509"/>
      <c r="I52" s="509"/>
      <c r="J52" s="509"/>
      <c r="K52" s="509"/>
      <c r="L52" s="509"/>
      <c r="M52" s="497"/>
      <c r="N52" s="510"/>
      <c r="O52" s="497"/>
      <c r="P52" s="509"/>
      <c r="Q52" s="509"/>
      <c r="R52" s="509"/>
      <c r="S52" s="509"/>
      <c r="T52" s="509"/>
      <c r="U52" s="509"/>
      <c r="V52" s="509"/>
      <c r="W52" s="509"/>
      <c r="X52" s="509"/>
      <c r="Y52" s="509"/>
      <c r="Z52" s="509"/>
      <c r="AA52" s="497"/>
      <c r="AB52" s="509"/>
      <c r="AC52" s="510"/>
      <c r="AD52" s="509"/>
      <c r="AE52" s="509"/>
      <c r="AF52" s="509"/>
      <c r="AG52" s="509"/>
      <c r="AH52" s="509"/>
      <c r="AI52" s="508"/>
      <c r="AJ52" s="509"/>
      <c r="AK52" s="509"/>
      <c r="AL52" s="509"/>
      <c r="AM52" s="509"/>
      <c r="AN52" s="509"/>
      <c r="AO52" s="510"/>
      <c r="AP52" s="509"/>
      <c r="AQ52" s="509"/>
      <c r="AR52" s="509"/>
      <c r="AS52" s="509"/>
      <c r="AT52" s="509"/>
      <c r="AU52" s="511" t="str">
        <f ca="1">IFERROR(__xludf.DUMMYFUNCTION("""COMPUTED_VALUE"""),"levels.total_points.level")</f>
        <v>levels.total_points.level</v>
      </c>
      <c r="AV52" s="497">
        <f ca="1">IFERROR(__xludf.DUMMYFUNCTION("""COMPUTED_VALUE"""),46)</f>
        <v>46</v>
      </c>
      <c r="AW52" s="497" t="str">
        <f ca="1">IFERROR(__xludf.DUMMYFUNCTION("""COMPUTED_VALUE"""),"set")</f>
        <v>set</v>
      </c>
      <c r="AX52" s="510" t="str">
        <f ca="1">IFERROR(__xludf.DUMMYFUNCTION("""COMPUTED_VALUE"""),"levels.total_points.valueNeededForNextLevel")</f>
        <v>levels.total_points.valueNeededForNextLevel</v>
      </c>
      <c r="AY52" s="509">
        <f ca="1">IFERROR(__xludf.DUMMYFUNCTION("""COMPUTED_VALUE"""),4600000)</f>
        <v>4600000</v>
      </c>
      <c r="AZ52" s="509" t="str">
        <f ca="1">IFERROR(__xludf.DUMMYFUNCTION("""COMPUTED_VALUE"""),"set")</f>
        <v>set</v>
      </c>
      <c r="BA52" s="513" t="str">
        <f ca="1">IFERROR(__xludf.DUMMYFUNCTION("""COMPUTED_VALUE"""),"all")</f>
        <v>all</v>
      </c>
      <c r="BB52" s="508"/>
      <c r="BC52" s="509"/>
      <c r="BD52" s="509"/>
      <c r="BE52" s="509"/>
      <c r="BF52" s="509"/>
      <c r="BG52" s="509"/>
      <c r="BH52" s="509"/>
      <c r="BI52" s="509"/>
      <c r="BJ52" s="509"/>
      <c r="BK52" s="509"/>
      <c r="BL52" s="509"/>
      <c r="BM52" s="509"/>
      <c r="BN52" s="514"/>
      <c r="BO52" s="510"/>
      <c r="BP52" s="509"/>
      <c r="BQ52" s="509"/>
      <c r="BR52" s="509"/>
      <c r="BS52" s="509"/>
      <c r="BT52" s="509"/>
      <c r="BU52" s="509"/>
      <c r="BV52" s="509"/>
      <c r="BW52" s="509"/>
      <c r="BX52" s="509"/>
      <c r="BY52" s="509"/>
      <c r="BZ52" s="509"/>
      <c r="CA52" s="514"/>
      <c r="CB52" s="510"/>
      <c r="CC52" s="509"/>
      <c r="CD52" s="509"/>
      <c r="CE52" s="509"/>
      <c r="CF52" s="509"/>
      <c r="CG52" s="509"/>
      <c r="CH52" s="509"/>
      <c r="CI52" s="509"/>
      <c r="CJ52" s="509"/>
      <c r="CK52" s="509"/>
      <c r="CL52" s="509"/>
      <c r="CM52" s="509"/>
      <c r="CN52" s="514"/>
      <c r="CO52" s="509"/>
      <c r="CP52" s="509"/>
      <c r="CQ52" s="509"/>
      <c r="CR52" s="509"/>
      <c r="CS52" s="509"/>
      <c r="CT52" s="509"/>
      <c r="CU52" s="509"/>
      <c r="CV52" s="509"/>
      <c r="CW52" s="509"/>
      <c r="CX52" s="509"/>
      <c r="CY52" s="509"/>
      <c r="CZ52" s="509"/>
      <c r="DA52" s="514"/>
      <c r="DB52" s="509"/>
      <c r="DC52" s="509"/>
      <c r="DD52" s="509"/>
      <c r="DE52" s="509"/>
      <c r="DF52" s="509"/>
      <c r="DG52" s="509"/>
      <c r="DH52" s="509"/>
      <c r="DI52" s="509"/>
      <c r="DJ52" s="509"/>
      <c r="DK52" s="509"/>
      <c r="DL52" s="509"/>
      <c r="DM52" s="509"/>
      <c r="DN52" s="515"/>
      <c r="DO52" s="509"/>
      <c r="DP52" s="509"/>
      <c r="DQ52" s="509"/>
      <c r="DR52" s="509"/>
      <c r="DS52" s="509"/>
      <c r="DT52" s="509"/>
      <c r="DU52" s="509"/>
      <c r="DV52" s="509"/>
      <c r="DW52" s="509"/>
      <c r="DX52" s="509"/>
      <c r="DY52" s="509"/>
      <c r="DZ52" s="509"/>
      <c r="EA52" s="509"/>
      <c r="EB52" s="509"/>
      <c r="EC52" s="510"/>
      <c r="ED52" s="509"/>
      <c r="EE52" s="509"/>
      <c r="EF52" s="509"/>
      <c r="EG52" s="509"/>
      <c r="EH52" s="509"/>
      <c r="EI52" s="509"/>
      <c r="EJ52" s="509"/>
      <c r="EK52" s="509"/>
      <c r="EL52" s="509"/>
      <c r="EM52" s="509"/>
      <c r="EN52" s="509"/>
      <c r="EO52" s="509"/>
      <c r="EP52" s="509"/>
      <c r="EQ52" s="508"/>
      <c r="ER52" s="509"/>
      <c r="ES52" s="509"/>
      <c r="ET52" s="509"/>
      <c r="EU52" s="509"/>
      <c r="EV52" s="509"/>
      <c r="EW52" s="509"/>
      <c r="EX52" s="509"/>
      <c r="EY52" s="509"/>
      <c r="EZ52" s="509"/>
      <c r="FA52" s="509"/>
      <c r="FB52" s="509"/>
      <c r="FC52" s="509"/>
      <c r="FD52" s="509"/>
      <c r="FE52" s="509"/>
      <c r="FF52" s="509"/>
      <c r="FG52" s="510"/>
      <c r="FH52" s="509"/>
      <c r="FI52" s="509"/>
      <c r="FJ52" s="509"/>
      <c r="FK52" s="509"/>
      <c r="FL52" s="509"/>
      <c r="FM52" s="509"/>
      <c r="FN52" s="509"/>
      <c r="FO52" s="509"/>
      <c r="FP52" s="509"/>
      <c r="FQ52" s="509"/>
      <c r="FR52" s="509"/>
      <c r="FS52" s="509"/>
      <c r="FT52" s="509"/>
      <c r="FU52" s="509"/>
      <c r="FV52" s="509"/>
      <c r="FW52" s="508"/>
      <c r="FX52" s="509"/>
      <c r="FY52" s="509"/>
      <c r="FZ52" s="509"/>
      <c r="GA52" s="511" t="str">
        <f ca="1">IFERROR(__xludf.DUMMYFUNCTION("""COMPUTED_VALUE"""),"total_points")</f>
        <v>total_points</v>
      </c>
      <c r="GB52" s="497">
        <f ca="1">IFERROR(__xludf.DUMMYFUNCTION("""COMPUTED_VALUE"""),4500000)</f>
        <v>4500000</v>
      </c>
      <c r="GC52" s="510"/>
      <c r="GD52" s="509"/>
      <c r="GE52" s="511"/>
      <c r="GF52" s="497"/>
      <c r="GG52" s="497"/>
      <c r="GH52" s="497" t="str">
        <f t="shared" si="1"/>
        <v>:</v>
      </c>
      <c r="GI52" s="510"/>
      <c r="GJ52" s="509"/>
      <c r="GK52" s="509"/>
    </row>
    <row r="53" spans="1:193" ht="15.75" customHeight="1" x14ac:dyDescent="0.15">
      <c r="A53" s="482" t="str">
        <f ca="1">IFERROR(__xludf.DUMMYFUNCTION("""COMPUTED_VALUE"""),"total_points level 47")</f>
        <v>total_points level 47</v>
      </c>
      <c r="B53" s="482" t="b">
        <f t="shared" ca="1" si="0"/>
        <v>0</v>
      </c>
      <c r="C53" s="507" t="str">
        <f ca="1">IFERROR(__xludf.DUMMYFUNCTION("""set""&amp;PROPER(index(SPLIT(GA53, ""_""), 0, 2))&amp;""ToLevel""&amp;AV53"),"setPointsToLevel47")</f>
        <v>setPointsToLevel47</v>
      </c>
      <c r="D53" s="507" t="str">
        <f ca="1">IFERROR(__xludf.DUMMYFUNCTION("""COMPUTED_VALUE"""),"rewardIfAllRequirementsMet")</f>
        <v>rewardIfAllRequirementsMet</v>
      </c>
      <c r="E53" s="497"/>
      <c r="F53" s="497"/>
      <c r="G53" s="508"/>
      <c r="H53" s="509"/>
      <c r="I53" s="509"/>
      <c r="J53" s="509"/>
      <c r="K53" s="509"/>
      <c r="L53" s="509"/>
      <c r="M53" s="497"/>
      <c r="N53" s="510"/>
      <c r="O53" s="497"/>
      <c r="P53" s="509"/>
      <c r="Q53" s="509"/>
      <c r="R53" s="509"/>
      <c r="S53" s="509"/>
      <c r="T53" s="509"/>
      <c r="U53" s="509"/>
      <c r="V53" s="509"/>
      <c r="W53" s="509"/>
      <c r="X53" s="509"/>
      <c r="Y53" s="509"/>
      <c r="Z53" s="509"/>
      <c r="AA53" s="497"/>
      <c r="AB53" s="509"/>
      <c r="AC53" s="510"/>
      <c r="AD53" s="509"/>
      <c r="AE53" s="509"/>
      <c r="AF53" s="509"/>
      <c r="AG53" s="509"/>
      <c r="AH53" s="509"/>
      <c r="AI53" s="508"/>
      <c r="AJ53" s="509"/>
      <c r="AK53" s="509"/>
      <c r="AL53" s="509"/>
      <c r="AM53" s="509"/>
      <c r="AN53" s="509"/>
      <c r="AO53" s="510"/>
      <c r="AP53" s="509"/>
      <c r="AQ53" s="509"/>
      <c r="AR53" s="509"/>
      <c r="AS53" s="509"/>
      <c r="AT53" s="509"/>
      <c r="AU53" s="511" t="str">
        <f ca="1">IFERROR(__xludf.DUMMYFUNCTION("""COMPUTED_VALUE"""),"levels.total_points.level")</f>
        <v>levels.total_points.level</v>
      </c>
      <c r="AV53" s="497">
        <f ca="1">IFERROR(__xludf.DUMMYFUNCTION("""COMPUTED_VALUE"""),47)</f>
        <v>47</v>
      </c>
      <c r="AW53" s="497" t="str">
        <f ca="1">IFERROR(__xludf.DUMMYFUNCTION("""COMPUTED_VALUE"""),"set")</f>
        <v>set</v>
      </c>
      <c r="AX53" s="510" t="str">
        <f ca="1">IFERROR(__xludf.DUMMYFUNCTION("""COMPUTED_VALUE"""),"levels.total_points.valueNeededForNextLevel")</f>
        <v>levels.total_points.valueNeededForNextLevel</v>
      </c>
      <c r="AY53" s="509">
        <f ca="1">IFERROR(__xludf.DUMMYFUNCTION("""COMPUTED_VALUE"""),4700000)</f>
        <v>4700000</v>
      </c>
      <c r="AZ53" s="509" t="str">
        <f ca="1">IFERROR(__xludf.DUMMYFUNCTION("""COMPUTED_VALUE"""),"set")</f>
        <v>set</v>
      </c>
      <c r="BA53" s="513" t="str">
        <f ca="1">IFERROR(__xludf.DUMMYFUNCTION("""COMPUTED_VALUE"""),"all")</f>
        <v>all</v>
      </c>
      <c r="BB53" s="508"/>
      <c r="BC53" s="509"/>
      <c r="BD53" s="509"/>
      <c r="BE53" s="509"/>
      <c r="BF53" s="509"/>
      <c r="BG53" s="509"/>
      <c r="BH53" s="509"/>
      <c r="BI53" s="509"/>
      <c r="BJ53" s="509"/>
      <c r="BK53" s="509"/>
      <c r="BL53" s="509"/>
      <c r="BM53" s="509"/>
      <c r="BN53" s="514"/>
      <c r="BO53" s="510"/>
      <c r="BP53" s="509"/>
      <c r="BQ53" s="509"/>
      <c r="BR53" s="509"/>
      <c r="BS53" s="509"/>
      <c r="BT53" s="509"/>
      <c r="BU53" s="509"/>
      <c r="BV53" s="509"/>
      <c r="BW53" s="509"/>
      <c r="BX53" s="509"/>
      <c r="BY53" s="509"/>
      <c r="BZ53" s="509"/>
      <c r="CA53" s="514"/>
      <c r="CB53" s="510"/>
      <c r="CC53" s="509"/>
      <c r="CD53" s="509"/>
      <c r="CE53" s="509"/>
      <c r="CF53" s="509"/>
      <c r="CG53" s="509"/>
      <c r="CH53" s="509"/>
      <c r="CI53" s="509"/>
      <c r="CJ53" s="509"/>
      <c r="CK53" s="509"/>
      <c r="CL53" s="509"/>
      <c r="CM53" s="509"/>
      <c r="CN53" s="514"/>
      <c r="CO53" s="509"/>
      <c r="CP53" s="509"/>
      <c r="CQ53" s="509"/>
      <c r="CR53" s="509"/>
      <c r="CS53" s="509"/>
      <c r="CT53" s="509"/>
      <c r="CU53" s="509"/>
      <c r="CV53" s="509"/>
      <c r="CW53" s="509"/>
      <c r="CX53" s="509"/>
      <c r="CY53" s="509"/>
      <c r="CZ53" s="509"/>
      <c r="DA53" s="514"/>
      <c r="DB53" s="509"/>
      <c r="DC53" s="509"/>
      <c r="DD53" s="509"/>
      <c r="DE53" s="509"/>
      <c r="DF53" s="509"/>
      <c r="DG53" s="509"/>
      <c r="DH53" s="509"/>
      <c r="DI53" s="509"/>
      <c r="DJ53" s="509"/>
      <c r="DK53" s="509"/>
      <c r="DL53" s="509"/>
      <c r="DM53" s="509"/>
      <c r="DN53" s="515"/>
      <c r="DO53" s="509"/>
      <c r="DP53" s="509"/>
      <c r="DQ53" s="509"/>
      <c r="DR53" s="509"/>
      <c r="DS53" s="509"/>
      <c r="DT53" s="509"/>
      <c r="DU53" s="509"/>
      <c r="DV53" s="509"/>
      <c r="DW53" s="509"/>
      <c r="DX53" s="509"/>
      <c r="DY53" s="509"/>
      <c r="DZ53" s="509"/>
      <c r="EA53" s="509"/>
      <c r="EB53" s="509"/>
      <c r="EC53" s="510"/>
      <c r="ED53" s="509"/>
      <c r="EE53" s="509"/>
      <c r="EF53" s="509"/>
      <c r="EG53" s="509"/>
      <c r="EH53" s="509"/>
      <c r="EI53" s="509"/>
      <c r="EJ53" s="509"/>
      <c r="EK53" s="509"/>
      <c r="EL53" s="509"/>
      <c r="EM53" s="509"/>
      <c r="EN53" s="509"/>
      <c r="EO53" s="509"/>
      <c r="EP53" s="509"/>
      <c r="EQ53" s="508"/>
      <c r="ER53" s="509"/>
      <c r="ES53" s="509"/>
      <c r="ET53" s="509"/>
      <c r="EU53" s="509"/>
      <c r="EV53" s="509"/>
      <c r="EW53" s="509"/>
      <c r="EX53" s="509"/>
      <c r="EY53" s="509"/>
      <c r="EZ53" s="509"/>
      <c r="FA53" s="509"/>
      <c r="FB53" s="509"/>
      <c r="FC53" s="509"/>
      <c r="FD53" s="509"/>
      <c r="FE53" s="509"/>
      <c r="FF53" s="509"/>
      <c r="FG53" s="510"/>
      <c r="FH53" s="509"/>
      <c r="FI53" s="509"/>
      <c r="FJ53" s="509"/>
      <c r="FK53" s="509"/>
      <c r="FL53" s="509"/>
      <c r="FM53" s="509"/>
      <c r="FN53" s="509"/>
      <c r="FO53" s="509"/>
      <c r="FP53" s="509"/>
      <c r="FQ53" s="509"/>
      <c r="FR53" s="509"/>
      <c r="FS53" s="509"/>
      <c r="FT53" s="509"/>
      <c r="FU53" s="509"/>
      <c r="FV53" s="509"/>
      <c r="FW53" s="508"/>
      <c r="FX53" s="509"/>
      <c r="FY53" s="509"/>
      <c r="FZ53" s="509"/>
      <c r="GA53" s="511" t="str">
        <f ca="1">IFERROR(__xludf.DUMMYFUNCTION("""COMPUTED_VALUE"""),"total_points")</f>
        <v>total_points</v>
      </c>
      <c r="GB53" s="497">
        <f ca="1">IFERROR(__xludf.DUMMYFUNCTION("""COMPUTED_VALUE"""),4600000)</f>
        <v>4600000</v>
      </c>
      <c r="GC53" s="510"/>
      <c r="GD53" s="509"/>
      <c r="GE53" s="511"/>
      <c r="GF53" s="497"/>
      <c r="GG53" s="497"/>
      <c r="GH53" s="497" t="str">
        <f t="shared" si="1"/>
        <v>:</v>
      </c>
      <c r="GI53" s="510"/>
      <c r="GJ53" s="509"/>
      <c r="GK53" s="509"/>
    </row>
    <row r="54" spans="1:193" ht="15.75" customHeight="1" x14ac:dyDescent="0.15">
      <c r="A54" s="482" t="str">
        <f ca="1">IFERROR(__xludf.DUMMYFUNCTION("""COMPUTED_VALUE"""),"total_points level 48")</f>
        <v>total_points level 48</v>
      </c>
      <c r="B54" s="482" t="b">
        <f t="shared" ca="1" si="0"/>
        <v>0</v>
      </c>
      <c r="C54" s="507" t="str">
        <f ca="1">IFERROR(__xludf.DUMMYFUNCTION("""set""&amp;PROPER(index(SPLIT(GA54, ""_""), 0, 2))&amp;""ToLevel""&amp;AV54"),"setPointsToLevel48")</f>
        <v>setPointsToLevel48</v>
      </c>
      <c r="D54" s="507" t="str">
        <f ca="1">IFERROR(__xludf.DUMMYFUNCTION("""COMPUTED_VALUE"""),"rewardIfAllRequirementsMet")</f>
        <v>rewardIfAllRequirementsMet</v>
      </c>
      <c r="E54" s="497"/>
      <c r="F54" s="497"/>
      <c r="G54" s="508"/>
      <c r="H54" s="509"/>
      <c r="I54" s="509"/>
      <c r="J54" s="509"/>
      <c r="K54" s="509"/>
      <c r="L54" s="509"/>
      <c r="M54" s="497"/>
      <c r="N54" s="510"/>
      <c r="O54" s="497"/>
      <c r="P54" s="509"/>
      <c r="Q54" s="509"/>
      <c r="R54" s="509"/>
      <c r="S54" s="509"/>
      <c r="T54" s="509"/>
      <c r="U54" s="509"/>
      <c r="V54" s="509"/>
      <c r="W54" s="509"/>
      <c r="X54" s="509"/>
      <c r="Y54" s="509"/>
      <c r="Z54" s="509"/>
      <c r="AA54" s="497"/>
      <c r="AB54" s="509"/>
      <c r="AC54" s="510"/>
      <c r="AD54" s="509"/>
      <c r="AE54" s="509"/>
      <c r="AF54" s="509"/>
      <c r="AG54" s="509"/>
      <c r="AH54" s="509"/>
      <c r="AI54" s="508"/>
      <c r="AJ54" s="509"/>
      <c r="AK54" s="509"/>
      <c r="AL54" s="509"/>
      <c r="AM54" s="509"/>
      <c r="AN54" s="509"/>
      <c r="AO54" s="510"/>
      <c r="AP54" s="509"/>
      <c r="AQ54" s="509"/>
      <c r="AR54" s="509"/>
      <c r="AS54" s="509"/>
      <c r="AT54" s="509"/>
      <c r="AU54" s="511" t="str">
        <f ca="1">IFERROR(__xludf.DUMMYFUNCTION("""COMPUTED_VALUE"""),"levels.total_points.level")</f>
        <v>levels.total_points.level</v>
      </c>
      <c r="AV54" s="497">
        <f ca="1">IFERROR(__xludf.DUMMYFUNCTION("""COMPUTED_VALUE"""),48)</f>
        <v>48</v>
      </c>
      <c r="AW54" s="497" t="str">
        <f ca="1">IFERROR(__xludf.DUMMYFUNCTION("""COMPUTED_VALUE"""),"set")</f>
        <v>set</v>
      </c>
      <c r="AX54" s="510" t="str">
        <f ca="1">IFERROR(__xludf.DUMMYFUNCTION("""COMPUTED_VALUE"""),"levels.total_points.valueNeededForNextLevel")</f>
        <v>levels.total_points.valueNeededForNextLevel</v>
      </c>
      <c r="AY54" s="509">
        <f ca="1">IFERROR(__xludf.DUMMYFUNCTION("""COMPUTED_VALUE"""),4800000)</f>
        <v>4800000</v>
      </c>
      <c r="AZ54" s="509" t="str">
        <f ca="1">IFERROR(__xludf.DUMMYFUNCTION("""COMPUTED_VALUE"""),"set")</f>
        <v>set</v>
      </c>
      <c r="BA54" s="513" t="str">
        <f ca="1">IFERROR(__xludf.DUMMYFUNCTION("""COMPUTED_VALUE"""),"all")</f>
        <v>all</v>
      </c>
      <c r="BB54" s="508"/>
      <c r="BC54" s="509"/>
      <c r="BD54" s="509"/>
      <c r="BE54" s="509"/>
      <c r="BF54" s="509"/>
      <c r="BG54" s="509"/>
      <c r="BH54" s="509"/>
      <c r="BI54" s="509"/>
      <c r="BJ54" s="509"/>
      <c r="BK54" s="509"/>
      <c r="BL54" s="509"/>
      <c r="BM54" s="509"/>
      <c r="BN54" s="514"/>
      <c r="BO54" s="510"/>
      <c r="BP54" s="509"/>
      <c r="BQ54" s="509"/>
      <c r="BR54" s="509"/>
      <c r="BS54" s="509"/>
      <c r="BT54" s="509"/>
      <c r="BU54" s="509"/>
      <c r="BV54" s="509"/>
      <c r="BW54" s="509"/>
      <c r="BX54" s="509"/>
      <c r="BY54" s="509"/>
      <c r="BZ54" s="509"/>
      <c r="CA54" s="514"/>
      <c r="CB54" s="510"/>
      <c r="CC54" s="509"/>
      <c r="CD54" s="509"/>
      <c r="CE54" s="509"/>
      <c r="CF54" s="509"/>
      <c r="CG54" s="509"/>
      <c r="CH54" s="509"/>
      <c r="CI54" s="509"/>
      <c r="CJ54" s="509"/>
      <c r="CK54" s="509"/>
      <c r="CL54" s="509"/>
      <c r="CM54" s="509"/>
      <c r="CN54" s="514"/>
      <c r="CO54" s="509"/>
      <c r="CP54" s="509"/>
      <c r="CQ54" s="509"/>
      <c r="CR54" s="509"/>
      <c r="CS54" s="509"/>
      <c r="CT54" s="509"/>
      <c r="CU54" s="509"/>
      <c r="CV54" s="509"/>
      <c r="CW54" s="509"/>
      <c r="CX54" s="509"/>
      <c r="CY54" s="509"/>
      <c r="CZ54" s="509"/>
      <c r="DA54" s="514"/>
      <c r="DB54" s="509"/>
      <c r="DC54" s="509"/>
      <c r="DD54" s="509"/>
      <c r="DE54" s="509"/>
      <c r="DF54" s="509"/>
      <c r="DG54" s="509"/>
      <c r="DH54" s="509"/>
      <c r="DI54" s="509"/>
      <c r="DJ54" s="509"/>
      <c r="DK54" s="509"/>
      <c r="DL54" s="509"/>
      <c r="DM54" s="509"/>
      <c r="DN54" s="515"/>
      <c r="DO54" s="509"/>
      <c r="DP54" s="509"/>
      <c r="DQ54" s="509"/>
      <c r="DR54" s="509"/>
      <c r="DS54" s="509"/>
      <c r="DT54" s="509"/>
      <c r="DU54" s="509"/>
      <c r="DV54" s="509"/>
      <c r="DW54" s="509"/>
      <c r="DX54" s="509"/>
      <c r="DY54" s="509"/>
      <c r="DZ54" s="509"/>
      <c r="EA54" s="509"/>
      <c r="EB54" s="509"/>
      <c r="EC54" s="510"/>
      <c r="ED54" s="509"/>
      <c r="EE54" s="509"/>
      <c r="EF54" s="509"/>
      <c r="EG54" s="509"/>
      <c r="EH54" s="509"/>
      <c r="EI54" s="509"/>
      <c r="EJ54" s="509"/>
      <c r="EK54" s="509"/>
      <c r="EL54" s="509"/>
      <c r="EM54" s="509"/>
      <c r="EN54" s="509"/>
      <c r="EO54" s="509"/>
      <c r="EP54" s="509"/>
      <c r="EQ54" s="508"/>
      <c r="ER54" s="509"/>
      <c r="ES54" s="509"/>
      <c r="ET54" s="509"/>
      <c r="EU54" s="509"/>
      <c r="EV54" s="509"/>
      <c r="EW54" s="509"/>
      <c r="EX54" s="509"/>
      <c r="EY54" s="509"/>
      <c r="EZ54" s="509"/>
      <c r="FA54" s="509"/>
      <c r="FB54" s="509"/>
      <c r="FC54" s="509"/>
      <c r="FD54" s="509"/>
      <c r="FE54" s="509"/>
      <c r="FF54" s="509"/>
      <c r="FG54" s="510"/>
      <c r="FH54" s="509"/>
      <c r="FI54" s="509"/>
      <c r="FJ54" s="509"/>
      <c r="FK54" s="509"/>
      <c r="FL54" s="509"/>
      <c r="FM54" s="509"/>
      <c r="FN54" s="509"/>
      <c r="FO54" s="509"/>
      <c r="FP54" s="509"/>
      <c r="FQ54" s="509"/>
      <c r="FR54" s="509"/>
      <c r="FS54" s="509"/>
      <c r="FT54" s="509"/>
      <c r="FU54" s="509"/>
      <c r="FV54" s="509"/>
      <c r="FW54" s="508"/>
      <c r="FX54" s="509"/>
      <c r="FY54" s="509"/>
      <c r="FZ54" s="509"/>
      <c r="GA54" s="511" t="str">
        <f ca="1">IFERROR(__xludf.DUMMYFUNCTION("""COMPUTED_VALUE"""),"total_points")</f>
        <v>total_points</v>
      </c>
      <c r="GB54" s="497">
        <f ca="1">IFERROR(__xludf.DUMMYFUNCTION("""COMPUTED_VALUE"""),4700000)</f>
        <v>4700000</v>
      </c>
      <c r="GC54" s="510"/>
      <c r="GD54" s="509"/>
      <c r="GE54" s="511"/>
      <c r="GF54" s="497"/>
      <c r="GG54" s="497"/>
      <c r="GH54" s="497" t="str">
        <f t="shared" si="1"/>
        <v>:</v>
      </c>
      <c r="GI54" s="510"/>
      <c r="GJ54" s="509"/>
      <c r="GK54" s="509"/>
    </row>
    <row r="55" spans="1:193" ht="15.75" customHeight="1" x14ac:dyDescent="0.15">
      <c r="A55" s="482" t="str">
        <f ca="1">IFERROR(__xludf.DUMMYFUNCTION("""COMPUTED_VALUE"""),"total_points level 49")</f>
        <v>total_points level 49</v>
      </c>
      <c r="B55" s="482" t="b">
        <f t="shared" ca="1" si="0"/>
        <v>0</v>
      </c>
      <c r="C55" s="507" t="str">
        <f ca="1">IFERROR(__xludf.DUMMYFUNCTION("""set""&amp;PROPER(index(SPLIT(GA55, ""_""), 0, 2))&amp;""ToLevel""&amp;AV55"),"setPointsToLevel49")</f>
        <v>setPointsToLevel49</v>
      </c>
      <c r="D55" s="507" t="str">
        <f ca="1">IFERROR(__xludf.DUMMYFUNCTION("""COMPUTED_VALUE"""),"rewardIfAllRequirementsMet")</f>
        <v>rewardIfAllRequirementsMet</v>
      </c>
      <c r="E55" s="497"/>
      <c r="F55" s="497"/>
      <c r="G55" s="508"/>
      <c r="H55" s="509"/>
      <c r="I55" s="509"/>
      <c r="J55" s="509"/>
      <c r="K55" s="509"/>
      <c r="L55" s="509"/>
      <c r="M55" s="497"/>
      <c r="N55" s="510"/>
      <c r="O55" s="497"/>
      <c r="P55" s="509"/>
      <c r="Q55" s="509"/>
      <c r="R55" s="509"/>
      <c r="S55" s="509"/>
      <c r="T55" s="509"/>
      <c r="U55" s="509"/>
      <c r="V55" s="509"/>
      <c r="W55" s="509"/>
      <c r="X55" s="509"/>
      <c r="Y55" s="509"/>
      <c r="Z55" s="509"/>
      <c r="AA55" s="497"/>
      <c r="AB55" s="509"/>
      <c r="AC55" s="510"/>
      <c r="AD55" s="509"/>
      <c r="AE55" s="509"/>
      <c r="AF55" s="509"/>
      <c r="AG55" s="509"/>
      <c r="AH55" s="509"/>
      <c r="AI55" s="508"/>
      <c r="AJ55" s="509"/>
      <c r="AK55" s="509"/>
      <c r="AL55" s="509"/>
      <c r="AM55" s="509"/>
      <c r="AN55" s="509"/>
      <c r="AO55" s="510"/>
      <c r="AP55" s="509"/>
      <c r="AQ55" s="509"/>
      <c r="AR55" s="509"/>
      <c r="AS55" s="509"/>
      <c r="AT55" s="509"/>
      <c r="AU55" s="511" t="str">
        <f ca="1">IFERROR(__xludf.DUMMYFUNCTION("""COMPUTED_VALUE"""),"levels.total_points.level")</f>
        <v>levels.total_points.level</v>
      </c>
      <c r="AV55" s="497">
        <f ca="1">IFERROR(__xludf.DUMMYFUNCTION("""COMPUTED_VALUE"""),49)</f>
        <v>49</v>
      </c>
      <c r="AW55" s="497" t="str">
        <f ca="1">IFERROR(__xludf.DUMMYFUNCTION("""COMPUTED_VALUE"""),"set")</f>
        <v>set</v>
      </c>
      <c r="AX55" s="510" t="str">
        <f ca="1">IFERROR(__xludf.DUMMYFUNCTION("""COMPUTED_VALUE"""),"levels.total_points.valueNeededForNextLevel")</f>
        <v>levels.total_points.valueNeededForNextLevel</v>
      </c>
      <c r="AY55" s="509">
        <f ca="1">IFERROR(__xludf.DUMMYFUNCTION("""COMPUTED_VALUE"""),4900000)</f>
        <v>4900000</v>
      </c>
      <c r="AZ55" s="509" t="str">
        <f ca="1">IFERROR(__xludf.DUMMYFUNCTION("""COMPUTED_VALUE"""),"set")</f>
        <v>set</v>
      </c>
      <c r="BA55" s="513" t="str">
        <f ca="1">IFERROR(__xludf.DUMMYFUNCTION("""COMPUTED_VALUE"""),"all")</f>
        <v>all</v>
      </c>
      <c r="BB55" s="508"/>
      <c r="BC55" s="509"/>
      <c r="BD55" s="509"/>
      <c r="BE55" s="509"/>
      <c r="BF55" s="509"/>
      <c r="BG55" s="509"/>
      <c r="BH55" s="509"/>
      <c r="BI55" s="509"/>
      <c r="BJ55" s="509"/>
      <c r="BK55" s="509"/>
      <c r="BL55" s="509"/>
      <c r="BM55" s="509"/>
      <c r="BN55" s="514"/>
      <c r="BO55" s="510"/>
      <c r="BP55" s="509"/>
      <c r="BQ55" s="509"/>
      <c r="BR55" s="509"/>
      <c r="BS55" s="509"/>
      <c r="BT55" s="509"/>
      <c r="BU55" s="509"/>
      <c r="BV55" s="509"/>
      <c r="BW55" s="509"/>
      <c r="BX55" s="509"/>
      <c r="BY55" s="509"/>
      <c r="BZ55" s="509"/>
      <c r="CA55" s="514"/>
      <c r="CB55" s="510"/>
      <c r="CC55" s="509"/>
      <c r="CD55" s="509"/>
      <c r="CE55" s="509"/>
      <c r="CF55" s="509"/>
      <c r="CG55" s="509"/>
      <c r="CH55" s="509"/>
      <c r="CI55" s="509"/>
      <c r="CJ55" s="509"/>
      <c r="CK55" s="509"/>
      <c r="CL55" s="509"/>
      <c r="CM55" s="509"/>
      <c r="CN55" s="514"/>
      <c r="CO55" s="509"/>
      <c r="CP55" s="509"/>
      <c r="CQ55" s="509"/>
      <c r="CR55" s="509"/>
      <c r="CS55" s="509"/>
      <c r="CT55" s="509"/>
      <c r="CU55" s="509"/>
      <c r="CV55" s="509"/>
      <c r="CW55" s="509"/>
      <c r="CX55" s="509"/>
      <c r="CY55" s="509"/>
      <c r="CZ55" s="509"/>
      <c r="DA55" s="514"/>
      <c r="DB55" s="509"/>
      <c r="DC55" s="509"/>
      <c r="DD55" s="509"/>
      <c r="DE55" s="509"/>
      <c r="DF55" s="509"/>
      <c r="DG55" s="509"/>
      <c r="DH55" s="509"/>
      <c r="DI55" s="509"/>
      <c r="DJ55" s="509"/>
      <c r="DK55" s="509"/>
      <c r="DL55" s="509"/>
      <c r="DM55" s="509"/>
      <c r="DN55" s="515"/>
      <c r="DO55" s="509"/>
      <c r="DP55" s="509"/>
      <c r="DQ55" s="509"/>
      <c r="DR55" s="509"/>
      <c r="DS55" s="509"/>
      <c r="DT55" s="509"/>
      <c r="DU55" s="509"/>
      <c r="DV55" s="509"/>
      <c r="DW55" s="509"/>
      <c r="DX55" s="509"/>
      <c r="DY55" s="509"/>
      <c r="DZ55" s="509"/>
      <c r="EA55" s="509"/>
      <c r="EB55" s="509"/>
      <c r="EC55" s="510"/>
      <c r="ED55" s="509"/>
      <c r="EE55" s="509"/>
      <c r="EF55" s="509"/>
      <c r="EG55" s="509"/>
      <c r="EH55" s="509"/>
      <c r="EI55" s="509"/>
      <c r="EJ55" s="509"/>
      <c r="EK55" s="509"/>
      <c r="EL55" s="509"/>
      <c r="EM55" s="509"/>
      <c r="EN55" s="509"/>
      <c r="EO55" s="509"/>
      <c r="EP55" s="509"/>
      <c r="EQ55" s="508"/>
      <c r="ER55" s="509"/>
      <c r="ES55" s="509"/>
      <c r="ET55" s="509"/>
      <c r="EU55" s="509"/>
      <c r="EV55" s="509"/>
      <c r="EW55" s="509"/>
      <c r="EX55" s="509"/>
      <c r="EY55" s="509"/>
      <c r="EZ55" s="509"/>
      <c r="FA55" s="509"/>
      <c r="FB55" s="509"/>
      <c r="FC55" s="509"/>
      <c r="FD55" s="509"/>
      <c r="FE55" s="509"/>
      <c r="FF55" s="509"/>
      <c r="FG55" s="510"/>
      <c r="FH55" s="509"/>
      <c r="FI55" s="509"/>
      <c r="FJ55" s="509"/>
      <c r="FK55" s="509"/>
      <c r="FL55" s="509"/>
      <c r="FM55" s="509"/>
      <c r="FN55" s="509"/>
      <c r="FO55" s="509"/>
      <c r="FP55" s="509"/>
      <c r="FQ55" s="509"/>
      <c r="FR55" s="509"/>
      <c r="FS55" s="509"/>
      <c r="FT55" s="509"/>
      <c r="FU55" s="509"/>
      <c r="FV55" s="509"/>
      <c r="FW55" s="508"/>
      <c r="FX55" s="509"/>
      <c r="FY55" s="509"/>
      <c r="FZ55" s="509"/>
      <c r="GA55" s="511" t="str">
        <f ca="1">IFERROR(__xludf.DUMMYFUNCTION("""COMPUTED_VALUE"""),"total_points")</f>
        <v>total_points</v>
      </c>
      <c r="GB55" s="497">
        <f ca="1">IFERROR(__xludf.DUMMYFUNCTION("""COMPUTED_VALUE"""),4800000)</f>
        <v>4800000</v>
      </c>
      <c r="GC55" s="510"/>
      <c r="GD55" s="509"/>
      <c r="GE55" s="511"/>
      <c r="GF55" s="497"/>
      <c r="GG55" s="497"/>
      <c r="GH55" s="497" t="str">
        <f t="shared" si="1"/>
        <v>:</v>
      </c>
      <c r="GI55" s="510"/>
      <c r="GJ55" s="509"/>
      <c r="GK55" s="509"/>
    </row>
    <row r="56" spans="1:193" ht="15.75" customHeight="1" x14ac:dyDescent="0.15">
      <c r="A56" s="482" t="str">
        <f ca="1">IFERROR(__xludf.DUMMYFUNCTION("""COMPUTED_VALUE"""),"total_points level 50")</f>
        <v>total_points level 50</v>
      </c>
      <c r="B56" s="482" t="b">
        <f t="shared" ca="1" si="0"/>
        <v>0</v>
      </c>
      <c r="C56" s="507" t="str">
        <f ca="1">IFERROR(__xludf.DUMMYFUNCTION("""set""&amp;PROPER(index(SPLIT(GA56, ""_""), 0, 2))&amp;""ToLevel""&amp;AV56"),"setPointsToLevel50")</f>
        <v>setPointsToLevel50</v>
      </c>
      <c r="D56" s="507" t="str">
        <f ca="1">IFERROR(__xludf.DUMMYFUNCTION("""COMPUTED_VALUE"""),"rewardIfAllRequirementsMet")</f>
        <v>rewardIfAllRequirementsMet</v>
      </c>
      <c r="E56" s="497"/>
      <c r="F56" s="497"/>
      <c r="G56" s="508"/>
      <c r="H56" s="509"/>
      <c r="I56" s="509"/>
      <c r="J56" s="509"/>
      <c r="K56" s="509"/>
      <c r="L56" s="509"/>
      <c r="M56" s="497"/>
      <c r="N56" s="510"/>
      <c r="O56" s="497"/>
      <c r="P56" s="509"/>
      <c r="Q56" s="509"/>
      <c r="R56" s="509"/>
      <c r="S56" s="509"/>
      <c r="T56" s="509"/>
      <c r="U56" s="509"/>
      <c r="V56" s="509"/>
      <c r="W56" s="509"/>
      <c r="X56" s="509"/>
      <c r="Y56" s="509"/>
      <c r="Z56" s="509"/>
      <c r="AA56" s="497"/>
      <c r="AB56" s="509"/>
      <c r="AC56" s="510"/>
      <c r="AD56" s="509"/>
      <c r="AE56" s="509"/>
      <c r="AF56" s="509"/>
      <c r="AG56" s="509"/>
      <c r="AH56" s="509"/>
      <c r="AI56" s="508"/>
      <c r="AJ56" s="509"/>
      <c r="AK56" s="509"/>
      <c r="AL56" s="509"/>
      <c r="AM56" s="509"/>
      <c r="AN56" s="509"/>
      <c r="AO56" s="510"/>
      <c r="AP56" s="509"/>
      <c r="AQ56" s="509"/>
      <c r="AR56" s="509"/>
      <c r="AS56" s="509"/>
      <c r="AT56" s="509"/>
      <c r="AU56" s="511" t="str">
        <f ca="1">IFERROR(__xludf.DUMMYFUNCTION("""COMPUTED_VALUE"""),"levels.total_points.level")</f>
        <v>levels.total_points.level</v>
      </c>
      <c r="AV56" s="497">
        <f ca="1">IFERROR(__xludf.DUMMYFUNCTION("""COMPUTED_VALUE"""),50)</f>
        <v>50</v>
      </c>
      <c r="AW56" s="497" t="str">
        <f ca="1">IFERROR(__xludf.DUMMYFUNCTION("""COMPUTED_VALUE"""),"set")</f>
        <v>set</v>
      </c>
      <c r="AX56" s="510" t="str">
        <f ca="1">IFERROR(__xludf.DUMMYFUNCTION("""COMPUTED_VALUE"""),"levels.total_points.valueNeededForNextLevel")</f>
        <v>levels.total_points.valueNeededForNextLevel</v>
      </c>
      <c r="AY56" s="509">
        <f ca="1">IFERROR(__xludf.DUMMYFUNCTION("""COMPUTED_VALUE"""),5000000)</f>
        <v>5000000</v>
      </c>
      <c r="AZ56" s="509" t="str">
        <f ca="1">IFERROR(__xludf.DUMMYFUNCTION("""COMPUTED_VALUE"""),"set")</f>
        <v>set</v>
      </c>
      <c r="BA56" s="513" t="str">
        <f ca="1">IFERROR(__xludf.DUMMYFUNCTION("""COMPUTED_VALUE"""),"all")</f>
        <v>all</v>
      </c>
      <c r="BB56" s="508"/>
      <c r="BC56" s="509"/>
      <c r="BD56" s="509"/>
      <c r="BE56" s="509"/>
      <c r="BF56" s="509"/>
      <c r="BG56" s="509"/>
      <c r="BH56" s="509"/>
      <c r="BI56" s="509"/>
      <c r="BJ56" s="509"/>
      <c r="BK56" s="509"/>
      <c r="BL56" s="509"/>
      <c r="BM56" s="509"/>
      <c r="BN56" s="514"/>
      <c r="BO56" s="510"/>
      <c r="BP56" s="509"/>
      <c r="BQ56" s="509"/>
      <c r="BR56" s="509"/>
      <c r="BS56" s="509"/>
      <c r="BT56" s="509"/>
      <c r="BU56" s="509"/>
      <c r="BV56" s="509"/>
      <c r="BW56" s="509"/>
      <c r="BX56" s="509"/>
      <c r="BY56" s="509"/>
      <c r="BZ56" s="509"/>
      <c r="CA56" s="514"/>
      <c r="CB56" s="510"/>
      <c r="CC56" s="509"/>
      <c r="CD56" s="509"/>
      <c r="CE56" s="509"/>
      <c r="CF56" s="509"/>
      <c r="CG56" s="509"/>
      <c r="CH56" s="509"/>
      <c r="CI56" s="509"/>
      <c r="CJ56" s="509"/>
      <c r="CK56" s="509"/>
      <c r="CL56" s="509"/>
      <c r="CM56" s="509"/>
      <c r="CN56" s="514"/>
      <c r="CO56" s="509"/>
      <c r="CP56" s="509"/>
      <c r="CQ56" s="509"/>
      <c r="CR56" s="509"/>
      <c r="CS56" s="509"/>
      <c r="CT56" s="509"/>
      <c r="CU56" s="509"/>
      <c r="CV56" s="509"/>
      <c r="CW56" s="509"/>
      <c r="CX56" s="509"/>
      <c r="CY56" s="509"/>
      <c r="CZ56" s="509"/>
      <c r="DA56" s="514"/>
      <c r="DB56" s="509"/>
      <c r="DC56" s="509"/>
      <c r="DD56" s="509"/>
      <c r="DE56" s="509"/>
      <c r="DF56" s="509"/>
      <c r="DG56" s="509"/>
      <c r="DH56" s="509"/>
      <c r="DI56" s="509"/>
      <c r="DJ56" s="509"/>
      <c r="DK56" s="509"/>
      <c r="DL56" s="509"/>
      <c r="DM56" s="509"/>
      <c r="DN56" s="515"/>
      <c r="DO56" s="509"/>
      <c r="DP56" s="509"/>
      <c r="DQ56" s="509"/>
      <c r="DR56" s="509"/>
      <c r="DS56" s="509"/>
      <c r="DT56" s="509"/>
      <c r="DU56" s="509"/>
      <c r="DV56" s="509"/>
      <c r="DW56" s="509"/>
      <c r="DX56" s="509"/>
      <c r="DY56" s="509"/>
      <c r="DZ56" s="509"/>
      <c r="EA56" s="509"/>
      <c r="EB56" s="509"/>
      <c r="EC56" s="510"/>
      <c r="ED56" s="509"/>
      <c r="EE56" s="509"/>
      <c r="EF56" s="509"/>
      <c r="EG56" s="509"/>
      <c r="EH56" s="509"/>
      <c r="EI56" s="509"/>
      <c r="EJ56" s="509"/>
      <c r="EK56" s="509"/>
      <c r="EL56" s="509"/>
      <c r="EM56" s="509"/>
      <c r="EN56" s="509"/>
      <c r="EO56" s="509"/>
      <c r="EP56" s="509"/>
      <c r="EQ56" s="508"/>
      <c r="ER56" s="509"/>
      <c r="ES56" s="509"/>
      <c r="ET56" s="509"/>
      <c r="EU56" s="509"/>
      <c r="EV56" s="509"/>
      <c r="EW56" s="509"/>
      <c r="EX56" s="509"/>
      <c r="EY56" s="509"/>
      <c r="EZ56" s="509"/>
      <c r="FA56" s="509"/>
      <c r="FB56" s="509"/>
      <c r="FC56" s="509"/>
      <c r="FD56" s="509"/>
      <c r="FE56" s="509"/>
      <c r="FF56" s="509"/>
      <c r="FG56" s="510"/>
      <c r="FH56" s="509"/>
      <c r="FI56" s="509"/>
      <c r="FJ56" s="509"/>
      <c r="FK56" s="509"/>
      <c r="FL56" s="509"/>
      <c r="FM56" s="509"/>
      <c r="FN56" s="509"/>
      <c r="FO56" s="509"/>
      <c r="FP56" s="509"/>
      <c r="FQ56" s="509"/>
      <c r="FR56" s="509"/>
      <c r="FS56" s="509"/>
      <c r="FT56" s="509"/>
      <c r="FU56" s="509"/>
      <c r="FV56" s="509"/>
      <c r="FW56" s="508"/>
      <c r="FX56" s="509"/>
      <c r="FY56" s="509"/>
      <c r="FZ56" s="509"/>
      <c r="GA56" s="511" t="str">
        <f ca="1">IFERROR(__xludf.DUMMYFUNCTION("""COMPUTED_VALUE"""),"total_points")</f>
        <v>total_points</v>
      </c>
      <c r="GB56" s="497">
        <f ca="1">IFERROR(__xludf.DUMMYFUNCTION("""COMPUTED_VALUE"""),4900000)</f>
        <v>4900000</v>
      </c>
      <c r="GC56" s="510"/>
      <c r="GD56" s="509"/>
      <c r="GE56" s="511"/>
      <c r="GF56" s="497"/>
      <c r="GG56" s="497"/>
      <c r="GH56" s="497" t="str">
        <f t="shared" si="1"/>
        <v>:</v>
      </c>
      <c r="GI56" s="510"/>
      <c r="GJ56" s="509"/>
      <c r="GK56" s="509"/>
    </row>
    <row r="57" spans="1:193" ht="15.75" customHeight="1" x14ac:dyDescent="0.15">
      <c r="A57" s="482" t="str">
        <f ca="1">IFERROR(__xludf.DUMMYFUNCTION("""COMPUTED_VALUE"""),"total_points level 51")</f>
        <v>total_points level 51</v>
      </c>
      <c r="B57" s="482" t="b">
        <f t="shared" ca="1" si="0"/>
        <v>0</v>
      </c>
      <c r="C57" s="507" t="str">
        <f ca="1">IFERROR(__xludf.DUMMYFUNCTION("""set""&amp;PROPER(index(SPLIT(GA57, ""_""), 0, 2))&amp;""ToLevel""&amp;AV57"),"setPointsToLevel51")</f>
        <v>setPointsToLevel51</v>
      </c>
      <c r="D57" s="507" t="str">
        <f ca="1">IFERROR(__xludf.DUMMYFUNCTION("""COMPUTED_VALUE"""),"rewardIfAllRequirementsMet")</f>
        <v>rewardIfAllRequirementsMet</v>
      </c>
      <c r="E57" s="497"/>
      <c r="F57" s="497"/>
      <c r="G57" s="508"/>
      <c r="H57" s="509"/>
      <c r="I57" s="509"/>
      <c r="J57" s="509"/>
      <c r="K57" s="509"/>
      <c r="L57" s="509"/>
      <c r="M57" s="497"/>
      <c r="N57" s="510"/>
      <c r="O57" s="497"/>
      <c r="P57" s="509"/>
      <c r="Q57" s="509"/>
      <c r="R57" s="509"/>
      <c r="S57" s="509"/>
      <c r="T57" s="509"/>
      <c r="U57" s="509"/>
      <c r="V57" s="509"/>
      <c r="W57" s="509"/>
      <c r="X57" s="509"/>
      <c r="Y57" s="509"/>
      <c r="Z57" s="509"/>
      <c r="AA57" s="497"/>
      <c r="AB57" s="509"/>
      <c r="AC57" s="510"/>
      <c r="AD57" s="509"/>
      <c r="AE57" s="509"/>
      <c r="AF57" s="509"/>
      <c r="AG57" s="509"/>
      <c r="AH57" s="509"/>
      <c r="AI57" s="508"/>
      <c r="AJ57" s="509"/>
      <c r="AK57" s="509"/>
      <c r="AL57" s="509"/>
      <c r="AM57" s="509"/>
      <c r="AN57" s="509"/>
      <c r="AO57" s="510"/>
      <c r="AP57" s="509"/>
      <c r="AQ57" s="509"/>
      <c r="AR57" s="509"/>
      <c r="AS57" s="509"/>
      <c r="AT57" s="509"/>
      <c r="AU57" s="511" t="str">
        <f ca="1">IFERROR(__xludf.DUMMYFUNCTION("""COMPUTED_VALUE"""),"levels.total_points.level")</f>
        <v>levels.total_points.level</v>
      </c>
      <c r="AV57" s="497">
        <f ca="1">IFERROR(__xludf.DUMMYFUNCTION("""COMPUTED_VALUE"""),51)</f>
        <v>51</v>
      </c>
      <c r="AW57" s="497" t="str">
        <f ca="1">IFERROR(__xludf.DUMMYFUNCTION("""COMPUTED_VALUE"""),"set")</f>
        <v>set</v>
      </c>
      <c r="AX57" s="510" t="str">
        <f ca="1">IFERROR(__xludf.DUMMYFUNCTION("""COMPUTED_VALUE"""),"levels.total_points.valueNeededForNextLevel")</f>
        <v>levels.total_points.valueNeededForNextLevel</v>
      </c>
      <c r="AY57" s="509">
        <f ca="1">IFERROR(__xludf.DUMMYFUNCTION("""COMPUTED_VALUE"""),0)</f>
        <v>0</v>
      </c>
      <c r="AZ57" s="509" t="str">
        <f ca="1">IFERROR(__xludf.DUMMYFUNCTION("""COMPUTED_VALUE"""),"set")</f>
        <v>set</v>
      </c>
      <c r="BA57" s="513" t="str">
        <f ca="1">IFERROR(__xludf.DUMMYFUNCTION("""COMPUTED_VALUE"""),"all")</f>
        <v>all</v>
      </c>
      <c r="BB57" s="508"/>
      <c r="BC57" s="509"/>
      <c r="BD57" s="509"/>
      <c r="BE57" s="509"/>
      <c r="BF57" s="509"/>
      <c r="BG57" s="509"/>
      <c r="BH57" s="509"/>
      <c r="BI57" s="509"/>
      <c r="BJ57" s="509"/>
      <c r="BK57" s="509"/>
      <c r="BL57" s="509"/>
      <c r="BM57" s="509"/>
      <c r="BN57" s="514"/>
      <c r="BO57" s="510"/>
      <c r="BP57" s="509"/>
      <c r="BQ57" s="509"/>
      <c r="BR57" s="509"/>
      <c r="BS57" s="509"/>
      <c r="BT57" s="509"/>
      <c r="BU57" s="509"/>
      <c r="BV57" s="509"/>
      <c r="BW57" s="509"/>
      <c r="BX57" s="509"/>
      <c r="BY57" s="509"/>
      <c r="BZ57" s="509"/>
      <c r="CA57" s="514"/>
      <c r="CB57" s="510"/>
      <c r="CC57" s="509"/>
      <c r="CD57" s="509"/>
      <c r="CE57" s="509"/>
      <c r="CF57" s="509"/>
      <c r="CG57" s="509"/>
      <c r="CH57" s="509"/>
      <c r="CI57" s="509"/>
      <c r="CJ57" s="509"/>
      <c r="CK57" s="509"/>
      <c r="CL57" s="509"/>
      <c r="CM57" s="509"/>
      <c r="CN57" s="514"/>
      <c r="CO57" s="509"/>
      <c r="CP57" s="509"/>
      <c r="CQ57" s="509"/>
      <c r="CR57" s="509"/>
      <c r="CS57" s="509"/>
      <c r="CT57" s="509"/>
      <c r="CU57" s="509"/>
      <c r="CV57" s="509"/>
      <c r="CW57" s="509"/>
      <c r="CX57" s="509"/>
      <c r="CY57" s="509"/>
      <c r="CZ57" s="509"/>
      <c r="DA57" s="514"/>
      <c r="DB57" s="509"/>
      <c r="DC57" s="509"/>
      <c r="DD57" s="509"/>
      <c r="DE57" s="509"/>
      <c r="DF57" s="509"/>
      <c r="DG57" s="509"/>
      <c r="DH57" s="509"/>
      <c r="DI57" s="509"/>
      <c r="DJ57" s="509"/>
      <c r="DK57" s="509"/>
      <c r="DL57" s="509"/>
      <c r="DM57" s="509"/>
      <c r="DN57" s="515"/>
      <c r="DO57" s="509"/>
      <c r="DP57" s="509"/>
      <c r="DQ57" s="509"/>
      <c r="DR57" s="509"/>
      <c r="DS57" s="509"/>
      <c r="DT57" s="509"/>
      <c r="DU57" s="509"/>
      <c r="DV57" s="509"/>
      <c r="DW57" s="509"/>
      <c r="DX57" s="509"/>
      <c r="DY57" s="509"/>
      <c r="DZ57" s="509"/>
      <c r="EA57" s="509"/>
      <c r="EB57" s="509"/>
      <c r="EC57" s="510"/>
      <c r="ED57" s="509"/>
      <c r="EE57" s="509"/>
      <c r="EF57" s="509"/>
      <c r="EG57" s="509"/>
      <c r="EH57" s="509"/>
      <c r="EI57" s="509"/>
      <c r="EJ57" s="509"/>
      <c r="EK57" s="509"/>
      <c r="EL57" s="509"/>
      <c r="EM57" s="509"/>
      <c r="EN57" s="509"/>
      <c r="EO57" s="509"/>
      <c r="EP57" s="509"/>
      <c r="EQ57" s="508"/>
      <c r="ER57" s="509"/>
      <c r="ES57" s="509"/>
      <c r="ET57" s="509"/>
      <c r="EU57" s="509"/>
      <c r="EV57" s="509"/>
      <c r="EW57" s="509"/>
      <c r="EX57" s="509"/>
      <c r="EY57" s="509"/>
      <c r="EZ57" s="509"/>
      <c r="FA57" s="509"/>
      <c r="FB57" s="509"/>
      <c r="FC57" s="509"/>
      <c r="FD57" s="509"/>
      <c r="FE57" s="509"/>
      <c r="FF57" s="509"/>
      <c r="FG57" s="510"/>
      <c r="FH57" s="509"/>
      <c r="FI57" s="509"/>
      <c r="FJ57" s="509"/>
      <c r="FK57" s="509"/>
      <c r="FL57" s="509"/>
      <c r="FM57" s="509"/>
      <c r="FN57" s="509"/>
      <c r="FO57" s="509"/>
      <c r="FP57" s="509"/>
      <c r="FQ57" s="509"/>
      <c r="FR57" s="509"/>
      <c r="FS57" s="509"/>
      <c r="FT57" s="509"/>
      <c r="FU57" s="509"/>
      <c r="FV57" s="509"/>
      <c r="FW57" s="508"/>
      <c r="FX57" s="509"/>
      <c r="FY57" s="509"/>
      <c r="FZ57" s="509"/>
      <c r="GA57" s="511" t="str">
        <f ca="1">IFERROR(__xludf.DUMMYFUNCTION("""COMPUTED_VALUE"""),"total_points")</f>
        <v>total_points</v>
      </c>
      <c r="GB57" s="497">
        <f ca="1">IFERROR(__xludf.DUMMYFUNCTION("""COMPUTED_VALUE"""),5000000)</f>
        <v>5000000</v>
      </c>
      <c r="GC57" s="510"/>
      <c r="GD57" s="509"/>
      <c r="GE57" s="511"/>
      <c r="GF57" s="497"/>
      <c r="GG57" s="497"/>
      <c r="GH57" s="497" t="str">
        <f t="shared" si="1"/>
        <v>:</v>
      </c>
      <c r="GI57" s="510"/>
      <c r="GJ57" s="509"/>
      <c r="GK57" s="509"/>
    </row>
    <row r="58" spans="1:193" ht="15.75" customHeight="1" x14ac:dyDescent="0.15">
      <c r="A58" s="482"/>
      <c r="B58" s="482" t="b">
        <f t="shared" si="0"/>
        <v>1</v>
      </c>
      <c r="C58" s="507" t="str">
        <f ca="1">IFERROR(__xludf.DUMMYFUNCTION("""set""&amp;PROPER(index(SPLIT(GA58, ""_""), 0, 2))&amp;""ToLevel""&amp;AV58"),"#VALUE!")</f>
        <v>#VALUE!</v>
      </c>
      <c r="D58" s="507"/>
      <c r="E58" s="497"/>
      <c r="F58" s="497"/>
      <c r="G58" s="508"/>
      <c r="H58" s="509"/>
      <c r="I58" s="509"/>
      <c r="J58" s="509"/>
      <c r="K58" s="509"/>
      <c r="L58" s="509"/>
      <c r="M58" s="497"/>
      <c r="N58" s="510"/>
      <c r="O58" s="497"/>
      <c r="P58" s="509"/>
      <c r="Q58" s="509"/>
      <c r="R58" s="509"/>
      <c r="S58" s="509"/>
      <c r="T58" s="509"/>
      <c r="U58" s="509"/>
      <c r="V58" s="509"/>
      <c r="W58" s="509"/>
      <c r="X58" s="509"/>
      <c r="Y58" s="509"/>
      <c r="Z58" s="509"/>
      <c r="AA58" s="497"/>
      <c r="AB58" s="509"/>
      <c r="AC58" s="510"/>
      <c r="AD58" s="509"/>
      <c r="AE58" s="509"/>
      <c r="AF58" s="509"/>
      <c r="AG58" s="509"/>
      <c r="AH58" s="509"/>
      <c r="AI58" s="508"/>
      <c r="AJ58" s="509"/>
      <c r="AK58" s="509"/>
      <c r="AL58" s="509"/>
      <c r="AM58" s="509"/>
      <c r="AN58" s="509"/>
      <c r="AO58" s="510"/>
      <c r="AP58" s="509"/>
      <c r="AQ58" s="509"/>
      <c r="AR58" s="509"/>
      <c r="AS58" s="509"/>
      <c r="AT58" s="509"/>
      <c r="AU58" s="511"/>
      <c r="AV58" s="497"/>
      <c r="AW58" s="497"/>
      <c r="AX58" s="510"/>
      <c r="AY58" s="509"/>
      <c r="AZ58" s="509"/>
      <c r="BA58" s="513"/>
      <c r="BB58" s="508"/>
      <c r="BC58" s="509"/>
      <c r="BD58" s="509"/>
      <c r="BE58" s="509"/>
      <c r="BF58" s="509"/>
      <c r="BG58" s="509"/>
      <c r="BH58" s="509"/>
      <c r="BI58" s="509"/>
      <c r="BJ58" s="509"/>
      <c r="BK58" s="509"/>
      <c r="BL58" s="509"/>
      <c r="BM58" s="509"/>
      <c r="BN58" s="514"/>
      <c r="BO58" s="510"/>
      <c r="BP58" s="509"/>
      <c r="BQ58" s="509"/>
      <c r="BR58" s="509"/>
      <c r="BS58" s="509"/>
      <c r="BT58" s="509"/>
      <c r="BU58" s="509"/>
      <c r="BV58" s="509"/>
      <c r="BW58" s="509"/>
      <c r="BX58" s="509"/>
      <c r="BY58" s="509"/>
      <c r="BZ58" s="509"/>
      <c r="CA58" s="514"/>
      <c r="CB58" s="510"/>
      <c r="CC58" s="509"/>
      <c r="CD58" s="509"/>
      <c r="CE58" s="509"/>
      <c r="CF58" s="509"/>
      <c r="CG58" s="509"/>
      <c r="CH58" s="509"/>
      <c r="CI58" s="509"/>
      <c r="CJ58" s="509"/>
      <c r="CK58" s="509"/>
      <c r="CL58" s="509"/>
      <c r="CM58" s="509"/>
      <c r="CN58" s="514"/>
      <c r="CO58" s="509"/>
      <c r="CP58" s="509"/>
      <c r="CQ58" s="509"/>
      <c r="CR58" s="509"/>
      <c r="CS58" s="509"/>
      <c r="CT58" s="509"/>
      <c r="CU58" s="509"/>
      <c r="CV58" s="509"/>
      <c r="CW58" s="509"/>
      <c r="CX58" s="509"/>
      <c r="CY58" s="509"/>
      <c r="CZ58" s="509"/>
      <c r="DA58" s="514"/>
      <c r="DB58" s="509"/>
      <c r="DC58" s="509"/>
      <c r="DD58" s="509"/>
      <c r="DE58" s="509"/>
      <c r="DF58" s="509"/>
      <c r="DG58" s="509"/>
      <c r="DH58" s="509"/>
      <c r="DI58" s="509"/>
      <c r="DJ58" s="509"/>
      <c r="DK58" s="509"/>
      <c r="DL58" s="509"/>
      <c r="DM58" s="509"/>
      <c r="DN58" s="515"/>
      <c r="DO58" s="509"/>
      <c r="DP58" s="509"/>
      <c r="DQ58" s="509"/>
      <c r="DR58" s="509"/>
      <c r="DS58" s="509"/>
      <c r="DT58" s="509"/>
      <c r="DU58" s="509"/>
      <c r="DV58" s="509"/>
      <c r="DW58" s="509"/>
      <c r="DX58" s="509"/>
      <c r="DY58" s="509"/>
      <c r="DZ58" s="509"/>
      <c r="EA58" s="509"/>
      <c r="EB58" s="509"/>
      <c r="EC58" s="510"/>
      <c r="ED58" s="509"/>
      <c r="EE58" s="509"/>
      <c r="EF58" s="509"/>
      <c r="EG58" s="509"/>
      <c r="EH58" s="509"/>
      <c r="EI58" s="509"/>
      <c r="EJ58" s="509"/>
      <c r="EK58" s="509"/>
      <c r="EL58" s="509"/>
      <c r="EM58" s="509"/>
      <c r="EN58" s="509"/>
      <c r="EO58" s="509"/>
      <c r="EP58" s="509"/>
      <c r="EQ58" s="508"/>
      <c r="ER58" s="509"/>
      <c r="ES58" s="509"/>
      <c r="ET58" s="509"/>
      <c r="EU58" s="509"/>
      <c r="EV58" s="509"/>
      <c r="EW58" s="509"/>
      <c r="EX58" s="509"/>
      <c r="EY58" s="509"/>
      <c r="EZ58" s="509"/>
      <c r="FA58" s="509"/>
      <c r="FB58" s="509"/>
      <c r="FC58" s="509"/>
      <c r="FD58" s="509"/>
      <c r="FE58" s="509"/>
      <c r="FF58" s="509"/>
      <c r="FG58" s="510"/>
      <c r="FH58" s="509"/>
      <c r="FI58" s="509"/>
      <c r="FJ58" s="509"/>
      <c r="FK58" s="509"/>
      <c r="FL58" s="509"/>
      <c r="FM58" s="509"/>
      <c r="FN58" s="509"/>
      <c r="FO58" s="509"/>
      <c r="FP58" s="509"/>
      <c r="FQ58" s="509"/>
      <c r="FR58" s="509"/>
      <c r="FS58" s="509"/>
      <c r="FT58" s="509"/>
      <c r="FU58" s="509"/>
      <c r="FV58" s="509"/>
      <c r="FW58" s="508"/>
      <c r="FX58" s="509"/>
      <c r="FY58" s="509"/>
      <c r="FZ58" s="509"/>
      <c r="GA58" s="511"/>
      <c r="GB58" s="497"/>
      <c r="GC58" s="510"/>
      <c r="GD58" s="509"/>
      <c r="GE58" s="511"/>
      <c r="GF58" s="497"/>
      <c r="GG58" s="497"/>
      <c r="GH58" s="497" t="str">
        <f t="shared" si="1"/>
        <v>:</v>
      </c>
      <c r="GI58" s="510"/>
      <c r="GJ58" s="509"/>
      <c r="GK58" s="509"/>
    </row>
    <row r="59" spans="1:193" ht="15" x14ac:dyDescent="0.15">
      <c r="A59" s="482"/>
      <c r="B59" s="482" t="b">
        <f t="shared" si="0"/>
        <v>1</v>
      </c>
      <c r="C59" s="507" t="str">
        <f ca="1">IFERROR(__xludf.DUMMYFUNCTION("""set""&amp;PROPER(index(SPLIT(GA59, ""_""), 0, 2))&amp;""ToLevel""&amp;AV59"),"#VALUE!")</f>
        <v>#VALUE!</v>
      </c>
      <c r="D59" s="507"/>
      <c r="E59" s="497"/>
      <c r="F59" s="497"/>
      <c r="G59" s="508"/>
      <c r="H59" s="509"/>
      <c r="I59" s="509"/>
      <c r="J59" s="509"/>
      <c r="K59" s="509"/>
      <c r="L59" s="509"/>
      <c r="M59" s="497"/>
      <c r="N59" s="510"/>
      <c r="O59" s="497"/>
      <c r="P59" s="509"/>
      <c r="Q59" s="509"/>
      <c r="R59" s="509"/>
      <c r="S59" s="509"/>
      <c r="T59" s="509"/>
      <c r="U59" s="509"/>
      <c r="V59" s="509"/>
      <c r="W59" s="509"/>
      <c r="X59" s="509"/>
      <c r="Y59" s="509"/>
      <c r="Z59" s="509"/>
      <c r="AA59" s="497"/>
      <c r="AB59" s="509"/>
      <c r="AC59" s="510"/>
      <c r="AD59" s="509"/>
      <c r="AE59" s="509"/>
      <c r="AF59" s="509"/>
      <c r="AG59" s="509"/>
      <c r="AH59" s="509"/>
      <c r="AI59" s="508"/>
      <c r="AJ59" s="509"/>
      <c r="AK59" s="509"/>
      <c r="AL59" s="509"/>
      <c r="AM59" s="509"/>
      <c r="AN59" s="509"/>
      <c r="AO59" s="510"/>
      <c r="AP59" s="509"/>
      <c r="AQ59" s="509"/>
      <c r="AR59" s="509"/>
      <c r="AS59" s="509"/>
      <c r="AT59" s="509"/>
      <c r="AU59" s="511"/>
      <c r="AV59" s="497"/>
      <c r="AW59" s="497"/>
      <c r="AX59" s="510"/>
      <c r="AY59" s="509"/>
      <c r="AZ59" s="509"/>
      <c r="BA59" s="513"/>
      <c r="BB59" s="508"/>
      <c r="BC59" s="509"/>
      <c r="BD59" s="509"/>
      <c r="BE59" s="509"/>
      <c r="BF59" s="509"/>
      <c r="BG59" s="509"/>
      <c r="BH59" s="509"/>
      <c r="BI59" s="509"/>
      <c r="BJ59" s="509"/>
      <c r="BK59" s="509"/>
      <c r="BL59" s="509"/>
      <c r="BM59" s="509"/>
      <c r="BN59" s="514"/>
      <c r="BO59" s="510"/>
      <c r="BP59" s="509"/>
      <c r="BQ59" s="509"/>
      <c r="BR59" s="509"/>
      <c r="BS59" s="509"/>
      <c r="BT59" s="509"/>
      <c r="BU59" s="509"/>
      <c r="BV59" s="509"/>
      <c r="BW59" s="509"/>
      <c r="BX59" s="509"/>
      <c r="BY59" s="509"/>
      <c r="BZ59" s="509"/>
      <c r="CA59" s="514"/>
      <c r="CB59" s="510"/>
      <c r="CC59" s="509"/>
      <c r="CD59" s="509"/>
      <c r="CE59" s="509"/>
      <c r="CF59" s="509"/>
      <c r="CG59" s="509"/>
      <c r="CH59" s="509"/>
      <c r="CI59" s="509"/>
      <c r="CJ59" s="509"/>
      <c r="CK59" s="509"/>
      <c r="CL59" s="509"/>
      <c r="CM59" s="509"/>
      <c r="CN59" s="514"/>
      <c r="CO59" s="509"/>
      <c r="CP59" s="509"/>
      <c r="CQ59" s="509"/>
      <c r="CR59" s="509"/>
      <c r="CS59" s="509"/>
      <c r="CT59" s="509"/>
      <c r="CU59" s="509"/>
      <c r="CV59" s="509"/>
      <c r="CW59" s="509"/>
      <c r="CX59" s="509"/>
      <c r="CY59" s="509"/>
      <c r="CZ59" s="509"/>
      <c r="DA59" s="514"/>
      <c r="DB59" s="509"/>
      <c r="DC59" s="509"/>
      <c r="DD59" s="509"/>
      <c r="DE59" s="509"/>
      <c r="DF59" s="509"/>
      <c r="DG59" s="509"/>
      <c r="DH59" s="509"/>
      <c r="DI59" s="509"/>
      <c r="DJ59" s="509"/>
      <c r="DK59" s="509"/>
      <c r="DL59" s="509"/>
      <c r="DM59" s="509"/>
      <c r="DN59" s="515"/>
      <c r="DO59" s="509"/>
      <c r="DP59" s="509"/>
      <c r="DQ59" s="509"/>
      <c r="DR59" s="509"/>
      <c r="DS59" s="509"/>
      <c r="DT59" s="509"/>
      <c r="DU59" s="509"/>
      <c r="DV59" s="509"/>
      <c r="DW59" s="509"/>
      <c r="DX59" s="509"/>
      <c r="DY59" s="509"/>
      <c r="DZ59" s="509"/>
      <c r="EA59" s="509"/>
      <c r="EB59" s="509"/>
      <c r="EC59" s="510"/>
      <c r="ED59" s="509"/>
      <c r="EE59" s="509"/>
      <c r="EF59" s="509"/>
      <c r="EG59" s="509"/>
      <c r="EH59" s="509"/>
      <c r="EI59" s="509"/>
      <c r="EJ59" s="509"/>
      <c r="EK59" s="509"/>
      <c r="EL59" s="509"/>
      <c r="EM59" s="509"/>
      <c r="EN59" s="509"/>
      <c r="EO59" s="509"/>
      <c r="EP59" s="509"/>
      <c r="EQ59" s="508"/>
      <c r="ER59" s="509"/>
      <c r="ES59" s="509"/>
      <c r="ET59" s="509"/>
      <c r="EU59" s="509"/>
      <c r="EV59" s="509"/>
      <c r="EW59" s="509"/>
      <c r="EX59" s="509"/>
      <c r="EY59" s="509"/>
      <c r="EZ59" s="509"/>
      <c r="FA59" s="509"/>
      <c r="FB59" s="509"/>
      <c r="FC59" s="509"/>
      <c r="FD59" s="509"/>
      <c r="FE59" s="509"/>
      <c r="FF59" s="509"/>
      <c r="FG59" s="510"/>
      <c r="FH59" s="509"/>
      <c r="FI59" s="509"/>
      <c r="FJ59" s="509"/>
      <c r="FK59" s="509"/>
      <c r="FL59" s="509"/>
      <c r="FM59" s="509"/>
      <c r="FN59" s="509"/>
      <c r="FO59" s="509"/>
      <c r="FP59" s="509"/>
      <c r="FQ59" s="509"/>
      <c r="FR59" s="509"/>
      <c r="FS59" s="509"/>
      <c r="FT59" s="509"/>
      <c r="FU59" s="509"/>
      <c r="FV59" s="509"/>
      <c r="FW59" s="508"/>
      <c r="FX59" s="509"/>
      <c r="FY59" s="509"/>
      <c r="FZ59" s="509"/>
      <c r="GA59" s="511"/>
      <c r="GB59" s="497"/>
      <c r="GC59" s="510"/>
      <c r="GD59" s="509"/>
      <c r="GE59" s="511"/>
      <c r="GF59" s="497"/>
      <c r="GG59" s="497"/>
      <c r="GH59" s="497" t="str">
        <f t="shared" si="1"/>
        <v>:</v>
      </c>
      <c r="GI59" s="510"/>
      <c r="GJ59" s="509"/>
      <c r="GK59" s="509"/>
    </row>
    <row r="60" spans="1:193" ht="15" x14ac:dyDescent="0.15">
      <c r="A60" s="498"/>
      <c r="B60" s="482" t="b">
        <f t="shared" si="0"/>
        <v>1</v>
      </c>
      <c r="C60" s="507" t="str">
        <f ca="1">IFERROR(__xludf.DUMMYFUNCTION("""set""&amp;PROPER(index(SPLIT(GA60, ""_""), 0, 2))&amp;""ToLevel""&amp;AV60"),"#VALUE!")</f>
        <v>#VALUE!</v>
      </c>
      <c r="D60" s="483"/>
      <c r="E60" s="306"/>
      <c r="F60" s="306"/>
      <c r="G60" s="491"/>
      <c r="H60" s="306"/>
      <c r="I60" s="306"/>
      <c r="J60" s="306"/>
      <c r="K60" s="306"/>
      <c r="L60" s="306"/>
      <c r="M60" s="306"/>
      <c r="N60" s="487"/>
      <c r="O60" s="332"/>
      <c r="P60" s="306"/>
      <c r="Q60" s="306"/>
      <c r="R60" s="306"/>
      <c r="S60" s="306"/>
      <c r="T60" s="306"/>
      <c r="U60" s="306"/>
      <c r="V60" s="306"/>
      <c r="W60" s="306"/>
      <c r="X60" s="306"/>
      <c r="Y60" s="306"/>
      <c r="Z60" s="306"/>
      <c r="AA60" s="497"/>
      <c r="AB60" s="306"/>
      <c r="AC60" s="487"/>
      <c r="AD60" s="306"/>
      <c r="AE60" s="306"/>
      <c r="AF60" s="306"/>
      <c r="AG60" s="306"/>
      <c r="AH60" s="306"/>
      <c r="AI60" s="491"/>
      <c r="AJ60" s="306"/>
      <c r="AK60" s="306"/>
      <c r="AL60" s="306"/>
      <c r="AM60" s="306"/>
      <c r="AN60" s="306"/>
      <c r="AO60" s="487"/>
      <c r="AP60" s="306"/>
      <c r="AQ60" s="306"/>
      <c r="AR60" s="306"/>
      <c r="AS60" s="306"/>
      <c r="AT60" s="306"/>
      <c r="AU60" s="491"/>
      <c r="AV60" s="306"/>
      <c r="AW60" s="306"/>
      <c r="AX60" s="487"/>
      <c r="AY60" s="306"/>
      <c r="AZ60" s="306"/>
      <c r="BA60" s="516"/>
      <c r="BB60" s="491"/>
      <c r="BC60" s="306"/>
      <c r="BD60" s="306"/>
      <c r="BE60" s="306"/>
      <c r="BF60" s="306"/>
      <c r="BG60" s="306"/>
      <c r="BH60" s="306"/>
      <c r="BI60" s="306"/>
      <c r="BJ60" s="306"/>
      <c r="BK60" s="306"/>
      <c r="BL60" s="306"/>
      <c r="BM60" s="306"/>
      <c r="BN60" s="494"/>
      <c r="BO60" s="487"/>
      <c r="BP60" s="306"/>
      <c r="BQ60" s="306"/>
      <c r="BR60" s="306"/>
      <c r="BS60" s="306"/>
      <c r="BT60" s="306"/>
      <c r="BU60" s="306"/>
      <c r="BV60" s="306"/>
      <c r="BW60" s="306"/>
      <c r="BX60" s="306"/>
      <c r="BY60" s="306"/>
      <c r="BZ60" s="306"/>
      <c r="CA60" s="494"/>
      <c r="CB60" s="487"/>
      <c r="CC60" s="306"/>
      <c r="CD60" s="306"/>
      <c r="CE60" s="306"/>
      <c r="CF60" s="306"/>
      <c r="CG60" s="306"/>
      <c r="CH60" s="306"/>
      <c r="CI60" s="306"/>
      <c r="CJ60" s="306"/>
      <c r="CK60" s="306"/>
      <c r="CL60" s="306"/>
      <c r="CM60" s="306"/>
      <c r="CN60" s="494"/>
      <c r="CO60" s="306"/>
      <c r="CP60" s="306"/>
      <c r="CQ60" s="306"/>
      <c r="CR60" s="306"/>
      <c r="CS60" s="306"/>
      <c r="CT60" s="306"/>
      <c r="CU60" s="306"/>
      <c r="CV60" s="306"/>
      <c r="CW60" s="306"/>
      <c r="CX60" s="306"/>
      <c r="CY60" s="306"/>
      <c r="CZ60" s="306"/>
      <c r="DA60" s="494"/>
      <c r="DB60" s="306"/>
      <c r="DC60" s="306"/>
      <c r="DD60" s="306"/>
      <c r="DE60" s="306"/>
      <c r="DF60" s="306"/>
      <c r="DG60" s="306"/>
      <c r="DH60" s="306"/>
      <c r="DI60" s="306"/>
      <c r="DJ60" s="306"/>
      <c r="DK60" s="306"/>
      <c r="DL60" s="306"/>
      <c r="DM60" s="306"/>
      <c r="DN60" s="489"/>
      <c r="DO60" s="306"/>
      <c r="DP60" s="306"/>
      <c r="DQ60" s="306"/>
      <c r="DR60" s="306"/>
      <c r="DS60" s="306"/>
      <c r="DT60" s="306"/>
      <c r="DU60" s="306"/>
      <c r="DV60" s="306"/>
      <c r="DW60" s="306"/>
      <c r="DX60" s="306"/>
      <c r="DY60" s="306"/>
      <c r="DZ60" s="306"/>
      <c r="EA60" s="306"/>
      <c r="EB60" s="306"/>
      <c r="EC60" s="487"/>
      <c r="ED60" s="306"/>
      <c r="EE60" s="306"/>
      <c r="EF60" s="306"/>
      <c r="EG60" s="306"/>
      <c r="EH60" s="306"/>
      <c r="EI60" s="306"/>
      <c r="EJ60" s="306"/>
      <c r="EK60" s="306"/>
      <c r="EL60" s="306"/>
      <c r="EM60" s="306"/>
      <c r="EN60" s="306"/>
      <c r="EO60" s="306"/>
      <c r="EP60" s="306"/>
      <c r="EQ60" s="491"/>
      <c r="ER60" s="306"/>
      <c r="ES60" s="306"/>
      <c r="ET60" s="306"/>
      <c r="EU60" s="306"/>
      <c r="EV60" s="306"/>
      <c r="EW60" s="306"/>
      <c r="EX60" s="306"/>
      <c r="EY60" s="306"/>
      <c r="EZ60" s="306"/>
      <c r="FA60" s="306"/>
      <c r="FB60" s="306"/>
      <c r="FC60" s="306"/>
      <c r="FD60" s="306"/>
      <c r="FE60" s="306"/>
      <c r="FF60" s="306"/>
      <c r="FG60" s="487"/>
      <c r="FH60" s="306"/>
      <c r="FI60" s="306"/>
      <c r="FJ60" s="306"/>
      <c r="FK60" s="306"/>
      <c r="FL60" s="306"/>
      <c r="FM60" s="306"/>
      <c r="FN60" s="306"/>
      <c r="FO60" s="306"/>
      <c r="FP60" s="306"/>
      <c r="FQ60" s="306"/>
      <c r="FR60" s="306"/>
      <c r="FS60" s="306"/>
      <c r="FT60" s="306"/>
      <c r="FU60" s="306"/>
      <c r="FV60" s="306"/>
      <c r="FW60" s="491"/>
      <c r="FX60" s="306"/>
      <c r="FY60" s="306"/>
      <c r="FZ60" s="306"/>
      <c r="GA60" s="491"/>
      <c r="GB60" s="306"/>
      <c r="GC60" s="487"/>
      <c r="GD60" s="306"/>
      <c r="GE60" s="491"/>
      <c r="GF60" s="306"/>
      <c r="GG60" s="306"/>
      <c r="GH60" s="497" t="str">
        <f t="shared" si="1"/>
        <v>:</v>
      </c>
      <c r="GI60" s="487"/>
      <c r="GJ60" s="306"/>
      <c r="GK60" s="306"/>
    </row>
    <row r="61" spans="1:193" ht="15" x14ac:dyDescent="0.15">
      <c r="A61" s="498"/>
      <c r="B61" s="482" t="b">
        <f t="shared" si="0"/>
        <v>1</v>
      </c>
      <c r="C61" s="507" t="str">
        <f ca="1">IFERROR(__xludf.DUMMYFUNCTION("""set""&amp;PROPER(index(SPLIT(GA61, ""_""), 0, 2))&amp;""ToLevel""&amp;AV61"),"#VALUE!")</f>
        <v>#VALUE!</v>
      </c>
      <c r="D61" s="483"/>
      <c r="E61" s="306"/>
      <c r="F61" s="306"/>
      <c r="G61" s="491"/>
      <c r="H61" s="306"/>
      <c r="I61" s="306"/>
      <c r="J61" s="306"/>
      <c r="K61" s="306"/>
      <c r="L61" s="306"/>
      <c r="M61" s="306"/>
      <c r="N61" s="487"/>
      <c r="O61" s="332"/>
      <c r="P61" s="306"/>
      <c r="Q61" s="306"/>
      <c r="R61" s="306"/>
      <c r="S61" s="306"/>
      <c r="T61" s="306"/>
      <c r="U61" s="306"/>
      <c r="V61" s="306"/>
      <c r="W61" s="306"/>
      <c r="X61" s="306"/>
      <c r="Y61" s="306"/>
      <c r="Z61" s="306"/>
      <c r="AA61" s="497"/>
      <c r="AB61" s="306"/>
      <c r="AC61" s="487"/>
      <c r="AD61" s="306"/>
      <c r="AE61" s="306"/>
      <c r="AF61" s="306"/>
      <c r="AG61" s="306"/>
      <c r="AH61" s="306"/>
      <c r="AI61" s="491"/>
      <c r="AJ61" s="306"/>
      <c r="AK61" s="306"/>
      <c r="AL61" s="306"/>
      <c r="AM61" s="306"/>
      <c r="AN61" s="306"/>
      <c r="AO61" s="487"/>
      <c r="AP61" s="306"/>
      <c r="AQ61" s="306"/>
      <c r="AR61" s="306"/>
      <c r="AS61" s="306"/>
      <c r="AT61" s="306"/>
      <c r="AU61" s="491"/>
      <c r="AV61" s="306"/>
      <c r="AW61" s="306"/>
      <c r="AX61" s="487"/>
      <c r="AY61" s="306"/>
      <c r="AZ61" s="306"/>
      <c r="BA61" s="516"/>
      <c r="BB61" s="491"/>
      <c r="BC61" s="306"/>
      <c r="BD61" s="306"/>
      <c r="BE61" s="306"/>
      <c r="BF61" s="306"/>
      <c r="BG61" s="306"/>
      <c r="BH61" s="306"/>
      <c r="BI61" s="306"/>
      <c r="BJ61" s="306"/>
      <c r="BK61" s="306"/>
      <c r="BL61" s="306"/>
      <c r="BM61" s="306"/>
      <c r="BN61" s="494"/>
      <c r="BO61" s="487"/>
      <c r="BP61" s="306"/>
      <c r="BQ61" s="306"/>
      <c r="BR61" s="306"/>
      <c r="BS61" s="306"/>
      <c r="BT61" s="306"/>
      <c r="BU61" s="306"/>
      <c r="BV61" s="306"/>
      <c r="BW61" s="306"/>
      <c r="BX61" s="306"/>
      <c r="BY61" s="306"/>
      <c r="BZ61" s="306"/>
      <c r="CA61" s="494"/>
      <c r="CB61" s="487"/>
      <c r="CC61" s="306"/>
      <c r="CD61" s="306"/>
      <c r="CE61" s="306"/>
      <c r="CF61" s="306"/>
      <c r="CG61" s="306"/>
      <c r="CH61" s="306"/>
      <c r="CI61" s="306"/>
      <c r="CJ61" s="306"/>
      <c r="CK61" s="306"/>
      <c r="CL61" s="306"/>
      <c r="CM61" s="306"/>
      <c r="CN61" s="494"/>
      <c r="CO61" s="306"/>
      <c r="CP61" s="306"/>
      <c r="CQ61" s="306"/>
      <c r="CR61" s="306"/>
      <c r="CS61" s="306"/>
      <c r="CT61" s="306"/>
      <c r="CU61" s="306"/>
      <c r="CV61" s="306"/>
      <c r="CW61" s="306"/>
      <c r="CX61" s="306"/>
      <c r="CY61" s="306"/>
      <c r="CZ61" s="306"/>
      <c r="DA61" s="494"/>
      <c r="DB61" s="306"/>
      <c r="DC61" s="306"/>
      <c r="DD61" s="306"/>
      <c r="DE61" s="306"/>
      <c r="DF61" s="306"/>
      <c r="DG61" s="306"/>
      <c r="DH61" s="306"/>
      <c r="DI61" s="306"/>
      <c r="DJ61" s="306"/>
      <c r="DK61" s="306"/>
      <c r="DL61" s="306"/>
      <c r="DM61" s="306"/>
      <c r="DN61" s="489"/>
      <c r="DO61" s="306"/>
      <c r="DP61" s="306"/>
      <c r="DQ61" s="306"/>
      <c r="DR61" s="306"/>
      <c r="DS61" s="306"/>
      <c r="DT61" s="306"/>
      <c r="DU61" s="306"/>
      <c r="DV61" s="306"/>
      <c r="DW61" s="306"/>
      <c r="DX61" s="306"/>
      <c r="DY61" s="306"/>
      <c r="DZ61" s="306"/>
      <c r="EA61" s="306"/>
      <c r="EB61" s="306"/>
      <c r="EC61" s="487"/>
      <c r="ED61" s="306"/>
      <c r="EE61" s="306"/>
      <c r="EF61" s="306"/>
      <c r="EG61" s="306"/>
      <c r="EH61" s="306"/>
      <c r="EI61" s="306"/>
      <c r="EJ61" s="306"/>
      <c r="EK61" s="306"/>
      <c r="EL61" s="306"/>
      <c r="EM61" s="306"/>
      <c r="EN61" s="306"/>
      <c r="EO61" s="306"/>
      <c r="EP61" s="306"/>
      <c r="EQ61" s="491"/>
      <c r="ER61" s="306"/>
      <c r="ES61" s="306"/>
      <c r="ET61" s="306"/>
      <c r="EU61" s="306"/>
      <c r="EV61" s="306"/>
      <c r="EW61" s="306"/>
      <c r="EX61" s="306"/>
      <c r="EY61" s="306"/>
      <c r="EZ61" s="306"/>
      <c r="FA61" s="306"/>
      <c r="FB61" s="306"/>
      <c r="FC61" s="306"/>
      <c r="FD61" s="306"/>
      <c r="FE61" s="306"/>
      <c r="FF61" s="306"/>
      <c r="FG61" s="487"/>
      <c r="FH61" s="306"/>
      <c r="FI61" s="306"/>
      <c r="FJ61" s="306"/>
      <c r="FK61" s="306"/>
      <c r="FL61" s="306"/>
      <c r="FM61" s="306"/>
      <c r="FN61" s="306"/>
      <c r="FO61" s="306"/>
      <c r="FP61" s="306"/>
      <c r="FQ61" s="306"/>
      <c r="FR61" s="306"/>
      <c r="FS61" s="306"/>
      <c r="FT61" s="306"/>
      <c r="FU61" s="306"/>
      <c r="FV61" s="306"/>
      <c r="FW61" s="491"/>
      <c r="FX61" s="306"/>
      <c r="FY61" s="306"/>
      <c r="FZ61" s="306"/>
      <c r="GA61" s="491"/>
      <c r="GB61" s="306"/>
      <c r="GC61" s="487"/>
      <c r="GD61" s="306"/>
      <c r="GE61" s="491"/>
      <c r="GF61" s="306"/>
      <c r="GG61" s="306"/>
      <c r="GH61" s="497" t="str">
        <f t="shared" si="1"/>
        <v>:</v>
      </c>
      <c r="GI61" s="487"/>
      <c r="GJ61" s="306"/>
      <c r="GK61" s="306"/>
    </row>
  </sheetData>
  <conditionalFormatting sqref="A7:GK61">
    <cfRule type="expression" dxfId="51" priority="1">
      <formula>_xludf.ISFORMULA(A7)</formula>
    </cfRule>
  </conditionalFormatting>
  <conditionalFormatting sqref="A7:GK61">
    <cfRule type="expression" dxfId="50" priority="2">
      <formula>NOT(_xludf.ISFORMULA(A7))</formula>
    </cfRule>
  </conditionalFormatting>
  <dataValidations count="18">
    <dataValidation type="list" allowBlank="1" sqref="D7:D61" xr:uid="{00000000-0002-0000-1200-000000000000}">
      <formula1>DataValidation_RewardType</formula1>
    </dataValidation>
    <dataValidation type="list" allowBlank="1" sqref="I7:I61 L7:L61 R7:R61 U7:U61" xr:uid="{00000000-0002-0000-1200-000001000000}">
      <formula1>DataValidation_DataUpdateType</formula1>
    </dataValidation>
    <dataValidation type="list" allowBlank="1" sqref="W7:W61" xr:uid="{00000000-0002-0000-1200-000002000000}">
      <formula1>DataValidation_StatisticPrimary</formula1>
    </dataValidation>
    <dataValidation type="list" allowBlank="1" sqref="GE7:GE61 GI7:GI61" xr:uid="{00000000-0002-0000-1200-000003000000}">
      <formula1>DataValidation_PlayerDataKey</formula1>
    </dataValidation>
    <dataValidation type="list" allowBlank="1" sqref="BO7:BO59 BB7:BB61 BN60:BO61 CB7:CB61 CO7:CO61 DB7:DB61" xr:uid="{00000000-0002-0000-1200-000004000000}">
      <formula1>DataValidation_ItemAll</formula1>
    </dataValidation>
    <dataValidation type="list" allowBlank="1" sqref="FA7:FA59 DW7:DW61 EK7:EK61 FQ7:FQ61" xr:uid="{00000000-0002-0000-1200-000005000000}">
      <formula1>DataValidation_RewardCountMethod</formula1>
    </dataValidation>
    <dataValidation type="decimal" operator="greaterThanOrEqual" allowBlank="1" showDropDown="1" sqref="F60:F61 O7:O61" xr:uid="{00000000-0002-0000-1200-000006000000}">
      <formula1>0</formula1>
    </dataValidation>
    <dataValidation type="list" allowBlank="1" sqref="E7:E61 N7:N61 AA7:AB61 AG7:AH61" xr:uid="{00000000-0002-0000-1200-000007000000}">
      <formula1>DataValidation_ItemReward</formula1>
    </dataValidation>
    <dataValidation type="list" allowBlank="1" sqref="Z7:Z61 AF7:AF61 AL7:AL61 AR7:AR61 BA7:BA61" xr:uid="{00000000-0002-0000-1200-000008000000}">
      <formula1>DataValidation_AnyOrAll</formula1>
    </dataValidation>
    <dataValidation type="list" allowBlank="1" sqref="BM7:BM61 BZ7:BZ61 CM7:CM61 CZ7:CZ61 DM7:DM61 EA7:EA61 FE7:FE61" xr:uid="{00000000-0002-0000-1200-000009000000}">
      <formula1>DataValidation_ItemUpdateType</formula1>
    </dataValidation>
    <dataValidation type="list" allowBlank="1" sqref="B7:B61" xr:uid="{00000000-0002-0000-1200-00000A000000}">
      <formula1>DataValidation_TrueOrFalse</formula1>
    </dataValidation>
    <dataValidation type="list" allowBlank="1" sqref="BN7:BN59 FF7:FF59 CA7:CA61 CN7:CN61 DA7:DA61 DN7:DN61 EB7:EB61 EL7:EP61 FR7:FV61" xr:uid="{00000000-0002-0000-1200-00000B000000}">
      <formula1>DataValidation_WithinSame</formula1>
    </dataValidation>
    <dataValidation type="decimal" operator="greaterThan" allowBlank="1" showDropDown="1" sqref="X7:X61 AD7:AD61 BC60:BC61 BP60:BP61 CC60:CC61" xr:uid="{00000000-0002-0000-1200-00000C000000}">
      <formula1>0</formula1>
    </dataValidation>
    <dataValidation type="list" allowBlank="1" sqref="EU7:EU59 EX7:EX59 G7:G61 J7:J61 P7:P61 S7:S61 BD7:BD61 BG7:BG61 BQ7:BQ61 BT7:BT61 CD7:CD61 CG7:CG61 CQ7:CQ61 CT7:CT61 DD7:DD61 DG7:DG61 DQ7:DQ61 DT7:DT61 EE7:EE61 EH7:EH61 FK7:FK61 FN7:FN61" xr:uid="{00000000-0002-0000-1200-00000D000000}">
      <formula1>DataValidation_ItemDataKey</formula1>
    </dataValidation>
    <dataValidation type="list" allowBlank="1" sqref="BJ7:BJ61 BW7:BW61 CJ7:CJ61 CW7:CW61 DJ7:DJ61 DX7:DX61 FB7:FB61" xr:uid="{00000000-0002-0000-1200-00000F000000}">
      <formula1>DataValidation_DateTimeKey</formula1>
    </dataValidation>
    <dataValidation type="list" allowBlank="1" sqref="DO7:DO61 EC7:EC61" xr:uid="{00000000-0002-0000-1200-000011000000}">
      <formula1>DataValidation_CatalogClass</formula1>
    </dataValidation>
    <dataValidation type="list" allowBlank="1" sqref="BF7:BF61 BI7:BI61 BL7:BL61 BS7:BS61 BV7:BV61 BY7:BY61 CF7:CF61 CI7:CI61 CL7:CL61 CS7:CS61 CV7:CV61 CY7:CY61 DF7:DF61 DI7:DI61 DL7:DL61 DS7:DS61 DV7:DV61 DZ7:DZ61 EG7:EG61 EJ7:EJ61 EW7:EW61 EZ7:EZ61 FD7:FD61 FM7:FM61 FP7:FP61 GG7:GG61 GK7:GK61" xr:uid="{00000000-0002-0000-1200-000012000000}">
      <formula1>DataValidation_ComparisonType</formula1>
    </dataValidation>
    <dataValidation type="list" allowBlank="1" sqref="M7:M61 V7:V61 Y7:Y61 AE7:AE61 AK7:AK61 AQ7:AQ61" xr:uid="{00000000-0002-0000-1200-000013000000}">
      <formula1>DataValidation_RewardRepeat</formula1>
    </dataValidation>
  </dataValidations>
  <hyperlinks>
    <hyperlink ref="AC4" r:id="rId1" xr:uid="{00000000-0004-0000-1200-000000000000}"/>
    <hyperlink ref="AI4" r:id="rId2" xr:uid="{00000000-0004-0000-1200-000001000000}"/>
    <hyperlink ref="AO4" r:id="rId3" xr:uid="{00000000-0004-0000-1200-000002000000}"/>
    <hyperlink ref="BB4" r:id="rId4" xr:uid="{00000000-0004-0000-1200-000003000000}"/>
    <hyperlink ref="BO4" r:id="rId5" xr:uid="{00000000-0004-0000-1200-000004000000}"/>
    <hyperlink ref="CB4" r:id="rId6" xr:uid="{00000000-0004-0000-1200-000005000000}"/>
    <hyperlink ref="CO4" r:id="rId7" xr:uid="{00000000-0004-0000-1200-000006000000}"/>
    <hyperlink ref="DB4" r:id="rId8" xr:uid="{00000000-0004-0000-1200-000007000000}"/>
    <hyperlink ref="EC4" r:id="rId9" xr:uid="{00000000-0004-0000-1200-000008000000}"/>
    <hyperlink ref="EQ4" r:id="rId10" xr:uid="{00000000-0004-0000-1200-000009000000}"/>
    <hyperlink ref="FG4" r:id="rId11" xr:uid="{00000000-0004-0000-1200-00000A000000}"/>
    <hyperlink ref="FW4" r:id="rId12" xr:uid="{00000000-0004-0000-1200-00000B000000}"/>
    <hyperlink ref="FY4" r:id="rId13" xr:uid="{00000000-0004-0000-1200-00000C000000}"/>
    <hyperlink ref="GA4" r:id="rId14" xr:uid="{00000000-0004-0000-1200-00000D000000}"/>
    <hyperlink ref="GC4" r:id="rId15" xr:uid="{00000000-0004-0000-1200-00000E000000}"/>
    <hyperlink ref="GE4" r:id="rId16" xr:uid="{00000000-0004-0000-1200-00000F000000}"/>
    <hyperlink ref="GI4" r:id="rId17" xr:uid="{00000000-0004-0000-1200-000010000000}"/>
    <hyperlink ref="N6" r:id="rId18" xr:uid="{00000000-0004-0000-1200-000011000000}"/>
    <hyperlink ref="AC6" r:id="rId19" xr:uid="{00000000-0004-0000-1200-000012000000}"/>
    <hyperlink ref="AI6" r:id="rId20" xr:uid="{00000000-0004-0000-1200-000013000000}"/>
    <hyperlink ref="AO6" r:id="rId21" xr:uid="{00000000-0004-0000-1200-000014000000}"/>
    <hyperlink ref="BB6" r:id="rId22" xr:uid="{00000000-0004-0000-1200-000015000000}"/>
    <hyperlink ref="BO6" r:id="rId23" xr:uid="{00000000-0004-0000-1200-000016000000}"/>
    <hyperlink ref="CB6" r:id="rId24" xr:uid="{00000000-0004-0000-1200-000017000000}"/>
    <hyperlink ref="CO6" r:id="rId25" xr:uid="{00000000-0004-0000-1200-000018000000}"/>
    <hyperlink ref="DB6" r:id="rId26" xr:uid="{00000000-0004-0000-1200-000019000000}"/>
    <hyperlink ref="EC6" r:id="rId27" xr:uid="{00000000-0004-0000-1200-00001A000000}"/>
    <hyperlink ref="EQ6" r:id="rId28" xr:uid="{00000000-0004-0000-1200-00001B000000}"/>
    <hyperlink ref="FG6" r:id="rId29" xr:uid="{00000000-0004-0000-1200-00001C000000}"/>
    <hyperlink ref="FW6" r:id="rId30" xr:uid="{00000000-0004-0000-1200-00001D000000}"/>
    <hyperlink ref="FY6" r:id="rId31" xr:uid="{00000000-0004-0000-1200-00001E000000}"/>
    <hyperlink ref="GA6" r:id="rId32" xr:uid="{00000000-0004-0000-1200-00001F000000}"/>
    <hyperlink ref="GC6" r:id="rId33" xr:uid="{00000000-0004-0000-1200-000020000000}"/>
    <hyperlink ref="GE6" r:id="rId34" xr:uid="{00000000-0004-0000-1200-000021000000}"/>
    <hyperlink ref="GI6" r:id="rId35" xr:uid="{00000000-0004-0000-1200-000022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1200-00000E000000}">
          <x14:formula1>
            <xm:f>'_REF Data Validation for All Sh'!$AH$6:$AH$13</xm:f>
          </x14:formula1>
          <xm:sqref>AC7:AC61</xm:sqref>
        </x14:dataValidation>
        <x14:dataValidation type="list" allowBlank="1" xr:uid="{00000000-0002-0000-1200-000010000000}">
          <x14:formula1>
            <xm:f>'_REF Data Validation for All Sh'!$O$6:$O$12</xm:f>
          </x14:formula1>
          <xm:sqref>AW8:AW61 AZ8:AZ61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900FF"/>
    <outlinePr summaryBelow="0" summaryRight="0"/>
  </sheetPr>
  <dimension ref="A1:N22"/>
  <sheetViews>
    <sheetView workbookViewId="0">
      <pane xSplit="3" ySplit="7" topLeftCell="D8" activePane="bottomRight" state="frozen"/>
      <selection activeCell="B7" sqref="B7"/>
      <selection pane="topRight" activeCell="B7" sqref="B7"/>
      <selection pane="bottomLeft" activeCell="B7" sqref="B7"/>
      <selection pane="bottomRight" activeCell="B7" sqref="B7"/>
    </sheetView>
  </sheetViews>
  <sheetFormatPr baseColWidth="10" defaultColWidth="12.6640625" defaultRowHeight="15.75" customHeight="1" outlineLevelRow="1" outlineLevelCol="1" x14ac:dyDescent="0.15"/>
  <cols>
    <col min="1" max="4" width="17.1640625" customWidth="1"/>
    <col min="5" max="5" width="12.33203125" customWidth="1" outlineLevel="1"/>
    <col min="6" max="6" width="19.83203125" customWidth="1" collapsed="1"/>
    <col min="7" max="7" width="15.6640625" hidden="1" customWidth="1" outlineLevel="1"/>
    <col min="9" max="10" width="12.6640625" outlineLevel="1"/>
    <col min="12" max="13" width="12.6640625" outlineLevel="1"/>
    <col min="14" max="14" width="19.83203125" customWidth="1"/>
  </cols>
  <sheetData>
    <row r="1" spans="1:14" ht="30" x14ac:dyDescent="0.15">
      <c r="A1" s="517"/>
      <c r="B1" s="517" t="s">
        <v>2515</v>
      </c>
      <c r="C1" s="517" t="s">
        <v>4835</v>
      </c>
      <c r="D1" s="517"/>
      <c r="E1" s="517"/>
      <c r="F1" s="517"/>
      <c r="G1" s="517"/>
      <c r="H1" s="517"/>
      <c r="I1" s="517"/>
      <c r="J1" s="517"/>
      <c r="K1" s="517"/>
      <c r="L1" s="517"/>
      <c r="M1" s="517"/>
      <c r="N1" s="518" t="s">
        <v>4836</v>
      </c>
    </row>
    <row r="2" spans="1:14" ht="15" x14ac:dyDescent="0.15">
      <c r="A2" s="44" t="s">
        <v>2609</v>
      </c>
      <c r="B2" s="44" t="s">
        <v>104</v>
      </c>
      <c r="C2" s="50" t="s">
        <v>2468</v>
      </c>
      <c r="D2" s="783" t="s">
        <v>2471</v>
      </c>
      <c r="E2" s="773"/>
      <c r="F2" s="773"/>
      <c r="G2" s="773"/>
      <c r="H2" s="783" t="s">
        <v>4837</v>
      </c>
      <c r="I2" s="773"/>
      <c r="J2" s="773"/>
      <c r="K2" s="773"/>
      <c r="L2" s="773"/>
      <c r="M2" s="773"/>
      <c r="N2" s="519" t="s">
        <v>4838</v>
      </c>
    </row>
    <row r="3" spans="1:14" ht="14" x14ac:dyDescent="0.15">
      <c r="A3" s="520"/>
      <c r="B3" s="520"/>
      <c r="C3" s="520"/>
      <c r="D3" s="784" t="s">
        <v>5</v>
      </c>
      <c r="E3" s="785"/>
      <c r="F3" s="784" t="s">
        <v>2472</v>
      </c>
      <c r="G3" s="773"/>
      <c r="H3" s="784" t="s">
        <v>4839</v>
      </c>
      <c r="I3" s="773"/>
      <c r="J3" s="773"/>
      <c r="K3" s="786" t="s">
        <v>4840</v>
      </c>
      <c r="L3" s="773"/>
      <c r="M3" s="773"/>
      <c r="N3" s="521"/>
    </row>
    <row r="4" spans="1:14" ht="15" x14ac:dyDescent="0.15">
      <c r="A4" s="522"/>
      <c r="B4" s="522"/>
      <c r="C4" s="522"/>
      <c r="D4" s="523" t="s">
        <v>2473</v>
      </c>
      <c r="E4" s="522" t="s">
        <v>23</v>
      </c>
      <c r="F4" s="523" t="s">
        <v>2473</v>
      </c>
      <c r="G4" s="522" t="s">
        <v>23</v>
      </c>
      <c r="H4" s="523" t="s">
        <v>2469</v>
      </c>
      <c r="I4" s="522" t="s">
        <v>4841</v>
      </c>
      <c r="J4" s="522" t="s">
        <v>4842</v>
      </c>
      <c r="K4" s="522" t="s">
        <v>2469</v>
      </c>
      <c r="L4" s="522" t="s">
        <v>4841</v>
      </c>
      <c r="M4" s="522" t="s">
        <v>4842</v>
      </c>
      <c r="N4" s="524"/>
    </row>
    <row r="5" spans="1:14" ht="14" collapsed="1" x14ac:dyDescent="0.15">
      <c r="A5" s="522"/>
      <c r="B5" s="522"/>
      <c r="C5" s="522"/>
      <c r="D5" s="523"/>
      <c r="E5" s="522"/>
      <c r="F5" s="523"/>
      <c r="G5" s="522"/>
      <c r="H5" s="523"/>
      <c r="I5" s="522"/>
      <c r="J5" s="522"/>
      <c r="K5" s="522"/>
      <c r="L5" s="522"/>
      <c r="M5" s="522"/>
      <c r="N5" s="524"/>
    </row>
    <row r="6" spans="1:14" ht="89.25" hidden="1" customHeight="1" outlineLevel="1" x14ac:dyDescent="0.15">
      <c r="A6" s="525"/>
      <c r="B6" s="526"/>
      <c r="C6" s="525" t="s">
        <v>4843</v>
      </c>
      <c r="D6" s="527" t="s">
        <v>4844</v>
      </c>
      <c r="E6" s="528" t="s">
        <v>4845</v>
      </c>
      <c r="F6" s="527" t="s">
        <v>4844</v>
      </c>
      <c r="G6" s="528" t="s">
        <v>4846</v>
      </c>
      <c r="H6" s="529" t="s">
        <v>4847</v>
      </c>
      <c r="I6" s="528" t="s">
        <v>4848</v>
      </c>
      <c r="J6" s="528" t="s">
        <v>4849</v>
      </c>
      <c r="K6" s="528" t="s">
        <v>4847</v>
      </c>
      <c r="L6" s="528" t="s">
        <v>4848</v>
      </c>
      <c r="M6" s="528" t="s">
        <v>4849</v>
      </c>
      <c r="N6" s="530" t="s">
        <v>4850</v>
      </c>
    </row>
    <row r="7" spans="1:14" ht="89.25" hidden="1" customHeight="1" outlineLevel="1" x14ac:dyDescent="0.15">
      <c r="A7" s="525"/>
      <c r="B7" s="526"/>
      <c r="C7" s="525" t="s">
        <v>2474</v>
      </c>
      <c r="D7" s="527" t="s">
        <v>2477</v>
      </c>
      <c r="E7" s="528" t="s">
        <v>2478</v>
      </c>
      <c r="F7" s="527" t="s">
        <v>2479</v>
      </c>
      <c r="G7" s="528" t="s">
        <v>2480</v>
      </c>
      <c r="H7" s="529" t="s">
        <v>4851</v>
      </c>
      <c r="I7" s="528" t="s">
        <v>4852</v>
      </c>
      <c r="J7" s="528" t="s">
        <v>4853</v>
      </c>
      <c r="K7" s="528" t="s">
        <v>4854</v>
      </c>
      <c r="L7" s="528" t="s">
        <v>4855</v>
      </c>
      <c r="M7" s="528" t="s">
        <v>4856</v>
      </c>
      <c r="N7" s="530" t="s">
        <v>4857</v>
      </c>
    </row>
    <row r="8" spans="1:14" ht="15" x14ac:dyDescent="0.15">
      <c r="A8" s="498"/>
      <c r="B8" s="531"/>
      <c r="C8" s="483" t="str">
        <f t="shared" ref="C8:C19" si="0">LOWER(E8)</f>
        <v>january</v>
      </c>
      <c r="D8" s="532" t="s">
        <v>283</v>
      </c>
      <c r="E8" s="177" t="s">
        <v>4858</v>
      </c>
      <c r="F8" s="532"/>
      <c r="G8" s="483"/>
      <c r="H8" s="532" t="s">
        <v>4859</v>
      </c>
      <c r="I8" s="483">
        <v>1</v>
      </c>
      <c r="J8" s="483">
        <v>1</v>
      </c>
      <c r="K8" s="483" t="s">
        <v>4860</v>
      </c>
      <c r="L8" s="533">
        <f t="shared" ref="L8:L20" si="1">I8</f>
        <v>1</v>
      </c>
      <c r="M8" s="483">
        <v>31</v>
      </c>
      <c r="N8" s="534"/>
    </row>
    <row r="9" spans="1:14" ht="15" x14ac:dyDescent="0.15">
      <c r="A9" s="498"/>
      <c r="B9" s="531"/>
      <c r="C9" s="483" t="str">
        <f t="shared" si="0"/>
        <v>february</v>
      </c>
      <c r="D9" s="532" t="s">
        <v>283</v>
      </c>
      <c r="E9" s="177" t="s">
        <v>4861</v>
      </c>
      <c r="F9" s="532"/>
      <c r="G9" s="483"/>
      <c r="H9" s="532" t="s">
        <v>4859</v>
      </c>
      <c r="I9" s="483">
        <v>2</v>
      </c>
      <c r="J9" s="483">
        <v>1</v>
      </c>
      <c r="K9" s="483" t="s">
        <v>4860</v>
      </c>
      <c r="L9" s="533">
        <f t="shared" si="1"/>
        <v>2</v>
      </c>
      <c r="M9" s="483">
        <v>29</v>
      </c>
      <c r="N9" s="534"/>
    </row>
    <row r="10" spans="1:14" ht="15" x14ac:dyDescent="0.15">
      <c r="A10" s="498"/>
      <c r="B10" s="531"/>
      <c r="C10" s="483" t="str">
        <f t="shared" si="0"/>
        <v>march</v>
      </c>
      <c r="D10" s="532" t="s">
        <v>283</v>
      </c>
      <c r="E10" s="177" t="s">
        <v>4862</v>
      </c>
      <c r="F10" s="532"/>
      <c r="G10" s="483"/>
      <c r="H10" s="532" t="s">
        <v>4859</v>
      </c>
      <c r="I10" s="483">
        <v>3</v>
      </c>
      <c r="J10" s="483">
        <v>1</v>
      </c>
      <c r="K10" s="483" t="s">
        <v>4860</v>
      </c>
      <c r="L10" s="533">
        <f t="shared" si="1"/>
        <v>3</v>
      </c>
      <c r="M10" s="483">
        <v>31</v>
      </c>
      <c r="N10" s="534"/>
    </row>
    <row r="11" spans="1:14" ht="15" x14ac:dyDescent="0.15">
      <c r="A11" s="498"/>
      <c r="B11" s="531"/>
      <c r="C11" s="483" t="str">
        <f t="shared" si="0"/>
        <v>april</v>
      </c>
      <c r="D11" s="532" t="s">
        <v>283</v>
      </c>
      <c r="E11" s="177" t="s">
        <v>4863</v>
      </c>
      <c r="F11" s="532"/>
      <c r="G11" s="483"/>
      <c r="H11" s="532" t="s">
        <v>4859</v>
      </c>
      <c r="I11" s="483">
        <v>4</v>
      </c>
      <c r="J11" s="483">
        <v>1</v>
      </c>
      <c r="K11" s="483" t="s">
        <v>4860</v>
      </c>
      <c r="L11" s="533">
        <f t="shared" si="1"/>
        <v>4</v>
      </c>
      <c r="M11" s="483">
        <v>30</v>
      </c>
      <c r="N11" s="534"/>
    </row>
    <row r="12" spans="1:14" ht="15" x14ac:dyDescent="0.15">
      <c r="A12" s="498"/>
      <c r="B12" s="531"/>
      <c r="C12" s="483" t="str">
        <f t="shared" si="0"/>
        <v>may</v>
      </c>
      <c r="D12" s="532" t="s">
        <v>283</v>
      </c>
      <c r="E12" s="177" t="s">
        <v>4864</v>
      </c>
      <c r="F12" s="532"/>
      <c r="G12" s="483"/>
      <c r="H12" s="532" t="s">
        <v>4859</v>
      </c>
      <c r="I12" s="483">
        <v>5</v>
      </c>
      <c r="J12" s="483">
        <v>1</v>
      </c>
      <c r="K12" s="483" t="s">
        <v>4860</v>
      </c>
      <c r="L12" s="533">
        <f t="shared" si="1"/>
        <v>5</v>
      </c>
      <c r="M12" s="483">
        <v>31</v>
      </c>
      <c r="N12" s="534"/>
    </row>
    <row r="13" spans="1:14" ht="15" x14ac:dyDescent="0.15">
      <c r="A13" s="498"/>
      <c r="B13" s="531"/>
      <c r="C13" s="483" t="str">
        <f t="shared" si="0"/>
        <v>june</v>
      </c>
      <c r="D13" s="532" t="s">
        <v>283</v>
      </c>
      <c r="E13" s="177" t="s">
        <v>4865</v>
      </c>
      <c r="F13" s="532"/>
      <c r="G13" s="533"/>
      <c r="H13" s="532" t="s">
        <v>4859</v>
      </c>
      <c r="I13" s="483">
        <v>6</v>
      </c>
      <c r="J13" s="483">
        <v>1</v>
      </c>
      <c r="K13" s="483" t="s">
        <v>4860</v>
      </c>
      <c r="L13" s="533">
        <f t="shared" si="1"/>
        <v>6</v>
      </c>
      <c r="M13" s="483">
        <v>30</v>
      </c>
      <c r="N13" s="534"/>
    </row>
    <row r="14" spans="1:14" ht="15" x14ac:dyDescent="0.15">
      <c r="A14" s="498"/>
      <c r="B14" s="531"/>
      <c r="C14" s="483" t="str">
        <f t="shared" si="0"/>
        <v>july</v>
      </c>
      <c r="D14" s="532" t="s">
        <v>283</v>
      </c>
      <c r="E14" s="177" t="s">
        <v>4866</v>
      </c>
      <c r="F14" s="532"/>
      <c r="G14" s="533"/>
      <c r="H14" s="532" t="s">
        <v>4859</v>
      </c>
      <c r="I14" s="483">
        <v>7</v>
      </c>
      <c r="J14" s="483">
        <v>1</v>
      </c>
      <c r="K14" s="483" t="s">
        <v>4860</v>
      </c>
      <c r="L14" s="533">
        <f t="shared" si="1"/>
        <v>7</v>
      </c>
      <c r="M14" s="483">
        <v>31</v>
      </c>
      <c r="N14" s="534"/>
    </row>
    <row r="15" spans="1:14" ht="15" x14ac:dyDescent="0.15">
      <c r="A15" s="498"/>
      <c r="B15" s="531"/>
      <c r="C15" s="483" t="str">
        <f t="shared" si="0"/>
        <v>august</v>
      </c>
      <c r="D15" s="532" t="s">
        <v>283</v>
      </c>
      <c r="E15" s="177" t="s">
        <v>4867</v>
      </c>
      <c r="F15" s="532"/>
      <c r="G15" s="533"/>
      <c r="H15" s="532" t="s">
        <v>4859</v>
      </c>
      <c r="I15" s="483">
        <v>8</v>
      </c>
      <c r="J15" s="483">
        <v>1</v>
      </c>
      <c r="K15" s="483" t="s">
        <v>4860</v>
      </c>
      <c r="L15" s="533">
        <f t="shared" si="1"/>
        <v>8</v>
      </c>
      <c r="M15" s="483">
        <v>31</v>
      </c>
      <c r="N15" s="534"/>
    </row>
    <row r="16" spans="1:14" ht="15" x14ac:dyDescent="0.15">
      <c r="A16" s="498"/>
      <c r="B16" s="531"/>
      <c r="C16" s="483" t="str">
        <f t="shared" si="0"/>
        <v>september</v>
      </c>
      <c r="D16" s="532" t="s">
        <v>283</v>
      </c>
      <c r="E16" s="177" t="s">
        <v>4868</v>
      </c>
      <c r="F16" s="532"/>
      <c r="G16" s="533"/>
      <c r="H16" s="532" t="s">
        <v>4859</v>
      </c>
      <c r="I16" s="483">
        <v>9</v>
      </c>
      <c r="J16" s="483">
        <v>1</v>
      </c>
      <c r="K16" s="483" t="s">
        <v>4860</v>
      </c>
      <c r="L16" s="533">
        <f t="shared" si="1"/>
        <v>9</v>
      </c>
      <c r="M16" s="483">
        <v>31</v>
      </c>
      <c r="N16" s="534"/>
    </row>
    <row r="17" spans="1:14" ht="15" x14ac:dyDescent="0.15">
      <c r="A17" s="498"/>
      <c r="B17" s="531"/>
      <c r="C17" s="483" t="str">
        <f t="shared" si="0"/>
        <v>october</v>
      </c>
      <c r="D17" s="532" t="s">
        <v>283</v>
      </c>
      <c r="E17" s="177" t="s">
        <v>4869</v>
      </c>
      <c r="F17" s="532"/>
      <c r="G17" s="533"/>
      <c r="H17" s="532" t="s">
        <v>4859</v>
      </c>
      <c r="I17" s="483">
        <v>10</v>
      </c>
      <c r="J17" s="483">
        <v>1</v>
      </c>
      <c r="K17" s="483" t="s">
        <v>4860</v>
      </c>
      <c r="L17" s="533">
        <f t="shared" si="1"/>
        <v>10</v>
      </c>
      <c r="M17" s="483">
        <v>31</v>
      </c>
      <c r="N17" s="534"/>
    </row>
    <row r="18" spans="1:14" ht="15" x14ac:dyDescent="0.15">
      <c r="A18" s="498"/>
      <c r="B18" s="531"/>
      <c r="C18" s="483" t="str">
        <f t="shared" si="0"/>
        <v>november</v>
      </c>
      <c r="D18" s="532" t="s">
        <v>283</v>
      </c>
      <c r="E18" s="177" t="s">
        <v>4870</v>
      </c>
      <c r="F18" s="532"/>
      <c r="G18" s="533"/>
      <c r="H18" s="532" t="s">
        <v>4859</v>
      </c>
      <c r="I18" s="483">
        <v>11</v>
      </c>
      <c r="J18" s="483">
        <v>1</v>
      </c>
      <c r="K18" s="483" t="s">
        <v>4860</v>
      </c>
      <c r="L18" s="533">
        <f t="shared" si="1"/>
        <v>11</v>
      </c>
      <c r="M18" s="483">
        <v>30</v>
      </c>
      <c r="N18" s="534"/>
    </row>
    <row r="19" spans="1:14" ht="15" x14ac:dyDescent="0.15">
      <c r="A19" s="498"/>
      <c r="B19" s="531"/>
      <c r="C19" s="483" t="str">
        <f t="shared" si="0"/>
        <v>december</v>
      </c>
      <c r="D19" s="532" t="s">
        <v>283</v>
      </c>
      <c r="E19" s="11" t="s">
        <v>4871</v>
      </c>
      <c r="F19" s="532"/>
      <c r="G19" s="533"/>
      <c r="H19" s="532" t="s">
        <v>4859</v>
      </c>
      <c r="I19" s="483">
        <v>12</v>
      </c>
      <c r="J19" s="483">
        <v>1</v>
      </c>
      <c r="K19" s="483" t="s">
        <v>4860</v>
      </c>
      <c r="L19" s="533">
        <f t="shared" si="1"/>
        <v>12</v>
      </c>
      <c r="M19" s="483">
        <v>31</v>
      </c>
      <c r="N19" s="534"/>
    </row>
    <row r="20" spans="1:14" ht="30" x14ac:dyDescent="0.15">
      <c r="A20" s="498" t="s">
        <v>4872</v>
      </c>
      <c r="B20" s="531" t="b">
        <v>1</v>
      </c>
      <c r="C20" s="483" t="s">
        <v>4873</v>
      </c>
      <c r="D20" s="532" t="s">
        <v>283</v>
      </c>
      <c r="E20" s="483" t="s">
        <v>4874</v>
      </c>
      <c r="F20" s="535"/>
      <c r="G20" s="533"/>
      <c r="H20" s="532" t="s">
        <v>4859</v>
      </c>
      <c r="I20" s="483">
        <v>12</v>
      </c>
      <c r="J20" s="483">
        <v>1</v>
      </c>
      <c r="K20" s="483" t="s">
        <v>4860</v>
      </c>
      <c r="L20" s="533">
        <f t="shared" si="1"/>
        <v>12</v>
      </c>
      <c r="M20" s="483">
        <v>31</v>
      </c>
      <c r="N20" s="534">
        <v>1</v>
      </c>
    </row>
    <row r="21" spans="1:14" ht="13" x14ac:dyDescent="0.15">
      <c r="A21" s="536"/>
      <c r="B21" s="537"/>
      <c r="C21" s="533"/>
      <c r="D21" s="535"/>
      <c r="E21" s="533"/>
      <c r="F21" s="535"/>
      <c r="G21" s="533"/>
      <c r="H21" s="535"/>
      <c r="I21" s="533"/>
      <c r="J21" s="533"/>
      <c r="K21" s="533"/>
      <c r="L21" s="533"/>
      <c r="M21" s="533"/>
      <c r="N21" s="538"/>
    </row>
    <row r="22" spans="1:14" ht="13" x14ac:dyDescent="0.15">
      <c r="A22" s="536"/>
      <c r="B22" s="537"/>
      <c r="C22" s="533"/>
      <c r="D22" s="535"/>
      <c r="E22" s="533"/>
      <c r="F22" s="535"/>
      <c r="G22" s="533"/>
      <c r="H22" s="535"/>
      <c r="I22" s="533"/>
      <c r="J22" s="533"/>
      <c r="K22" s="533"/>
      <c r="L22" s="533"/>
      <c r="M22" s="533"/>
      <c r="N22" s="538"/>
    </row>
  </sheetData>
  <mergeCells count="6">
    <mergeCell ref="D2:G2"/>
    <mergeCell ref="H2:M2"/>
    <mergeCell ref="D3:E3"/>
    <mergeCell ref="F3:G3"/>
    <mergeCell ref="H3:J3"/>
    <mergeCell ref="K3:M3"/>
  </mergeCells>
  <conditionalFormatting sqref="A6:D7 F6:F7">
    <cfRule type="containsText" dxfId="49" priority="1" operator="containsText" text="Hogsmeade">
      <formula>NOT(ISERROR(SEARCH(("Hogsmeade"),(A6))))</formula>
    </cfRule>
  </conditionalFormatting>
  <conditionalFormatting sqref="A6:D7 F6:F7">
    <cfRule type="containsText" dxfId="48" priority="2" operator="containsText" text="Diagon Alley">
      <formula>NOT(ISERROR(SEARCH(("Diagon Alley"),(A6))))</formula>
    </cfRule>
  </conditionalFormatting>
  <conditionalFormatting sqref="A6:D7 F6:F7">
    <cfRule type="containsText" dxfId="47" priority="3" operator="containsText" text="Cross Park">
      <formula>NOT(ISERROR(SEARCH(("Cross Park"),(A6))))</formula>
    </cfRule>
  </conditionalFormatting>
  <conditionalFormatting sqref="F6:G7">
    <cfRule type="expression" dxfId="46" priority="4">
      <formula>OR(#REF!="flagAssign", #REF!="flagTask", #REF!="flagFinale", #REF!="flagLocation", #REF!="flagSpell")</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900FF"/>
    <outlinePr summaryBelow="0" summaryRight="0"/>
  </sheetPr>
  <dimension ref="A1:AP20"/>
  <sheetViews>
    <sheetView workbookViewId="0">
      <pane ySplit="5" topLeftCell="A6" activePane="bottomLeft" state="frozen"/>
      <selection activeCell="B7" sqref="B7"/>
      <selection pane="bottomLeft" activeCell="B7" sqref="B7"/>
    </sheetView>
  </sheetViews>
  <sheetFormatPr baseColWidth="10" defaultColWidth="12.6640625" defaultRowHeight="15.75" customHeight="1" x14ac:dyDescent="0.15"/>
  <cols>
    <col min="3" max="3" width="24.1640625" customWidth="1"/>
    <col min="7" max="7" width="19.1640625" customWidth="1"/>
  </cols>
  <sheetData>
    <row r="1" spans="1:42" ht="15.75" customHeight="1" x14ac:dyDescent="0.15">
      <c r="A1" s="539" t="s">
        <v>4875</v>
      </c>
      <c r="B1" s="540"/>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row>
    <row r="2" spans="1:42" ht="15.75" customHeight="1" x14ac:dyDescent="0.15">
      <c r="A2" s="539" t="s">
        <v>4876</v>
      </c>
      <c r="B2" s="540"/>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row>
    <row r="3" spans="1:42" ht="15.75" customHeight="1" x14ac:dyDescent="0.15">
      <c r="A3" s="541"/>
      <c r="B3" s="541"/>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row>
    <row r="4" spans="1:42" ht="15.75" customHeight="1" x14ac:dyDescent="0.15">
      <c r="A4" s="542" t="s">
        <v>2609</v>
      </c>
      <c r="B4" s="542" t="s">
        <v>104</v>
      </c>
      <c r="C4" s="543" t="s">
        <v>4877</v>
      </c>
      <c r="D4" s="543" t="s">
        <v>4878</v>
      </c>
      <c r="E4" s="543" t="s">
        <v>4879</v>
      </c>
      <c r="F4" s="543" t="s">
        <v>4880</v>
      </c>
      <c r="G4" s="543" t="s">
        <v>4881</v>
      </c>
      <c r="H4" s="543" t="s">
        <v>4882</v>
      </c>
      <c r="I4" s="543" t="s">
        <v>4883</v>
      </c>
      <c r="J4" s="543" t="s">
        <v>4884</v>
      </c>
      <c r="K4" s="543" t="s">
        <v>4885</v>
      </c>
      <c r="L4" s="543" t="s">
        <v>4886</v>
      </c>
      <c r="M4" s="543" t="s">
        <v>4887</v>
      </c>
      <c r="N4" s="543" t="s">
        <v>4888</v>
      </c>
      <c r="O4" s="543" t="s">
        <v>4889</v>
      </c>
      <c r="P4" s="543" t="s">
        <v>4890</v>
      </c>
      <c r="Q4" s="543" t="s">
        <v>4891</v>
      </c>
      <c r="R4" s="543" t="s">
        <v>4892</v>
      </c>
      <c r="S4" s="543" t="s">
        <v>4893</v>
      </c>
      <c r="T4" s="543" t="s">
        <v>4894</v>
      </c>
      <c r="U4" s="543" t="s">
        <v>4895</v>
      </c>
      <c r="V4" s="543" t="s">
        <v>4896</v>
      </c>
      <c r="W4" s="543" t="s">
        <v>4897</v>
      </c>
      <c r="X4" s="543" t="s">
        <v>4898</v>
      </c>
      <c r="Y4" s="543" t="s">
        <v>4899</v>
      </c>
      <c r="Z4" s="543" t="s">
        <v>4900</v>
      </c>
      <c r="AA4" s="543" t="s">
        <v>4901</v>
      </c>
      <c r="AB4" s="543" t="s">
        <v>4902</v>
      </c>
      <c r="AC4" s="543" t="s">
        <v>4903</v>
      </c>
      <c r="AD4" s="543" t="s">
        <v>4904</v>
      </c>
      <c r="AE4" s="543" t="s">
        <v>4905</v>
      </c>
      <c r="AF4" s="543" t="s">
        <v>4906</v>
      </c>
      <c r="AG4" s="543" t="s">
        <v>4907</v>
      </c>
      <c r="AH4" s="543" t="s">
        <v>4908</v>
      </c>
      <c r="AI4" s="543" t="s">
        <v>4909</v>
      </c>
      <c r="AJ4" s="543" t="s">
        <v>4910</v>
      </c>
      <c r="AK4" s="543" t="s">
        <v>4911</v>
      </c>
      <c r="AL4" s="543" t="s">
        <v>4912</v>
      </c>
      <c r="AM4" s="543" t="s">
        <v>4913</v>
      </c>
      <c r="AN4" s="543" t="s">
        <v>4914</v>
      </c>
      <c r="AO4" s="543" t="s">
        <v>4915</v>
      </c>
      <c r="AP4" s="543"/>
    </row>
    <row r="5" spans="1:42" ht="15.75" customHeight="1" x14ac:dyDescent="0.15">
      <c r="A5" s="544"/>
      <c r="B5" s="545" t="s">
        <v>206</v>
      </c>
      <c r="C5" s="546" t="s">
        <v>4916</v>
      </c>
      <c r="D5" s="546" t="s">
        <v>4917</v>
      </c>
      <c r="E5" s="546" t="s">
        <v>4918</v>
      </c>
      <c r="F5" s="547" t="s">
        <v>4919</v>
      </c>
      <c r="G5" s="546" t="s">
        <v>4920</v>
      </c>
      <c r="H5" s="547" t="s">
        <v>4921</v>
      </c>
      <c r="I5" s="546" t="s">
        <v>4922</v>
      </c>
      <c r="J5" s="547" t="s">
        <v>4923</v>
      </c>
      <c r="K5" s="546" t="s">
        <v>4924</v>
      </c>
      <c r="L5" s="547" t="s">
        <v>4925</v>
      </c>
      <c r="M5" s="546" t="s">
        <v>4926</v>
      </c>
      <c r="N5" s="547" t="s">
        <v>4927</v>
      </c>
      <c r="O5" s="546" t="s">
        <v>4928</v>
      </c>
      <c r="P5" s="547" t="s">
        <v>4929</v>
      </c>
      <c r="Q5" s="546" t="s">
        <v>4930</v>
      </c>
      <c r="R5" s="547" t="s">
        <v>4931</v>
      </c>
      <c r="S5" s="546" t="s">
        <v>4932</v>
      </c>
      <c r="T5" s="547" t="s">
        <v>4933</v>
      </c>
      <c r="U5" s="546" t="s">
        <v>4934</v>
      </c>
      <c r="V5" s="547" t="s">
        <v>4935</v>
      </c>
      <c r="W5" s="546" t="s">
        <v>4936</v>
      </c>
      <c r="X5" s="547" t="s">
        <v>4937</v>
      </c>
      <c r="Y5" s="546" t="s">
        <v>4938</v>
      </c>
      <c r="Z5" s="547" t="s">
        <v>4939</v>
      </c>
      <c r="AA5" s="546" t="s">
        <v>4940</v>
      </c>
      <c r="AB5" s="547" t="s">
        <v>4941</v>
      </c>
      <c r="AC5" s="546" t="s">
        <v>4942</v>
      </c>
      <c r="AD5" s="547" t="s">
        <v>4943</v>
      </c>
      <c r="AE5" s="546" t="s">
        <v>4944</v>
      </c>
      <c r="AF5" s="547" t="s">
        <v>4945</v>
      </c>
      <c r="AG5" s="546" t="s">
        <v>4946</v>
      </c>
      <c r="AH5" s="547" t="s">
        <v>4947</v>
      </c>
      <c r="AI5" s="546" t="s">
        <v>4948</v>
      </c>
      <c r="AJ5" s="547" t="s">
        <v>4949</v>
      </c>
      <c r="AK5" s="546" t="s">
        <v>4950</v>
      </c>
      <c r="AL5" s="547" t="s">
        <v>4951</v>
      </c>
      <c r="AM5" s="546" t="s">
        <v>4952</v>
      </c>
      <c r="AN5" s="547" t="s">
        <v>4953</v>
      </c>
      <c r="AO5" s="546" t="s">
        <v>4954</v>
      </c>
      <c r="AP5" s="546"/>
    </row>
    <row r="6" spans="1:42" ht="15.75" customHeight="1" x14ac:dyDescent="0.15">
      <c r="A6" s="548" t="s">
        <v>4955</v>
      </c>
      <c r="B6" s="541"/>
      <c r="C6" s="11" t="s">
        <v>4956</v>
      </c>
      <c r="D6" s="11">
        <v>0</v>
      </c>
      <c r="E6" s="11">
        <v>2</v>
      </c>
      <c r="F6" s="11" t="s">
        <v>4957</v>
      </c>
      <c r="G6" s="11" t="s">
        <v>4958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row>
    <row r="7" spans="1:42" ht="15.75" customHeight="1" x14ac:dyDescent="0.15">
      <c r="A7" s="541"/>
      <c r="B7" s="541"/>
      <c r="C7" s="11" t="s">
        <v>4959</v>
      </c>
      <c r="D7" s="11">
        <v>2</v>
      </c>
      <c r="E7" s="11">
        <v>2</v>
      </c>
      <c r="F7" s="11" t="s">
        <v>4960</v>
      </c>
      <c r="G7" s="11" t="s">
        <v>4961</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row>
    <row r="8" spans="1:42" ht="15.75" customHeight="1" x14ac:dyDescent="0.15">
      <c r="A8" s="549" t="s">
        <v>4962</v>
      </c>
      <c r="B8" s="541"/>
      <c r="C8" s="11" t="s">
        <v>4963</v>
      </c>
      <c r="D8" s="11">
        <v>4</v>
      </c>
      <c r="E8" s="11">
        <v>22</v>
      </c>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row>
    <row r="9" spans="1:42" x14ac:dyDescent="0.2">
      <c r="A9" s="541"/>
      <c r="B9" s="541"/>
      <c r="C9" s="11" t="s">
        <v>270</v>
      </c>
      <c r="D9" s="11">
        <v>26</v>
      </c>
      <c r="E9" s="11">
        <v>1</v>
      </c>
      <c r="H9" s="11">
        <v>1</v>
      </c>
      <c r="I9" s="550" t="s">
        <v>271</v>
      </c>
      <c r="J9" s="11">
        <v>2</v>
      </c>
      <c r="K9" s="551" t="s">
        <v>290</v>
      </c>
      <c r="L9" s="11">
        <v>3</v>
      </c>
      <c r="M9" s="551" t="s">
        <v>298</v>
      </c>
      <c r="N9" s="11">
        <v>4</v>
      </c>
      <c r="O9" s="551" t="s">
        <v>306</v>
      </c>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row>
    <row r="10" spans="1:42" x14ac:dyDescent="0.2">
      <c r="A10" s="541"/>
      <c r="B10" s="541"/>
      <c r="C10" s="11" t="s">
        <v>434</v>
      </c>
      <c r="D10" s="11">
        <v>27</v>
      </c>
      <c r="E10" s="11">
        <v>1</v>
      </c>
      <c r="H10" s="11">
        <v>1</v>
      </c>
      <c r="I10" s="552" t="s">
        <v>435</v>
      </c>
      <c r="J10" s="11">
        <v>2</v>
      </c>
      <c r="K10" s="11" t="s">
        <v>449</v>
      </c>
      <c r="L10" s="11">
        <v>3</v>
      </c>
      <c r="M10" s="11" t="s">
        <v>456</v>
      </c>
      <c r="N10" s="11">
        <v>4</v>
      </c>
      <c r="O10" s="11" t="s">
        <v>492</v>
      </c>
      <c r="P10" s="11">
        <v>5</v>
      </c>
      <c r="Q10" s="551" t="s">
        <v>508</v>
      </c>
      <c r="R10" s="11">
        <v>6</v>
      </c>
      <c r="S10" s="11" t="s">
        <v>522</v>
      </c>
      <c r="T10" s="11">
        <v>7</v>
      </c>
      <c r="U10" s="551" t="s">
        <v>537</v>
      </c>
      <c r="V10" s="11">
        <v>8</v>
      </c>
      <c r="W10" s="11" t="s">
        <v>554</v>
      </c>
      <c r="X10" s="13"/>
      <c r="Y10" s="13"/>
      <c r="Z10" s="13"/>
      <c r="AA10" s="13"/>
      <c r="AB10" s="13"/>
      <c r="AC10" s="13"/>
      <c r="AD10" s="13"/>
      <c r="AE10" s="13"/>
      <c r="AF10" s="13"/>
      <c r="AG10" s="13"/>
      <c r="AH10" s="13"/>
      <c r="AI10" s="13"/>
      <c r="AJ10" s="13"/>
      <c r="AK10" s="13"/>
      <c r="AL10" s="13"/>
      <c r="AM10" s="13"/>
      <c r="AN10" s="13"/>
      <c r="AO10" s="13"/>
      <c r="AP10" s="13"/>
    </row>
    <row r="11" spans="1:42" ht="15.75" customHeight="1" x14ac:dyDescent="0.15">
      <c r="A11" s="541"/>
      <c r="B11" s="541"/>
      <c r="C11" s="552" t="s">
        <v>4964</v>
      </c>
      <c r="D11" s="11">
        <v>28</v>
      </c>
      <c r="E11" s="11">
        <v>1</v>
      </c>
      <c r="F11" s="11">
        <v>0</v>
      </c>
      <c r="G11" s="13"/>
      <c r="H11" s="11">
        <v>1</v>
      </c>
      <c r="I11" s="11" t="s">
        <v>384</v>
      </c>
      <c r="J11" s="11">
        <v>2</v>
      </c>
      <c r="K11" s="11" t="s">
        <v>413</v>
      </c>
      <c r="L11" s="11">
        <v>3</v>
      </c>
      <c r="M11" s="11" t="s">
        <v>4965</v>
      </c>
      <c r="N11" s="11">
        <v>4</v>
      </c>
      <c r="O11" s="11" t="s">
        <v>4966</v>
      </c>
      <c r="P11" s="11"/>
      <c r="Q11" s="13"/>
      <c r="R11" s="11"/>
      <c r="S11" s="13"/>
      <c r="T11" s="11"/>
      <c r="U11" s="13"/>
      <c r="V11" s="11"/>
      <c r="W11" s="13"/>
      <c r="X11" s="13"/>
      <c r="Y11" s="13"/>
      <c r="Z11" s="13"/>
      <c r="AA11" s="13"/>
      <c r="AB11" s="13"/>
      <c r="AC11" s="13"/>
      <c r="AD11" s="13"/>
      <c r="AE11" s="13"/>
      <c r="AF11" s="13"/>
      <c r="AG11" s="13"/>
      <c r="AH11" s="13"/>
      <c r="AI11" s="13"/>
      <c r="AJ11" s="13"/>
      <c r="AK11" s="13"/>
      <c r="AL11" s="13"/>
      <c r="AM11" s="13"/>
      <c r="AN11" s="13"/>
      <c r="AO11" s="13"/>
      <c r="AP11" s="13"/>
    </row>
    <row r="12" spans="1:42" ht="15.75" customHeight="1" x14ac:dyDescent="0.15">
      <c r="A12" s="541"/>
      <c r="B12" s="541"/>
      <c r="C12" s="11" t="s">
        <v>4967</v>
      </c>
      <c r="D12" s="11">
        <v>29</v>
      </c>
      <c r="E12" s="11">
        <v>1</v>
      </c>
      <c r="F12" s="11">
        <v>0</v>
      </c>
      <c r="G12" s="13"/>
      <c r="H12" s="11">
        <v>1</v>
      </c>
      <c r="I12" s="11" t="s">
        <v>362</v>
      </c>
      <c r="J12" s="11">
        <v>2</v>
      </c>
      <c r="K12" s="11" t="s">
        <v>392</v>
      </c>
      <c r="L12" s="11">
        <v>3</v>
      </c>
      <c r="M12" s="11" t="s">
        <v>399</v>
      </c>
      <c r="N12" s="11">
        <v>4</v>
      </c>
      <c r="O12" s="11" t="s">
        <v>406</v>
      </c>
      <c r="P12" s="11"/>
      <c r="Q12" s="13"/>
      <c r="R12" s="11"/>
      <c r="S12" s="13"/>
      <c r="T12" s="11"/>
      <c r="U12" s="13"/>
      <c r="V12" s="11"/>
      <c r="W12" s="13"/>
      <c r="X12" s="13"/>
      <c r="Y12" s="13"/>
      <c r="Z12" s="13"/>
      <c r="AA12" s="13"/>
      <c r="AB12" s="13"/>
      <c r="AC12" s="13"/>
      <c r="AD12" s="13"/>
      <c r="AE12" s="13"/>
      <c r="AF12" s="13"/>
      <c r="AG12" s="13"/>
      <c r="AH12" s="13"/>
      <c r="AI12" s="13"/>
      <c r="AJ12" s="13"/>
      <c r="AK12" s="13"/>
      <c r="AL12" s="13"/>
      <c r="AM12" s="13"/>
      <c r="AN12" s="13"/>
      <c r="AO12" s="13"/>
      <c r="AP12" s="13"/>
    </row>
    <row r="13" spans="1:42" ht="15.75" customHeight="1" x14ac:dyDescent="0.15">
      <c r="A13" s="541"/>
      <c r="B13" s="541"/>
      <c r="C13" s="11" t="s">
        <v>4968</v>
      </c>
      <c r="D13" s="11">
        <v>30</v>
      </c>
      <c r="E13" s="11">
        <v>1</v>
      </c>
      <c r="F13" s="11">
        <v>0</v>
      </c>
      <c r="G13" s="13"/>
      <c r="H13" s="11">
        <v>1</v>
      </c>
      <c r="I13" s="11" t="s">
        <v>346</v>
      </c>
      <c r="J13" s="11">
        <v>2</v>
      </c>
      <c r="K13" s="11" t="s">
        <v>355</v>
      </c>
      <c r="L13" s="11">
        <v>3</v>
      </c>
      <c r="M13" s="11" t="s">
        <v>370</v>
      </c>
      <c r="N13" s="11">
        <v>4</v>
      </c>
      <c r="O13" s="11" t="s">
        <v>377</v>
      </c>
      <c r="P13" s="11"/>
      <c r="Q13" s="13"/>
      <c r="R13" s="11"/>
      <c r="S13" s="13"/>
      <c r="T13" s="11"/>
      <c r="U13" s="13"/>
      <c r="V13" s="11"/>
      <c r="W13" s="13"/>
      <c r="X13" s="13"/>
      <c r="Y13" s="13"/>
      <c r="Z13" s="13"/>
      <c r="AA13" s="13"/>
      <c r="AB13" s="13"/>
      <c r="AC13" s="13"/>
      <c r="AD13" s="13"/>
      <c r="AE13" s="13"/>
      <c r="AF13" s="13"/>
      <c r="AG13" s="13"/>
      <c r="AH13" s="13"/>
      <c r="AI13" s="13"/>
      <c r="AJ13" s="13"/>
      <c r="AK13" s="13"/>
      <c r="AL13" s="13"/>
      <c r="AM13" s="13"/>
      <c r="AN13" s="13"/>
      <c r="AO13" s="13"/>
      <c r="AP13" s="13"/>
    </row>
    <row r="14" spans="1:42" x14ac:dyDescent="0.2">
      <c r="A14" s="541"/>
      <c r="B14" s="541"/>
      <c r="C14" s="11" t="s">
        <v>570</v>
      </c>
      <c r="D14" s="11">
        <v>31</v>
      </c>
      <c r="E14" s="11">
        <v>1</v>
      </c>
      <c r="F14" s="13"/>
      <c r="G14" s="13"/>
      <c r="H14" s="11">
        <v>1</v>
      </c>
      <c r="I14" s="550" t="s">
        <v>571</v>
      </c>
      <c r="J14" s="11">
        <v>2</v>
      </c>
      <c r="K14" s="550" t="s">
        <v>578</v>
      </c>
      <c r="L14" s="11">
        <v>3</v>
      </c>
      <c r="M14" s="551" t="s">
        <v>587</v>
      </c>
      <c r="N14" s="11">
        <v>4</v>
      </c>
      <c r="O14" s="11" t="s">
        <v>596</v>
      </c>
      <c r="P14" s="11">
        <v>5</v>
      </c>
      <c r="Q14" s="551" t="s">
        <v>605</v>
      </c>
      <c r="R14" s="11"/>
      <c r="S14" s="13"/>
      <c r="T14" s="11"/>
      <c r="U14" s="13"/>
      <c r="V14" s="11"/>
      <c r="W14" s="13"/>
      <c r="X14" s="11"/>
      <c r="Y14" s="13"/>
      <c r="Z14" s="13"/>
      <c r="AA14" s="13"/>
      <c r="AB14" s="13"/>
      <c r="AC14" s="13"/>
      <c r="AD14" s="13"/>
      <c r="AE14" s="13"/>
      <c r="AF14" s="13"/>
      <c r="AG14" s="13"/>
      <c r="AH14" s="13"/>
      <c r="AI14" s="13"/>
      <c r="AJ14" s="13"/>
      <c r="AK14" s="13"/>
      <c r="AL14" s="13"/>
      <c r="AM14" s="13"/>
      <c r="AN14" s="13"/>
      <c r="AO14" s="13"/>
      <c r="AP14" s="13"/>
    </row>
    <row r="15" spans="1:42" ht="15.75" customHeight="1" x14ac:dyDescent="0.15">
      <c r="A15" s="541"/>
      <c r="B15" s="541"/>
      <c r="C15" s="11" t="s">
        <v>4969</v>
      </c>
      <c r="D15" s="11">
        <v>32</v>
      </c>
      <c r="E15" s="11">
        <v>1</v>
      </c>
      <c r="F15" s="13"/>
      <c r="G15" s="13"/>
      <c r="H15" s="11">
        <v>1</v>
      </c>
      <c r="I15" s="11" t="s">
        <v>4970</v>
      </c>
      <c r="J15" s="11">
        <v>2</v>
      </c>
      <c r="K15" s="11" t="s">
        <v>4971</v>
      </c>
      <c r="L15" s="11">
        <v>3</v>
      </c>
      <c r="M15" s="11" t="s">
        <v>4972</v>
      </c>
      <c r="N15" s="11">
        <v>4</v>
      </c>
      <c r="O15" s="11" t="s">
        <v>4973</v>
      </c>
      <c r="P15" s="11">
        <v>5</v>
      </c>
      <c r="Q15" s="11" t="s">
        <v>680</v>
      </c>
      <c r="R15" s="11">
        <v>6</v>
      </c>
      <c r="S15" s="11" t="s">
        <v>688</v>
      </c>
      <c r="T15" s="11">
        <v>7</v>
      </c>
      <c r="U15" s="11" t="s">
        <v>695</v>
      </c>
      <c r="V15" s="11">
        <v>8</v>
      </c>
      <c r="W15" s="11" t="s">
        <v>707</v>
      </c>
      <c r="X15" s="11">
        <v>9</v>
      </c>
      <c r="Y15" s="11" t="s">
        <v>656</v>
      </c>
      <c r="Z15" s="11" t="s">
        <v>4974</v>
      </c>
      <c r="AA15" s="11" t="s">
        <v>672</v>
      </c>
      <c r="AB15" s="11" t="s">
        <v>4975</v>
      </c>
      <c r="AC15" s="11" t="s">
        <v>664</v>
      </c>
      <c r="AD15" s="11" t="s">
        <v>4976</v>
      </c>
      <c r="AE15" s="11" t="s">
        <v>639</v>
      </c>
      <c r="AF15" s="11" t="s">
        <v>4977</v>
      </c>
      <c r="AG15" s="11" t="s">
        <v>743</v>
      </c>
      <c r="AH15" s="11" t="s">
        <v>4978</v>
      </c>
      <c r="AI15" s="11" t="s">
        <v>757</v>
      </c>
      <c r="AJ15" s="11" t="s">
        <v>4979</v>
      </c>
      <c r="AK15" s="11" t="s">
        <v>765</v>
      </c>
      <c r="AL15" s="11" t="s">
        <v>4980</v>
      </c>
      <c r="AM15" s="11" t="s">
        <v>773</v>
      </c>
      <c r="AN15" s="13"/>
      <c r="AO15" s="13"/>
      <c r="AP15" s="13"/>
    </row>
    <row r="16" spans="1:42" ht="15.75" customHeight="1" x14ac:dyDescent="0.15">
      <c r="A16" s="541"/>
      <c r="B16" s="541"/>
      <c r="C16" s="11" t="s">
        <v>4981</v>
      </c>
      <c r="D16" s="11">
        <v>33</v>
      </c>
      <c r="E16" s="11">
        <v>1</v>
      </c>
      <c r="F16" s="13"/>
      <c r="G16" s="13"/>
      <c r="H16" s="11">
        <v>1</v>
      </c>
      <c r="I16" s="11" t="s">
        <v>4970</v>
      </c>
      <c r="J16" s="11">
        <v>2</v>
      </c>
      <c r="K16" s="11" t="s">
        <v>4971</v>
      </c>
      <c r="L16" s="11">
        <v>3</v>
      </c>
      <c r="M16" s="11" t="s">
        <v>4972</v>
      </c>
      <c r="N16" s="11">
        <v>4</v>
      </c>
      <c r="O16" s="11" t="s">
        <v>4973</v>
      </c>
      <c r="P16" s="11">
        <v>5</v>
      </c>
      <c r="Q16" s="11" t="s">
        <v>680</v>
      </c>
      <c r="R16" s="11">
        <v>6</v>
      </c>
      <c r="S16" s="11" t="s">
        <v>688</v>
      </c>
      <c r="T16" s="11">
        <v>7</v>
      </c>
      <c r="U16" s="11" t="s">
        <v>695</v>
      </c>
      <c r="V16" s="11">
        <v>8</v>
      </c>
      <c r="W16" s="11" t="s">
        <v>707</v>
      </c>
      <c r="X16" s="11">
        <v>9</v>
      </c>
      <c r="Y16" s="11" t="s">
        <v>656</v>
      </c>
      <c r="Z16" s="11" t="s">
        <v>4974</v>
      </c>
      <c r="AA16" s="11" t="s">
        <v>672</v>
      </c>
      <c r="AB16" s="11" t="s">
        <v>4975</v>
      </c>
      <c r="AC16" s="11" t="s">
        <v>664</v>
      </c>
      <c r="AD16" s="11" t="s">
        <v>4976</v>
      </c>
      <c r="AE16" s="11" t="s">
        <v>639</v>
      </c>
      <c r="AF16" s="11" t="s">
        <v>4977</v>
      </c>
      <c r="AG16" s="11" t="s">
        <v>743</v>
      </c>
      <c r="AH16" s="11" t="s">
        <v>4978</v>
      </c>
      <c r="AI16" s="11" t="s">
        <v>757</v>
      </c>
      <c r="AJ16" s="11" t="s">
        <v>4979</v>
      </c>
      <c r="AK16" s="11" t="s">
        <v>765</v>
      </c>
      <c r="AL16" s="11" t="s">
        <v>4980</v>
      </c>
      <c r="AM16" s="11" t="s">
        <v>773</v>
      </c>
      <c r="AN16" s="13"/>
      <c r="AO16" s="13"/>
      <c r="AP16" s="13"/>
    </row>
    <row r="17" spans="1:42" ht="15.75" customHeight="1" x14ac:dyDescent="0.15">
      <c r="A17" s="541"/>
      <c r="B17" s="541"/>
      <c r="C17" s="11" t="s">
        <v>4982</v>
      </c>
      <c r="D17" s="11">
        <v>34</v>
      </c>
      <c r="E17" s="11">
        <v>1</v>
      </c>
      <c r="F17" s="13"/>
      <c r="G17" s="13"/>
      <c r="H17" s="11">
        <v>1</v>
      </c>
      <c r="I17" s="11" t="s">
        <v>4970</v>
      </c>
      <c r="J17" s="11">
        <v>2</v>
      </c>
      <c r="K17" s="11" t="s">
        <v>4971</v>
      </c>
      <c r="L17" s="11">
        <v>3</v>
      </c>
      <c r="M17" s="11" t="s">
        <v>4972</v>
      </c>
      <c r="N17" s="11">
        <v>4</v>
      </c>
      <c r="O17" s="11" t="s">
        <v>4973</v>
      </c>
      <c r="P17" s="11">
        <v>5</v>
      </c>
      <c r="Q17" s="11" t="s">
        <v>680</v>
      </c>
      <c r="R17" s="11">
        <v>6</v>
      </c>
      <c r="S17" s="11" t="s">
        <v>688</v>
      </c>
      <c r="T17" s="11">
        <v>7</v>
      </c>
      <c r="U17" s="11" t="s">
        <v>695</v>
      </c>
      <c r="V17" s="11">
        <v>8</v>
      </c>
      <c r="W17" s="11" t="s">
        <v>707</v>
      </c>
      <c r="X17" s="11">
        <v>9</v>
      </c>
      <c r="Y17" s="11" t="s">
        <v>656</v>
      </c>
      <c r="Z17" s="11" t="s">
        <v>4974</v>
      </c>
      <c r="AA17" s="11" t="s">
        <v>672</v>
      </c>
      <c r="AB17" s="11" t="s">
        <v>4975</v>
      </c>
      <c r="AC17" s="11" t="s">
        <v>664</v>
      </c>
      <c r="AD17" s="11" t="s">
        <v>4976</v>
      </c>
      <c r="AE17" s="11" t="s">
        <v>639</v>
      </c>
      <c r="AF17" s="11" t="s">
        <v>4977</v>
      </c>
      <c r="AG17" s="11" t="s">
        <v>743</v>
      </c>
      <c r="AH17" s="11" t="s">
        <v>4978</v>
      </c>
      <c r="AI17" s="11" t="s">
        <v>757</v>
      </c>
      <c r="AJ17" s="11" t="s">
        <v>4979</v>
      </c>
      <c r="AK17" s="11" t="s">
        <v>765</v>
      </c>
      <c r="AL17" s="11" t="s">
        <v>4980</v>
      </c>
      <c r="AM17" s="11" t="s">
        <v>773</v>
      </c>
      <c r="AN17" s="13"/>
      <c r="AO17" s="13"/>
      <c r="AP17" s="13"/>
    </row>
    <row r="18" spans="1:42" ht="15.75" customHeight="1" x14ac:dyDescent="0.15">
      <c r="A18" s="541"/>
      <c r="B18" s="541"/>
      <c r="C18" s="11" t="s">
        <v>4983</v>
      </c>
      <c r="D18" s="11">
        <v>35</v>
      </c>
      <c r="E18" s="11">
        <v>1</v>
      </c>
      <c r="F18" s="13"/>
      <c r="G18" s="13"/>
      <c r="H18" s="11">
        <v>1</v>
      </c>
      <c r="I18" s="11" t="s">
        <v>4970</v>
      </c>
      <c r="J18" s="11">
        <v>2</v>
      </c>
      <c r="K18" s="11" t="s">
        <v>4971</v>
      </c>
      <c r="L18" s="11">
        <v>3</v>
      </c>
      <c r="M18" s="11" t="s">
        <v>4972</v>
      </c>
      <c r="N18" s="11">
        <v>4</v>
      </c>
      <c r="O18" s="11" t="s">
        <v>4973</v>
      </c>
      <c r="P18" s="11">
        <v>5</v>
      </c>
      <c r="Q18" s="11" t="s">
        <v>680</v>
      </c>
      <c r="R18" s="11">
        <v>6</v>
      </c>
      <c r="S18" s="11" t="s">
        <v>688</v>
      </c>
      <c r="T18" s="11">
        <v>7</v>
      </c>
      <c r="U18" s="11" t="s">
        <v>695</v>
      </c>
      <c r="V18" s="11">
        <v>8</v>
      </c>
      <c r="W18" s="11" t="s">
        <v>707</v>
      </c>
      <c r="X18" s="11">
        <v>9</v>
      </c>
      <c r="Y18" s="11" t="s">
        <v>656</v>
      </c>
      <c r="Z18" s="11" t="s">
        <v>4974</v>
      </c>
      <c r="AA18" s="11" t="s">
        <v>672</v>
      </c>
      <c r="AB18" s="11" t="s">
        <v>4975</v>
      </c>
      <c r="AC18" s="11" t="s">
        <v>664</v>
      </c>
      <c r="AD18" s="11" t="s">
        <v>4976</v>
      </c>
      <c r="AE18" s="11" t="s">
        <v>639</v>
      </c>
      <c r="AF18" s="11" t="s">
        <v>4977</v>
      </c>
      <c r="AG18" s="11" t="s">
        <v>743</v>
      </c>
      <c r="AH18" s="11" t="s">
        <v>4978</v>
      </c>
      <c r="AI18" s="11" t="s">
        <v>757</v>
      </c>
      <c r="AJ18" s="11" t="s">
        <v>4979</v>
      </c>
      <c r="AK18" s="11" t="s">
        <v>765</v>
      </c>
      <c r="AL18" s="11" t="s">
        <v>4980</v>
      </c>
      <c r="AM18" s="11" t="s">
        <v>773</v>
      </c>
      <c r="AN18" s="13"/>
      <c r="AO18" s="13"/>
      <c r="AP18" s="13"/>
    </row>
    <row r="19" spans="1:42" ht="15.75" customHeight="1" x14ac:dyDescent="0.15">
      <c r="A19" s="541"/>
      <c r="B19" s="541"/>
      <c r="C19" s="11" t="s">
        <v>851</v>
      </c>
      <c r="D19" s="11">
        <v>36</v>
      </c>
      <c r="E19" s="11">
        <v>1</v>
      </c>
      <c r="F19" s="11">
        <v>0</v>
      </c>
      <c r="G19" s="13"/>
      <c r="H19" s="11">
        <v>1</v>
      </c>
      <c r="I19" s="11" t="s">
        <v>852</v>
      </c>
      <c r="J19" s="11">
        <v>2</v>
      </c>
      <c r="K19" s="11" t="s">
        <v>909</v>
      </c>
      <c r="L19" s="11">
        <v>3</v>
      </c>
      <c r="M19" s="11" t="s">
        <v>939</v>
      </c>
      <c r="N19" s="11">
        <v>4</v>
      </c>
      <c r="O19" s="11" t="s">
        <v>963</v>
      </c>
      <c r="P19" s="11">
        <v>5</v>
      </c>
      <c r="Q19" s="11" t="s">
        <v>993</v>
      </c>
      <c r="R19" s="11">
        <v>6</v>
      </c>
      <c r="S19" s="11" t="s">
        <v>1020</v>
      </c>
      <c r="T19" s="11">
        <v>7</v>
      </c>
      <c r="U19" s="11" t="s">
        <v>1047</v>
      </c>
      <c r="V19" s="11">
        <v>8</v>
      </c>
      <c r="W19" s="11" t="s">
        <v>1074</v>
      </c>
      <c r="X19" s="11">
        <v>9</v>
      </c>
      <c r="Y19" s="11" t="s">
        <v>1101</v>
      </c>
      <c r="Z19" s="13"/>
      <c r="AA19" s="13"/>
      <c r="AB19" s="13"/>
      <c r="AC19" s="13"/>
      <c r="AD19" s="13"/>
      <c r="AE19" s="13"/>
      <c r="AF19" s="13"/>
      <c r="AG19" s="13"/>
      <c r="AH19" s="13"/>
      <c r="AI19" s="13"/>
      <c r="AJ19" s="13"/>
      <c r="AK19" s="13"/>
      <c r="AL19" s="13"/>
      <c r="AM19" s="13"/>
      <c r="AN19" s="13"/>
      <c r="AO19" s="13"/>
      <c r="AP19" s="13"/>
    </row>
    <row r="20" spans="1:42" ht="15.75" customHeight="1" x14ac:dyDescent="0.15">
      <c r="A20" s="541"/>
      <c r="B20" s="541"/>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row>
  </sheetData>
  <hyperlinks>
    <hyperlink ref="F5" r:id="rId1" xr:uid="{00000000-0004-0000-1400-000000000000}"/>
    <hyperlink ref="H5" r:id="rId2" xr:uid="{00000000-0004-0000-1400-000001000000}"/>
    <hyperlink ref="J5" r:id="rId3" xr:uid="{00000000-0004-0000-1400-000002000000}"/>
    <hyperlink ref="L5" r:id="rId4" xr:uid="{00000000-0004-0000-1400-000003000000}"/>
    <hyperlink ref="N5" r:id="rId5" xr:uid="{00000000-0004-0000-1400-000004000000}"/>
    <hyperlink ref="P5" r:id="rId6" xr:uid="{00000000-0004-0000-1400-000005000000}"/>
    <hyperlink ref="R5" r:id="rId7" xr:uid="{00000000-0004-0000-1400-000006000000}"/>
    <hyperlink ref="T5" r:id="rId8" xr:uid="{00000000-0004-0000-1400-000007000000}"/>
    <hyperlink ref="V5" r:id="rId9" xr:uid="{00000000-0004-0000-1400-000008000000}"/>
    <hyperlink ref="X5" r:id="rId10" xr:uid="{00000000-0004-0000-1400-000009000000}"/>
    <hyperlink ref="Z5" r:id="rId11" xr:uid="{00000000-0004-0000-1400-00000A000000}"/>
    <hyperlink ref="AB5" r:id="rId12" xr:uid="{00000000-0004-0000-1400-00000B000000}"/>
    <hyperlink ref="AD5" r:id="rId13" xr:uid="{00000000-0004-0000-1400-00000C000000}"/>
    <hyperlink ref="AF5" r:id="rId14" xr:uid="{00000000-0004-0000-1400-00000D000000}"/>
    <hyperlink ref="AH5" r:id="rId15" xr:uid="{00000000-0004-0000-1400-00000E000000}"/>
    <hyperlink ref="AJ5" r:id="rId16" xr:uid="{00000000-0004-0000-1400-00000F000000}"/>
    <hyperlink ref="AL5" r:id="rId17" xr:uid="{00000000-0004-0000-1400-000010000000}"/>
    <hyperlink ref="AN5" r:id="rId18" xr:uid="{00000000-0004-0000-1400-000011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900FF"/>
    <outlinePr summaryBelow="0" summaryRight="0"/>
  </sheetPr>
  <dimension ref="A1:G66"/>
  <sheetViews>
    <sheetView workbookViewId="0">
      <pane xSplit="3" ySplit="5" topLeftCell="D6" activePane="bottomRight" state="frozen"/>
      <selection activeCell="B7" sqref="B7"/>
      <selection pane="topRight" activeCell="B7" sqref="B7"/>
      <selection pane="bottomLeft" activeCell="B7" sqref="B7"/>
      <selection pane="bottomRight" activeCell="B7" sqref="B7"/>
    </sheetView>
  </sheetViews>
  <sheetFormatPr baseColWidth="10" defaultColWidth="12.6640625" defaultRowHeight="15.75" customHeight="1" x14ac:dyDescent="0.15"/>
  <cols>
    <col min="1" max="1" width="17.6640625" customWidth="1"/>
    <col min="2" max="2" width="13.6640625" customWidth="1"/>
    <col min="3" max="3" width="31.6640625" customWidth="1"/>
    <col min="4" max="4" width="15.1640625" customWidth="1"/>
    <col min="5" max="5" width="58.33203125" customWidth="1"/>
    <col min="7" max="7" width="35.33203125" customWidth="1"/>
  </cols>
  <sheetData>
    <row r="1" spans="1:7" ht="15.75" customHeight="1" x14ac:dyDescent="0.15">
      <c r="A1" s="553"/>
      <c r="B1" s="553" t="s">
        <v>2515</v>
      </c>
      <c r="C1" s="553" t="s">
        <v>4984</v>
      </c>
      <c r="D1" s="553"/>
      <c r="E1" s="553"/>
      <c r="F1" s="553"/>
      <c r="G1" s="553"/>
    </row>
    <row r="2" spans="1:7" ht="15.75" customHeight="1" x14ac:dyDescent="0.15">
      <c r="A2" s="554" t="s">
        <v>7</v>
      </c>
      <c r="B2" s="554" t="s">
        <v>104</v>
      </c>
      <c r="C2" s="1" t="s">
        <v>4985</v>
      </c>
      <c r="D2" s="787" t="s">
        <v>2471</v>
      </c>
      <c r="E2" s="773"/>
      <c r="F2" s="773"/>
      <c r="G2" s="773"/>
    </row>
    <row r="3" spans="1:7" ht="15.75" customHeight="1" x14ac:dyDescent="0.15">
      <c r="A3" s="555"/>
      <c r="B3" s="555"/>
      <c r="C3" s="555"/>
      <c r="D3" s="788" t="s">
        <v>5</v>
      </c>
      <c r="E3" s="773"/>
      <c r="F3" s="555" t="s">
        <v>2472</v>
      </c>
      <c r="G3" s="556"/>
    </row>
    <row r="4" spans="1:7" ht="15.75" customHeight="1" x14ac:dyDescent="0.15">
      <c r="A4" s="557"/>
      <c r="B4" s="557"/>
      <c r="C4" s="557"/>
      <c r="D4" s="557" t="s">
        <v>2473</v>
      </c>
      <c r="E4" s="558" t="s">
        <v>4986</v>
      </c>
      <c r="F4" s="557" t="s">
        <v>2473</v>
      </c>
      <c r="G4" s="558" t="s">
        <v>4986</v>
      </c>
    </row>
    <row r="5" spans="1:7" ht="15.75" customHeight="1" x14ac:dyDescent="0.15">
      <c r="A5" s="559"/>
      <c r="B5" s="559"/>
      <c r="C5" s="559" t="s">
        <v>2474</v>
      </c>
      <c r="D5" s="559" t="s">
        <v>2477</v>
      </c>
      <c r="E5" s="559" t="s">
        <v>4987</v>
      </c>
      <c r="F5" s="559" t="s">
        <v>2479</v>
      </c>
      <c r="G5" s="560" t="s">
        <v>4988</v>
      </c>
    </row>
    <row r="6" spans="1:7" ht="15.75" customHeight="1" x14ac:dyDescent="0.15">
      <c r="A6" s="549"/>
      <c r="B6" s="549"/>
      <c r="C6" s="27" t="s">
        <v>4989</v>
      </c>
      <c r="D6" s="561" t="s">
        <v>283</v>
      </c>
      <c r="E6" s="19" t="s">
        <v>4990</v>
      </c>
    </row>
    <row r="7" spans="1:7" ht="15.75" customHeight="1" x14ac:dyDescent="0.15">
      <c r="A7" s="549"/>
      <c r="B7" s="549"/>
      <c r="C7" s="27" t="s">
        <v>4991</v>
      </c>
      <c r="D7" s="561" t="s">
        <v>283</v>
      </c>
      <c r="E7" s="19" t="s">
        <v>4992</v>
      </c>
    </row>
    <row r="8" spans="1:7" ht="15.75" customHeight="1" x14ac:dyDescent="0.15">
      <c r="A8" s="549"/>
      <c r="B8" s="549"/>
      <c r="C8" s="27" t="s">
        <v>4993</v>
      </c>
      <c r="D8" s="561" t="s">
        <v>283</v>
      </c>
      <c r="E8" s="19" t="s">
        <v>4994</v>
      </c>
    </row>
    <row r="9" spans="1:7" ht="15.75" customHeight="1" x14ac:dyDescent="0.15">
      <c r="A9" s="549"/>
      <c r="B9" s="549"/>
      <c r="C9" s="27" t="s">
        <v>4995</v>
      </c>
      <c r="D9" s="561" t="s">
        <v>283</v>
      </c>
      <c r="E9" s="19" t="s">
        <v>4996</v>
      </c>
    </row>
    <row r="10" spans="1:7" ht="15.75" customHeight="1" x14ac:dyDescent="0.15">
      <c r="A10" s="549"/>
      <c r="B10" s="549"/>
      <c r="C10" s="27" t="s">
        <v>4997</v>
      </c>
      <c r="D10" s="561" t="s">
        <v>283</v>
      </c>
      <c r="E10" s="19" t="s">
        <v>4998</v>
      </c>
    </row>
    <row r="11" spans="1:7" ht="15.75" customHeight="1" x14ac:dyDescent="0.15">
      <c r="A11" s="549"/>
      <c r="B11" s="549"/>
      <c r="C11" s="27" t="s">
        <v>4999</v>
      </c>
      <c r="D11" s="561" t="s">
        <v>283</v>
      </c>
      <c r="E11" s="19" t="s">
        <v>5000</v>
      </c>
    </row>
    <row r="12" spans="1:7" ht="15.75" customHeight="1" x14ac:dyDescent="0.15">
      <c r="A12" s="549"/>
      <c r="B12" s="549"/>
      <c r="C12" s="27" t="s">
        <v>5001</v>
      </c>
      <c r="D12" s="561" t="s">
        <v>283</v>
      </c>
      <c r="E12" s="19" t="s">
        <v>5002</v>
      </c>
    </row>
    <row r="13" spans="1:7" ht="15.75" customHeight="1" x14ac:dyDescent="0.15">
      <c r="A13" s="549"/>
      <c r="B13" s="549"/>
      <c r="C13" s="27" t="s">
        <v>5003</v>
      </c>
      <c r="D13" s="561" t="s">
        <v>283</v>
      </c>
      <c r="E13" s="19" t="s">
        <v>5004</v>
      </c>
    </row>
    <row r="14" spans="1:7" ht="15.75" customHeight="1" x14ac:dyDescent="0.15">
      <c r="A14" s="549"/>
      <c r="B14" s="549"/>
      <c r="C14" s="27" t="s">
        <v>5005</v>
      </c>
      <c r="D14" s="561" t="s">
        <v>283</v>
      </c>
      <c r="E14" s="19" t="s">
        <v>5006</v>
      </c>
    </row>
    <row r="15" spans="1:7" ht="15.75" customHeight="1" x14ac:dyDescent="0.15">
      <c r="A15" s="549"/>
      <c r="B15" s="549"/>
      <c r="C15" s="27" t="s">
        <v>5007</v>
      </c>
      <c r="D15" s="561" t="s">
        <v>283</v>
      </c>
      <c r="E15" s="19" t="s">
        <v>80</v>
      </c>
    </row>
    <row r="16" spans="1:7" ht="15.75" customHeight="1" x14ac:dyDescent="0.15">
      <c r="A16" s="549"/>
      <c r="B16" s="549"/>
      <c r="C16" s="28" t="s">
        <v>5008</v>
      </c>
      <c r="D16" s="561" t="s">
        <v>283</v>
      </c>
      <c r="E16" s="561" t="s">
        <v>5009</v>
      </c>
    </row>
    <row r="17" spans="1:5" ht="15.75" customHeight="1" x14ac:dyDescent="0.15">
      <c r="A17" s="549"/>
      <c r="B17" s="549"/>
      <c r="C17" s="28" t="s">
        <v>5010</v>
      </c>
      <c r="D17" s="561" t="s">
        <v>283</v>
      </c>
      <c r="E17" s="561" t="s">
        <v>5011</v>
      </c>
    </row>
    <row r="18" spans="1:5" ht="15.75" customHeight="1" x14ac:dyDescent="0.15">
      <c r="A18" s="549"/>
      <c r="B18" s="549"/>
      <c r="C18" s="28" t="s">
        <v>5012</v>
      </c>
      <c r="D18" s="561" t="s">
        <v>283</v>
      </c>
      <c r="E18" s="561" t="s">
        <v>5013</v>
      </c>
    </row>
    <row r="19" spans="1:5" ht="15.75" customHeight="1" x14ac:dyDescent="0.15">
      <c r="A19" s="549"/>
      <c r="B19" s="549"/>
      <c r="C19" s="28" t="s">
        <v>5014</v>
      </c>
      <c r="D19" s="561" t="s">
        <v>283</v>
      </c>
      <c r="E19" s="561" t="s">
        <v>5015</v>
      </c>
    </row>
    <row r="20" spans="1:5" ht="15.75" customHeight="1" x14ac:dyDescent="0.15">
      <c r="A20" s="549"/>
      <c r="B20" s="549"/>
      <c r="C20" s="28" t="s">
        <v>5016</v>
      </c>
      <c r="D20" s="561" t="s">
        <v>283</v>
      </c>
      <c r="E20" s="561" t="s">
        <v>5017</v>
      </c>
    </row>
    <row r="21" spans="1:5" ht="15.75" customHeight="1" x14ac:dyDescent="0.15">
      <c r="A21" s="549"/>
      <c r="B21" s="549"/>
      <c r="C21" s="27" t="s">
        <v>5018</v>
      </c>
      <c r="D21" s="561" t="s">
        <v>283</v>
      </c>
      <c r="E21" s="19" t="s">
        <v>39</v>
      </c>
    </row>
    <row r="22" spans="1:5" ht="15.75" customHeight="1" x14ac:dyDescent="0.15">
      <c r="A22" s="549"/>
      <c r="B22" s="549"/>
      <c r="C22" s="27" t="s">
        <v>5019</v>
      </c>
      <c r="D22" s="561" t="s">
        <v>283</v>
      </c>
      <c r="E22" s="19" t="s">
        <v>32</v>
      </c>
    </row>
    <row r="23" spans="1:5" ht="15.75" customHeight="1" x14ac:dyDescent="0.15">
      <c r="A23" s="549"/>
      <c r="B23" s="549"/>
      <c r="C23" s="27" t="s">
        <v>5020</v>
      </c>
      <c r="D23" s="561" t="s">
        <v>283</v>
      </c>
      <c r="E23" s="19" t="s">
        <v>858</v>
      </c>
    </row>
    <row r="24" spans="1:5" ht="15.75" customHeight="1" x14ac:dyDescent="0.15">
      <c r="A24" s="549"/>
      <c r="B24" s="549"/>
      <c r="C24" s="27" t="s">
        <v>5021</v>
      </c>
      <c r="D24" s="561" t="s">
        <v>283</v>
      </c>
      <c r="E24" s="19" t="s">
        <v>5022</v>
      </c>
    </row>
    <row r="25" spans="1:5" ht="15.75" customHeight="1" x14ac:dyDescent="0.15">
      <c r="A25" s="549"/>
      <c r="B25" s="549"/>
      <c r="C25" s="27" t="s">
        <v>5023</v>
      </c>
      <c r="D25" s="561" t="s">
        <v>283</v>
      </c>
      <c r="E25" s="19" t="s">
        <v>5024</v>
      </c>
    </row>
    <row r="26" spans="1:5" ht="15.75" customHeight="1" x14ac:dyDescent="0.15">
      <c r="A26" s="549"/>
      <c r="B26" s="549"/>
      <c r="C26" s="27" t="s">
        <v>5025</v>
      </c>
      <c r="D26" s="561" t="s">
        <v>283</v>
      </c>
      <c r="E26" s="19" t="s">
        <v>5026</v>
      </c>
    </row>
    <row r="27" spans="1:5" ht="15.75" customHeight="1" x14ac:dyDescent="0.15">
      <c r="A27" s="549"/>
      <c r="B27" s="549"/>
      <c r="C27" s="27" t="s">
        <v>5027</v>
      </c>
      <c r="D27" s="561" t="s">
        <v>283</v>
      </c>
      <c r="E27" s="19" t="s">
        <v>5028</v>
      </c>
    </row>
    <row r="28" spans="1:5" ht="15.75" customHeight="1" x14ac:dyDescent="0.15">
      <c r="A28" s="549"/>
      <c r="B28" s="549"/>
      <c r="C28" s="27" t="s">
        <v>5029</v>
      </c>
      <c r="D28" s="561" t="s">
        <v>283</v>
      </c>
      <c r="E28" s="19" t="s">
        <v>5030</v>
      </c>
    </row>
    <row r="29" spans="1:5" ht="15.75" customHeight="1" x14ac:dyDescent="0.15">
      <c r="A29" s="549" t="s">
        <v>5031</v>
      </c>
      <c r="B29" s="549"/>
      <c r="C29" s="27" t="s">
        <v>5032</v>
      </c>
      <c r="D29" s="561" t="s">
        <v>283</v>
      </c>
      <c r="E29" s="19" t="s">
        <v>5033</v>
      </c>
    </row>
    <row r="30" spans="1:5" ht="15.75" customHeight="1" x14ac:dyDescent="0.15">
      <c r="A30" s="549" t="s">
        <v>5031</v>
      </c>
      <c r="B30" s="549"/>
      <c r="C30" s="27" t="s">
        <v>5034</v>
      </c>
      <c r="D30" s="561" t="s">
        <v>283</v>
      </c>
      <c r="E30" s="19" t="s">
        <v>5035</v>
      </c>
    </row>
    <row r="31" spans="1:5" ht="15.75" customHeight="1" x14ac:dyDescent="0.15">
      <c r="A31" s="549"/>
      <c r="B31" s="549"/>
      <c r="C31" s="27" t="s">
        <v>5036</v>
      </c>
      <c r="D31" s="561" t="s">
        <v>283</v>
      </c>
      <c r="E31" s="19" t="s">
        <v>5037</v>
      </c>
    </row>
    <row r="32" spans="1:5" ht="15.75" customHeight="1" x14ac:dyDescent="0.15">
      <c r="A32" s="549"/>
      <c r="B32" s="549"/>
      <c r="C32" s="27" t="s">
        <v>5038</v>
      </c>
      <c r="D32" s="561" t="s">
        <v>283</v>
      </c>
      <c r="E32" s="19" t="s">
        <v>5039</v>
      </c>
    </row>
    <row r="33" spans="1:7" ht="15.75" customHeight="1" x14ac:dyDescent="0.15">
      <c r="A33" s="549" t="s">
        <v>5031</v>
      </c>
      <c r="B33" s="549"/>
      <c r="C33" s="27" t="s">
        <v>5040</v>
      </c>
      <c r="D33" s="561" t="s">
        <v>283</v>
      </c>
      <c r="E33" s="19" t="s">
        <v>5041</v>
      </c>
    </row>
    <row r="34" spans="1:7" ht="15.75" customHeight="1" x14ac:dyDescent="0.15">
      <c r="A34" s="549" t="s">
        <v>5031</v>
      </c>
      <c r="B34" s="549"/>
      <c r="C34" s="27" t="s">
        <v>5042</v>
      </c>
      <c r="D34" s="561" t="s">
        <v>283</v>
      </c>
      <c r="E34" s="19" t="s">
        <v>5043</v>
      </c>
    </row>
    <row r="35" spans="1:7" ht="15.75" customHeight="1" x14ac:dyDescent="0.15">
      <c r="A35" s="549"/>
      <c r="B35" s="549"/>
      <c r="C35" s="27" t="s">
        <v>5044</v>
      </c>
      <c r="D35" s="561" t="s">
        <v>283</v>
      </c>
      <c r="E35" s="19" t="s">
        <v>5037</v>
      </c>
    </row>
    <row r="36" spans="1:7" ht="15.75" customHeight="1" x14ac:dyDescent="0.15">
      <c r="A36" s="549"/>
      <c r="B36" s="549"/>
      <c r="C36" s="27" t="s">
        <v>5045</v>
      </c>
      <c r="D36" s="561" t="s">
        <v>283</v>
      </c>
      <c r="E36" s="19" t="s">
        <v>5046</v>
      </c>
    </row>
    <row r="37" spans="1:7" ht="15.75" customHeight="1" x14ac:dyDescent="0.15">
      <c r="A37" s="549"/>
      <c r="B37" s="549"/>
      <c r="C37" s="27" t="s">
        <v>5047</v>
      </c>
      <c r="D37" s="561" t="s">
        <v>283</v>
      </c>
      <c r="E37" s="19" t="s">
        <v>5048</v>
      </c>
    </row>
    <row r="38" spans="1:7" ht="15.75" customHeight="1" x14ac:dyDescent="0.15">
      <c r="A38" s="549"/>
      <c r="B38" s="549"/>
      <c r="C38" s="27" t="s">
        <v>5049</v>
      </c>
      <c r="D38" s="561" t="s">
        <v>283</v>
      </c>
      <c r="E38" s="19" t="s">
        <v>858</v>
      </c>
    </row>
    <row r="39" spans="1:7" ht="15.75" customHeight="1" x14ac:dyDescent="0.15">
      <c r="A39" s="549"/>
      <c r="B39" s="549"/>
      <c r="C39" s="27" t="s">
        <v>5050</v>
      </c>
      <c r="D39" s="561" t="s">
        <v>283</v>
      </c>
      <c r="E39" s="19" t="s">
        <v>5051</v>
      </c>
    </row>
    <row r="40" spans="1:7" ht="15.75" customHeight="1" x14ac:dyDescent="0.15">
      <c r="A40" s="549"/>
      <c r="B40" s="549"/>
      <c r="C40" s="27" t="s">
        <v>5052</v>
      </c>
      <c r="D40" s="561" t="s">
        <v>283</v>
      </c>
      <c r="E40" s="19" t="s">
        <v>5053</v>
      </c>
    </row>
    <row r="41" spans="1:7" ht="15.75" customHeight="1" x14ac:dyDescent="0.15">
      <c r="A41" s="549"/>
      <c r="B41" s="549"/>
      <c r="C41" s="27" t="s">
        <v>5054</v>
      </c>
      <c r="D41" s="561" t="s">
        <v>283</v>
      </c>
      <c r="E41" s="19" t="s">
        <v>5055</v>
      </c>
    </row>
    <row r="42" spans="1:7" ht="15.75" customHeight="1" x14ac:dyDescent="0.15">
      <c r="A42" s="549"/>
      <c r="B42" s="549"/>
      <c r="C42" s="13" t="s">
        <v>5056</v>
      </c>
      <c r="D42" s="561" t="s">
        <v>283</v>
      </c>
      <c r="E42" s="19" t="s">
        <v>39</v>
      </c>
    </row>
    <row r="43" spans="1:7" ht="15.75" customHeight="1" x14ac:dyDescent="0.15">
      <c r="A43" s="562"/>
      <c r="B43" s="562"/>
      <c r="C43" s="13" t="s">
        <v>5057</v>
      </c>
      <c r="D43" s="561" t="s">
        <v>283</v>
      </c>
      <c r="E43" s="19" t="s">
        <v>5058</v>
      </c>
      <c r="F43" s="563"/>
      <c r="G43" s="563"/>
    </row>
    <row r="44" spans="1:7" ht="15.75" customHeight="1" x14ac:dyDescent="0.15">
      <c r="A44" s="562"/>
      <c r="B44" s="562"/>
      <c r="C44" s="13" t="s">
        <v>5059</v>
      </c>
      <c r="D44" s="561" t="s">
        <v>283</v>
      </c>
      <c r="E44" s="19" t="s">
        <v>5060</v>
      </c>
      <c r="F44" s="563"/>
      <c r="G44" s="563"/>
    </row>
    <row r="45" spans="1:7" ht="15.75" customHeight="1" x14ac:dyDescent="0.15">
      <c r="A45" s="562"/>
      <c r="B45" s="562"/>
      <c r="C45" s="27" t="s">
        <v>5061</v>
      </c>
      <c r="D45" s="561" t="s">
        <v>283</v>
      </c>
      <c r="E45" s="19" t="s">
        <v>35</v>
      </c>
      <c r="F45" s="563"/>
      <c r="G45" s="563"/>
    </row>
    <row r="46" spans="1:7" ht="15.75" customHeight="1" x14ac:dyDescent="0.15">
      <c r="A46" s="549"/>
      <c r="B46" s="549"/>
      <c r="C46" s="27" t="s">
        <v>5062</v>
      </c>
      <c r="D46" s="561" t="s">
        <v>283</v>
      </c>
      <c r="E46" s="19" t="s">
        <v>5063</v>
      </c>
    </row>
    <row r="47" spans="1:7" ht="15.75" customHeight="1" x14ac:dyDescent="0.15">
      <c r="A47" s="549"/>
      <c r="B47" s="549"/>
      <c r="C47" s="27" t="s">
        <v>5064</v>
      </c>
      <c r="D47" s="561" t="s">
        <v>283</v>
      </c>
      <c r="E47" s="19" t="s">
        <v>5065</v>
      </c>
    </row>
    <row r="48" spans="1:7" ht="15.75" customHeight="1" x14ac:dyDescent="0.15">
      <c r="A48" s="549"/>
      <c r="B48" s="549"/>
      <c r="C48" s="13" t="s">
        <v>5066</v>
      </c>
      <c r="D48" s="561" t="s">
        <v>283</v>
      </c>
      <c r="E48" s="19" t="s">
        <v>32</v>
      </c>
    </row>
    <row r="49" spans="1:5" ht="15.75" customHeight="1" x14ac:dyDescent="0.15">
      <c r="A49" s="549"/>
      <c r="B49" s="549"/>
      <c r="C49" s="13" t="s">
        <v>5067</v>
      </c>
      <c r="D49" s="561" t="s">
        <v>283</v>
      </c>
      <c r="E49" s="19" t="s">
        <v>5068</v>
      </c>
    </row>
    <row r="50" spans="1:5" ht="15.75" customHeight="1" x14ac:dyDescent="0.15">
      <c r="A50" s="549"/>
      <c r="B50" s="549"/>
      <c r="C50" s="13" t="s">
        <v>5069</v>
      </c>
      <c r="D50" s="561" t="s">
        <v>283</v>
      </c>
      <c r="E50" s="19" t="s">
        <v>5070</v>
      </c>
    </row>
    <row r="51" spans="1:5" ht="15.75" customHeight="1" x14ac:dyDescent="0.15">
      <c r="A51" s="549"/>
      <c r="B51" s="549"/>
      <c r="C51" s="13" t="s">
        <v>5071</v>
      </c>
      <c r="D51" s="561" t="s">
        <v>283</v>
      </c>
      <c r="E51" s="19" t="s">
        <v>5051</v>
      </c>
    </row>
    <row r="52" spans="1:5" ht="15.75" customHeight="1" x14ac:dyDescent="0.15">
      <c r="A52" s="564"/>
      <c r="B52" s="564"/>
      <c r="C52" s="27"/>
      <c r="D52" s="561"/>
      <c r="E52" s="19"/>
    </row>
    <row r="53" spans="1:5" ht="15.75" customHeight="1" x14ac:dyDescent="0.15">
      <c r="A53" s="564"/>
      <c r="B53" s="564"/>
      <c r="C53" s="27"/>
      <c r="D53" s="561"/>
      <c r="E53" s="13"/>
    </row>
    <row r="54" spans="1:5" ht="15.75" customHeight="1" x14ac:dyDescent="0.15">
      <c r="A54" s="564"/>
      <c r="B54" s="564"/>
      <c r="C54" s="27"/>
      <c r="D54" s="561"/>
      <c r="E54" s="565"/>
    </row>
    <row r="55" spans="1:5" ht="15.75" customHeight="1" x14ac:dyDescent="0.15">
      <c r="A55" s="564"/>
      <c r="B55" s="564"/>
      <c r="C55" s="27"/>
      <c r="D55" s="561"/>
      <c r="E55" s="19"/>
    </row>
    <row r="56" spans="1:5" ht="15.75" customHeight="1" x14ac:dyDescent="0.15">
      <c r="A56" s="564"/>
      <c r="B56" s="564"/>
      <c r="C56" s="27"/>
      <c r="D56" s="561"/>
      <c r="E56" s="19"/>
    </row>
    <row r="57" spans="1:5" ht="15.75" customHeight="1" x14ac:dyDescent="0.15">
      <c r="A57" s="564"/>
      <c r="B57" s="564"/>
      <c r="C57" s="27"/>
      <c r="D57" s="561"/>
      <c r="E57" s="13"/>
    </row>
    <row r="58" spans="1:5" ht="14" x14ac:dyDescent="0.15">
      <c r="A58" s="566"/>
      <c r="B58" s="566"/>
      <c r="C58" s="567"/>
      <c r="D58" s="561"/>
      <c r="E58" s="19"/>
    </row>
    <row r="59" spans="1:5" ht="14" x14ac:dyDescent="0.15">
      <c r="A59" s="564"/>
      <c r="B59" s="564"/>
      <c r="C59" s="27"/>
      <c r="D59" s="561"/>
      <c r="E59" s="19"/>
    </row>
    <row r="60" spans="1:5" ht="14" x14ac:dyDescent="0.15">
      <c r="A60" s="564"/>
      <c r="B60" s="564"/>
      <c r="C60" s="27"/>
      <c r="D60" s="561"/>
      <c r="E60" s="19"/>
    </row>
    <row r="61" spans="1:5" ht="14" x14ac:dyDescent="0.15">
      <c r="A61" s="564"/>
      <c r="B61" s="564"/>
      <c r="C61" s="27"/>
      <c r="D61" s="561"/>
      <c r="E61" s="19"/>
    </row>
    <row r="62" spans="1:5" ht="14" x14ac:dyDescent="0.15">
      <c r="A62" s="564"/>
      <c r="B62" s="564"/>
      <c r="C62" s="27"/>
      <c r="D62" s="561"/>
      <c r="E62" s="19"/>
    </row>
    <row r="63" spans="1:5" ht="14" x14ac:dyDescent="0.15">
      <c r="A63" s="564"/>
      <c r="B63" s="564"/>
      <c r="C63" s="27"/>
      <c r="D63" s="561"/>
      <c r="E63" s="19"/>
    </row>
    <row r="64" spans="1:5" ht="14" x14ac:dyDescent="0.15">
      <c r="A64" s="564"/>
      <c r="B64" s="564"/>
      <c r="C64" s="27"/>
      <c r="D64" s="561"/>
      <c r="E64" s="19"/>
    </row>
    <row r="65" spans="1:5" ht="14" x14ac:dyDescent="0.15">
      <c r="A65" s="564"/>
      <c r="B65" s="564"/>
      <c r="C65" s="27"/>
      <c r="D65" s="561"/>
      <c r="E65" s="19"/>
    </row>
    <row r="66" spans="1:5" ht="14" x14ac:dyDescent="0.15">
      <c r="A66" s="564"/>
      <c r="B66" s="564"/>
      <c r="C66" s="27"/>
      <c r="D66" s="561"/>
      <c r="E66" s="19"/>
    </row>
  </sheetData>
  <mergeCells count="2">
    <mergeCell ref="D2:G2"/>
    <mergeCell ref="D3:E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900FF"/>
    <outlinePr summaryBelow="0" summaryRight="0"/>
  </sheetPr>
  <dimension ref="A1:G205"/>
  <sheetViews>
    <sheetView workbookViewId="0">
      <pane xSplit="3" ySplit="5" topLeftCell="D6" activePane="bottomRight" state="frozen"/>
      <selection activeCell="D6" sqref="D6"/>
      <selection pane="topRight" activeCell="D6" sqref="D6"/>
      <selection pane="bottomLeft" activeCell="D6" sqref="D6"/>
      <selection pane="bottomRight" activeCell="D6" sqref="D6"/>
    </sheetView>
  </sheetViews>
  <sheetFormatPr baseColWidth="10" defaultColWidth="12.6640625" defaultRowHeight="15.75" customHeight="1" x14ac:dyDescent="0.15"/>
  <cols>
    <col min="1" max="1" width="18" customWidth="1"/>
    <col min="2" max="2" width="14.33203125" customWidth="1"/>
    <col min="3" max="3" width="38.33203125" customWidth="1"/>
    <col min="4" max="4" width="15.1640625" customWidth="1"/>
    <col min="5" max="5" width="58.33203125" customWidth="1"/>
    <col min="7" max="7" width="35.33203125" customWidth="1"/>
  </cols>
  <sheetData>
    <row r="1" spans="1:7" ht="15.75" customHeight="1" x14ac:dyDescent="0.15">
      <c r="A1" s="290"/>
      <c r="B1" s="290" t="s">
        <v>2515</v>
      </c>
      <c r="C1" s="290" t="s">
        <v>4984</v>
      </c>
      <c r="D1" s="290"/>
      <c r="E1" s="290"/>
      <c r="F1" s="290"/>
      <c r="G1" s="290"/>
    </row>
    <row r="2" spans="1:7" ht="15.75" customHeight="1" x14ac:dyDescent="0.15">
      <c r="A2" s="568" t="s">
        <v>7</v>
      </c>
      <c r="B2" s="568" t="s">
        <v>104</v>
      </c>
      <c r="C2" s="569" t="s">
        <v>4985</v>
      </c>
      <c r="D2" s="789" t="s">
        <v>2471</v>
      </c>
      <c r="E2" s="773"/>
      <c r="F2" s="773"/>
      <c r="G2" s="773"/>
    </row>
    <row r="3" spans="1:7" ht="15.75" customHeight="1" x14ac:dyDescent="0.15">
      <c r="A3" s="570"/>
      <c r="B3" s="570"/>
      <c r="C3" s="571"/>
      <c r="D3" s="790" t="s">
        <v>5</v>
      </c>
      <c r="E3" s="773"/>
      <c r="F3" s="790" t="s">
        <v>2472</v>
      </c>
      <c r="G3" s="773"/>
    </row>
    <row r="4" spans="1:7" ht="15.75" customHeight="1" x14ac:dyDescent="0.15">
      <c r="A4" s="572"/>
      <c r="B4" s="572"/>
      <c r="C4" s="573"/>
      <c r="D4" s="573" t="s">
        <v>2473</v>
      </c>
      <c r="E4" s="574" t="s">
        <v>4986</v>
      </c>
      <c r="F4" s="573" t="s">
        <v>2473</v>
      </c>
      <c r="G4" s="574" t="s">
        <v>4986</v>
      </c>
    </row>
    <row r="5" spans="1:7" ht="15.75" customHeight="1" x14ac:dyDescent="0.15">
      <c r="A5" s="575"/>
      <c r="B5" s="575" t="s">
        <v>206</v>
      </c>
      <c r="C5" s="576" t="s">
        <v>2474</v>
      </c>
      <c r="D5" s="576" t="s">
        <v>2477</v>
      </c>
      <c r="E5" s="576" t="s">
        <v>4987</v>
      </c>
      <c r="F5" s="576" t="s">
        <v>2479</v>
      </c>
      <c r="G5" s="577" t="s">
        <v>5072</v>
      </c>
    </row>
    <row r="6" spans="1:7" ht="15.75" customHeight="1" x14ac:dyDescent="0.15">
      <c r="A6" s="578"/>
      <c r="B6" s="579" t="b">
        <v>1</v>
      </c>
      <c r="C6" s="580" t="s">
        <v>5073</v>
      </c>
      <c r="D6" s="561" t="s">
        <v>283</v>
      </c>
      <c r="E6" s="19" t="s">
        <v>5074</v>
      </c>
      <c r="F6" s="358"/>
      <c r="G6" s="358"/>
    </row>
    <row r="7" spans="1:7" ht="15.75" customHeight="1" x14ac:dyDescent="0.15">
      <c r="A7" s="578"/>
      <c r="B7" s="581"/>
      <c r="C7" s="580" t="s">
        <v>5075</v>
      </c>
      <c r="D7" s="561" t="s">
        <v>283</v>
      </c>
      <c r="E7" s="19" t="s">
        <v>5076</v>
      </c>
      <c r="F7" s="358"/>
      <c r="G7" s="358"/>
    </row>
    <row r="8" spans="1:7" ht="15.75" customHeight="1" x14ac:dyDescent="0.15">
      <c r="A8" s="578"/>
      <c r="B8" s="581"/>
      <c r="C8" s="580" t="s">
        <v>5077</v>
      </c>
      <c r="D8" s="561" t="s">
        <v>283</v>
      </c>
      <c r="E8" s="19" t="s">
        <v>5078</v>
      </c>
      <c r="F8" s="358"/>
      <c r="G8" s="358"/>
    </row>
    <row r="9" spans="1:7" ht="15.75" customHeight="1" x14ac:dyDescent="0.15">
      <c r="A9" s="339"/>
      <c r="B9" s="582"/>
      <c r="C9" s="306" t="s">
        <v>5079</v>
      </c>
      <c r="D9" s="561" t="s">
        <v>283</v>
      </c>
      <c r="E9" s="19" t="s">
        <v>5080</v>
      </c>
      <c r="F9" s="358"/>
      <c r="G9" s="358"/>
    </row>
    <row r="10" spans="1:7" ht="15.75" customHeight="1" x14ac:dyDescent="0.15">
      <c r="A10" s="339"/>
      <c r="B10" s="582"/>
      <c r="C10" s="306" t="s">
        <v>5081</v>
      </c>
      <c r="D10" s="561" t="s">
        <v>283</v>
      </c>
      <c r="E10" s="19" t="s">
        <v>5082</v>
      </c>
      <c r="F10" s="358"/>
      <c r="G10" s="358"/>
    </row>
    <row r="11" spans="1:7" ht="15.75" customHeight="1" x14ac:dyDescent="0.15">
      <c r="A11" s="339"/>
      <c r="B11" s="582"/>
      <c r="C11" s="306" t="s">
        <v>5083</v>
      </c>
      <c r="D11" s="561" t="s">
        <v>283</v>
      </c>
      <c r="E11" s="19" t="s">
        <v>5084</v>
      </c>
      <c r="F11" s="358"/>
      <c r="G11" s="358"/>
    </row>
    <row r="12" spans="1:7" ht="15.75" customHeight="1" x14ac:dyDescent="0.15">
      <c r="A12" s="578"/>
      <c r="B12" s="581"/>
      <c r="C12" s="580" t="s">
        <v>5085</v>
      </c>
      <c r="D12" s="561" t="s">
        <v>283</v>
      </c>
      <c r="E12" s="19" t="s">
        <v>5086</v>
      </c>
      <c r="F12" s="358"/>
      <c r="G12" s="358"/>
    </row>
    <row r="13" spans="1:7" ht="15.75" customHeight="1" x14ac:dyDescent="0.15">
      <c r="A13" s="578"/>
      <c r="B13" s="581"/>
      <c r="C13" s="580" t="s">
        <v>5087</v>
      </c>
      <c r="D13" s="561" t="s">
        <v>283</v>
      </c>
      <c r="E13" s="19" t="s">
        <v>4990</v>
      </c>
      <c r="F13" s="358"/>
      <c r="G13" s="358"/>
    </row>
    <row r="14" spans="1:7" ht="15.75" customHeight="1" x14ac:dyDescent="0.15">
      <c r="A14" s="578"/>
      <c r="B14" s="581"/>
      <c r="C14" s="580" t="s">
        <v>5088</v>
      </c>
      <c r="D14" s="561" t="s">
        <v>283</v>
      </c>
      <c r="E14" s="19" t="s">
        <v>4992</v>
      </c>
      <c r="F14" s="358"/>
      <c r="G14" s="358"/>
    </row>
    <row r="15" spans="1:7" ht="15.75" customHeight="1" x14ac:dyDescent="0.15">
      <c r="A15" s="578"/>
      <c r="B15" s="581"/>
      <c r="C15" s="580" t="s">
        <v>5089</v>
      </c>
      <c r="D15" s="561" t="s">
        <v>283</v>
      </c>
      <c r="E15" s="19" t="s">
        <v>5090</v>
      </c>
      <c r="F15" s="358"/>
      <c r="G15" s="358"/>
    </row>
    <row r="16" spans="1:7" ht="15.75" customHeight="1" x14ac:dyDescent="0.15">
      <c r="A16" s="578"/>
      <c r="B16" s="581"/>
      <c r="C16" s="580" t="s">
        <v>5091</v>
      </c>
      <c r="D16" s="561" t="s">
        <v>283</v>
      </c>
      <c r="E16" s="583" t="s">
        <v>5086</v>
      </c>
      <c r="F16" s="358"/>
      <c r="G16" s="358"/>
    </row>
    <row r="17" spans="1:7" ht="15.75" customHeight="1" x14ac:dyDescent="0.15">
      <c r="A17" s="578"/>
      <c r="B17" s="581"/>
      <c r="C17" s="580" t="s">
        <v>5092</v>
      </c>
      <c r="D17" s="561" t="s">
        <v>283</v>
      </c>
      <c r="E17" s="306" t="s">
        <v>5093</v>
      </c>
      <c r="F17" s="358"/>
      <c r="G17" s="358"/>
    </row>
    <row r="18" spans="1:7" ht="15.75" customHeight="1" x14ac:dyDescent="0.15">
      <c r="A18" s="578"/>
      <c r="B18" s="581"/>
      <c r="C18" s="580" t="s">
        <v>5094</v>
      </c>
      <c r="D18" s="561" t="s">
        <v>283</v>
      </c>
      <c r="E18" s="19" t="s">
        <v>4990</v>
      </c>
      <c r="F18" s="358"/>
      <c r="G18" s="358"/>
    </row>
    <row r="19" spans="1:7" ht="15.75" customHeight="1" x14ac:dyDescent="0.15">
      <c r="A19" s="578"/>
      <c r="B19" s="579" t="b">
        <v>1</v>
      </c>
      <c r="C19" s="580" t="s">
        <v>5095</v>
      </c>
      <c r="D19" s="561" t="s">
        <v>283</v>
      </c>
      <c r="E19" s="19" t="s">
        <v>5096</v>
      </c>
      <c r="F19" s="358"/>
      <c r="G19" s="358"/>
    </row>
    <row r="20" spans="1:7" ht="15.75" customHeight="1" x14ac:dyDescent="0.15">
      <c r="A20" s="578"/>
      <c r="B20" s="579" t="b">
        <v>1</v>
      </c>
      <c r="C20" s="580" t="s">
        <v>5097</v>
      </c>
      <c r="D20" s="561" t="s">
        <v>283</v>
      </c>
      <c r="E20" s="19" t="s">
        <v>5098</v>
      </c>
      <c r="F20" s="358"/>
      <c r="G20" s="358"/>
    </row>
    <row r="21" spans="1:7" ht="15.75" customHeight="1" x14ac:dyDescent="0.15">
      <c r="A21" s="578"/>
      <c r="B21" s="579" t="b">
        <v>1</v>
      </c>
      <c r="C21" s="580" t="s">
        <v>5099</v>
      </c>
      <c r="D21" s="561" t="s">
        <v>283</v>
      </c>
      <c r="E21" s="19" t="s">
        <v>5100</v>
      </c>
      <c r="F21" s="358"/>
      <c r="G21" s="358"/>
    </row>
    <row r="22" spans="1:7" ht="15.75" customHeight="1" x14ac:dyDescent="0.15">
      <c r="A22" s="578"/>
      <c r="B22" s="579"/>
      <c r="C22" s="580" t="s">
        <v>5101</v>
      </c>
      <c r="D22" s="561" t="s">
        <v>283</v>
      </c>
      <c r="E22" s="19" t="s">
        <v>5102</v>
      </c>
      <c r="F22" s="358"/>
      <c r="G22" s="358"/>
    </row>
    <row r="23" spans="1:7" ht="15.75" customHeight="1" x14ac:dyDescent="0.15">
      <c r="A23" s="578"/>
      <c r="B23" s="581"/>
      <c r="C23" s="580" t="s">
        <v>5103</v>
      </c>
      <c r="D23" s="561" t="s">
        <v>283</v>
      </c>
      <c r="E23" s="584" t="s">
        <v>5086</v>
      </c>
      <c r="F23" s="358"/>
      <c r="G23" s="358"/>
    </row>
    <row r="24" spans="1:7" ht="15.75" customHeight="1" x14ac:dyDescent="0.15">
      <c r="A24" s="578"/>
      <c r="B24" s="581"/>
      <c r="C24" s="580" t="s">
        <v>5104</v>
      </c>
      <c r="D24" s="561" t="s">
        <v>283</v>
      </c>
      <c r="E24" s="19" t="s">
        <v>5105</v>
      </c>
      <c r="F24" s="358"/>
      <c r="G24" s="358"/>
    </row>
    <row r="25" spans="1:7" ht="15.75" customHeight="1" x14ac:dyDescent="0.15">
      <c r="A25" s="578"/>
      <c r="B25" s="579" t="b">
        <v>1</v>
      </c>
      <c r="C25" s="580" t="s">
        <v>5106</v>
      </c>
      <c r="D25" s="561" t="s">
        <v>283</v>
      </c>
      <c r="E25" s="13" t="s">
        <v>5107</v>
      </c>
      <c r="F25" s="358"/>
      <c r="G25" s="358"/>
    </row>
    <row r="26" spans="1:7" ht="15.75" customHeight="1" x14ac:dyDescent="0.15">
      <c r="A26" s="578"/>
      <c r="B26" s="579" t="b">
        <v>1</v>
      </c>
      <c r="C26" s="580" t="s">
        <v>5108</v>
      </c>
      <c r="D26" s="561" t="s">
        <v>283</v>
      </c>
      <c r="E26" s="13" t="s">
        <v>5109</v>
      </c>
      <c r="F26" s="358"/>
      <c r="G26" s="358"/>
    </row>
    <row r="27" spans="1:7" ht="15.75" customHeight="1" x14ac:dyDescent="0.15">
      <c r="A27" s="578"/>
      <c r="B27" s="579" t="b">
        <v>1</v>
      </c>
      <c r="C27" s="580" t="s">
        <v>5110</v>
      </c>
      <c r="D27" s="561" t="s">
        <v>283</v>
      </c>
      <c r="E27" s="13" t="s">
        <v>5111</v>
      </c>
      <c r="F27" s="358"/>
      <c r="G27" s="358"/>
    </row>
    <row r="28" spans="1:7" ht="15.75" customHeight="1" x14ac:dyDescent="0.15">
      <c r="A28" s="578"/>
      <c r="B28" s="579" t="b">
        <v>1</v>
      </c>
      <c r="C28" s="580" t="s">
        <v>5112</v>
      </c>
      <c r="D28" s="561" t="s">
        <v>283</v>
      </c>
      <c r="E28" s="13" t="s">
        <v>5113</v>
      </c>
      <c r="F28" s="358"/>
      <c r="G28" s="358"/>
    </row>
    <row r="29" spans="1:7" ht="15.75" customHeight="1" x14ac:dyDescent="0.15">
      <c r="A29" s="578"/>
      <c r="B29" s="579" t="b">
        <v>1</v>
      </c>
      <c r="C29" s="580" t="s">
        <v>5114</v>
      </c>
      <c r="D29" s="561" t="s">
        <v>283</v>
      </c>
      <c r="E29" s="13" t="s">
        <v>5115</v>
      </c>
      <c r="F29" s="358"/>
      <c r="G29" s="358"/>
    </row>
    <row r="30" spans="1:7" ht="15.75" customHeight="1" x14ac:dyDescent="0.15">
      <c r="A30" s="578"/>
      <c r="B30" s="579" t="b">
        <v>1</v>
      </c>
      <c r="C30" s="580" t="s">
        <v>5116</v>
      </c>
      <c r="D30" s="561" t="s">
        <v>283</v>
      </c>
      <c r="E30" s="19" t="s">
        <v>5117</v>
      </c>
      <c r="F30" s="358"/>
      <c r="G30" s="358"/>
    </row>
    <row r="31" spans="1:7" ht="15.75" customHeight="1" x14ac:dyDescent="0.15">
      <c r="A31" s="339"/>
      <c r="B31" s="537"/>
      <c r="C31" s="306" t="s">
        <v>5118</v>
      </c>
      <c r="D31" s="561" t="s">
        <v>283</v>
      </c>
      <c r="E31" s="19" t="s">
        <v>5119</v>
      </c>
      <c r="F31" s="358"/>
      <c r="G31" s="358"/>
    </row>
    <row r="32" spans="1:7" ht="15.75" customHeight="1" x14ac:dyDescent="0.15">
      <c r="A32" s="339"/>
      <c r="B32" s="537"/>
      <c r="C32" s="306" t="s">
        <v>5120</v>
      </c>
      <c r="D32" s="561" t="s">
        <v>283</v>
      </c>
      <c r="E32" s="19" t="s">
        <v>5121</v>
      </c>
      <c r="F32" s="358"/>
      <c r="G32" s="358"/>
    </row>
    <row r="33" spans="1:7" ht="15.75" customHeight="1" x14ac:dyDescent="0.15">
      <c r="A33" s="578"/>
      <c r="B33" s="581"/>
      <c r="C33" s="580" t="s">
        <v>5122</v>
      </c>
      <c r="D33" s="561" t="s">
        <v>283</v>
      </c>
      <c r="E33" s="19" t="s">
        <v>5123</v>
      </c>
      <c r="F33" s="358"/>
      <c r="G33" s="358"/>
    </row>
    <row r="34" spans="1:7" ht="15.75" customHeight="1" x14ac:dyDescent="0.15">
      <c r="A34" s="578"/>
      <c r="B34" s="581"/>
      <c r="C34" s="580" t="s">
        <v>5124</v>
      </c>
      <c r="D34" s="561" t="s">
        <v>283</v>
      </c>
      <c r="E34" s="19" t="s">
        <v>5125</v>
      </c>
      <c r="F34" s="358"/>
      <c r="G34" s="358"/>
    </row>
    <row r="35" spans="1:7" ht="15.75" customHeight="1" x14ac:dyDescent="0.15">
      <c r="A35" s="578"/>
      <c r="B35" s="581"/>
      <c r="C35" s="580" t="s">
        <v>5126</v>
      </c>
      <c r="D35" s="561" t="s">
        <v>283</v>
      </c>
      <c r="E35" s="19" t="s">
        <v>5127</v>
      </c>
      <c r="F35" s="358"/>
      <c r="G35" s="358"/>
    </row>
    <row r="36" spans="1:7" ht="15.75" customHeight="1" x14ac:dyDescent="0.15">
      <c r="A36" s="578"/>
      <c r="B36" s="581"/>
      <c r="C36" s="580" t="s">
        <v>5128</v>
      </c>
      <c r="D36" s="561" t="s">
        <v>283</v>
      </c>
      <c r="E36" s="583" t="s">
        <v>5129</v>
      </c>
      <c r="F36" s="358"/>
      <c r="G36" s="358"/>
    </row>
    <row r="37" spans="1:7" ht="15.75" customHeight="1" x14ac:dyDescent="0.15">
      <c r="A37" s="578"/>
      <c r="B37" s="581"/>
      <c r="C37" s="580" t="s">
        <v>5130</v>
      </c>
      <c r="D37" s="561" t="s">
        <v>283</v>
      </c>
      <c r="E37" s="583" t="s">
        <v>5131</v>
      </c>
      <c r="F37" s="358"/>
      <c r="G37" s="358"/>
    </row>
    <row r="38" spans="1:7" ht="15.75" customHeight="1" x14ac:dyDescent="0.15">
      <c r="A38" s="578"/>
      <c r="B38" s="581"/>
      <c r="C38" s="580" t="s">
        <v>5132</v>
      </c>
      <c r="D38" s="561" t="s">
        <v>283</v>
      </c>
      <c r="E38" s="583" t="s">
        <v>5133</v>
      </c>
      <c r="F38" s="358"/>
      <c r="G38" s="358"/>
    </row>
    <row r="39" spans="1:7" ht="15.75" customHeight="1" x14ac:dyDescent="0.15">
      <c r="A39" s="578"/>
      <c r="B39" s="581"/>
      <c r="C39" s="580" t="s">
        <v>5134</v>
      </c>
      <c r="D39" s="561" t="s">
        <v>283</v>
      </c>
      <c r="E39" s="583" t="s">
        <v>5135</v>
      </c>
      <c r="F39" s="358"/>
      <c r="G39" s="358"/>
    </row>
    <row r="40" spans="1:7" ht="15.75" customHeight="1" x14ac:dyDescent="0.15">
      <c r="A40" s="578"/>
      <c r="B40" s="581"/>
      <c r="C40" s="580" t="s">
        <v>5136</v>
      </c>
      <c r="D40" s="561" t="s">
        <v>283</v>
      </c>
      <c r="E40" s="583" t="s">
        <v>5137</v>
      </c>
      <c r="F40" s="358"/>
      <c r="G40" s="358"/>
    </row>
    <row r="41" spans="1:7" ht="15.75" customHeight="1" x14ac:dyDescent="0.15">
      <c r="A41" s="578"/>
      <c r="B41" s="581"/>
      <c r="C41" s="585" t="s">
        <v>5138</v>
      </c>
      <c r="D41" s="561" t="s">
        <v>283</v>
      </c>
      <c r="E41" s="583" t="s">
        <v>5139</v>
      </c>
      <c r="F41" s="358"/>
      <c r="G41" s="358"/>
    </row>
    <row r="42" spans="1:7" ht="15.75" customHeight="1" x14ac:dyDescent="0.15">
      <c r="A42" s="578"/>
      <c r="B42" s="581"/>
      <c r="C42" s="585" t="s">
        <v>5140</v>
      </c>
      <c r="D42" s="561" t="s">
        <v>283</v>
      </c>
      <c r="E42" s="583" t="s">
        <v>5141</v>
      </c>
      <c r="F42" s="358"/>
      <c r="G42" s="358"/>
    </row>
    <row r="43" spans="1:7" ht="15.75" customHeight="1" x14ac:dyDescent="0.15">
      <c r="A43" s="578"/>
      <c r="B43" s="581"/>
      <c r="C43" s="585" t="s">
        <v>5142</v>
      </c>
      <c r="D43" s="561" t="s">
        <v>283</v>
      </c>
      <c r="E43" s="583" t="s">
        <v>5143</v>
      </c>
      <c r="F43" s="358"/>
      <c r="G43" s="358"/>
    </row>
    <row r="44" spans="1:7" ht="15.75" customHeight="1" x14ac:dyDescent="0.15">
      <c r="A44" s="578"/>
      <c r="B44" s="581"/>
      <c r="C44" s="585" t="s">
        <v>5144</v>
      </c>
      <c r="D44" s="561" t="s">
        <v>283</v>
      </c>
      <c r="E44" s="583" t="s">
        <v>5145</v>
      </c>
      <c r="F44" s="358"/>
      <c r="G44" s="358"/>
    </row>
    <row r="45" spans="1:7" ht="15.75" customHeight="1" x14ac:dyDescent="0.15">
      <c r="A45" s="586"/>
      <c r="B45" s="582" t="b">
        <v>1</v>
      </c>
      <c r="C45" s="587" t="s">
        <v>5146</v>
      </c>
      <c r="D45" s="561" t="s">
        <v>283</v>
      </c>
      <c r="E45" s="588" t="s">
        <v>5147</v>
      </c>
      <c r="F45" s="358"/>
      <c r="G45" s="358"/>
    </row>
    <row r="46" spans="1:7" ht="15.75" customHeight="1" x14ac:dyDescent="0.15">
      <c r="A46" s="586"/>
      <c r="B46" s="537" t="b">
        <v>1</v>
      </c>
      <c r="C46" s="587" t="s">
        <v>5148</v>
      </c>
      <c r="D46" s="561" t="s">
        <v>283</v>
      </c>
      <c r="E46" s="588" t="s">
        <v>5147</v>
      </c>
      <c r="F46" s="358"/>
      <c r="G46" s="358"/>
    </row>
    <row r="47" spans="1:7" ht="15.75" customHeight="1" x14ac:dyDescent="0.15">
      <c r="A47" s="589"/>
      <c r="B47" s="582" t="b">
        <v>1</v>
      </c>
      <c r="C47" s="590" t="s">
        <v>5149</v>
      </c>
      <c r="D47" s="561" t="s">
        <v>283</v>
      </c>
      <c r="E47" s="588" t="s">
        <v>5147</v>
      </c>
      <c r="F47" s="358"/>
      <c r="G47" s="358"/>
    </row>
    <row r="48" spans="1:7" ht="15.75" customHeight="1" x14ac:dyDescent="0.15">
      <c r="A48" s="578"/>
      <c r="B48" s="581"/>
      <c r="C48" s="580" t="s">
        <v>5150</v>
      </c>
      <c r="D48" s="561" t="s">
        <v>283</v>
      </c>
      <c r="E48" s="19" t="s">
        <v>5076</v>
      </c>
      <c r="F48" s="358"/>
      <c r="G48" s="358"/>
    </row>
    <row r="49" spans="1:7" ht="15.75" customHeight="1" x14ac:dyDescent="0.15">
      <c r="A49" s="578"/>
      <c r="B49" s="581"/>
      <c r="C49" s="580" t="s">
        <v>5151</v>
      </c>
      <c r="D49" s="561" t="s">
        <v>283</v>
      </c>
      <c r="E49" s="19" t="s">
        <v>5152</v>
      </c>
      <c r="F49" s="358"/>
      <c r="G49" s="358"/>
    </row>
    <row r="50" spans="1:7" ht="15.75" customHeight="1" x14ac:dyDescent="0.15">
      <c r="A50" s="578"/>
      <c r="B50" s="581"/>
      <c r="C50" s="580" t="s">
        <v>5153</v>
      </c>
      <c r="D50" s="561" t="s">
        <v>283</v>
      </c>
      <c r="E50" s="19" t="s">
        <v>5154</v>
      </c>
      <c r="F50" s="358"/>
      <c r="G50" s="358"/>
    </row>
    <row r="51" spans="1:7" ht="15.75" customHeight="1" x14ac:dyDescent="0.15">
      <c r="A51" s="578"/>
      <c r="B51" s="581"/>
      <c r="C51" s="580" t="s">
        <v>5155</v>
      </c>
      <c r="D51" s="561" t="s">
        <v>283</v>
      </c>
      <c r="E51" s="19" t="s">
        <v>5156</v>
      </c>
      <c r="F51" s="358"/>
      <c r="G51" s="358"/>
    </row>
    <row r="52" spans="1:7" ht="15.75" customHeight="1" x14ac:dyDescent="0.15">
      <c r="A52" s="339"/>
      <c r="B52" s="582"/>
      <c r="C52" s="306" t="s">
        <v>5157</v>
      </c>
      <c r="D52" s="561" t="s">
        <v>283</v>
      </c>
      <c r="E52" s="19" t="s">
        <v>5158</v>
      </c>
      <c r="F52" s="358"/>
      <c r="G52" s="358"/>
    </row>
    <row r="53" spans="1:7" ht="15.75" customHeight="1" x14ac:dyDescent="0.15">
      <c r="A53" s="578"/>
      <c r="B53" s="581"/>
      <c r="C53" s="580" t="s">
        <v>5159</v>
      </c>
      <c r="D53" s="561" t="s">
        <v>283</v>
      </c>
      <c r="E53" s="332" t="s">
        <v>5160</v>
      </c>
      <c r="F53" s="358"/>
      <c r="G53" s="358"/>
    </row>
    <row r="54" spans="1:7" ht="15.75" customHeight="1" x14ac:dyDescent="0.15">
      <c r="A54" s="339"/>
      <c r="B54" s="537" t="b">
        <v>1</v>
      </c>
      <c r="C54" s="306" t="s">
        <v>5161</v>
      </c>
      <c r="D54" s="561" t="s">
        <v>283</v>
      </c>
      <c r="E54" s="19" t="s">
        <v>5162</v>
      </c>
      <c r="F54" s="358"/>
      <c r="G54" s="358"/>
    </row>
    <row r="55" spans="1:7" ht="15.75" customHeight="1" x14ac:dyDescent="0.15">
      <c r="A55" s="591"/>
      <c r="B55" s="537" t="b">
        <v>1</v>
      </c>
      <c r="C55" s="592" t="s">
        <v>5163</v>
      </c>
      <c r="D55" s="561" t="s">
        <v>283</v>
      </c>
      <c r="E55" s="19" t="s">
        <v>5164</v>
      </c>
      <c r="F55" s="358"/>
      <c r="G55" s="358"/>
    </row>
    <row r="56" spans="1:7" ht="15.75" customHeight="1" x14ac:dyDescent="0.15">
      <c r="A56" s="339"/>
      <c r="B56" s="582"/>
      <c r="C56" s="306" t="s">
        <v>5165</v>
      </c>
      <c r="D56" s="561" t="s">
        <v>283</v>
      </c>
      <c r="E56" s="19" t="s">
        <v>5166</v>
      </c>
      <c r="F56" s="358"/>
      <c r="G56" s="358"/>
    </row>
    <row r="57" spans="1:7" ht="15.75" customHeight="1" x14ac:dyDescent="0.15">
      <c r="A57" s="578"/>
      <c r="B57" s="581"/>
      <c r="C57" s="580" t="s">
        <v>5167</v>
      </c>
      <c r="D57" s="561" t="s">
        <v>283</v>
      </c>
      <c r="E57" s="19" t="s">
        <v>5168</v>
      </c>
      <c r="F57" s="358"/>
      <c r="G57" s="358"/>
    </row>
    <row r="58" spans="1:7" ht="15" x14ac:dyDescent="0.15">
      <c r="A58" s="578"/>
      <c r="B58" s="579" t="b">
        <v>1</v>
      </c>
      <c r="C58" s="580" t="s">
        <v>5169</v>
      </c>
      <c r="D58" s="561" t="s">
        <v>283</v>
      </c>
      <c r="E58" s="19" t="s">
        <v>5170</v>
      </c>
      <c r="F58" s="358"/>
      <c r="G58" s="358"/>
    </row>
    <row r="59" spans="1:7" ht="42" x14ac:dyDescent="0.15">
      <c r="A59" s="578"/>
      <c r="B59" s="581"/>
      <c r="C59" s="580" t="s">
        <v>5171</v>
      </c>
      <c r="D59" s="561" t="s">
        <v>283</v>
      </c>
      <c r="E59" s="19" t="s">
        <v>5172</v>
      </c>
      <c r="F59" s="358"/>
      <c r="G59" s="358"/>
    </row>
    <row r="60" spans="1:7" ht="42" x14ac:dyDescent="0.15">
      <c r="A60" s="578"/>
      <c r="B60" s="581"/>
      <c r="C60" s="580" t="s">
        <v>5173</v>
      </c>
      <c r="D60" s="561" t="s">
        <v>283</v>
      </c>
      <c r="E60" s="19" t="s">
        <v>5174</v>
      </c>
      <c r="F60" s="358"/>
      <c r="G60" s="358"/>
    </row>
    <row r="61" spans="1:7" ht="28" x14ac:dyDescent="0.15">
      <c r="A61" s="578"/>
      <c r="B61" s="581"/>
      <c r="C61" s="580" t="s">
        <v>5175</v>
      </c>
      <c r="D61" s="561" t="s">
        <v>283</v>
      </c>
      <c r="E61" s="19" t="s">
        <v>5176</v>
      </c>
      <c r="F61" s="358"/>
      <c r="G61" s="358"/>
    </row>
    <row r="62" spans="1:7" ht="15" x14ac:dyDescent="0.15">
      <c r="A62" s="586"/>
      <c r="B62" s="581" t="b">
        <v>1</v>
      </c>
      <c r="C62" s="587" t="s">
        <v>5177</v>
      </c>
      <c r="D62" s="561" t="s">
        <v>283</v>
      </c>
      <c r="E62" s="588" t="s">
        <v>5178</v>
      </c>
      <c r="F62" s="593"/>
      <c r="G62" s="593"/>
    </row>
    <row r="63" spans="1:7" ht="15" x14ac:dyDescent="0.15">
      <c r="A63" s="586"/>
      <c r="B63" s="581" t="b">
        <v>1</v>
      </c>
      <c r="C63" s="587" t="s">
        <v>5179</v>
      </c>
      <c r="D63" s="561" t="s">
        <v>283</v>
      </c>
      <c r="E63" s="588" t="s">
        <v>5180</v>
      </c>
      <c r="F63" s="593"/>
      <c r="G63" s="593"/>
    </row>
    <row r="64" spans="1:7" ht="112" x14ac:dyDescent="0.15">
      <c r="A64" s="578"/>
      <c r="B64" s="579" t="b">
        <v>1</v>
      </c>
      <c r="C64" s="580" t="s">
        <v>5181</v>
      </c>
      <c r="D64" s="561" t="s">
        <v>283</v>
      </c>
      <c r="E64" s="19" t="s">
        <v>5182</v>
      </c>
      <c r="F64" s="358"/>
      <c r="G64" s="358"/>
    </row>
    <row r="65" spans="1:7" ht="28" x14ac:dyDescent="0.15">
      <c r="A65" s="591"/>
      <c r="B65" s="594"/>
      <c r="C65" s="592" t="s">
        <v>5183</v>
      </c>
      <c r="D65" s="561" t="s">
        <v>283</v>
      </c>
      <c r="E65" s="19" t="s">
        <v>5184</v>
      </c>
      <c r="F65" s="358"/>
      <c r="G65" s="358"/>
    </row>
    <row r="66" spans="1:7" ht="28" x14ac:dyDescent="0.15">
      <c r="A66" s="578"/>
      <c r="B66" s="579" t="b">
        <v>1</v>
      </c>
      <c r="C66" s="580" t="s">
        <v>5185</v>
      </c>
      <c r="D66" s="561" t="s">
        <v>283</v>
      </c>
      <c r="E66" s="19" t="s">
        <v>5186</v>
      </c>
      <c r="F66" s="358"/>
      <c r="G66" s="358"/>
    </row>
    <row r="67" spans="1:7" ht="28" x14ac:dyDescent="0.15">
      <c r="A67" s="578"/>
      <c r="B67" s="581"/>
      <c r="C67" s="580" t="s">
        <v>5187</v>
      </c>
      <c r="D67" s="561" t="s">
        <v>283</v>
      </c>
      <c r="E67" s="19" t="s">
        <v>5188</v>
      </c>
      <c r="F67" s="358"/>
      <c r="G67" s="358"/>
    </row>
    <row r="68" spans="1:7" ht="28" x14ac:dyDescent="0.15">
      <c r="A68" s="578"/>
      <c r="B68" s="581"/>
      <c r="C68" s="580" t="s">
        <v>5189</v>
      </c>
      <c r="D68" s="561" t="s">
        <v>283</v>
      </c>
      <c r="E68" s="19" t="s">
        <v>5190</v>
      </c>
      <c r="F68" s="358"/>
      <c r="G68" s="358"/>
    </row>
    <row r="69" spans="1:7" ht="28" x14ac:dyDescent="0.15">
      <c r="A69" s="578"/>
      <c r="B69" s="581"/>
      <c r="C69" s="580" t="s">
        <v>5191</v>
      </c>
      <c r="D69" s="561" t="s">
        <v>283</v>
      </c>
      <c r="E69" s="19" t="s">
        <v>5192</v>
      </c>
      <c r="F69" s="358"/>
      <c r="G69" s="358"/>
    </row>
    <row r="70" spans="1:7" ht="28" x14ac:dyDescent="0.15">
      <c r="A70" s="578"/>
      <c r="B70" s="581"/>
      <c r="C70" s="580" t="s">
        <v>5193</v>
      </c>
      <c r="D70" s="561" t="s">
        <v>283</v>
      </c>
      <c r="E70" s="19" t="s">
        <v>5194</v>
      </c>
      <c r="F70" s="358"/>
      <c r="G70" s="358"/>
    </row>
    <row r="71" spans="1:7" ht="28" x14ac:dyDescent="0.15">
      <c r="A71" s="578"/>
      <c r="B71" s="581"/>
      <c r="C71" s="580" t="s">
        <v>5195</v>
      </c>
      <c r="D71" s="561" t="s">
        <v>283</v>
      </c>
      <c r="E71" s="19" t="s">
        <v>5196</v>
      </c>
      <c r="F71" s="358"/>
      <c r="G71" s="358"/>
    </row>
    <row r="72" spans="1:7" ht="28" x14ac:dyDescent="0.15">
      <c r="A72" s="578"/>
      <c r="B72" s="581"/>
      <c r="C72" s="580" t="s">
        <v>5197</v>
      </c>
      <c r="D72" s="561" t="s">
        <v>283</v>
      </c>
      <c r="E72" s="19" t="s">
        <v>5198</v>
      </c>
      <c r="F72" s="358"/>
      <c r="G72" s="358"/>
    </row>
    <row r="73" spans="1:7" ht="28" x14ac:dyDescent="0.15">
      <c r="A73" s="578"/>
      <c r="B73" s="579" t="b">
        <v>1</v>
      </c>
      <c r="C73" s="580" t="s">
        <v>5199</v>
      </c>
      <c r="D73" s="561" t="s">
        <v>283</v>
      </c>
      <c r="E73" s="19" t="s">
        <v>5200</v>
      </c>
      <c r="F73" s="358"/>
      <c r="G73" s="358"/>
    </row>
    <row r="74" spans="1:7" ht="28" x14ac:dyDescent="0.15">
      <c r="A74" s="578"/>
      <c r="B74" s="581"/>
      <c r="C74" s="580" t="s">
        <v>5201</v>
      </c>
      <c r="D74" s="561" t="s">
        <v>283</v>
      </c>
      <c r="E74" s="19" t="s">
        <v>5202</v>
      </c>
      <c r="F74" s="358"/>
      <c r="G74" s="358"/>
    </row>
    <row r="75" spans="1:7" ht="28" x14ac:dyDescent="0.15">
      <c r="A75" s="578"/>
      <c r="B75" s="581"/>
      <c r="C75" s="580" t="s">
        <v>5203</v>
      </c>
      <c r="D75" s="561" t="s">
        <v>283</v>
      </c>
      <c r="E75" s="19" t="s">
        <v>5204</v>
      </c>
      <c r="F75" s="358"/>
      <c r="G75" s="358"/>
    </row>
    <row r="76" spans="1:7" ht="28" x14ac:dyDescent="0.15">
      <c r="A76" s="578"/>
      <c r="B76" s="581"/>
      <c r="C76" s="580" t="s">
        <v>5205</v>
      </c>
      <c r="D76" s="561" t="s">
        <v>283</v>
      </c>
      <c r="E76" s="19" t="s">
        <v>5206</v>
      </c>
      <c r="F76" s="358"/>
      <c r="G76" s="358"/>
    </row>
    <row r="77" spans="1:7" ht="28" x14ac:dyDescent="0.15">
      <c r="A77" s="578"/>
      <c r="B77" s="581"/>
      <c r="C77" s="580" t="s">
        <v>5207</v>
      </c>
      <c r="D77" s="561" t="s">
        <v>283</v>
      </c>
      <c r="E77" s="19" t="s">
        <v>5208</v>
      </c>
      <c r="F77" s="358"/>
      <c r="G77" s="358"/>
    </row>
    <row r="78" spans="1:7" ht="15" x14ac:dyDescent="0.15">
      <c r="A78" s="578"/>
      <c r="B78" s="581"/>
      <c r="C78" s="580" t="s">
        <v>5209</v>
      </c>
      <c r="D78" s="561" t="s">
        <v>283</v>
      </c>
      <c r="E78" s="19" t="s">
        <v>5210</v>
      </c>
      <c r="F78" s="358"/>
      <c r="G78" s="358"/>
    </row>
    <row r="79" spans="1:7" ht="15" x14ac:dyDescent="0.15">
      <c r="A79" s="578"/>
      <c r="B79" s="581"/>
      <c r="C79" s="592" t="s">
        <v>5211</v>
      </c>
      <c r="D79" s="561" t="s">
        <v>283</v>
      </c>
      <c r="E79" s="19" t="s">
        <v>5212</v>
      </c>
      <c r="F79" s="358"/>
      <c r="G79" s="358"/>
    </row>
    <row r="80" spans="1:7" ht="15" x14ac:dyDescent="0.15">
      <c r="A80" s="339"/>
      <c r="B80" s="582"/>
      <c r="C80" s="306" t="s">
        <v>5213</v>
      </c>
      <c r="D80" s="561" t="s">
        <v>283</v>
      </c>
      <c r="E80" s="19" t="s">
        <v>5214</v>
      </c>
      <c r="F80" s="358"/>
      <c r="G80" s="358"/>
    </row>
    <row r="81" spans="1:7" ht="15" x14ac:dyDescent="0.15">
      <c r="A81" s="595"/>
      <c r="B81" s="594" t="b">
        <v>1</v>
      </c>
      <c r="C81" s="596" t="s">
        <v>5215</v>
      </c>
      <c r="D81" s="561" t="s">
        <v>283</v>
      </c>
      <c r="E81" s="19" t="s">
        <v>5216</v>
      </c>
      <c r="F81" s="358"/>
      <c r="G81" s="358"/>
    </row>
    <row r="82" spans="1:7" ht="15" x14ac:dyDescent="0.15">
      <c r="A82" s="595"/>
      <c r="B82" s="594" t="b">
        <v>1</v>
      </c>
      <c r="C82" s="596" t="s">
        <v>5217</v>
      </c>
      <c r="D82" s="561" t="s">
        <v>283</v>
      </c>
      <c r="E82" s="19" t="s">
        <v>5218</v>
      </c>
      <c r="F82" s="358"/>
      <c r="G82" s="358"/>
    </row>
    <row r="83" spans="1:7" ht="15" x14ac:dyDescent="0.15">
      <c r="A83" s="339"/>
      <c r="B83" s="582"/>
      <c r="C83" s="306" t="s">
        <v>5219</v>
      </c>
      <c r="D83" s="561" t="s">
        <v>283</v>
      </c>
      <c r="E83" s="19" t="s">
        <v>5220</v>
      </c>
      <c r="F83" s="358"/>
      <c r="G83" s="358"/>
    </row>
    <row r="84" spans="1:7" ht="15" x14ac:dyDescent="0.15">
      <c r="A84" s="339"/>
      <c r="B84" s="582"/>
      <c r="C84" s="306" t="s">
        <v>5221</v>
      </c>
      <c r="D84" s="561" t="s">
        <v>283</v>
      </c>
      <c r="E84" s="19" t="s">
        <v>5222</v>
      </c>
      <c r="F84" s="358"/>
      <c r="G84" s="358"/>
    </row>
    <row r="85" spans="1:7" ht="28" x14ac:dyDescent="0.15">
      <c r="A85" s="339"/>
      <c r="B85" s="582"/>
      <c r="C85" s="306" t="s">
        <v>5223</v>
      </c>
      <c r="D85" s="561" t="s">
        <v>283</v>
      </c>
      <c r="E85" s="19" t="s">
        <v>5224</v>
      </c>
      <c r="F85" s="358"/>
      <c r="G85" s="358"/>
    </row>
    <row r="86" spans="1:7" ht="28" x14ac:dyDescent="0.15">
      <c r="A86" s="339"/>
      <c r="B86" s="582"/>
      <c r="C86" s="306" t="s">
        <v>5225</v>
      </c>
      <c r="D86" s="561" t="s">
        <v>283</v>
      </c>
      <c r="E86" s="19" t="s">
        <v>5226</v>
      </c>
      <c r="F86" s="358"/>
      <c r="G86" s="358"/>
    </row>
    <row r="87" spans="1:7" ht="28" x14ac:dyDescent="0.15">
      <c r="A87" s="589"/>
      <c r="B87" s="582" t="b">
        <v>1</v>
      </c>
      <c r="C87" s="590" t="s">
        <v>5227</v>
      </c>
      <c r="D87" s="561" t="s">
        <v>283</v>
      </c>
      <c r="E87" s="306" t="s">
        <v>5228</v>
      </c>
      <c r="F87" s="358"/>
      <c r="G87" s="358"/>
    </row>
    <row r="88" spans="1:7" ht="28" x14ac:dyDescent="0.15">
      <c r="A88" s="589"/>
      <c r="B88" s="582" t="b">
        <v>1</v>
      </c>
      <c r="C88" s="590" t="s">
        <v>5229</v>
      </c>
      <c r="D88" s="561" t="s">
        <v>283</v>
      </c>
      <c r="E88" s="306" t="s">
        <v>5230</v>
      </c>
      <c r="F88" s="358"/>
      <c r="G88" s="358"/>
    </row>
    <row r="89" spans="1:7" ht="28" x14ac:dyDescent="0.15">
      <c r="A89" s="339"/>
      <c r="B89" s="582"/>
      <c r="C89" s="306" t="s">
        <v>5231</v>
      </c>
      <c r="D89" s="561" t="s">
        <v>283</v>
      </c>
      <c r="E89" s="19" t="s">
        <v>5226</v>
      </c>
      <c r="F89" s="358"/>
      <c r="G89" s="358"/>
    </row>
    <row r="90" spans="1:7" ht="15" x14ac:dyDescent="0.15">
      <c r="A90" s="339"/>
      <c r="B90" s="582"/>
      <c r="C90" s="306" t="s">
        <v>5232</v>
      </c>
      <c r="D90" s="561" t="s">
        <v>283</v>
      </c>
      <c r="E90" s="19" t="s">
        <v>5233</v>
      </c>
      <c r="F90" s="358"/>
      <c r="G90" s="358"/>
    </row>
    <row r="91" spans="1:7" ht="15" x14ac:dyDescent="0.15">
      <c r="A91" s="589"/>
      <c r="B91" s="582" t="b">
        <v>1</v>
      </c>
      <c r="C91" s="590" t="s">
        <v>5234</v>
      </c>
      <c r="D91" s="561" t="s">
        <v>283</v>
      </c>
      <c r="E91" s="588" t="s">
        <v>5235</v>
      </c>
      <c r="F91" s="358"/>
      <c r="G91" s="358"/>
    </row>
    <row r="92" spans="1:7" ht="28" x14ac:dyDescent="0.15">
      <c r="A92" s="578"/>
      <c r="B92" s="581"/>
      <c r="C92" s="580" t="s">
        <v>5236</v>
      </c>
      <c r="D92" s="561" t="s">
        <v>283</v>
      </c>
      <c r="E92" s="19" t="s">
        <v>5237</v>
      </c>
      <c r="F92" s="358"/>
      <c r="G92" s="358"/>
    </row>
    <row r="93" spans="1:7" ht="28" x14ac:dyDescent="0.15">
      <c r="A93" s="578"/>
      <c r="B93" s="581"/>
      <c r="C93" s="580" t="s">
        <v>5238</v>
      </c>
      <c r="D93" s="561" t="s">
        <v>283</v>
      </c>
      <c r="E93" s="19" t="s">
        <v>5239</v>
      </c>
      <c r="F93" s="358"/>
      <c r="G93" s="358"/>
    </row>
    <row r="94" spans="1:7" ht="28" x14ac:dyDescent="0.15">
      <c r="A94" s="578"/>
      <c r="B94" s="581"/>
      <c r="C94" s="580" t="s">
        <v>5240</v>
      </c>
      <c r="D94" s="561" t="s">
        <v>283</v>
      </c>
      <c r="E94" s="19" t="s">
        <v>5241</v>
      </c>
      <c r="F94" s="358"/>
      <c r="G94" s="358"/>
    </row>
    <row r="95" spans="1:7" ht="28" x14ac:dyDescent="0.15">
      <c r="A95" s="578"/>
      <c r="B95" s="581"/>
      <c r="C95" s="580" t="s">
        <v>5242</v>
      </c>
      <c r="D95" s="561" t="s">
        <v>283</v>
      </c>
      <c r="E95" s="306" t="s">
        <v>5243</v>
      </c>
      <c r="F95" s="358"/>
      <c r="G95" s="358"/>
    </row>
    <row r="96" spans="1:7" ht="15" x14ac:dyDescent="0.15">
      <c r="A96" s="578"/>
      <c r="B96" s="581"/>
      <c r="C96" s="580" t="s">
        <v>5244</v>
      </c>
      <c r="D96" s="561" t="s">
        <v>283</v>
      </c>
      <c r="E96" s="19" t="s">
        <v>5245</v>
      </c>
      <c r="F96" s="358"/>
      <c r="G96" s="358"/>
    </row>
    <row r="97" spans="1:7" ht="15" x14ac:dyDescent="0.15">
      <c r="A97" s="578"/>
      <c r="B97" s="581"/>
      <c r="C97" s="580" t="s">
        <v>5246</v>
      </c>
      <c r="D97" s="561" t="s">
        <v>283</v>
      </c>
      <c r="E97" s="19" t="s">
        <v>5247</v>
      </c>
      <c r="F97" s="358"/>
      <c r="G97" s="358"/>
    </row>
    <row r="98" spans="1:7" ht="70" x14ac:dyDescent="0.15">
      <c r="A98" s="339"/>
      <c r="B98" s="582"/>
      <c r="C98" s="306" t="s">
        <v>5248</v>
      </c>
      <c r="D98" s="561" t="s">
        <v>283</v>
      </c>
      <c r="E98" s="19" t="s">
        <v>5249</v>
      </c>
      <c r="F98" s="358"/>
      <c r="G98" s="358"/>
    </row>
    <row r="99" spans="1:7" ht="15" x14ac:dyDescent="0.15">
      <c r="A99" s="339"/>
      <c r="B99" s="582"/>
      <c r="C99" s="306" t="s">
        <v>5250</v>
      </c>
      <c r="D99" s="561" t="s">
        <v>283</v>
      </c>
      <c r="E99" s="19" t="s">
        <v>5251</v>
      </c>
      <c r="F99" s="358"/>
      <c r="G99" s="358"/>
    </row>
    <row r="100" spans="1:7" ht="15" x14ac:dyDescent="0.15">
      <c r="A100" s="578"/>
      <c r="B100" s="581"/>
      <c r="C100" s="580" t="s">
        <v>5252</v>
      </c>
      <c r="D100" s="561" t="s">
        <v>283</v>
      </c>
      <c r="E100" s="19" t="s">
        <v>5253</v>
      </c>
      <c r="F100" s="358"/>
      <c r="G100" s="358"/>
    </row>
    <row r="101" spans="1:7" ht="15" x14ac:dyDescent="0.15">
      <c r="A101" s="339"/>
      <c r="B101" s="582"/>
      <c r="C101" s="306" t="s">
        <v>5254</v>
      </c>
      <c r="D101" s="561" t="s">
        <v>283</v>
      </c>
      <c r="E101" s="19" t="s">
        <v>5255</v>
      </c>
      <c r="F101" s="358"/>
      <c r="G101" s="358"/>
    </row>
    <row r="102" spans="1:7" ht="15" x14ac:dyDescent="0.15">
      <c r="A102" s="339"/>
      <c r="B102" s="582"/>
      <c r="C102" s="306" t="s">
        <v>5256</v>
      </c>
      <c r="D102" s="561" t="s">
        <v>283</v>
      </c>
      <c r="E102" s="19" t="s">
        <v>5257</v>
      </c>
      <c r="F102" s="358"/>
      <c r="G102" s="358"/>
    </row>
    <row r="103" spans="1:7" ht="15" x14ac:dyDescent="0.15">
      <c r="A103" s="339"/>
      <c r="B103" s="582"/>
      <c r="C103" s="306" t="s">
        <v>5258</v>
      </c>
      <c r="D103" s="561" t="s">
        <v>283</v>
      </c>
      <c r="E103" s="19" t="s">
        <v>5259</v>
      </c>
      <c r="F103" s="358"/>
      <c r="G103" s="358"/>
    </row>
    <row r="104" spans="1:7" ht="70" x14ac:dyDescent="0.15">
      <c r="A104" s="597"/>
      <c r="B104" s="598"/>
      <c r="C104" s="355" t="s">
        <v>5260</v>
      </c>
      <c r="D104" s="561" t="s">
        <v>283</v>
      </c>
      <c r="E104" s="19" t="s">
        <v>5261</v>
      </c>
      <c r="F104" s="358"/>
      <c r="G104" s="358"/>
    </row>
    <row r="105" spans="1:7" ht="15" x14ac:dyDescent="0.15">
      <c r="A105" s="339"/>
      <c r="B105" s="537"/>
      <c r="C105" s="306" t="s">
        <v>5262</v>
      </c>
      <c r="D105" s="561" t="s">
        <v>283</v>
      </c>
      <c r="E105" s="19" t="s">
        <v>5263</v>
      </c>
      <c r="F105" s="358"/>
      <c r="G105" s="358"/>
    </row>
    <row r="106" spans="1:7" ht="15" x14ac:dyDescent="0.15">
      <c r="A106" s="339"/>
      <c r="B106" s="582"/>
      <c r="C106" s="306" t="s">
        <v>5264</v>
      </c>
      <c r="D106" s="561" t="s">
        <v>283</v>
      </c>
      <c r="E106" s="19" t="s">
        <v>5265</v>
      </c>
      <c r="F106" s="358"/>
      <c r="G106" s="358"/>
    </row>
    <row r="107" spans="1:7" ht="28" x14ac:dyDescent="0.15">
      <c r="A107" s="339"/>
      <c r="B107" s="582"/>
      <c r="C107" s="306" t="s">
        <v>5266</v>
      </c>
      <c r="D107" s="561" t="s">
        <v>283</v>
      </c>
      <c r="E107" s="19" t="s">
        <v>5267</v>
      </c>
      <c r="F107" s="358"/>
      <c r="G107" s="358"/>
    </row>
    <row r="108" spans="1:7" ht="28" x14ac:dyDescent="0.15">
      <c r="A108" s="339"/>
      <c r="B108" s="303" t="b">
        <v>1</v>
      </c>
      <c r="C108" s="306" t="s">
        <v>5268</v>
      </c>
      <c r="D108" s="561" t="s">
        <v>283</v>
      </c>
      <c r="E108" s="19" t="s">
        <v>5267</v>
      </c>
      <c r="F108" s="358"/>
      <c r="G108" s="358"/>
    </row>
    <row r="109" spans="1:7" ht="28" x14ac:dyDescent="0.15">
      <c r="A109" s="339"/>
      <c r="B109" s="582"/>
      <c r="C109" s="306" t="s">
        <v>5269</v>
      </c>
      <c r="D109" s="561" t="s">
        <v>283</v>
      </c>
      <c r="E109" s="19" t="s">
        <v>5270</v>
      </c>
      <c r="F109" s="358"/>
      <c r="G109" s="358"/>
    </row>
    <row r="110" spans="1:7" ht="15" x14ac:dyDescent="0.15">
      <c r="A110" s="339"/>
      <c r="B110" s="582"/>
      <c r="C110" s="306" t="s">
        <v>5271</v>
      </c>
      <c r="D110" s="561" t="s">
        <v>283</v>
      </c>
      <c r="E110" s="19" t="s">
        <v>5272</v>
      </c>
      <c r="F110" s="358"/>
      <c r="G110" s="358"/>
    </row>
    <row r="111" spans="1:7" ht="15" x14ac:dyDescent="0.15">
      <c r="A111" s="339"/>
      <c r="B111" s="582"/>
      <c r="C111" s="12" t="s">
        <v>5273</v>
      </c>
      <c r="D111" s="561" t="s">
        <v>283</v>
      </c>
      <c r="E111" s="13" t="s">
        <v>5274</v>
      </c>
      <c r="F111" s="358"/>
      <c r="G111" s="358"/>
    </row>
    <row r="112" spans="1:7" ht="28" x14ac:dyDescent="0.15">
      <c r="A112" s="339"/>
      <c r="B112" s="582"/>
      <c r="C112" s="306" t="s">
        <v>5275</v>
      </c>
      <c r="D112" s="561" t="s">
        <v>283</v>
      </c>
      <c r="E112" s="19" t="s">
        <v>5276</v>
      </c>
      <c r="F112" s="358"/>
      <c r="G112" s="358"/>
    </row>
    <row r="113" spans="1:7" ht="15" x14ac:dyDescent="0.15">
      <c r="A113" s="339"/>
      <c r="B113" s="582"/>
      <c r="C113" s="306" t="s">
        <v>5277</v>
      </c>
      <c r="D113" s="561" t="s">
        <v>283</v>
      </c>
      <c r="E113" s="19" t="s">
        <v>5278</v>
      </c>
      <c r="F113" s="358"/>
      <c r="G113" s="358"/>
    </row>
    <row r="114" spans="1:7" ht="28" x14ac:dyDescent="0.15">
      <c r="A114" s="339"/>
      <c r="B114" s="582"/>
      <c r="C114" s="306" t="s">
        <v>5279</v>
      </c>
      <c r="D114" s="561" t="s">
        <v>283</v>
      </c>
      <c r="E114" s="19" t="s">
        <v>5280</v>
      </c>
      <c r="F114" s="358"/>
      <c r="G114" s="358"/>
    </row>
    <row r="115" spans="1:7" ht="28" x14ac:dyDescent="0.15">
      <c r="A115" s="339"/>
      <c r="B115" s="303" t="b">
        <v>1</v>
      </c>
      <c r="C115" s="306" t="s">
        <v>5281</v>
      </c>
      <c r="D115" s="561" t="s">
        <v>283</v>
      </c>
      <c r="E115" s="19" t="s">
        <v>5282</v>
      </c>
      <c r="F115" s="358"/>
      <c r="G115" s="358"/>
    </row>
    <row r="116" spans="1:7" ht="28" x14ac:dyDescent="0.15">
      <c r="A116" s="339"/>
      <c r="B116" s="582"/>
      <c r="C116" s="306" t="s">
        <v>5283</v>
      </c>
      <c r="D116" s="561" t="s">
        <v>283</v>
      </c>
      <c r="E116" s="19" t="s">
        <v>5284</v>
      </c>
      <c r="F116" s="358"/>
      <c r="G116" s="358"/>
    </row>
    <row r="117" spans="1:7" ht="15" x14ac:dyDescent="0.15">
      <c r="A117" s="339"/>
      <c r="B117" s="582"/>
      <c r="C117" s="306" t="s">
        <v>5285</v>
      </c>
      <c r="D117" s="561" t="s">
        <v>283</v>
      </c>
      <c r="E117" s="19" t="s">
        <v>5286</v>
      </c>
      <c r="F117" s="358"/>
      <c r="G117" s="358"/>
    </row>
    <row r="118" spans="1:7" ht="15" x14ac:dyDescent="0.15">
      <c r="A118" s="339"/>
      <c r="B118" s="582"/>
      <c r="C118" s="306" t="s">
        <v>5287</v>
      </c>
      <c r="D118" s="561" t="s">
        <v>283</v>
      </c>
      <c r="E118" s="19" t="s">
        <v>5288</v>
      </c>
      <c r="F118" s="358"/>
      <c r="G118" s="358"/>
    </row>
    <row r="119" spans="1:7" ht="84" x14ac:dyDescent="0.15">
      <c r="A119" s="339"/>
      <c r="B119" s="582"/>
      <c r="C119" s="306" t="s">
        <v>5289</v>
      </c>
      <c r="D119" s="561" t="s">
        <v>283</v>
      </c>
      <c r="E119" s="19" t="s">
        <v>5290</v>
      </c>
      <c r="F119" s="358"/>
      <c r="G119" s="358"/>
    </row>
    <row r="120" spans="1:7" ht="15" x14ac:dyDescent="0.15">
      <c r="A120" s="339"/>
      <c r="B120" s="582"/>
      <c r="C120" s="306" t="s">
        <v>5291</v>
      </c>
      <c r="D120" s="561" t="s">
        <v>283</v>
      </c>
      <c r="E120" s="19" t="s">
        <v>5292</v>
      </c>
      <c r="F120" s="358"/>
      <c r="G120" s="358"/>
    </row>
    <row r="121" spans="1:7" ht="28" x14ac:dyDescent="0.15">
      <c r="A121" s="339"/>
      <c r="B121" s="582"/>
      <c r="C121" s="306" t="s">
        <v>5293</v>
      </c>
      <c r="D121" s="561" t="s">
        <v>283</v>
      </c>
      <c r="E121" s="583" t="s">
        <v>5294</v>
      </c>
      <c r="F121" s="358"/>
      <c r="G121" s="358"/>
    </row>
    <row r="122" spans="1:7" ht="28" x14ac:dyDescent="0.15">
      <c r="B122" s="303" t="b">
        <v>1</v>
      </c>
      <c r="C122" s="306" t="s">
        <v>5295</v>
      </c>
      <c r="D122" s="561" t="s">
        <v>283</v>
      </c>
      <c r="E122" s="19" t="s">
        <v>5296</v>
      </c>
      <c r="F122" s="358"/>
      <c r="G122" s="358"/>
    </row>
    <row r="123" spans="1:7" ht="28" x14ac:dyDescent="0.15">
      <c r="A123" s="339"/>
      <c r="B123" s="582"/>
      <c r="C123" s="306" t="s">
        <v>5297</v>
      </c>
      <c r="D123" s="561" t="s">
        <v>283</v>
      </c>
      <c r="E123" s="583" t="s">
        <v>5298</v>
      </c>
      <c r="F123" s="358"/>
      <c r="G123" s="358"/>
    </row>
    <row r="124" spans="1:7" ht="15" x14ac:dyDescent="0.15">
      <c r="A124" s="339"/>
      <c r="B124" s="582"/>
      <c r="C124" s="306" t="s">
        <v>5299</v>
      </c>
      <c r="D124" s="561" t="s">
        <v>283</v>
      </c>
      <c r="E124" s="19" t="s">
        <v>5300</v>
      </c>
      <c r="F124" s="358"/>
      <c r="G124" s="358"/>
    </row>
    <row r="125" spans="1:7" ht="15" x14ac:dyDescent="0.15">
      <c r="A125" s="339"/>
      <c r="B125" s="582"/>
      <c r="C125" s="306" t="s">
        <v>5301</v>
      </c>
      <c r="D125" s="561" t="s">
        <v>283</v>
      </c>
      <c r="E125" s="19" t="s">
        <v>5302</v>
      </c>
      <c r="F125" s="358"/>
      <c r="G125" s="358"/>
    </row>
    <row r="126" spans="1:7" ht="84" x14ac:dyDescent="0.15">
      <c r="A126" s="339"/>
      <c r="B126" s="582"/>
      <c r="C126" s="306" t="s">
        <v>5303</v>
      </c>
      <c r="D126" s="561" t="s">
        <v>283</v>
      </c>
      <c r="E126" s="19" t="s">
        <v>5304</v>
      </c>
      <c r="F126" s="358"/>
      <c r="G126" s="358"/>
    </row>
    <row r="127" spans="1:7" ht="15" x14ac:dyDescent="0.15">
      <c r="A127" s="339"/>
      <c r="B127" s="582"/>
      <c r="C127" s="306" t="s">
        <v>5305</v>
      </c>
      <c r="D127" s="561" t="s">
        <v>283</v>
      </c>
      <c r="E127" s="19" t="s">
        <v>5306</v>
      </c>
      <c r="F127" s="358"/>
      <c r="G127" s="358"/>
    </row>
    <row r="128" spans="1:7" ht="28" x14ac:dyDescent="0.15">
      <c r="A128" s="599"/>
      <c r="B128" s="600"/>
      <c r="C128" s="358" t="s">
        <v>5307</v>
      </c>
      <c r="D128" s="561" t="s">
        <v>283</v>
      </c>
      <c r="E128" s="19" t="s">
        <v>5308</v>
      </c>
      <c r="F128" s="358"/>
      <c r="G128" s="358"/>
    </row>
    <row r="129" spans="1:7" ht="42" x14ac:dyDescent="0.15">
      <c r="A129" s="339"/>
      <c r="B129" s="582"/>
      <c r="C129" s="306" t="s">
        <v>5309</v>
      </c>
      <c r="D129" s="561" t="s">
        <v>283</v>
      </c>
      <c r="E129" s="19" t="s">
        <v>5310</v>
      </c>
      <c r="F129" s="358"/>
      <c r="G129" s="358"/>
    </row>
    <row r="130" spans="1:7" ht="15" x14ac:dyDescent="0.15">
      <c r="A130" s="599"/>
      <c r="B130" s="600"/>
      <c r="C130" s="358" t="s">
        <v>5311</v>
      </c>
      <c r="D130" s="561" t="s">
        <v>283</v>
      </c>
      <c r="E130" s="19" t="s">
        <v>5312</v>
      </c>
      <c r="F130" s="358"/>
      <c r="G130" s="358"/>
    </row>
    <row r="131" spans="1:7" ht="28" x14ac:dyDescent="0.15">
      <c r="A131" s="599"/>
      <c r="B131" s="600"/>
      <c r="C131" s="358" t="s">
        <v>5313</v>
      </c>
      <c r="D131" s="561" t="s">
        <v>283</v>
      </c>
      <c r="E131" s="19" t="s">
        <v>5314</v>
      </c>
      <c r="F131" s="358"/>
      <c r="G131" s="358"/>
    </row>
    <row r="132" spans="1:7" ht="42" x14ac:dyDescent="0.15">
      <c r="A132" s="339"/>
      <c r="B132" s="582"/>
      <c r="C132" s="306" t="s">
        <v>5315</v>
      </c>
      <c r="D132" s="561" t="s">
        <v>283</v>
      </c>
      <c r="E132" s="19" t="s">
        <v>5316</v>
      </c>
      <c r="F132" s="358"/>
      <c r="G132" s="358"/>
    </row>
    <row r="133" spans="1:7" ht="28" x14ac:dyDescent="0.15">
      <c r="A133" s="339"/>
      <c r="B133" s="582"/>
      <c r="C133" s="306" t="s">
        <v>5317</v>
      </c>
      <c r="D133" s="561" t="s">
        <v>283</v>
      </c>
      <c r="E133" s="19" t="s">
        <v>5318</v>
      </c>
      <c r="F133" s="358"/>
      <c r="G133" s="358"/>
    </row>
    <row r="134" spans="1:7" ht="15" x14ac:dyDescent="0.15">
      <c r="A134" s="339"/>
      <c r="B134" s="582"/>
      <c r="C134" s="306" t="s">
        <v>5319</v>
      </c>
      <c r="D134" s="561" t="s">
        <v>283</v>
      </c>
      <c r="E134" s="19" t="s">
        <v>5320</v>
      </c>
      <c r="F134" s="358"/>
      <c r="G134" s="358"/>
    </row>
    <row r="135" spans="1:7" ht="15" x14ac:dyDescent="0.15">
      <c r="A135" s="578"/>
      <c r="B135" s="581"/>
      <c r="C135" s="580" t="s">
        <v>5321</v>
      </c>
      <c r="D135" s="561" t="s">
        <v>283</v>
      </c>
      <c r="E135" s="19" t="s">
        <v>5322</v>
      </c>
      <c r="F135" s="358"/>
      <c r="G135" s="358"/>
    </row>
    <row r="136" spans="1:7" ht="30" x14ac:dyDescent="0.15">
      <c r="A136" s="601"/>
      <c r="B136" s="602"/>
      <c r="C136" s="603" t="s">
        <v>5323</v>
      </c>
      <c r="D136" s="561" t="s">
        <v>283</v>
      </c>
      <c r="E136" s="604" t="s">
        <v>5324</v>
      </c>
      <c r="F136" s="358"/>
      <c r="G136" s="358"/>
    </row>
    <row r="137" spans="1:7" ht="15" x14ac:dyDescent="0.15">
      <c r="A137" s="599"/>
      <c r="B137" s="600"/>
      <c r="C137" s="358" t="s">
        <v>5325</v>
      </c>
      <c r="D137" s="561" t="s">
        <v>283</v>
      </c>
      <c r="E137" s="19" t="s">
        <v>5326</v>
      </c>
      <c r="F137" s="358"/>
      <c r="G137" s="358"/>
    </row>
    <row r="138" spans="1:7" ht="28" x14ac:dyDescent="0.15">
      <c r="A138" s="601"/>
      <c r="B138" s="602"/>
      <c r="C138" s="603" t="s">
        <v>5327</v>
      </c>
      <c r="D138" s="561" t="s">
        <v>283</v>
      </c>
      <c r="E138" s="19" t="s">
        <v>5328</v>
      </c>
      <c r="F138" s="358"/>
      <c r="G138" s="358"/>
    </row>
    <row r="139" spans="1:7" ht="56" x14ac:dyDescent="0.15">
      <c r="A139" s="578"/>
      <c r="B139" s="581"/>
      <c r="C139" s="580" t="s">
        <v>5329</v>
      </c>
      <c r="D139" s="561" t="s">
        <v>283</v>
      </c>
      <c r="E139" s="19" t="s">
        <v>5330</v>
      </c>
      <c r="F139" s="358"/>
      <c r="G139" s="358"/>
    </row>
    <row r="140" spans="1:7" ht="15" x14ac:dyDescent="0.15">
      <c r="A140" s="578"/>
      <c r="B140" s="581"/>
      <c r="C140" s="580" t="s">
        <v>5331</v>
      </c>
      <c r="D140" s="561" t="s">
        <v>283</v>
      </c>
      <c r="E140" s="19" t="s">
        <v>5332</v>
      </c>
      <c r="F140" s="358"/>
      <c r="G140" s="358"/>
    </row>
    <row r="141" spans="1:7" ht="28" x14ac:dyDescent="0.15">
      <c r="A141" s="578"/>
      <c r="B141" s="581"/>
      <c r="C141" s="580" t="s">
        <v>5333</v>
      </c>
      <c r="D141" s="561" t="s">
        <v>283</v>
      </c>
      <c r="E141" s="19" t="s">
        <v>5334</v>
      </c>
      <c r="F141" s="358"/>
      <c r="G141" s="358"/>
    </row>
    <row r="142" spans="1:7" ht="28" x14ac:dyDescent="0.15">
      <c r="A142" s="578"/>
      <c r="B142" s="581"/>
      <c r="C142" s="580" t="s">
        <v>5335</v>
      </c>
      <c r="D142" s="561" t="s">
        <v>283</v>
      </c>
      <c r="E142" s="19" t="s">
        <v>5336</v>
      </c>
      <c r="F142" s="358"/>
      <c r="G142" s="358"/>
    </row>
    <row r="143" spans="1:7" ht="15" x14ac:dyDescent="0.15">
      <c r="A143" s="601"/>
      <c r="B143" s="602"/>
      <c r="C143" s="603" t="s">
        <v>5337</v>
      </c>
      <c r="D143" s="561" t="s">
        <v>283</v>
      </c>
      <c r="E143" s="19" t="s">
        <v>5338</v>
      </c>
      <c r="F143" s="358"/>
      <c r="G143" s="358"/>
    </row>
    <row r="144" spans="1:7" ht="15" x14ac:dyDescent="0.15">
      <c r="A144" s="578"/>
      <c r="B144" s="581"/>
      <c r="C144" s="580" t="s">
        <v>5339</v>
      </c>
      <c r="D144" s="561" t="s">
        <v>283</v>
      </c>
      <c r="E144" s="19" t="s">
        <v>914</v>
      </c>
      <c r="F144" s="358"/>
      <c r="G144" s="358"/>
    </row>
    <row r="145" spans="1:7" ht="15" x14ac:dyDescent="0.15">
      <c r="A145" s="599"/>
      <c r="B145" s="600"/>
      <c r="C145" s="358" t="s">
        <v>5340</v>
      </c>
      <c r="D145" s="561" t="s">
        <v>283</v>
      </c>
      <c r="E145" s="306" t="s">
        <v>5341</v>
      </c>
      <c r="F145" s="358"/>
      <c r="G145" s="358"/>
    </row>
    <row r="146" spans="1:7" ht="15" x14ac:dyDescent="0.15">
      <c r="A146" s="599"/>
      <c r="B146" s="600"/>
      <c r="C146" s="358" t="s">
        <v>5342</v>
      </c>
      <c r="D146" s="561" t="s">
        <v>283</v>
      </c>
      <c r="E146" s="306" t="s">
        <v>5343</v>
      </c>
      <c r="F146" s="358"/>
      <c r="G146" s="358"/>
    </row>
    <row r="147" spans="1:7" ht="70" x14ac:dyDescent="0.15">
      <c r="A147" s="601"/>
      <c r="B147" s="602"/>
      <c r="C147" s="603" t="s">
        <v>5344</v>
      </c>
      <c r="D147" s="561" t="s">
        <v>283</v>
      </c>
      <c r="E147" s="19" t="s">
        <v>5345</v>
      </c>
      <c r="F147" s="358"/>
      <c r="G147" s="358"/>
    </row>
    <row r="148" spans="1:7" ht="15" x14ac:dyDescent="0.15">
      <c r="A148" s="578"/>
      <c r="B148" s="581"/>
      <c r="C148" s="580" t="s">
        <v>5346</v>
      </c>
      <c r="D148" s="561" t="s">
        <v>283</v>
      </c>
      <c r="E148" s="19" t="s">
        <v>5347</v>
      </c>
      <c r="F148" s="358"/>
      <c r="G148" s="358"/>
    </row>
    <row r="149" spans="1:7" ht="15" x14ac:dyDescent="0.15">
      <c r="A149" s="303"/>
      <c r="B149" s="582"/>
      <c r="C149" s="306" t="s">
        <v>5348</v>
      </c>
      <c r="D149" s="561" t="s">
        <v>283</v>
      </c>
      <c r="E149" s="19" t="s">
        <v>4998</v>
      </c>
      <c r="F149" s="358"/>
      <c r="G149" s="358"/>
    </row>
    <row r="150" spans="1:7" ht="15" x14ac:dyDescent="0.15">
      <c r="A150" s="303"/>
      <c r="B150" s="582"/>
      <c r="C150" s="306" t="s">
        <v>5349</v>
      </c>
      <c r="D150" s="561" t="s">
        <v>283</v>
      </c>
      <c r="E150" s="19" t="s">
        <v>5350</v>
      </c>
      <c r="F150" s="358"/>
      <c r="G150" s="358"/>
    </row>
    <row r="151" spans="1:7" ht="15" x14ac:dyDescent="0.15">
      <c r="A151" s="303"/>
      <c r="B151" s="582"/>
      <c r="C151" s="306" t="s">
        <v>5351</v>
      </c>
      <c r="D151" s="561" t="s">
        <v>283</v>
      </c>
      <c r="E151" s="19" t="s">
        <v>5352</v>
      </c>
      <c r="F151" s="358"/>
      <c r="G151" s="358"/>
    </row>
    <row r="152" spans="1:7" ht="15" x14ac:dyDescent="0.15">
      <c r="A152" s="303"/>
      <c r="B152" s="582"/>
      <c r="C152" s="306" t="s">
        <v>5353</v>
      </c>
      <c r="D152" s="561" t="s">
        <v>283</v>
      </c>
      <c r="E152" s="19" t="s">
        <v>5354</v>
      </c>
      <c r="F152" s="358"/>
      <c r="G152" s="358"/>
    </row>
    <row r="153" spans="1:7" ht="15" x14ac:dyDescent="0.15">
      <c r="A153" s="303"/>
      <c r="B153" s="537"/>
      <c r="C153" s="306" t="s">
        <v>5355</v>
      </c>
      <c r="D153" s="561" t="s">
        <v>283</v>
      </c>
      <c r="E153" s="19" t="s">
        <v>5356</v>
      </c>
      <c r="F153" s="358"/>
      <c r="G153" s="358"/>
    </row>
    <row r="154" spans="1:7" ht="15" x14ac:dyDescent="0.15">
      <c r="A154" s="303"/>
      <c r="B154" s="582"/>
      <c r="C154" s="306" t="s">
        <v>5357</v>
      </c>
      <c r="D154" s="561" t="s">
        <v>283</v>
      </c>
      <c r="E154" s="19" t="s">
        <v>5358</v>
      </c>
      <c r="F154" s="358"/>
      <c r="G154" s="358"/>
    </row>
    <row r="155" spans="1:7" ht="15" x14ac:dyDescent="0.15">
      <c r="A155" s="599"/>
      <c r="B155" s="600"/>
      <c r="C155" s="358" t="s">
        <v>5359</v>
      </c>
      <c r="D155" s="561" t="s">
        <v>283</v>
      </c>
      <c r="E155" s="19" t="s">
        <v>5360</v>
      </c>
      <c r="F155" s="358"/>
      <c r="G155" s="358"/>
    </row>
    <row r="156" spans="1:7" ht="28" x14ac:dyDescent="0.15">
      <c r="A156" s="339"/>
      <c r="B156" s="582"/>
      <c r="C156" s="306" t="s">
        <v>5361</v>
      </c>
      <c r="D156" s="561" t="s">
        <v>283</v>
      </c>
      <c r="E156" s="19" t="s">
        <v>5362</v>
      </c>
      <c r="F156" s="358"/>
      <c r="G156" s="358"/>
    </row>
    <row r="157" spans="1:7" ht="28" x14ac:dyDescent="0.15">
      <c r="A157" s="599"/>
      <c r="B157" s="600"/>
      <c r="C157" s="358" t="s">
        <v>5363</v>
      </c>
      <c r="D157" s="561" t="s">
        <v>283</v>
      </c>
      <c r="E157" s="19" t="s">
        <v>5364</v>
      </c>
      <c r="F157" s="358"/>
      <c r="G157" s="358"/>
    </row>
    <row r="158" spans="1:7" ht="15" x14ac:dyDescent="0.15">
      <c r="A158" s="599"/>
      <c r="B158" s="600"/>
      <c r="C158" s="358" t="s">
        <v>5365</v>
      </c>
      <c r="D158" s="561" t="s">
        <v>283</v>
      </c>
      <c r="E158" s="19" t="s">
        <v>5086</v>
      </c>
      <c r="F158" s="358"/>
      <c r="G158" s="358"/>
    </row>
    <row r="159" spans="1:7" ht="28" x14ac:dyDescent="0.15">
      <c r="A159" s="339"/>
      <c r="B159" s="582"/>
      <c r="C159" s="306" t="s">
        <v>5366</v>
      </c>
      <c r="D159" s="561" t="s">
        <v>283</v>
      </c>
      <c r="E159" s="19" t="s">
        <v>5367</v>
      </c>
      <c r="F159" s="358"/>
      <c r="G159" s="358"/>
    </row>
    <row r="160" spans="1:7" ht="15" x14ac:dyDescent="0.15">
      <c r="A160" s="339"/>
      <c r="B160" s="582"/>
      <c r="C160" s="306" t="s">
        <v>5368</v>
      </c>
      <c r="D160" s="561" t="s">
        <v>283</v>
      </c>
      <c r="E160" s="306" t="s">
        <v>5369</v>
      </c>
      <c r="F160" s="358"/>
      <c r="G160" s="358"/>
    </row>
    <row r="161" spans="1:7" ht="15" x14ac:dyDescent="0.15">
      <c r="A161" s="599"/>
      <c r="B161" s="600"/>
      <c r="C161" s="358" t="s">
        <v>5370</v>
      </c>
      <c r="D161" s="561" t="s">
        <v>283</v>
      </c>
      <c r="E161" s="306" t="s">
        <v>5371</v>
      </c>
      <c r="F161" s="358"/>
      <c r="G161" s="358"/>
    </row>
    <row r="162" spans="1:7" ht="15" x14ac:dyDescent="0.15">
      <c r="A162" s="578"/>
      <c r="B162" s="581"/>
      <c r="C162" s="580" t="s">
        <v>5372</v>
      </c>
      <c r="D162" s="561" t="s">
        <v>283</v>
      </c>
      <c r="E162" s="19" t="s">
        <v>5373</v>
      </c>
      <c r="F162" s="358"/>
      <c r="G162" s="358"/>
    </row>
    <row r="163" spans="1:7" ht="15" x14ac:dyDescent="0.15">
      <c r="A163" s="578"/>
      <c r="B163" s="581"/>
      <c r="C163" s="580" t="s">
        <v>5374</v>
      </c>
      <c r="D163" s="561" t="s">
        <v>283</v>
      </c>
      <c r="E163" s="19" t="s">
        <v>5375</v>
      </c>
      <c r="F163" s="358"/>
      <c r="G163" s="358"/>
    </row>
    <row r="164" spans="1:7" ht="15" x14ac:dyDescent="0.15">
      <c r="A164" s="578"/>
      <c r="B164" s="581"/>
      <c r="C164" s="580" t="s">
        <v>5376</v>
      </c>
      <c r="D164" s="561" t="s">
        <v>283</v>
      </c>
      <c r="E164" s="19" t="s">
        <v>5377</v>
      </c>
      <c r="F164" s="358"/>
      <c r="G164" s="358"/>
    </row>
    <row r="165" spans="1:7" ht="15" x14ac:dyDescent="0.15">
      <c r="A165" s="578"/>
      <c r="B165" s="581"/>
      <c r="C165" s="605" t="s">
        <v>5378</v>
      </c>
      <c r="D165" s="561" t="s">
        <v>283</v>
      </c>
      <c r="E165" s="19" t="s">
        <v>5379</v>
      </c>
      <c r="F165" s="358"/>
      <c r="G165" s="358"/>
    </row>
    <row r="166" spans="1:7" ht="15" x14ac:dyDescent="0.15">
      <c r="A166" s="578"/>
      <c r="B166" s="581"/>
      <c r="C166" s="580" t="s">
        <v>5380</v>
      </c>
      <c r="D166" s="561" t="s">
        <v>283</v>
      </c>
      <c r="E166" s="19" t="s">
        <v>5381</v>
      </c>
      <c r="F166" s="358"/>
      <c r="G166" s="358"/>
    </row>
    <row r="167" spans="1:7" ht="15" x14ac:dyDescent="0.15">
      <c r="A167" s="578"/>
      <c r="B167" s="581"/>
      <c r="C167" s="605" t="s">
        <v>5382</v>
      </c>
      <c r="D167" s="561" t="s">
        <v>283</v>
      </c>
      <c r="E167" s="19" t="s">
        <v>5383</v>
      </c>
      <c r="F167" s="358"/>
      <c r="G167" s="358"/>
    </row>
    <row r="168" spans="1:7" ht="15" x14ac:dyDescent="0.15">
      <c r="A168" s="578"/>
      <c r="B168" s="581"/>
      <c r="C168" s="605" t="s">
        <v>5384</v>
      </c>
      <c r="D168" s="561" t="s">
        <v>283</v>
      </c>
      <c r="E168" s="19" t="s">
        <v>5385</v>
      </c>
      <c r="F168" s="358"/>
      <c r="G168" s="358"/>
    </row>
    <row r="169" spans="1:7" ht="15" x14ac:dyDescent="0.15">
      <c r="A169" s="578"/>
      <c r="B169" s="581"/>
      <c r="C169" s="580" t="s">
        <v>5386</v>
      </c>
      <c r="D169" s="561" t="s">
        <v>283</v>
      </c>
      <c r="E169" s="19" t="s">
        <v>5154</v>
      </c>
      <c r="F169" s="358"/>
      <c r="G169" s="358"/>
    </row>
    <row r="170" spans="1:7" ht="15" x14ac:dyDescent="0.15">
      <c r="A170" s="578"/>
      <c r="B170" s="581"/>
      <c r="C170" s="580" t="s">
        <v>5387</v>
      </c>
      <c r="D170" s="561" t="s">
        <v>283</v>
      </c>
      <c r="E170" s="19" t="s">
        <v>5388</v>
      </c>
      <c r="F170" s="358"/>
      <c r="G170" s="358"/>
    </row>
    <row r="171" spans="1:7" ht="84" x14ac:dyDescent="0.15">
      <c r="A171" s="578"/>
      <c r="B171" s="581"/>
      <c r="C171" s="580" t="s">
        <v>5389</v>
      </c>
      <c r="D171" s="561" t="s">
        <v>283</v>
      </c>
      <c r="E171" s="19" t="s">
        <v>5390</v>
      </c>
      <c r="F171" s="358"/>
      <c r="G171" s="358"/>
    </row>
    <row r="172" spans="1:7" ht="15" x14ac:dyDescent="0.15">
      <c r="A172" s="303"/>
      <c r="B172" s="582"/>
      <c r="C172" s="306" t="s">
        <v>5391</v>
      </c>
      <c r="D172" s="561" t="s">
        <v>283</v>
      </c>
      <c r="E172" s="19" t="s">
        <v>2508</v>
      </c>
      <c r="F172" s="358"/>
      <c r="G172" s="358"/>
    </row>
    <row r="173" spans="1:7" ht="28" x14ac:dyDescent="0.15">
      <c r="A173" s="303"/>
      <c r="B173" s="531"/>
      <c r="C173" s="332" t="s">
        <v>5392</v>
      </c>
      <c r="D173" s="561" t="s">
        <v>283</v>
      </c>
      <c r="E173" s="19" t="s">
        <v>5393</v>
      </c>
      <c r="F173" s="358"/>
      <c r="G173" s="358"/>
    </row>
    <row r="174" spans="1:7" ht="28" x14ac:dyDescent="0.15">
      <c r="A174" s="303"/>
      <c r="B174" s="582"/>
      <c r="C174" s="332" t="s">
        <v>5394</v>
      </c>
      <c r="D174" s="561" t="s">
        <v>283</v>
      </c>
      <c r="E174" s="19" t="s">
        <v>5395</v>
      </c>
      <c r="F174" s="358"/>
      <c r="G174" s="358"/>
    </row>
    <row r="175" spans="1:7" ht="30" x14ac:dyDescent="0.15">
      <c r="A175" s="303"/>
      <c r="B175" s="582"/>
      <c r="C175" s="332" t="s">
        <v>5396</v>
      </c>
      <c r="D175" s="561" t="s">
        <v>283</v>
      </c>
      <c r="E175" s="561" t="s">
        <v>5397</v>
      </c>
      <c r="F175" s="358"/>
      <c r="G175" s="358"/>
    </row>
    <row r="176" spans="1:7" ht="45" x14ac:dyDescent="0.15">
      <c r="A176" s="303"/>
      <c r="B176" s="582"/>
      <c r="C176" s="332" t="s">
        <v>5398</v>
      </c>
      <c r="D176" s="561" t="s">
        <v>283</v>
      </c>
      <c r="E176" s="561" t="s">
        <v>5399</v>
      </c>
      <c r="F176" s="358"/>
      <c r="G176" s="358"/>
    </row>
    <row r="177" spans="1:7" ht="56" x14ac:dyDescent="0.15">
      <c r="A177" s="303"/>
      <c r="B177" s="537" t="b">
        <v>1</v>
      </c>
      <c r="C177" s="306" t="s">
        <v>5400</v>
      </c>
      <c r="D177" s="561" t="s">
        <v>283</v>
      </c>
      <c r="E177" s="583" t="s">
        <v>5401</v>
      </c>
      <c r="F177" s="358"/>
      <c r="G177" s="358"/>
    </row>
    <row r="178" spans="1:7" ht="56" x14ac:dyDescent="0.15">
      <c r="A178" s="606"/>
      <c r="B178" s="579" t="b">
        <v>1</v>
      </c>
      <c r="C178" s="580" t="s">
        <v>5402</v>
      </c>
      <c r="D178" s="561" t="s">
        <v>283</v>
      </c>
      <c r="E178" s="583" t="s">
        <v>5403</v>
      </c>
      <c r="F178" s="358"/>
      <c r="G178" s="358"/>
    </row>
    <row r="179" spans="1:7" ht="42" x14ac:dyDescent="0.15">
      <c r="A179" s="303"/>
      <c r="B179" s="537" t="b">
        <v>1</v>
      </c>
      <c r="C179" s="306" t="s">
        <v>5404</v>
      </c>
      <c r="D179" s="561" t="s">
        <v>283</v>
      </c>
      <c r="E179" s="19" t="s">
        <v>5405</v>
      </c>
      <c r="F179" s="358"/>
      <c r="G179" s="358"/>
    </row>
    <row r="180" spans="1:7" ht="15" x14ac:dyDescent="0.15">
      <c r="A180" s="303"/>
      <c r="B180" s="582"/>
      <c r="C180" s="607" t="s">
        <v>5406</v>
      </c>
      <c r="D180" s="561" t="s">
        <v>283</v>
      </c>
      <c r="E180" s="18" t="s">
        <v>5407</v>
      </c>
      <c r="F180" s="358"/>
      <c r="G180" s="358"/>
    </row>
    <row r="181" spans="1:7" ht="98" x14ac:dyDescent="0.15">
      <c r="A181" s="303"/>
      <c r="B181" s="582"/>
      <c r="C181" s="607" t="s">
        <v>5408</v>
      </c>
      <c r="D181" s="561" t="s">
        <v>283</v>
      </c>
      <c r="E181" s="19" t="s">
        <v>5409</v>
      </c>
      <c r="F181" s="358"/>
      <c r="G181" s="358"/>
    </row>
    <row r="182" spans="1:7" ht="15" x14ac:dyDescent="0.15">
      <c r="A182" s="303"/>
      <c r="B182" s="582"/>
      <c r="C182" s="608" t="s">
        <v>5410</v>
      </c>
      <c r="D182" s="561" t="s">
        <v>283</v>
      </c>
      <c r="E182" s="19" t="s">
        <v>5411</v>
      </c>
      <c r="F182" s="358"/>
      <c r="G182" s="358"/>
    </row>
    <row r="183" spans="1:7" ht="56" x14ac:dyDescent="0.15">
      <c r="A183" s="303"/>
      <c r="B183" s="582"/>
      <c r="C183" s="607" t="s">
        <v>5412</v>
      </c>
      <c r="D183" s="561" t="s">
        <v>283</v>
      </c>
      <c r="E183" s="19" t="s">
        <v>5413</v>
      </c>
      <c r="F183" s="358"/>
      <c r="G183" s="358"/>
    </row>
    <row r="184" spans="1:7" ht="15" x14ac:dyDescent="0.15">
      <c r="A184" s="303"/>
      <c r="B184" s="582"/>
      <c r="C184" s="609" t="s">
        <v>5414</v>
      </c>
      <c r="D184" s="561" t="s">
        <v>283</v>
      </c>
      <c r="E184" s="19" t="s">
        <v>5415</v>
      </c>
      <c r="F184" s="358"/>
      <c r="G184" s="358"/>
    </row>
    <row r="185" spans="1:7" ht="28" x14ac:dyDescent="0.15">
      <c r="A185" s="303"/>
      <c r="B185" s="582"/>
      <c r="C185" s="609" t="s">
        <v>5416</v>
      </c>
      <c r="D185" s="561" t="s">
        <v>283</v>
      </c>
      <c r="E185" s="19" t="s">
        <v>5417</v>
      </c>
      <c r="F185" s="358"/>
      <c r="G185" s="358"/>
    </row>
    <row r="186" spans="1:7" ht="15" x14ac:dyDescent="0.15">
      <c r="A186" s="303"/>
      <c r="B186" s="582"/>
      <c r="C186" s="609" t="s">
        <v>5418</v>
      </c>
      <c r="D186" s="561" t="s">
        <v>283</v>
      </c>
      <c r="E186" s="19" t="s">
        <v>5419</v>
      </c>
      <c r="F186" s="358"/>
      <c r="G186" s="358"/>
    </row>
    <row r="187" spans="1:7" ht="15" x14ac:dyDescent="0.15">
      <c r="A187" s="303"/>
      <c r="B187" s="582"/>
      <c r="C187" s="609" t="s">
        <v>5420</v>
      </c>
      <c r="D187" s="561" t="s">
        <v>283</v>
      </c>
      <c r="E187" s="19" t="s">
        <v>5421</v>
      </c>
      <c r="F187" s="358"/>
      <c r="G187" s="358"/>
    </row>
    <row r="188" spans="1:7" ht="15" x14ac:dyDescent="0.15">
      <c r="A188" s="303"/>
      <c r="B188" s="582"/>
      <c r="C188" s="609" t="s">
        <v>5422</v>
      </c>
      <c r="D188" s="561" t="s">
        <v>283</v>
      </c>
      <c r="E188" s="19" t="s">
        <v>5423</v>
      </c>
      <c r="F188" s="358"/>
      <c r="G188" s="358"/>
    </row>
    <row r="189" spans="1:7" ht="28" x14ac:dyDescent="0.15">
      <c r="A189" s="303"/>
      <c r="B189" s="582"/>
      <c r="C189" s="609" t="s">
        <v>5424</v>
      </c>
      <c r="D189" s="561" t="s">
        <v>283</v>
      </c>
      <c r="E189" s="19" t="s">
        <v>5425</v>
      </c>
      <c r="F189" s="358"/>
      <c r="G189" s="358"/>
    </row>
    <row r="190" spans="1:7" ht="15" x14ac:dyDescent="0.15">
      <c r="A190" s="339"/>
      <c r="B190" s="582"/>
      <c r="C190" s="306" t="s">
        <v>5426</v>
      </c>
      <c r="D190" s="561" t="s">
        <v>283</v>
      </c>
      <c r="E190" s="19" t="s">
        <v>5427</v>
      </c>
      <c r="F190" s="358"/>
      <c r="G190" s="358"/>
    </row>
    <row r="191" spans="1:7" ht="15" x14ac:dyDescent="0.15">
      <c r="A191" s="339"/>
      <c r="B191" s="582"/>
      <c r="C191" s="306" t="s">
        <v>5428</v>
      </c>
      <c r="D191" s="561" t="s">
        <v>283</v>
      </c>
      <c r="E191" s="19" t="s">
        <v>5429</v>
      </c>
      <c r="F191" s="358"/>
      <c r="G191" s="358"/>
    </row>
    <row r="192" spans="1:7" ht="15" x14ac:dyDescent="0.15">
      <c r="A192" s="339"/>
      <c r="B192" s="582"/>
      <c r="C192" s="306" t="s">
        <v>5430</v>
      </c>
      <c r="D192" s="561" t="s">
        <v>283</v>
      </c>
      <c r="E192" s="19" t="s">
        <v>5431</v>
      </c>
      <c r="F192" s="358"/>
      <c r="G192" s="358"/>
    </row>
    <row r="193" spans="1:7" ht="15" x14ac:dyDescent="0.15">
      <c r="A193" s="339"/>
      <c r="B193" s="582"/>
      <c r="C193" s="306" t="s">
        <v>5432</v>
      </c>
      <c r="D193" s="561" t="s">
        <v>283</v>
      </c>
      <c r="E193" s="19" t="s">
        <v>84</v>
      </c>
      <c r="F193" s="358"/>
      <c r="G193" s="358"/>
    </row>
    <row r="194" spans="1:7" ht="15" x14ac:dyDescent="0.15">
      <c r="A194" s="339"/>
      <c r="B194" s="582"/>
      <c r="C194" s="306" t="s">
        <v>5433</v>
      </c>
      <c r="D194" s="561" t="s">
        <v>283</v>
      </c>
      <c r="E194" s="19" t="s">
        <v>5434</v>
      </c>
      <c r="F194" s="358"/>
      <c r="G194" s="358"/>
    </row>
    <row r="195" spans="1:7" ht="28" x14ac:dyDescent="0.15">
      <c r="A195" s="578"/>
      <c r="B195" s="581"/>
      <c r="C195" s="580" t="s">
        <v>5435</v>
      </c>
      <c r="D195" s="561" t="s">
        <v>283</v>
      </c>
      <c r="E195" s="19" t="s">
        <v>5436</v>
      </c>
      <c r="F195" s="358"/>
      <c r="G195" s="358"/>
    </row>
    <row r="196" spans="1:7" ht="28" x14ac:dyDescent="0.15">
      <c r="A196" s="578"/>
      <c r="B196" s="581"/>
      <c r="C196" s="580" t="s">
        <v>5437</v>
      </c>
      <c r="D196" s="561" t="s">
        <v>283</v>
      </c>
      <c r="E196" s="19" t="s">
        <v>5438</v>
      </c>
      <c r="F196" s="358"/>
      <c r="G196" s="358"/>
    </row>
    <row r="197" spans="1:7" ht="15" x14ac:dyDescent="0.15">
      <c r="A197" s="578"/>
      <c r="B197" s="581"/>
      <c r="C197" s="580" t="s">
        <v>5439</v>
      </c>
      <c r="D197" s="561" t="s">
        <v>283</v>
      </c>
      <c r="E197" s="19" t="s">
        <v>5440</v>
      </c>
      <c r="F197" s="358"/>
      <c r="G197" s="358"/>
    </row>
    <row r="198" spans="1:7" ht="15" x14ac:dyDescent="0.15">
      <c r="A198" s="578"/>
      <c r="B198" s="581"/>
      <c r="C198" s="580" t="s">
        <v>5441</v>
      </c>
      <c r="D198" s="561" t="s">
        <v>283</v>
      </c>
      <c r="E198" s="19" t="s">
        <v>5442</v>
      </c>
      <c r="F198" s="358"/>
      <c r="G198" s="358"/>
    </row>
    <row r="199" spans="1:7" ht="70" x14ac:dyDescent="0.15">
      <c r="A199" s="578"/>
      <c r="B199" s="581"/>
      <c r="C199" s="580" t="s">
        <v>5443</v>
      </c>
      <c r="D199" s="561" t="s">
        <v>283</v>
      </c>
      <c r="E199" s="19" t="s">
        <v>5444</v>
      </c>
      <c r="F199" s="358"/>
      <c r="G199" s="358"/>
    </row>
    <row r="200" spans="1:7" ht="28" x14ac:dyDescent="0.15">
      <c r="A200" s="339"/>
      <c r="B200" s="582"/>
      <c r="C200" s="306" t="s">
        <v>5445</v>
      </c>
      <c r="D200" s="561" t="s">
        <v>283</v>
      </c>
      <c r="E200" s="19" t="s">
        <v>5446</v>
      </c>
      <c r="F200" s="358"/>
      <c r="G200" s="358"/>
    </row>
    <row r="201" spans="1:7" ht="15" x14ac:dyDescent="0.15">
      <c r="A201" s="339"/>
      <c r="B201" s="582"/>
      <c r="C201" s="306" t="s">
        <v>5447</v>
      </c>
      <c r="D201" s="561" t="s">
        <v>283</v>
      </c>
      <c r="E201" s="19" t="s">
        <v>5448</v>
      </c>
      <c r="F201" s="358"/>
      <c r="G201" s="358"/>
    </row>
    <row r="202" spans="1:7" ht="28" x14ac:dyDescent="0.15">
      <c r="A202" s="339"/>
      <c r="B202" s="582"/>
      <c r="C202" s="306" t="s">
        <v>5449</v>
      </c>
      <c r="D202" s="561" t="s">
        <v>283</v>
      </c>
      <c r="E202" s="19" t="s">
        <v>5450</v>
      </c>
      <c r="F202" s="358"/>
      <c r="G202" s="358"/>
    </row>
    <row r="203" spans="1:7" ht="15" x14ac:dyDescent="0.15">
      <c r="A203" s="339"/>
      <c r="B203" s="582"/>
      <c r="C203" s="306" t="s">
        <v>5451</v>
      </c>
      <c r="D203" s="561" t="s">
        <v>283</v>
      </c>
      <c r="E203" s="19" t="s">
        <v>5452</v>
      </c>
      <c r="F203" s="358"/>
      <c r="G203" s="358"/>
    </row>
    <row r="204" spans="1:7" ht="13" x14ac:dyDescent="0.15">
      <c r="A204" s="303"/>
      <c r="B204" s="582"/>
      <c r="C204" s="306"/>
      <c r="D204" s="19"/>
      <c r="E204" s="19"/>
      <c r="F204" s="358"/>
      <c r="G204" s="358"/>
    </row>
    <row r="205" spans="1:7" ht="13" x14ac:dyDescent="0.15">
      <c r="A205" s="303"/>
      <c r="B205" s="582"/>
      <c r="C205" s="306"/>
      <c r="D205" s="19"/>
      <c r="E205" s="19"/>
      <c r="F205" s="358"/>
      <c r="G205" s="358"/>
    </row>
  </sheetData>
  <customSheetViews>
    <customSheetView guid="{F9619C22-11E1-4F4D-A7AE-419FFF4C1854}" filter="1" showAutoFilter="1">
      <pageMargins left="0.7" right="0.7" top="0.75" bottom="0.75" header="0.3" footer="0.3"/>
      <autoFilter ref="A1:G203" xr:uid="{B31BA041-C81A-CE48-BD86-FD5BA2B6911C}">
        <filterColumn colId="1">
          <filters blank="1"/>
        </filterColumn>
      </autoFilter>
    </customSheetView>
  </customSheetViews>
  <mergeCells count="3">
    <mergeCell ref="D2:G2"/>
    <mergeCell ref="D3:E3"/>
    <mergeCell ref="F3:G3"/>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G39"/>
  <sheetViews>
    <sheetView workbookViewId="0">
      <pane xSplit="3" ySplit="7" topLeftCell="D8" activePane="bottomRight" state="frozen"/>
      <selection activeCell="D6" sqref="D6"/>
      <selection pane="topRight" activeCell="D6" sqref="D6"/>
      <selection pane="bottomLeft" activeCell="D6" sqref="D6"/>
      <selection pane="bottomRight" activeCell="D6" sqref="D6"/>
    </sheetView>
  </sheetViews>
  <sheetFormatPr baseColWidth="10" defaultColWidth="12.6640625" defaultRowHeight="15.75" customHeight="1" x14ac:dyDescent="0.15"/>
  <cols>
    <col min="1" max="1" width="17.6640625" customWidth="1"/>
    <col min="2" max="2" width="13.6640625" customWidth="1"/>
    <col min="3" max="3" width="31.6640625" customWidth="1"/>
    <col min="4" max="4" width="15.1640625" customWidth="1"/>
    <col min="5" max="5" width="58.33203125" customWidth="1"/>
    <col min="7" max="7" width="35.33203125" customWidth="1"/>
  </cols>
  <sheetData>
    <row r="1" spans="1:7" ht="15.75" customHeight="1" x14ac:dyDescent="0.15">
      <c r="A1" s="553"/>
      <c r="B1" s="553"/>
      <c r="C1" s="553"/>
      <c r="D1" s="553"/>
      <c r="E1" s="553"/>
      <c r="F1" s="553"/>
      <c r="G1" s="553"/>
    </row>
    <row r="2" spans="1:7" ht="15.75" customHeight="1" x14ac:dyDescent="0.15">
      <c r="A2" s="553"/>
      <c r="B2" s="553"/>
      <c r="C2" s="553"/>
      <c r="D2" s="553"/>
      <c r="E2" s="553"/>
      <c r="F2" s="553"/>
      <c r="G2" s="553"/>
    </row>
    <row r="3" spans="1:7" ht="15.75" customHeight="1" x14ac:dyDescent="0.15">
      <c r="A3" s="553"/>
      <c r="B3" s="553" t="s">
        <v>2515</v>
      </c>
      <c r="C3" s="553" t="s">
        <v>4984</v>
      </c>
      <c r="D3" s="553"/>
      <c r="E3" s="553"/>
      <c r="F3" s="553"/>
      <c r="G3" s="553"/>
    </row>
    <row r="4" spans="1:7" ht="15.75" customHeight="1" x14ac:dyDescent="0.15">
      <c r="A4" s="554" t="s">
        <v>7</v>
      </c>
      <c r="B4" s="554" t="s">
        <v>104</v>
      </c>
      <c r="C4" s="1" t="s">
        <v>4985</v>
      </c>
      <c r="D4" s="787" t="s">
        <v>2471</v>
      </c>
      <c r="E4" s="773"/>
      <c r="F4" s="773"/>
      <c r="G4" s="773"/>
    </row>
    <row r="5" spans="1:7" ht="15.75" customHeight="1" x14ac:dyDescent="0.15">
      <c r="A5" s="555"/>
      <c r="B5" s="555"/>
      <c r="C5" s="555"/>
      <c r="D5" s="788" t="s">
        <v>5</v>
      </c>
      <c r="E5" s="773"/>
      <c r="F5" s="555" t="s">
        <v>2472</v>
      </c>
      <c r="G5" s="556"/>
    </row>
    <row r="6" spans="1:7" ht="15.75" customHeight="1" x14ac:dyDescent="0.15">
      <c r="A6" s="557"/>
      <c r="B6" s="557"/>
      <c r="C6" s="557"/>
      <c r="D6" s="557" t="s">
        <v>2473</v>
      </c>
      <c r="E6" s="558" t="s">
        <v>4986</v>
      </c>
      <c r="F6" s="557" t="s">
        <v>2473</v>
      </c>
      <c r="G6" s="558" t="s">
        <v>4986</v>
      </c>
    </row>
    <row r="7" spans="1:7" ht="15.75" customHeight="1" x14ac:dyDescent="0.15">
      <c r="A7" s="559"/>
      <c r="B7" s="559"/>
      <c r="C7" s="559" t="s">
        <v>2474</v>
      </c>
      <c r="D7" s="559" t="s">
        <v>2477</v>
      </c>
      <c r="E7" s="559" t="s">
        <v>4987</v>
      </c>
      <c r="F7" s="559" t="s">
        <v>2479</v>
      </c>
      <c r="G7" s="560" t="s">
        <v>4988</v>
      </c>
    </row>
    <row r="8" spans="1:7" ht="15.75" customHeight="1" x14ac:dyDescent="0.15">
      <c r="A8" s="549"/>
      <c r="B8" s="549"/>
      <c r="C8" s="11" t="s">
        <v>5453</v>
      </c>
      <c r="D8" s="561" t="s">
        <v>283</v>
      </c>
      <c r="E8" s="561" t="s">
        <v>5454</v>
      </c>
    </row>
    <row r="9" spans="1:7" ht="15.75" customHeight="1" x14ac:dyDescent="0.15">
      <c r="A9" s="564"/>
      <c r="B9" s="564"/>
      <c r="C9" s="28" t="s">
        <v>5455</v>
      </c>
      <c r="D9" s="561" t="s">
        <v>283</v>
      </c>
      <c r="E9" s="561" t="s">
        <v>5456</v>
      </c>
    </row>
    <row r="10" spans="1:7" ht="15.75" customHeight="1" x14ac:dyDescent="0.15">
      <c r="A10" s="564"/>
      <c r="B10" s="564"/>
      <c r="C10" s="28" t="s">
        <v>5457</v>
      </c>
      <c r="D10" s="561"/>
      <c r="E10" s="19"/>
    </row>
    <row r="11" spans="1:7" ht="15.75" customHeight="1" x14ac:dyDescent="0.15">
      <c r="A11" s="549"/>
      <c r="B11" s="549"/>
      <c r="C11" s="28" t="s">
        <v>5458</v>
      </c>
      <c r="D11" s="561"/>
      <c r="E11" s="19"/>
    </row>
    <row r="12" spans="1:7" ht="15.75" customHeight="1" x14ac:dyDescent="0.15">
      <c r="A12" s="549"/>
      <c r="B12" s="549"/>
      <c r="C12" s="11" t="s">
        <v>5459</v>
      </c>
      <c r="D12" s="561" t="s">
        <v>283</v>
      </c>
      <c r="E12" s="561" t="s">
        <v>5460</v>
      </c>
    </row>
    <row r="13" spans="1:7" ht="15.75" customHeight="1" x14ac:dyDescent="0.15">
      <c r="A13" s="549"/>
      <c r="B13" s="549"/>
      <c r="C13" s="11" t="s">
        <v>5461</v>
      </c>
      <c r="D13" s="561" t="s">
        <v>283</v>
      </c>
      <c r="E13" s="561" t="s">
        <v>5462</v>
      </c>
    </row>
    <row r="14" spans="1:7" ht="15.75" customHeight="1" x14ac:dyDescent="0.15">
      <c r="A14" s="564"/>
      <c r="B14" s="564"/>
      <c r="C14" s="28" t="s">
        <v>5463</v>
      </c>
      <c r="D14" s="561"/>
      <c r="E14" s="561"/>
    </row>
    <row r="15" spans="1:7" ht="15.75" customHeight="1" x14ac:dyDescent="0.15">
      <c r="A15" s="564"/>
      <c r="B15" s="564"/>
      <c r="C15" s="28" t="s">
        <v>5464</v>
      </c>
      <c r="D15" s="561"/>
      <c r="E15" s="561"/>
    </row>
    <row r="16" spans="1:7" ht="15.75" customHeight="1" x14ac:dyDescent="0.15">
      <c r="A16" s="564"/>
      <c r="B16" s="564"/>
      <c r="C16" s="28" t="s">
        <v>5465</v>
      </c>
      <c r="D16" s="561" t="s">
        <v>283</v>
      </c>
      <c r="E16" s="561" t="s">
        <v>5466</v>
      </c>
    </row>
    <row r="17" spans="1:5" ht="15.75" customHeight="1" x14ac:dyDescent="0.15">
      <c r="A17" s="562"/>
      <c r="B17" s="562"/>
      <c r="C17" s="28" t="s">
        <v>5467</v>
      </c>
      <c r="D17" s="561" t="s">
        <v>283</v>
      </c>
      <c r="E17" s="561" t="s">
        <v>5468</v>
      </c>
    </row>
    <row r="18" spans="1:5" ht="15.75" customHeight="1" x14ac:dyDescent="0.15">
      <c r="A18" s="549"/>
      <c r="B18" s="549"/>
      <c r="C18" s="11" t="s">
        <v>5469</v>
      </c>
      <c r="D18" s="561" t="s">
        <v>283</v>
      </c>
      <c r="E18" s="561" t="s">
        <v>851</v>
      </c>
    </row>
    <row r="19" spans="1:5" ht="15.75" customHeight="1" x14ac:dyDescent="0.15">
      <c r="A19" s="564"/>
      <c r="B19" s="564"/>
      <c r="C19" s="28" t="s">
        <v>5470</v>
      </c>
      <c r="D19" s="561" t="s">
        <v>283</v>
      </c>
      <c r="E19" s="561" t="s">
        <v>5471</v>
      </c>
    </row>
    <row r="20" spans="1:5" ht="15.75" customHeight="1" x14ac:dyDescent="0.15">
      <c r="A20" s="564"/>
      <c r="B20" s="564"/>
      <c r="C20" s="28" t="s">
        <v>5472</v>
      </c>
      <c r="D20" s="561" t="s">
        <v>283</v>
      </c>
      <c r="E20" s="11" t="s">
        <v>270</v>
      </c>
    </row>
    <row r="21" spans="1:5" ht="15.75" customHeight="1" x14ac:dyDescent="0.15">
      <c r="A21" s="564"/>
      <c r="B21" s="564"/>
      <c r="C21" s="28" t="s">
        <v>5473</v>
      </c>
      <c r="D21" s="561" t="s">
        <v>283</v>
      </c>
      <c r="E21" s="11" t="s">
        <v>270</v>
      </c>
    </row>
    <row r="22" spans="1:5" ht="15.75" customHeight="1" x14ac:dyDescent="0.15">
      <c r="A22" s="564"/>
      <c r="B22" s="564"/>
      <c r="C22" s="28" t="s">
        <v>5474</v>
      </c>
      <c r="D22" s="561"/>
      <c r="E22" s="13"/>
    </row>
    <row r="23" spans="1:5" ht="15.75" customHeight="1" x14ac:dyDescent="0.15">
      <c r="A23" s="564"/>
      <c r="B23" s="564"/>
      <c r="C23" s="28" t="s">
        <v>5475</v>
      </c>
      <c r="D23" s="561"/>
      <c r="E23" s="13"/>
    </row>
    <row r="24" spans="1:5" ht="15.75" customHeight="1" x14ac:dyDescent="0.15">
      <c r="A24" s="562"/>
      <c r="B24" s="562"/>
      <c r="C24" s="28" t="s">
        <v>5476</v>
      </c>
      <c r="D24" s="561" t="s">
        <v>283</v>
      </c>
      <c r="E24" s="561" t="s">
        <v>5477</v>
      </c>
    </row>
    <row r="25" spans="1:5" ht="15.75" customHeight="1" x14ac:dyDescent="0.15">
      <c r="A25" s="549"/>
      <c r="B25" s="549"/>
      <c r="C25" s="11" t="s">
        <v>5478</v>
      </c>
      <c r="D25" s="561" t="s">
        <v>283</v>
      </c>
      <c r="E25" s="561" t="s">
        <v>857</v>
      </c>
    </row>
    <row r="26" spans="1:5" ht="15.75" customHeight="1" x14ac:dyDescent="0.15">
      <c r="A26" s="564"/>
      <c r="B26" s="564"/>
      <c r="C26" s="28" t="s">
        <v>5479</v>
      </c>
      <c r="D26" s="561"/>
      <c r="E26" s="13"/>
    </row>
    <row r="27" spans="1:5" ht="15.75" customHeight="1" x14ac:dyDescent="0.15">
      <c r="A27" s="564"/>
      <c r="B27" s="564"/>
      <c r="C27" s="28" t="s">
        <v>5480</v>
      </c>
      <c r="D27" s="561"/>
      <c r="E27" s="565"/>
    </row>
    <row r="28" spans="1:5" ht="15.75" customHeight="1" x14ac:dyDescent="0.15">
      <c r="A28" s="564"/>
      <c r="B28" s="564"/>
      <c r="C28" s="27"/>
      <c r="D28" s="561"/>
      <c r="E28" s="19"/>
    </row>
    <row r="29" spans="1:5" ht="15.75" customHeight="1" x14ac:dyDescent="0.15">
      <c r="A29" s="564"/>
      <c r="B29" s="564"/>
      <c r="C29" s="27"/>
      <c r="D29" s="561"/>
      <c r="E29" s="19"/>
    </row>
    <row r="30" spans="1:5" ht="15.75" customHeight="1" x14ac:dyDescent="0.15">
      <c r="A30" s="564"/>
      <c r="B30" s="564"/>
      <c r="C30" s="27"/>
      <c r="D30" s="561"/>
      <c r="E30" s="13"/>
    </row>
    <row r="31" spans="1:5" ht="15.75" customHeight="1" x14ac:dyDescent="0.15">
      <c r="A31" s="566"/>
      <c r="B31" s="566"/>
      <c r="C31" s="567"/>
      <c r="D31" s="561"/>
      <c r="E31" s="19"/>
    </row>
    <row r="32" spans="1:5" ht="15.75" customHeight="1" x14ac:dyDescent="0.15">
      <c r="A32" s="564"/>
      <c r="B32" s="564"/>
      <c r="C32" s="27"/>
      <c r="D32" s="561"/>
      <c r="E32" s="19"/>
    </row>
    <row r="33" spans="1:5" ht="15.75" customHeight="1" x14ac:dyDescent="0.15">
      <c r="A33" s="564"/>
      <c r="B33" s="564"/>
      <c r="C33" s="27"/>
      <c r="D33" s="561"/>
      <c r="E33" s="19"/>
    </row>
    <row r="34" spans="1:5" ht="15.75" customHeight="1" x14ac:dyDescent="0.15">
      <c r="A34" s="564"/>
      <c r="B34" s="564"/>
      <c r="C34" s="27"/>
      <c r="D34" s="561"/>
      <c r="E34" s="19"/>
    </row>
    <row r="35" spans="1:5" ht="15.75" customHeight="1" x14ac:dyDescent="0.15">
      <c r="A35" s="564"/>
      <c r="B35" s="564"/>
      <c r="C35" s="27"/>
      <c r="D35" s="561"/>
      <c r="E35" s="19"/>
    </row>
    <row r="36" spans="1:5" ht="15.75" customHeight="1" x14ac:dyDescent="0.15">
      <c r="A36" s="564"/>
      <c r="B36" s="564"/>
      <c r="C36" s="27"/>
      <c r="D36" s="561"/>
      <c r="E36" s="19"/>
    </row>
    <row r="37" spans="1:5" ht="15.75" customHeight="1" x14ac:dyDescent="0.15">
      <c r="A37" s="564"/>
      <c r="B37" s="564"/>
      <c r="C37" s="27"/>
      <c r="D37" s="561"/>
      <c r="E37" s="19"/>
    </row>
    <row r="38" spans="1:5" ht="15.75" customHeight="1" x14ac:dyDescent="0.15">
      <c r="A38" s="564"/>
      <c r="B38" s="564"/>
      <c r="C38" s="27"/>
      <c r="D38" s="561"/>
      <c r="E38" s="19"/>
    </row>
    <row r="39" spans="1:5" ht="15.75" customHeight="1" x14ac:dyDescent="0.15">
      <c r="A39" s="564"/>
      <c r="B39" s="564"/>
      <c r="C39" s="27"/>
      <c r="D39" s="561"/>
      <c r="E39" s="19"/>
    </row>
  </sheetData>
  <mergeCells count="2">
    <mergeCell ref="D4:G4"/>
    <mergeCell ref="D5:E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0000"/>
    <outlinePr summaryBelow="0" summaryRight="0"/>
  </sheetPr>
  <dimension ref="A1:V996"/>
  <sheetViews>
    <sheetView workbookViewId="0">
      <pane ySplit="2" topLeftCell="A3" activePane="bottomLeft" state="frozen"/>
      <selection activeCell="D6" sqref="D6"/>
      <selection pane="bottomLeft" activeCell="D6" sqref="D6"/>
    </sheetView>
  </sheetViews>
  <sheetFormatPr baseColWidth="10" defaultColWidth="12.6640625" defaultRowHeight="15.75" customHeight="1" x14ac:dyDescent="0.15"/>
  <cols>
    <col min="1" max="1" width="16.6640625" customWidth="1"/>
    <col min="2" max="2" width="29.1640625" customWidth="1"/>
    <col min="3" max="3" width="7.83203125" customWidth="1"/>
    <col min="4" max="4" width="10.1640625" customWidth="1"/>
    <col min="5" max="5" width="18.5" customWidth="1"/>
    <col min="6" max="6" width="58.33203125" customWidth="1"/>
    <col min="7" max="7" width="10.5" customWidth="1"/>
    <col min="8" max="8" width="38.83203125" customWidth="1"/>
  </cols>
  <sheetData>
    <row r="1" spans="1:22" ht="15.75" customHeight="1" x14ac:dyDescent="0.15">
      <c r="A1" s="1" t="s">
        <v>0</v>
      </c>
      <c r="B1" s="2" t="s">
        <v>1</v>
      </c>
      <c r="C1" s="1" t="s">
        <v>2</v>
      </c>
      <c r="D1" s="1" t="s">
        <v>3</v>
      </c>
      <c r="E1" s="1" t="s">
        <v>4</v>
      </c>
      <c r="F1" s="3" t="s">
        <v>5</v>
      </c>
      <c r="G1" s="6" t="s">
        <v>5481</v>
      </c>
      <c r="H1" s="5" t="s">
        <v>8</v>
      </c>
      <c r="I1" s="6"/>
      <c r="J1" s="6"/>
      <c r="K1" s="6"/>
      <c r="L1" s="6"/>
      <c r="M1" s="6"/>
      <c r="N1" s="6"/>
      <c r="O1" s="6"/>
      <c r="P1" s="6"/>
      <c r="Q1" s="6"/>
      <c r="R1" s="6"/>
      <c r="S1" s="6"/>
      <c r="T1" s="6"/>
      <c r="U1" s="6"/>
      <c r="V1" s="6"/>
    </row>
    <row r="2" spans="1:22" ht="15.75" customHeight="1" x14ac:dyDescent="0.15">
      <c r="A2" s="7"/>
      <c r="B2" s="8"/>
      <c r="C2" s="9"/>
      <c r="D2" s="9"/>
      <c r="E2" s="9"/>
      <c r="F2" s="9"/>
      <c r="G2" s="10"/>
      <c r="H2" s="10"/>
      <c r="I2" s="10"/>
      <c r="J2" s="10"/>
      <c r="K2" s="10"/>
      <c r="L2" s="10"/>
      <c r="M2" s="10"/>
      <c r="N2" s="10"/>
      <c r="O2" s="10"/>
      <c r="P2" s="10"/>
      <c r="Q2" s="10"/>
      <c r="R2" s="10"/>
      <c r="S2" s="10"/>
      <c r="T2" s="10"/>
      <c r="U2" s="10"/>
      <c r="V2" s="10"/>
    </row>
    <row r="3" spans="1:22" ht="15.75" customHeight="1" x14ac:dyDescent="0.15">
      <c r="A3" s="11" t="s">
        <v>22</v>
      </c>
      <c r="B3" s="12" t="str">
        <f>Catalog!$E$5</f>
        <v>elementalForce</v>
      </c>
      <c r="C3" s="17">
        <f>Catalog!$BD$5</f>
        <v>2</v>
      </c>
      <c r="D3" s="17" t="str">
        <f>Catalog!$BE$5</f>
        <v>unlocked</v>
      </c>
      <c r="E3" s="14" t="s">
        <v>23</v>
      </c>
      <c r="F3" s="17" t="str">
        <f>Catalog!$BI$5</f>
        <v>Force</v>
      </c>
    </row>
    <row r="4" spans="1:22" ht="15.75" customHeight="1" x14ac:dyDescent="0.15">
      <c r="A4" s="11" t="s">
        <v>22</v>
      </c>
      <c r="B4" s="12" t="str">
        <f>Catalog!$E$5</f>
        <v>elementalForce</v>
      </c>
      <c r="C4" s="17">
        <f>Catalog!$BD$5</f>
        <v>2</v>
      </c>
      <c r="D4" s="17" t="str">
        <f>Catalog!$BE$5</f>
        <v>unlocked</v>
      </c>
      <c r="E4" s="561" t="s">
        <v>5482</v>
      </c>
      <c r="F4" s="17">
        <f>Catalog!$BJ$5</f>
        <v>0</v>
      </c>
      <c r="G4" s="18" t="s">
        <v>5483</v>
      </c>
    </row>
    <row r="5" spans="1:22" ht="15.75" customHeight="1" x14ac:dyDescent="0.15">
      <c r="A5" s="11" t="s">
        <v>22</v>
      </c>
      <c r="B5" s="12" t="str">
        <f>Catalog!$E$5</f>
        <v>elementalForce</v>
      </c>
      <c r="C5" s="17">
        <f>Catalog!$BD$5</f>
        <v>2</v>
      </c>
      <c r="D5" s="17" t="str">
        <f>Catalog!$BE$5</f>
        <v>unlocked</v>
      </c>
      <c r="E5" s="14" t="s">
        <v>24</v>
      </c>
      <c r="F5" s="17" t="str">
        <f>Catalog!$BK$5</f>
        <v>Destructive blast of energy</v>
      </c>
    </row>
    <row r="6" spans="1:22" ht="15.75" customHeight="1" x14ac:dyDescent="0.15">
      <c r="A6" s="11" t="s">
        <v>22</v>
      </c>
      <c r="B6" s="12" t="str">
        <f>Catalog!$E$5</f>
        <v>elementalForce</v>
      </c>
      <c r="C6" s="17">
        <f>Catalog!$BD$5</f>
        <v>2</v>
      </c>
      <c r="D6" s="17" t="str">
        <f>Catalog!$BE$5</f>
        <v>unlocked</v>
      </c>
      <c r="E6" s="14" t="s">
        <v>25</v>
      </c>
      <c r="F6" s="17" t="str">
        <f>Catalog!$BL$5</f>
        <v>A blast that emits a shockwave on impact.</v>
      </c>
    </row>
    <row r="7" spans="1:22" ht="15.75" customHeight="1" x14ac:dyDescent="0.15">
      <c r="A7" s="11" t="s">
        <v>22</v>
      </c>
      <c r="B7" s="12" t="str">
        <f>Catalog!$E$5</f>
        <v>elementalForce</v>
      </c>
      <c r="C7" s="13" t="e">
        <f t="shared" ref="C7:D7" si="0">#REF!</f>
        <v>#REF!</v>
      </c>
      <c r="D7" s="13" t="e">
        <f t="shared" si="0"/>
        <v>#REF!</v>
      </c>
      <c r="E7" s="14" t="s">
        <v>23</v>
      </c>
      <c r="F7" s="13" t="e">
        <f t="shared" ref="F7:F14" si="1">#REF!</f>
        <v>#REF!</v>
      </c>
      <c r="G7" s="18" t="s">
        <v>5483</v>
      </c>
    </row>
    <row r="8" spans="1:22" ht="15.75" customHeight="1" x14ac:dyDescent="0.15">
      <c r="A8" s="11" t="s">
        <v>22</v>
      </c>
      <c r="B8" s="12" t="str">
        <f>Catalog!$E$5</f>
        <v>elementalForce</v>
      </c>
      <c r="C8" s="13" t="e">
        <f t="shared" ref="C8:D8" si="2">#REF!</f>
        <v>#REF!</v>
      </c>
      <c r="D8" s="13" t="e">
        <f t="shared" si="2"/>
        <v>#REF!</v>
      </c>
      <c r="E8" s="561" t="s">
        <v>5482</v>
      </c>
      <c r="F8" s="13" t="e">
        <f t="shared" si="1"/>
        <v>#REF!</v>
      </c>
      <c r="G8" s="18" t="s">
        <v>5483</v>
      </c>
    </row>
    <row r="9" spans="1:22" ht="15.75" customHeight="1" x14ac:dyDescent="0.15">
      <c r="A9" s="11" t="s">
        <v>22</v>
      </c>
      <c r="B9" s="12" t="str">
        <f>Catalog!$E$5</f>
        <v>elementalForce</v>
      </c>
      <c r="C9" s="13" t="e">
        <f t="shared" ref="C9:D9" si="3">#REF!</f>
        <v>#REF!</v>
      </c>
      <c r="D9" s="13" t="e">
        <f t="shared" si="3"/>
        <v>#REF!</v>
      </c>
      <c r="E9" s="14" t="s">
        <v>24</v>
      </c>
      <c r="F9" s="13" t="e">
        <f t="shared" si="1"/>
        <v>#REF!</v>
      </c>
      <c r="G9" s="18" t="s">
        <v>5483</v>
      </c>
    </row>
    <row r="10" spans="1:22" ht="15.75" customHeight="1" x14ac:dyDescent="0.15">
      <c r="A10" s="11" t="s">
        <v>22</v>
      </c>
      <c r="B10" s="12" t="str">
        <f>Catalog!$E$5</f>
        <v>elementalForce</v>
      </c>
      <c r="C10" s="13" t="e">
        <f t="shared" ref="C10:D10" si="4">#REF!</f>
        <v>#REF!</v>
      </c>
      <c r="D10" s="13" t="e">
        <f t="shared" si="4"/>
        <v>#REF!</v>
      </c>
      <c r="E10" s="14" t="s">
        <v>25</v>
      </c>
      <c r="F10" s="13" t="e">
        <f t="shared" si="1"/>
        <v>#REF!</v>
      </c>
      <c r="G10" s="18" t="s">
        <v>5483</v>
      </c>
    </row>
    <row r="11" spans="1:22" ht="15.75" customHeight="1" x14ac:dyDescent="0.15">
      <c r="A11" s="11" t="s">
        <v>22</v>
      </c>
      <c r="B11" s="12" t="str">
        <f>Catalog!$E$5</f>
        <v>elementalForce</v>
      </c>
      <c r="C11" s="13" t="e">
        <f t="shared" ref="C11:D11" si="5">#REF!</f>
        <v>#REF!</v>
      </c>
      <c r="D11" s="13" t="e">
        <f t="shared" si="5"/>
        <v>#REF!</v>
      </c>
      <c r="E11" s="14" t="s">
        <v>23</v>
      </c>
      <c r="F11" s="13" t="e">
        <f t="shared" si="1"/>
        <v>#REF!</v>
      </c>
      <c r="G11" s="18" t="s">
        <v>5483</v>
      </c>
    </row>
    <row r="12" spans="1:22" ht="15.75" customHeight="1" x14ac:dyDescent="0.15">
      <c r="A12" s="11" t="s">
        <v>22</v>
      </c>
      <c r="B12" s="12" t="str">
        <f>Catalog!$E$5</f>
        <v>elementalForce</v>
      </c>
      <c r="C12" s="13" t="e">
        <f t="shared" ref="C12:D12" si="6">#REF!</f>
        <v>#REF!</v>
      </c>
      <c r="D12" s="13" t="e">
        <f t="shared" si="6"/>
        <v>#REF!</v>
      </c>
      <c r="E12" s="561" t="s">
        <v>5482</v>
      </c>
      <c r="F12" s="13" t="e">
        <f t="shared" si="1"/>
        <v>#REF!</v>
      </c>
      <c r="G12" s="18" t="s">
        <v>5483</v>
      </c>
    </row>
    <row r="13" spans="1:22" ht="15.75" customHeight="1" x14ac:dyDescent="0.15">
      <c r="A13" s="11" t="s">
        <v>22</v>
      </c>
      <c r="B13" s="12" t="str">
        <f>Catalog!$E$5</f>
        <v>elementalForce</v>
      </c>
      <c r="C13" s="13" t="e">
        <f t="shared" ref="C13:D13" si="7">#REF!</f>
        <v>#REF!</v>
      </c>
      <c r="D13" s="13" t="e">
        <f t="shared" si="7"/>
        <v>#REF!</v>
      </c>
      <c r="E13" s="14" t="s">
        <v>24</v>
      </c>
      <c r="F13" s="13" t="e">
        <f t="shared" si="1"/>
        <v>#REF!</v>
      </c>
      <c r="G13" s="18" t="s">
        <v>5483</v>
      </c>
    </row>
    <row r="14" spans="1:22" ht="15.75" customHeight="1" x14ac:dyDescent="0.15">
      <c r="A14" s="11" t="s">
        <v>22</v>
      </c>
      <c r="B14" s="12" t="str">
        <f>Catalog!$E$5</f>
        <v>elementalForce</v>
      </c>
      <c r="C14" s="13" t="e">
        <f t="shared" ref="C14:D14" si="8">#REF!</f>
        <v>#REF!</v>
      </c>
      <c r="D14" s="13" t="e">
        <f t="shared" si="8"/>
        <v>#REF!</v>
      </c>
      <c r="E14" s="14" t="s">
        <v>25</v>
      </c>
      <c r="F14" s="13" t="e">
        <f t="shared" si="1"/>
        <v>#REF!</v>
      </c>
      <c r="G14" s="13" t="s">
        <v>5483</v>
      </c>
    </row>
    <row r="15" spans="1:22" ht="15.75" customHeight="1" x14ac:dyDescent="0.15">
      <c r="A15" s="11" t="s">
        <v>22</v>
      </c>
      <c r="B15" s="12" t="str">
        <f>Catalog!$E$6</f>
        <v>elementalFire</v>
      </c>
      <c r="C15" s="17">
        <f>Catalog!$BD$6</f>
        <v>2</v>
      </c>
      <c r="D15" s="17" t="str">
        <f>Catalog!$BE$6</f>
        <v>unlocked</v>
      </c>
      <c r="E15" s="14" t="s">
        <v>23</v>
      </c>
      <c r="F15" s="17" t="str">
        <f>Catalog!$BI$6</f>
        <v>Fire Ball</v>
      </c>
      <c r="G15" s="13"/>
    </row>
    <row r="16" spans="1:22" ht="15.75" customHeight="1" x14ac:dyDescent="0.15">
      <c r="A16" s="11" t="s">
        <v>22</v>
      </c>
      <c r="B16" s="12" t="str">
        <f>Catalog!$E$6</f>
        <v>elementalFire</v>
      </c>
      <c r="C16" s="17">
        <f>Catalog!$BD$6</f>
        <v>2</v>
      </c>
      <c r="D16" s="17" t="str">
        <f>Catalog!$BE$6</f>
        <v>unlocked</v>
      </c>
      <c r="E16" s="561" t="s">
        <v>5482</v>
      </c>
      <c r="F16" s="17">
        <f>Catalog!$BJ$6</f>
        <v>0</v>
      </c>
      <c r="G16" s="13" t="s">
        <v>5483</v>
      </c>
    </row>
    <row r="17" spans="1:7" ht="15.75" customHeight="1" x14ac:dyDescent="0.15">
      <c r="A17" s="11" t="s">
        <v>22</v>
      </c>
      <c r="B17" s="12" t="str">
        <f>Catalog!$E$6</f>
        <v>elementalFire</v>
      </c>
      <c r="C17" s="17">
        <f>Catalog!$BD$6</f>
        <v>2</v>
      </c>
      <c r="D17" s="17" t="str">
        <f>Catalog!$BE$6</f>
        <v>unlocked</v>
      </c>
      <c r="E17" s="14" t="s">
        <v>24</v>
      </c>
      <c r="F17" s="17" t="str">
        <f>Catalog!$BK$6</f>
        <v>A ball of fire!</v>
      </c>
      <c r="G17" s="13"/>
    </row>
    <row r="18" spans="1:7" ht="15.75" customHeight="1" x14ac:dyDescent="0.15">
      <c r="A18" s="11" t="s">
        <v>22</v>
      </c>
      <c r="B18" s="12" t="str">
        <f>Catalog!$E$6</f>
        <v>elementalFire</v>
      </c>
      <c r="C18" s="17">
        <f>Catalog!$BD$6</f>
        <v>2</v>
      </c>
      <c r="D18" s="17" t="str">
        <f>Catalog!$BE$6</f>
        <v>unlocked</v>
      </c>
      <c r="E18" s="14" t="s">
        <v>25</v>
      </c>
      <c r="F18" s="17" t="str">
        <f>Catalog!$BL$6</f>
        <v>A flaming projectile that can set its target on fire.</v>
      </c>
      <c r="G18" s="13"/>
    </row>
    <row r="19" spans="1:7" ht="15.75" customHeight="1" x14ac:dyDescent="0.15">
      <c r="A19" s="11" t="s">
        <v>22</v>
      </c>
      <c r="B19" s="12" t="str">
        <f>Catalog!$E$6</f>
        <v>elementalFire</v>
      </c>
      <c r="C19" s="13" t="e">
        <f t="shared" ref="C19:D19" si="9">#REF!</f>
        <v>#REF!</v>
      </c>
      <c r="D19" s="13" t="e">
        <f t="shared" si="9"/>
        <v>#REF!</v>
      </c>
      <c r="E19" s="14" t="s">
        <v>23</v>
      </c>
      <c r="F19" s="13" t="e">
        <f t="shared" ref="F19:F26" si="10">#REF!</f>
        <v>#REF!</v>
      </c>
      <c r="G19" s="13" t="s">
        <v>5483</v>
      </c>
    </row>
    <row r="20" spans="1:7" ht="15.75" customHeight="1" x14ac:dyDescent="0.15">
      <c r="A20" s="11" t="s">
        <v>22</v>
      </c>
      <c r="B20" s="12" t="str">
        <f>Catalog!$E$6</f>
        <v>elementalFire</v>
      </c>
      <c r="C20" s="13" t="e">
        <f t="shared" ref="C20:D20" si="11">#REF!</f>
        <v>#REF!</v>
      </c>
      <c r="D20" s="13" t="e">
        <f t="shared" si="11"/>
        <v>#REF!</v>
      </c>
      <c r="E20" s="561" t="s">
        <v>5482</v>
      </c>
      <c r="F20" s="13" t="e">
        <f t="shared" si="10"/>
        <v>#REF!</v>
      </c>
      <c r="G20" s="13" t="s">
        <v>5483</v>
      </c>
    </row>
    <row r="21" spans="1:7" ht="15.75" customHeight="1" x14ac:dyDescent="0.15">
      <c r="A21" s="11" t="s">
        <v>22</v>
      </c>
      <c r="B21" s="12" t="str">
        <f>Catalog!$E$6</f>
        <v>elementalFire</v>
      </c>
      <c r="C21" s="13" t="e">
        <f t="shared" ref="C21:D21" si="12">#REF!</f>
        <v>#REF!</v>
      </c>
      <c r="D21" s="13" t="e">
        <f t="shared" si="12"/>
        <v>#REF!</v>
      </c>
      <c r="E21" s="14" t="s">
        <v>24</v>
      </c>
      <c r="F21" s="13" t="e">
        <f t="shared" si="10"/>
        <v>#REF!</v>
      </c>
      <c r="G21" s="13" t="s">
        <v>5483</v>
      </c>
    </row>
    <row r="22" spans="1:7" ht="15.75" customHeight="1" x14ac:dyDescent="0.15">
      <c r="A22" s="11" t="s">
        <v>22</v>
      </c>
      <c r="B22" s="12" t="str">
        <f>Catalog!$E$6</f>
        <v>elementalFire</v>
      </c>
      <c r="C22" s="13" t="e">
        <f t="shared" ref="C22:D22" si="13">#REF!</f>
        <v>#REF!</v>
      </c>
      <c r="D22" s="13" t="e">
        <f t="shared" si="13"/>
        <v>#REF!</v>
      </c>
      <c r="E22" s="14" t="s">
        <v>25</v>
      </c>
      <c r="F22" s="13" t="e">
        <f t="shared" si="10"/>
        <v>#REF!</v>
      </c>
      <c r="G22" s="13" t="s">
        <v>5483</v>
      </c>
    </row>
    <row r="23" spans="1:7" ht="15.75" customHeight="1" x14ac:dyDescent="0.15">
      <c r="A23" s="11" t="s">
        <v>22</v>
      </c>
      <c r="B23" s="12" t="str">
        <f>Catalog!$E$6</f>
        <v>elementalFire</v>
      </c>
      <c r="C23" s="13" t="e">
        <f t="shared" ref="C23:D23" si="14">#REF!</f>
        <v>#REF!</v>
      </c>
      <c r="D23" s="13" t="e">
        <f t="shared" si="14"/>
        <v>#REF!</v>
      </c>
      <c r="E23" s="14" t="s">
        <v>23</v>
      </c>
      <c r="F23" s="13" t="e">
        <f t="shared" si="10"/>
        <v>#REF!</v>
      </c>
      <c r="G23" s="13" t="s">
        <v>5483</v>
      </c>
    </row>
    <row r="24" spans="1:7" ht="15.75" customHeight="1" x14ac:dyDescent="0.15">
      <c r="A24" s="11" t="s">
        <v>22</v>
      </c>
      <c r="B24" s="12" t="str">
        <f>Catalog!$E$6</f>
        <v>elementalFire</v>
      </c>
      <c r="C24" s="13" t="e">
        <f t="shared" ref="C24:D24" si="15">#REF!</f>
        <v>#REF!</v>
      </c>
      <c r="D24" s="13" t="e">
        <f t="shared" si="15"/>
        <v>#REF!</v>
      </c>
      <c r="E24" s="561" t="s">
        <v>5482</v>
      </c>
      <c r="F24" s="13" t="e">
        <f t="shared" si="10"/>
        <v>#REF!</v>
      </c>
      <c r="G24" s="13" t="s">
        <v>5483</v>
      </c>
    </row>
    <row r="25" spans="1:7" ht="15.75" customHeight="1" x14ac:dyDescent="0.15">
      <c r="A25" s="11" t="s">
        <v>22</v>
      </c>
      <c r="B25" s="12" t="str">
        <f>Catalog!$E$6</f>
        <v>elementalFire</v>
      </c>
      <c r="C25" s="13" t="e">
        <f t="shared" ref="C25:D25" si="16">#REF!</f>
        <v>#REF!</v>
      </c>
      <c r="D25" s="13" t="e">
        <f t="shared" si="16"/>
        <v>#REF!</v>
      </c>
      <c r="E25" s="14" t="s">
        <v>24</v>
      </c>
      <c r="F25" s="13" t="e">
        <f t="shared" si="10"/>
        <v>#REF!</v>
      </c>
      <c r="G25" s="13" t="s">
        <v>5483</v>
      </c>
    </row>
    <row r="26" spans="1:7" ht="15.75" customHeight="1" x14ac:dyDescent="0.15">
      <c r="A26" s="11" t="s">
        <v>22</v>
      </c>
      <c r="B26" s="12" t="str">
        <f>Catalog!$E$6</f>
        <v>elementalFire</v>
      </c>
      <c r="C26" s="13" t="e">
        <f t="shared" ref="C26:D26" si="17">#REF!</f>
        <v>#REF!</v>
      </c>
      <c r="D26" s="13" t="e">
        <f t="shared" si="17"/>
        <v>#REF!</v>
      </c>
      <c r="E26" s="14" t="s">
        <v>25</v>
      </c>
      <c r="F26" s="13" t="e">
        <f t="shared" si="10"/>
        <v>#REF!</v>
      </c>
      <c r="G26" s="13" t="s">
        <v>5483</v>
      </c>
    </row>
    <row r="27" spans="1:7" ht="15.75" customHeight="1" x14ac:dyDescent="0.15">
      <c r="A27" s="11" t="s">
        <v>22</v>
      </c>
      <c r="B27" s="12" t="str">
        <f>Catalog!$E$7</f>
        <v>elementalFreeze</v>
      </c>
      <c r="C27" s="17">
        <f>Catalog!$BD$7</f>
        <v>2</v>
      </c>
      <c r="D27" s="17" t="str">
        <f>Catalog!$BE$7</f>
        <v>unlocked</v>
      </c>
      <c r="E27" s="14" t="s">
        <v>23</v>
      </c>
      <c r="F27" s="17" t="str">
        <f>Catalog!$BI$7</f>
        <v>Freeze Ray</v>
      </c>
      <c r="G27" s="13"/>
    </row>
    <row r="28" spans="1:7" ht="15.75" customHeight="1" x14ac:dyDescent="0.15">
      <c r="A28" s="11" t="s">
        <v>22</v>
      </c>
      <c r="B28" s="12" t="str">
        <f>Catalog!$E$7</f>
        <v>elementalFreeze</v>
      </c>
      <c r="C28" s="17">
        <f>Catalog!$BD$7</f>
        <v>2</v>
      </c>
      <c r="D28" s="17" t="str">
        <f>Catalog!$BE$7</f>
        <v>unlocked</v>
      </c>
      <c r="E28" s="561" t="s">
        <v>5482</v>
      </c>
      <c r="F28" s="17">
        <f>Catalog!$BJ$7</f>
        <v>0</v>
      </c>
      <c r="G28" s="13" t="s">
        <v>5483</v>
      </c>
    </row>
    <row r="29" spans="1:7" ht="15.75" customHeight="1" x14ac:dyDescent="0.15">
      <c r="A29" s="11" t="s">
        <v>22</v>
      </c>
      <c r="B29" s="12" t="str">
        <f>Catalog!$E$7</f>
        <v>elementalFreeze</v>
      </c>
      <c r="C29" s="17">
        <f>Catalog!$BD$7</f>
        <v>2</v>
      </c>
      <c r="D29" s="17" t="str">
        <f>Catalog!$BE$7</f>
        <v>unlocked</v>
      </c>
      <c r="E29" s="14" t="s">
        <v>24</v>
      </c>
      <c r="F29" s="17" t="str">
        <f>Catalog!$BK$7</f>
        <v>Ice out your targets.</v>
      </c>
      <c r="G29" s="13"/>
    </row>
    <row r="30" spans="1:7" ht="15.75" customHeight="1" x14ac:dyDescent="0.15">
      <c r="A30" s="11" t="s">
        <v>22</v>
      </c>
      <c r="B30" s="12" t="str">
        <f>Catalog!$E$7</f>
        <v>elementalFreeze</v>
      </c>
      <c r="C30" s="17">
        <f>Catalog!$BD$7</f>
        <v>2</v>
      </c>
      <c r="D30" s="17" t="str">
        <f>Catalog!$BE$7</f>
        <v>unlocked</v>
      </c>
      <c r="E30" s="14" t="s">
        <v>25</v>
      </c>
      <c r="F30" s="17" t="str">
        <f>Catalog!$BL$7</f>
        <v>A frosty projectile that can freeze its target solid.</v>
      </c>
      <c r="G30" s="13"/>
    </row>
    <row r="31" spans="1:7" ht="15.75" customHeight="1" x14ac:dyDescent="0.15">
      <c r="A31" s="11" t="s">
        <v>22</v>
      </c>
      <c r="B31" s="12" t="str">
        <f>Catalog!$E$7</f>
        <v>elementalFreeze</v>
      </c>
      <c r="C31" s="13" t="e">
        <f t="shared" ref="C31:D31" si="18">#REF!</f>
        <v>#REF!</v>
      </c>
      <c r="D31" s="13" t="e">
        <f t="shared" si="18"/>
        <v>#REF!</v>
      </c>
      <c r="E31" s="14" t="s">
        <v>23</v>
      </c>
      <c r="F31" s="13" t="e">
        <f t="shared" ref="F31:F38" si="19">#REF!</f>
        <v>#REF!</v>
      </c>
      <c r="G31" s="13" t="s">
        <v>5483</v>
      </c>
    </row>
    <row r="32" spans="1:7" ht="15.75" customHeight="1" x14ac:dyDescent="0.15">
      <c r="A32" s="11" t="s">
        <v>22</v>
      </c>
      <c r="B32" s="12" t="str">
        <f>Catalog!$E$7</f>
        <v>elementalFreeze</v>
      </c>
      <c r="C32" s="13" t="e">
        <f t="shared" ref="C32:D32" si="20">#REF!</f>
        <v>#REF!</v>
      </c>
      <c r="D32" s="13" t="e">
        <f t="shared" si="20"/>
        <v>#REF!</v>
      </c>
      <c r="E32" s="561" t="s">
        <v>5482</v>
      </c>
      <c r="F32" s="13" t="e">
        <f t="shared" si="19"/>
        <v>#REF!</v>
      </c>
      <c r="G32" s="13" t="s">
        <v>5483</v>
      </c>
    </row>
    <row r="33" spans="1:7" ht="15.75" customHeight="1" x14ac:dyDescent="0.15">
      <c r="A33" s="11" t="s">
        <v>22</v>
      </c>
      <c r="B33" s="12" t="str">
        <f>Catalog!$E$7</f>
        <v>elementalFreeze</v>
      </c>
      <c r="C33" s="13" t="e">
        <f t="shared" ref="C33:D33" si="21">#REF!</f>
        <v>#REF!</v>
      </c>
      <c r="D33" s="13" t="e">
        <f t="shared" si="21"/>
        <v>#REF!</v>
      </c>
      <c r="E33" s="14" t="s">
        <v>24</v>
      </c>
      <c r="F33" s="13" t="e">
        <f t="shared" si="19"/>
        <v>#REF!</v>
      </c>
      <c r="G33" s="13" t="s">
        <v>5483</v>
      </c>
    </row>
    <row r="34" spans="1:7" ht="15.75" customHeight="1" x14ac:dyDescent="0.15">
      <c r="A34" s="11" t="s">
        <v>22</v>
      </c>
      <c r="B34" s="12" t="str">
        <f>Catalog!$E$7</f>
        <v>elementalFreeze</v>
      </c>
      <c r="C34" s="13" t="e">
        <f t="shared" ref="C34:D34" si="22">#REF!</f>
        <v>#REF!</v>
      </c>
      <c r="D34" s="13" t="e">
        <f t="shared" si="22"/>
        <v>#REF!</v>
      </c>
      <c r="E34" s="14" t="s">
        <v>25</v>
      </c>
      <c r="F34" s="13" t="e">
        <f t="shared" si="19"/>
        <v>#REF!</v>
      </c>
      <c r="G34" s="13" t="s">
        <v>5483</v>
      </c>
    </row>
    <row r="35" spans="1:7" ht="15.75" customHeight="1" x14ac:dyDescent="0.15">
      <c r="A35" s="11" t="s">
        <v>22</v>
      </c>
      <c r="B35" s="12" t="str">
        <f>Catalog!$E$7</f>
        <v>elementalFreeze</v>
      </c>
      <c r="C35" s="13" t="e">
        <f t="shared" ref="C35:D35" si="23">#REF!</f>
        <v>#REF!</v>
      </c>
      <c r="D35" s="13" t="e">
        <f t="shared" si="23"/>
        <v>#REF!</v>
      </c>
      <c r="E35" s="14" t="s">
        <v>23</v>
      </c>
      <c r="F35" s="13" t="e">
        <f t="shared" si="19"/>
        <v>#REF!</v>
      </c>
      <c r="G35" s="13" t="s">
        <v>5483</v>
      </c>
    </row>
    <row r="36" spans="1:7" ht="15.75" customHeight="1" x14ac:dyDescent="0.15">
      <c r="A36" s="11" t="s">
        <v>22</v>
      </c>
      <c r="B36" s="12" t="str">
        <f>Catalog!$E$7</f>
        <v>elementalFreeze</v>
      </c>
      <c r="C36" s="13" t="e">
        <f t="shared" ref="C36:D36" si="24">#REF!</f>
        <v>#REF!</v>
      </c>
      <c r="D36" s="13" t="e">
        <f t="shared" si="24"/>
        <v>#REF!</v>
      </c>
      <c r="E36" s="561" t="s">
        <v>5482</v>
      </c>
      <c r="F36" s="13" t="e">
        <f t="shared" si="19"/>
        <v>#REF!</v>
      </c>
      <c r="G36" s="13" t="s">
        <v>5483</v>
      </c>
    </row>
    <row r="37" spans="1:7" ht="15.75" customHeight="1" x14ac:dyDescent="0.15">
      <c r="A37" s="11" t="s">
        <v>22</v>
      </c>
      <c r="B37" s="12" t="str">
        <f>Catalog!$E$7</f>
        <v>elementalFreeze</v>
      </c>
      <c r="C37" s="13" t="e">
        <f t="shared" ref="C37:D37" si="25">#REF!</f>
        <v>#REF!</v>
      </c>
      <c r="D37" s="13" t="e">
        <f t="shared" si="25"/>
        <v>#REF!</v>
      </c>
      <c r="E37" s="14" t="s">
        <v>24</v>
      </c>
      <c r="F37" s="13" t="e">
        <f t="shared" si="19"/>
        <v>#REF!</v>
      </c>
      <c r="G37" s="13" t="s">
        <v>5483</v>
      </c>
    </row>
    <row r="38" spans="1:7" ht="15.75" customHeight="1" x14ac:dyDescent="0.15">
      <c r="A38" s="11" t="s">
        <v>22</v>
      </c>
      <c r="B38" s="12" t="str">
        <f>Catalog!$E$7</f>
        <v>elementalFreeze</v>
      </c>
      <c r="C38" s="13" t="e">
        <f t="shared" ref="C38:D38" si="26">#REF!</f>
        <v>#REF!</v>
      </c>
      <c r="D38" s="13" t="e">
        <f t="shared" si="26"/>
        <v>#REF!</v>
      </c>
      <c r="E38" s="14" t="s">
        <v>25</v>
      </c>
      <c r="F38" s="13" t="e">
        <f t="shared" si="19"/>
        <v>#REF!</v>
      </c>
      <c r="G38" s="13" t="s">
        <v>5483</v>
      </c>
    </row>
    <row r="39" spans="1:7" ht="15.75" customHeight="1" x14ac:dyDescent="0.15">
      <c r="A39" s="11" t="s">
        <v>22</v>
      </c>
      <c r="B39" s="12" t="str">
        <f>Catalog!$E$8</f>
        <v>elementalLightning</v>
      </c>
      <c r="C39" s="17">
        <f>Catalog!$BD$8</f>
        <v>2</v>
      </c>
      <c r="D39" s="17" t="str">
        <f>Catalog!$BE$8</f>
        <v>unlocked</v>
      </c>
      <c r="E39" s="14" t="s">
        <v>23</v>
      </c>
      <c r="F39" s="17" t="str">
        <f>Catalog!$BI$8</f>
        <v>Lightning Bolt</v>
      </c>
      <c r="G39" s="13"/>
    </row>
    <row r="40" spans="1:7" ht="15.75" customHeight="1" x14ac:dyDescent="0.15">
      <c r="A40" s="11" t="s">
        <v>22</v>
      </c>
      <c r="B40" s="12" t="str">
        <f>Catalog!$E$8</f>
        <v>elementalLightning</v>
      </c>
      <c r="C40" s="17">
        <f>Catalog!$BD$8</f>
        <v>2</v>
      </c>
      <c r="D40" s="17" t="str">
        <f>Catalog!$BE$8</f>
        <v>unlocked</v>
      </c>
      <c r="E40" s="561" t="s">
        <v>5482</v>
      </c>
      <c r="F40" s="17">
        <f>Catalog!$BJ$8</f>
        <v>0</v>
      </c>
      <c r="G40" s="13" t="s">
        <v>5483</v>
      </c>
    </row>
    <row r="41" spans="1:7" ht="15.75" customHeight="1" x14ac:dyDescent="0.15">
      <c r="A41" s="11" t="s">
        <v>22</v>
      </c>
      <c r="B41" s="12" t="str">
        <f>Catalog!$E$8</f>
        <v>elementalLightning</v>
      </c>
      <c r="C41" s="17">
        <f>Catalog!$BD$8</f>
        <v>2</v>
      </c>
      <c r="D41" s="17" t="str">
        <f>Catalog!$BE$8</f>
        <v>unlocked</v>
      </c>
      <c r="E41" s="14" t="s">
        <v>24</v>
      </c>
      <c r="F41" s="17" t="str">
        <f>Catalog!$BK$8</f>
        <v>Shocking blast of electricity</v>
      </c>
      <c r="G41" s="13"/>
    </row>
    <row r="42" spans="1:7" ht="15.75" customHeight="1" x14ac:dyDescent="0.15">
      <c r="A42" s="11" t="s">
        <v>22</v>
      </c>
      <c r="B42" s="12" t="str">
        <f>Catalog!$E$8</f>
        <v>elementalLightning</v>
      </c>
      <c r="C42" s="17">
        <f>Catalog!$BD$8</f>
        <v>2</v>
      </c>
      <c r="D42" s="17" t="str">
        <f>Catalog!$BE$8</f>
        <v>unlocked</v>
      </c>
      <c r="E42" s="14" t="s">
        <v>25</v>
      </c>
      <c r="F42" s="17" t="str">
        <f>Catalog!$BL$8</f>
        <v>Electrify targets to destroy or control them.</v>
      </c>
      <c r="G42" s="13"/>
    </row>
    <row r="43" spans="1:7" ht="15.75" customHeight="1" x14ac:dyDescent="0.15">
      <c r="A43" s="11" t="s">
        <v>32</v>
      </c>
      <c r="B43" s="27" t="str">
        <f>Catalog!$E$91</f>
        <v>missionVector</v>
      </c>
      <c r="C43" s="17">
        <f>Catalog!$AN$91</f>
        <v>1</v>
      </c>
      <c r="D43" s="17" t="str">
        <f>Catalog!$AO$91</f>
        <v>Available</v>
      </c>
      <c r="E43" s="14" t="s">
        <v>23</v>
      </c>
      <c r="F43" s="17" t="str">
        <f>Catalog!$AS$91</f>
        <v>V6 Super Fan!</v>
      </c>
      <c r="G43" s="13"/>
    </row>
    <row r="44" spans="1:7" ht="15.75" customHeight="1" x14ac:dyDescent="0.15">
      <c r="A44" s="11" t="s">
        <v>32</v>
      </c>
      <c r="B44" s="27" t="str">
        <f>Catalog!$E$91</f>
        <v>missionVector</v>
      </c>
      <c r="C44" s="17">
        <f>Catalog!$AN$91</f>
        <v>1</v>
      </c>
      <c r="D44" s="17" t="str">
        <f>Catalog!$AO$91</f>
        <v>Available</v>
      </c>
      <c r="E44" s="14" t="s">
        <v>24</v>
      </c>
      <c r="F44" s="17" t="str">
        <f>Catalog!$AT$91</f>
        <v>Blast 12 V6 medallions!</v>
      </c>
      <c r="G44" s="13"/>
    </row>
    <row r="45" spans="1:7" ht="15.75" customHeight="1" x14ac:dyDescent="0.15">
      <c r="A45" s="11" t="s">
        <v>32</v>
      </c>
      <c r="B45" s="27" t="str">
        <f>Catalog!$E$91</f>
        <v>missionVector</v>
      </c>
      <c r="C45" s="17">
        <f>Catalog!$AN$91</f>
        <v>1</v>
      </c>
      <c r="D45" s="17" t="str">
        <f>Catalog!$AO$91</f>
        <v>Available</v>
      </c>
      <c r="E45" s="14" t="s">
        <v>25</v>
      </c>
      <c r="F45" s="17" t="str">
        <f>Catalog!$AU$91</f>
        <v>Blast 12 V6 medallions in a single round. Prove yourself to the Vicious 6.</v>
      </c>
      <c r="G45" s="13"/>
    </row>
    <row r="46" spans="1:7" ht="15.75" customHeight="1" x14ac:dyDescent="0.15">
      <c r="A46" s="11" t="s">
        <v>32</v>
      </c>
      <c r="B46" s="27" t="str">
        <f>Catalog!$E$91</f>
        <v>missionVector</v>
      </c>
      <c r="C46" s="17">
        <f>Catalog!$AN$91</f>
        <v>1</v>
      </c>
      <c r="D46" s="17" t="str">
        <f>Catalog!$AO$91</f>
        <v>Available</v>
      </c>
      <c r="E46" s="14" t="s">
        <v>34</v>
      </c>
      <c r="F46" s="17" t="str">
        <f>Catalog!$AV$91</f>
        <v>Completing this mission unlocks an Ultimate and a new mission!</v>
      </c>
      <c r="G46" s="13"/>
    </row>
    <row r="47" spans="1:7" ht="15.75" customHeight="1" x14ac:dyDescent="0.15">
      <c r="A47" s="11" t="s">
        <v>32</v>
      </c>
      <c r="B47" s="27" t="str">
        <f>Catalog!$E$91</f>
        <v>missionVector</v>
      </c>
      <c r="C47" s="17">
        <f>Catalog!$BD$91</f>
        <v>2</v>
      </c>
      <c r="D47" s="17" t="str">
        <f>Catalog!$BE$91</f>
        <v>complete</v>
      </c>
      <c r="E47" s="14" t="s">
        <v>23</v>
      </c>
      <c r="F47" s="17" t="str">
        <f>Catalog!$BI$91</f>
        <v>V6 Super Fan!</v>
      </c>
      <c r="G47" s="13"/>
    </row>
    <row r="48" spans="1:7" ht="15.75" customHeight="1" x14ac:dyDescent="0.15">
      <c r="A48" s="11" t="s">
        <v>32</v>
      </c>
      <c r="B48" s="27" t="str">
        <f>Catalog!$E$91</f>
        <v>missionVector</v>
      </c>
      <c r="C48" s="17">
        <f>Catalog!$BD$91</f>
        <v>2</v>
      </c>
      <c r="D48" s="17" t="str">
        <f>Catalog!$BE$91</f>
        <v>complete</v>
      </c>
      <c r="E48" s="14" t="s">
        <v>24</v>
      </c>
      <c r="F48" s="17" t="str">
        <f>Catalog!$BK$91</f>
        <v>You blasted 12 V6 medallions!</v>
      </c>
      <c r="G48" s="13"/>
    </row>
    <row r="49" spans="1:7" ht="15.75" customHeight="1" x14ac:dyDescent="0.15">
      <c r="A49" s="11" t="s">
        <v>32</v>
      </c>
      <c r="B49" s="27" t="str">
        <f>Catalog!$E$91</f>
        <v>missionVector</v>
      </c>
      <c r="C49" s="17">
        <f>Catalog!$BD$91</f>
        <v>2</v>
      </c>
      <c r="D49" s="17" t="str">
        <f>Catalog!$BE$91</f>
        <v>complete</v>
      </c>
      <c r="E49" s="14" t="s">
        <v>25</v>
      </c>
      <c r="F49" s="17" t="str">
        <f>Catalog!$BL$91</f>
        <v>You blasted at least 12 V6 medallions this round! That'll get the Vicious 6's attention.</v>
      </c>
      <c r="G49" s="13"/>
    </row>
    <row r="50" spans="1:7" ht="15.75" customHeight="1" x14ac:dyDescent="0.15">
      <c r="A50" s="11" t="s">
        <v>32</v>
      </c>
      <c r="B50" s="27" t="str">
        <f>Catalog!$E$91</f>
        <v>missionVector</v>
      </c>
      <c r="C50" s="17">
        <f>Catalog!$BD$91</f>
        <v>2</v>
      </c>
      <c r="D50" s="17" t="str">
        <f>Catalog!$BE$91</f>
        <v>complete</v>
      </c>
      <c r="E50" s="14" t="s">
        <v>34</v>
      </c>
      <c r="F50" s="17" t="str">
        <f>Catalog!$BM$91</f>
        <v>You've unlocked Vector's Piranha-sicle Blaster and a new mission!</v>
      </c>
      <c r="G50" s="13"/>
    </row>
    <row r="51" spans="1:7" ht="15.75" customHeight="1" x14ac:dyDescent="0.15">
      <c r="A51" s="11" t="s">
        <v>5484</v>
      </c>
      <c r="B51" s="12" t="str">
        <f>Catalog!$E$290</f>
        <v>achievementMissionVector</v>
      </c>
      <c r="C51" s="20">
        <f>Catalog!$W$290</f>
        <v>0</v>
      </c>
      <c r="D51" s="20" t="str">
        <f>Catalog!$X$290</f>
        <v>unearned</v>
      </c>
      <c r="E51" s="19" t="s">
        <v>25</v>
      </c>
      <c r="F51" s="20" t="str">
        <f>Catalog!$AD$92</f>
        <v>You must complete mission Vicious 6 Super Fan to get this achievement!</v>
      </c>
    </row>
    <row r="52" spans="1:7" ht="15.75" customHeight="1" x14ac:dyDescent="0.15">
      <c r="A52" s="11" t="s">
        <v>5484</v>
      </c>
      <c r="B52" s="12" t="str">
        <f>Catalog!$E$290</f>
        <v>achievementMissionVector</v>
      </c>
      <c r="C52" s="20">
        <f>Catalog!$BD$290</f>
        <v>2</v>
      </c>
      <c r="D52" s="20" t="str">
        <f>Catalog!$BE$290</f>
        <v>bronze</v>
      </c>
      <c r="E52" s="19" t="s">
        <v>23</v>
      </c>
      <c r="F52" s="20" t="str">
        <f>Catalog!$BI$92</f>
        <v>OH YEAH!!!!!!!!</v>
      </c>
    </row>
    <row r="53" spans="1:7" ht="15.75" customHeight="1" x14ac:dyDescent="0.15">
      <c r="A53" s="11" t="s">
        <v>5484</v>
      </c>
      <c r="B53" s="12" t="str">
        <f>Catalog!$E$290</f>
        <v>achievementMissionVector</v>
      </c>
      <c r="C53" s="20">
        <f>Catalog!$BD$290</f>
        <v>2</v>
      </c>
      <c r="D53" s="20" t="str">
        <f>Catalog!$BE$290</f>
        <v>bronze</v>
      </c>
      <c r="E53" s="19" t="s">
        <v>25</v>
      </c>
      <c r="F53" s="20" t="str">
        <f>Catalog!$BL$92</f>
        <v>You blasted at least 12 V6 medaillions in one round! You’re a true Vicious 6 Super Fan!</v>
      </c>
    </row>
    <row r="54" spans="1:7" ht="15.75" customHeight="1" x14ac:dyDescent="0.15">
      <c r="A54" s="11" t="s">
        <v>32</v>
      </c>
      <c r="B54" s="27" t="str">
        <f>Catalog!$E$99</f>
        <v>missionScarlet</v>
      </c>
      <c r="C54" s="17">
        <f>Catalog!$W$99</f>
        <v>0</v>
      </c>
      <c r="D54" s="17" t="str">
        <f>Catalog!$X$99</f>
        <v>locked</v>
      </c>
      <c r="E54" s="14" t="s">
        <v>23</v>
      </c>
      <c r="F54" s="17" t="str">
        <f>Catalog!$AB$99</f>
        <v>Secret Mission</v>
      </c>
      <c r="G54" s="13"/>
    </row>
    <row r="55" spans="1:7" ht="15" x14ac:dyDescent="0.15">
      <c r="A55" s="11" t="s">
        <v>32</v>
      </c>
      <c r="B55" s="27" t="str">
        <f>Catalog!$E$99</f>
        <v>missionScarlet</v>
      </c>
      <c r="C55" s="17">
        <f>Catalog!$W$99</f>
        <v>0</v>
      </c>
      <c r="D55" s="17" t="str">
        <f>Catalog!$X$99</f>
        <v>locked</v>
      </c>
      <c r="E55" s="14" t="s">
        <v>25</v>
      </c>
      <c r="F55" s="17" t="str">
        <f>Catalog!$AD$99</f>
        <v>You must complete Vector's mission to unlock this mission!</v>
      </c>
      <c r="G55" s="13"/>
    </row>
    <row r="56" spans="1:7" ht="15" x14ac:dyDescent="0.15">
      <c r="A56" s="11" t="s">
        <v>32</v>
      </c>
      <c r="B56" s="27" t="str">
        <f>Catalog!$E$99</f>
        <v>missionScarlet</v>
      </c>
      <c r="C56" s="17">
        <f>Catalog!$AN$99</f>
        <v>1</v>
      </c>
      <c r="D56" s="17" t="str">
        <f>Catalog!$AO$99</f>
        <v>Available</v>
      </c>
      <c r="E56" s="14" t="s">
        <v>23</v>
      </c>
      <c r="F56" s="17" t="str">
        <f>Catalog!$AS$99</f>
        <v>Minion Marksman</v>
      </c>
      <c r="G56" s="13"/>
    </row>
    <row r="57" spans="1:7" ht="15" x14ac:dyDescent="0.15">
      <c r="A57" s="11" t="s">
        <v>32</v>
      </c>
      <c r="B57" s="27" t="str">
        <f>Catalog!$E$99</f>
        <v>missionScarlet</v>
      </c>
      <c r="C57" s="17">
        <f>Catalog!$AN$99</f>
        <v>1</v>
      </c>
      <c r="D57" s="17" t="str">
        <f>Catalog!$AO$99</f>
        <v>Available</v>
      </c>
      <c r="E57" s="14" t="s">
        <v>24</v>
      </c>
      <c r="F57" s="17" t="str">
        <f>Catalog!$AT$99</f>
        <v>Cause elemental damage to 20 Minions!</v>
      </c>
      <c r="G57" s="13"/>
    </row>
    <row r="58" spans="1:7" ht="28" x14ac:dyDescent="0.15">
      <c r="A58" s="11" t="s">
        <v>32</v>
      </c>
      <c r="B58" s="27" t="str">
        <f>Catalog!$E$99</f>
        <v>missionScarlet</v>
      </c>
      <c r="C58" s="17">
        <f>Catalog!$AN$99</f>
        <v>1</v>
      </c>
      <c r="D58" s="17" t="str">
        <f>Catalog!$AO$99</f>
        <v>Available</v>
      </c>
      <c r="E58" s="14" t="s">
        <v>25</v>
      </c>
      <c r="F58" s="17" t="str">
        <f>Catalog!$AU$99</f>
        <v>Cause elemental damage to 20 Minions in a single round! The VNC Newscaster will thank you!</v>
      </c>
      <c r="G58" s="13"/>
    </row>
    <row r="59" spans="1:7" ht="15" x14ac:dyDescent="0.15">
      <c r="A59" s="11" t="s">
        <v>32</v>
      </c>
      <c r="B59" s="27" t="str">
        <f>Catalog!$E$99</f>
        <v>missionScarlet</v>
      </c>
      <c r="C59" s="17">
        <f>Catalog!$AN$99</f>
        <v>1</v>
      </c>
      <c r="D59" s="17" t="str">
        <f>Catalog!$AO$99</f>
        <v>Available</v>
      </c>
      <c r="E59" s="14" t="s">
        <v>34</v>
      </c>
      <c r="F59" s="17" t="str">
        <f>Catalog!$AV$99</f>
        <v>Completing this mission unlocks an Ultimate and a new mission!</v>
      </c>
      <c r="G59" s="13"/>
    </row>
    <row r="60" spans="1:7" ht="15" x14ac:dyDescent="0.15">
      <c r="A60" s="11" t="s">
        <v>32</v>
      </c>
      <c r="B60" s="27" t="str">
        <f>Catalog!$E$99</f>
        <v>missionScarlet</v>
      </c>
      <c r="C60" s="17">
        <f>Catalog!$BD$99</f>
        <v>2</v>
      </c>
      <c r="D60" s="17" t="str">
        <f>Catalog!$BE$99</f>
        <v>complete</v>
      </c>
      <c r="E60" s="14" t="s">
        <v>23</v>
      </c>
      <c r="F60" s="17" t="str">
        <f>Catalog!$BI$99</f>
        <v>Minion Marksman</v>
      </c>
      <c r="G60" s="13"/>
    </row>
    <row r="61" spans="1:7" ht="15" x14ac:dyDescent="0.15">
      <c r="A61" s="11" t="s">
        <v>32</v>
      </c>
      <c r="B61" s="27" t="str">
        <f>Catalog!$E$99</f>
        <v>missionScarlet</v>
      </c>
      <c r="C61" s="17">
        <f>Catalog!$BD$99</f>
        <v>2</v>
      </c>
      <c r="D61" s="17" t="str">
        <f>Catalog!$BE$99</f>
        <v>complete</v>
      </c>
      <c r="E61" s="14" t="s">
        <v>24</v>
      </c>
      <c r="F61" s="17" t="str">
        <f>Catalog!$BK$99</f>
        <v>You caused elemental damage to 20 Minions!</v>
      </c>
      <c r="G61" s="13"/>
    </row>
    <row r="62" spans="1:7" ht="28" x14ac:dyDescent="0.15">
      <c r="A62" s="11" t="s">
        <v>32</v>
      </c>
      <c r="B62" s="27" t="str">
        <f>Catalog!$E$99</f>
        <v>missionScarlet</v>
      </c>
      <c r="C62" s="17">
        <f>Catalog!$BD$99</f>
        <v>2</v>
      </c>
      <c r="D62" s="17" t="str">
        <f>Catalog!$BE$99</f>
        <v>complete</v>
      </c>
      <c r="E62" s="14" t="s">
        <v>25</v>
      </c>
      <c r="F62" s="17" t="str">
        <f>Catalog!$BL$99</f>
        <v>You caused elemental damage to at least 20 Minions in a single round! They were basically asking for it!</v>
      </c>
      <c r="G62" s="13"/>
    </row>
    <row r="63" spans="1:7" ht="15" x14ac:dyDescent="0.15">
      <c r="A63" s="11" t="s">
        <v>32</v>
      </c>
      <c r="B63" s="27" t="str">
        <f>Catalog!$E$99</f>
        <v>missionScarlet</v>
      </c>
      <c r="C63" s="17">
        <f>Catalog!$BD$99</f>
        <v>2</v>
      </c>
      <c r="D63" s="17" t="str">
        <f>Catalog!$BE$99</f>
        <v>complete</v>
      </c>
      <c r="E63" s="14" t="s">
        <v>34</v>
      </c>
      <c r="F63" s="17" t="str">
        <f>Catalog!$BM$99</f>
        <v>You've unlocked Scarlet's Lava Lamp and a new mission!</v>
      </c>
      <c r="G63" s="13"/>
    </row>
    <row r="64" spans="1:7" ht="15" x14ac:dyDescent="0.15">
      <c r="A64" s="11" t="s">
        <v>32</v>
      </c>
      <c r="B64" s="18" t="str">
        <f>Catalog!$E$95</f>
        <v>mission2</v>
      </c>
      <c r="C64" s="17">
        <f>Catalog!$W$95</f>
        <v>0</v>
      </c>
      <c r="D64" s="17" t="str">
        <f>Catalog!$X$95</f>
        <v>locked</v>
      </c>
      <c r="E64" s="14" t="s">
        <v>23</v>
      </c>
      <c r="F64" s="17" t="str">
        <f>Catalog!$AB$95</f>
        <v>Party Farty</v>
      </c>
      <c r="G64" s="13" t="s">
        <v>5483</v>
      </c>
    </row>
    <row r="65" spans="1:7" ht="15" x14ac:dyDescent="0.15">
      <c r="A65" s="11" t="s">
        <v>32</v>
      </c>
      <c r="B65" s="18" t="str">
        <f>Catalog!$E$95</f>
        <v>mission2</v>
      </c>
      <c r="C65" s="17">
        <f>Catalog!$W$95</f>
        <v>0</v>
      </c>
      <c r="D65" s="17" t="str">
        <f>Catalog!$X$95</f>
        <v>locked</v>
      </c>
      <c r="E65" s="14" t="s">
        <v>25</v>
      </c>
      <c r="F65" s="17" t="str">
        <f>Catalog!$AD$95</f>
        <v>You must be a V6 Fan to unlock this mission!</v>
      </c>
      <c r="G65" s="13" t="s">
        <v>5483</v>
      </c>
    </row>
    <row r="66" spans="1:7" ht="15" x14ac:dyDescent="0.15">
      <c r="A66" s="11" t="s">
        <v>32</v>
      </c>
      <c r="B66" s="18" t="str">
        <f>Catalog!$E$95</f>
        <v>mission2</v>
      </c>
      <c r="C66" s="17">
        <f>Catalog!$AN$95</f>
        <v>1</v>
      </c>
      <c r="D66" s="17" t="str">
        <f>Catalog!$AO$95</f>
        <v>Available</v>
      </c>
      <c r="E66" s="14" t="s">
        <v>23</v>
      </c>
      <c r="F66" s="17" t="str">
        <f>Catalog!$AS$95</f>
        <v>Party Farty</v>
      </c>
      <c r="G66" s="13" t="s">
        <v>5483</v>
      </c>
    </row>
    <row r="67" spans="1:7" ht="15" x14ac:dyDescent="0.15">
      <c r="A67" s="11" t="s">
        <v>32</v>
      </c>
      <c r="B67" s="18" t="str">
        <f>Catalog!$E$95</f>
        <v>mission2</v>
      </c>
      <c r="C67" s="17">
        <f>Catalog!$AN$95</f>
        <v>1</v>
      </c>
      <c r="D67" s="17" t="str">
        <f>Catalog!$AO$95</f>
        <v>Available</v>
      </c>
      <c r="E67" s="14" t="s">
        <v>24</v>
      </c>
      <c r="F67" s="17" t="str">
        <f>Catalog!$AT$95</f>
        <v>Knock out 20 Minions with the Fart Cloud Launcher!</v>
      </c>
      <c r="G67" s="13" t="s">
        <v>5483</v>
      </c>
    </row>
    <row r="68" spans="1:7" ht="28" x14ac:dyDescent="0.15">
      <c r="A68" s="11" t="s">
        <v>32</v>
      </c>
      <c r="B68" s="18" t="str">
        <f>Catalog!$E$95</f>
        <v>mission2</v>
      </c>
      <c r="C68" s="17">
        <f>Catalog!$AN$95</f>
        <v>1</v>
      </c>
      <c r="D68" s="17" t="str">
        <f>Catalog!$AO$95</f>
        <v>Available</v>
      </c>
      <c r="E68" s="14" t="s">
        <v>25</v>
      </c>
      <c r="F68" s="17" t="str">
        <f>Catalog!$AU$95</f>
        <v>Knock out 20 Minions with the Fart Cloud Launcher in a single playthrough!</v>
      </c>
      <c r="G68" s="13" t="s">
        <v>5483</v>
      </c>
    </row>
    <row r="69" spans="1:7" ht="15" x14ac:dyDescent="0.15">
      <c r="A69" s="11" t="s">
        <v>32</v>
      </c>
      <c r="B69" s="18" t="str">
        <f>Catalog!$E$95</f>
        <v>mission2</v>
      </c>
      <c r="C69" s="17">
        <f>Catalog!$AN$95</f>
        <v>1</v>
      </c>
      <c r="D69" s="17" t="str">
        <f>Catalog!$AO$95</f>
        <v>Available</v>
      </c>
      <c r="E69" s="14" t="s">
        <v>34</v>
      </c>
      <c r="F69" s="17" t="str">
        <f>Catalog!$AV$95</f>
        <v>Completing this mission unlocks a new mission!</v>
      </c>
      <c r="G69" s="13" t="s">
        <v>5483</v>
      </c>
    </row>
    <row r="70" spans="1:7" ht="15" x14ac:dyDescent="0.15">
      <c r="A70" s="11" t="s">
        <v>32</v>
      </c>
      <c r="B70" s="18" t="str">
        <f>Catalog!$E$95</f>
        <v>mission2</v>
      </c>
      <c r="C70" s="17">
        <f>Catalog!$BD$95</f>
        <v>2</v>
      </c>
      <c r="D70" s="17" t="str">
        <f>Catalog!$BE$95</f>
        <v>complete</v>
      </c>
      <c r="E70" s="14" t="s">
        <v>23</v>
      </c>
      <c r="F70" s="17" t="str">
        <f>Catalog!$BI$95</f>
        <v>Party Farty</v>
      </c>
      <c r="G70" s="13" t="s">
        <v>5483</v>
      </c>
    </row>
    <row r="71" spans="1:7" ht="15" x14ac:dyDescent="0.15">
      <c r="A71" s="11" t="s">
        <v>32</v>
      </c>
      <c r="B71" s="18" t="str">
        <f>Catalog!$E$95</f>
        <v>mission2</v>
      </c>
      <c r="C71" s="17">
        <f>Catalog!$BD$95</f>
        <v>2</v>
      </c>
      <c r="D71" s="17" t="str">
        <f>Catalog!$BE$95</f>
        <v>complete</v>
      </c>
      <c r="E71" s="14" t="s">
        <v>24</v>
      </c>
      <c r="F71" s="17" t="str">
        <f>Catalog!$BK$95</f>
        <v>Knock out 30 Minions with the Fart Cloud Launcher!</v>
      </c>
      <c r="G71" s="13" t="s">
        <v>5483</v>
      </c>
    </row>
    <row r="72" spans="1:7" ht="28" x14ac:dyDescent="0.15">
      <c r="A72" s="11" t="s">
        <v>32</v>
      </c>
      <c r="B72" s="18" t="str">
        <f>Catalog!$E$95</f>
        <v>mission2</v>
      </c>
      <c r="C72" s="17">
        <f>Catalog!$BD$95</f>
        <v>2</v>
      </c>
      <c r="D72" s="17" t="str">
        <f>Catalog!$BE$95</f>
        <v>complete</v>
      </c>
      <c r="E72" s="14" t="s">
        <v>25</v>
      </c>
      <c r="F72" s="17" t="str">
        <f>Catalog!$BL$95</f>
        <v>You knocked out 20 Minions with the Fart Cloud Launcher!
Knock out 30 to keep the party going.</v>
      </c>
      <c r="G72" s="13" t="s">
        <v>5483</v>
      </c>
    </row>
    <row r="73" spans="1:7" ht="15" x14ac:dyDescent="0.15">
      <c r="A73" s="11" t="s">
        <v>32</v>
      </c>
      <c r="B73" s="18" t="str">
        <f>Catalog!$E$95</f>
        <v>mission2</v>
      </c>
      <c r="C73" s="17">
        <f>Catalog!$BD$95</f>
        <v>2</v>
      </c>
      <c r="D73" s="17" t="str">
        <f>Catalog!$BE$95</f>
        <v>complete</v>
      </c>
      <c r="E73" s="14" t="s">
        <v>34</v>
      </c>
      <c r="F73" s="17" t="str">
        <f>Catalog!$BM$95</f>
        <v>You've unlocked the Magma Launcher and a new mission!</v>
      </c>
      <c r="G73" s="13" t="s">
        <v>5483</v>
      </c>
    </row>
    <row r="74" spans="1:7" ht="15" x14ac:dyDescent="0.15">
      <c r="A74" s="11" t="s">
        <v>5484</v>
      </c>
      <c r="B74" s="12" t="str">
        <f>Catalog!E100</f>
        <v>achievementMissionScarlet</v>
      </c>
      <c r="C74" s="20">
        <f>Catalog!W100</f>
        <v>0</v>
      </c>
      <c r="D74" s="20" t="str">
        <f>Catalog!$X$100</f>
        <v>unearned</v>
      </c>
      <c r="E74" s="19" t="s">
        <v>25</v>
      </c>
      <c r="F74" s="20" t="str">
        <f>Catalog!$AD$100</f>
        <v>You must complete mission Minion Marksman to get this achievement!</v>
      </c>
    </row>
    <row r="75" spans="1:7" ht="15" x14ac:dyDescent="0.15">
      <c r="A75" s="11" t="s">
        <v>5484</v>
      </c>
      <c r="B75" s="12" t="str">
        <f>Catalog!E100</f>
        <v>achievementMissionScarlet</v>
      </c>
      <c r="C75" s="20">
        <f>Catalog!BD100</f>
        <v>2</v>
      </c>
      <c r="D75" s="19" t="str">
        <f>Catalog!BE100</f>
        <v>earned</v>
      </c>
      <c r="E75" s="19" t="s">
        <v>23</v>
      </c>
      <c r="F75" s="20" t="str">
        <f>Catalog!$BI$100</f>
        <v>Minion Marksman</v>
      </c>
    </row>
    <row r="76" spans="1:7" ht="28" x14ac:dyDescent="0.15">
      <c r="A76" s="11" t="s">
        <v>5484</v>
      </c>
      <c r="B76" s="12" t="str">
        <f>Catalog!E100</f>
        <v>achievementMissionScarlet</v>
      </c>
      <c r="C76" s="20">
        <f>Catalog!BD100</f>
        <v>2</v>
      </c>
      <c r="D76" s="19" t="str">
        <f>Catalog!BE100</f>
        <v>earned</v>
      </c>
      <c r="E76" s="19" t="s">
        <v>25</v>
      </c>
      <c r="F76" s="19" t="str">
        <f>Catalog!$BL$100</f>
        <v>You caused elemental damage to at least 20 Minions! Take that grandma memers!</v>
      </c>
    </row>
    <row r="77" spans="1:7" ht="15" x14ac:dyDescent="0.15">
      <c r="A77" s="11" t="s">
        <v>32</v>
      </c>
      <c r="B77" s="27" t="str">
        <f>Catalog!$E$104</f>
        <v>missionElMacho</v>
      </c>
      <c r="C77" s="17">
        <f>Catalog!$W$104</f>
        <v>0</v>
      </c>
      <c r="D77" s="17" t="str">
        <f>Catalog!$X$104</f>
        <v>locked</v>
      </c>
      <c r="E77" s="14" t="s">
        <v>23</v>
      </c>
      <c r="F77" s="17" t="str">
        <f>Catalog!$AB$104</f>
        <v>Secret Mission</v>
      </c>
      <c r="G77" s="13"/>
    </row>
    <row r="78" spans="1:7" ht="15" x14ac:dyDescent="0.15">
      <c r="A78" s="11" t="s">
        <v>32</v>
      </c>
      <c r="B78" s="27" t="str">
        <f>Catalog!$E$104</f>
        <v>missionElMacho</v>
      </c>
      <c r="C78" s="17">
        <f>Catalog!$W$104</f>
        <v>0</v>
      </c>
      <c r="D78" s="17" t="str">
        <f>Catalog!$X$104</f>
        <v>locked</v>
      </c>
      <c r="E78" s="14" t="s">
        <v>25</v>
      </c>
      <c r="F78" s="17" t="str">
        <f>Catalog!$AD$104</f>
        <v>You must complete Scarlet's mission to unlock this mission!</v>
      </c>
      <c r="G78" s="13"/>
    </row>
    <row r="79" spans="1:7" ht="15" x14ac:dyDescent="0.15">
      <c r="A79" s="11" t="s">
        <v>32</v>
      </c>
      <c r="B79" s="27" t="str">
        <f>Catalog!$E$104</f>
        <v>missionElMacho</v>
      </c>
      <c r="C79" s="17">
        <f>Catalog!$AN$104</f>
        <v>1</v>
      </c>
      <c r="D79" s="17" t="str">
        <f>Catalog!$AO$104</f>
        <v>Available</v>
      </c>
      <c r="E79" s="14" t="s">
        <v>23</v>
      </c>
      <c r="F79" s="17" t="str">
        <f>Catalog!$AS$104</f>
        <v>Guac ‘em Out</v>
      </c>
      <c r="G79" s="13"/>
    </row>
    <row r="80" spans="1:7" ht="15" x14ac:dyDescent="0.15">
      <c r="A80" s="11" t="s">
        <v>32</v>
      </c>
      <c r="B80" s="27" t="str">
        <f>Catalog!$E$104</f>
        <v>missionElMacho</v>
      </c>
      <c r="C80" s="17">
        <f>Catalog!$AN$104</f>
        <v>1</v>
      </c>
      <c r="D80" s="17" t="str">
        <f>Catalog!$AO$104</f>
        <v>Available</v>
      </c>
      <c r="E80" s="14" t="s">
        <v>24</v>
      </c>
      <c r="F80" s="17" t="str">
        <f>Catalog!$AT$104</f>
        <v>Score 100,000 points in one playthrough</v>
      </c>
      <c r="G80" s="13"/>
    </row>
    <row r="81" spans="1:7" ht="28" x14ac:dyDescent="0.15">
      <c r="A81" s="11" t="s">
        <v>32</v>
      </c>
      <c r="B81" s="27" t="str">
        <f>Catalog!$E$104</f>
        <v>missionElMacho</v>
      </c>
      <c r="C81" s="17">
        <f>Catalog!$AN$104</f>
        <v>1</v>
      </c>
      <c r="D81" s="17" t="str">
        <f>Catalog!$AO$104</f>
        <v>Available</v>
      </c>
      <c r="E81" s="14" t="s">
        <v>25</v>
      </c>
      <c r="F81" s="17" t="str">
        <f>Catalog!$AU$104</f>
        <v>Score 100,000 points in a single round! Take on big targets!  Do you have what it takes?</v>
      </c>
      <c r="G81" s="13"/>
    </row>
    <row r="82" spans="1:7" ht="15" x14ac:dyDescent="0.15">
      <c r="A82" s="11" t="s">
        <v>32</v>
      </c>
      <c r="B82" s="27" t="str">
        <f>Catalog!$E$104</f>
        <v>missionElMacho</v>
      </c>
      <c r="C82" s="17">
        <f>Catalog!$AN$104</f>
        <v>1</v>
      </c>
      <c r="D82" s="17" t="str">
        <f>Catalog!$AO$104</f>
        <v>Available</v>
      </c>
      <c r="E82" s="14" t="s">
        <v>34</v>
      </c>
      <c r="F82" s="17" t="str">
        <f>Catalog!$AV$104</f>
        <v>Completing this mission unlocks an Ultimate and a new mission!</v>
      </c>
      <c r="G82" s="13"/>
    </row>
    <row r="83" spans="1:7" ht="15" x14ac:dyDescent="0.15">
      <c r="A83" s="11" t="s">
        <v>32</v>
      </c>
      <c r="B83" s="27" t="str">
        <f>Catalog!$E$104</f>
        <v>missionElMacho</v>
      </c>
      <c r="C83" s="17">
        <f>Catalog!$BD$104</f>
        <v>2</v>
      </c>
      <c r="D83" s="17" t="str">
        <f>Catalog!$BE$104</f>
        <v>complete</v>
      </c>
      <c r="E83" s="14" t="s">
        <v>23</v>
      </c>
      <c r="F83" s="17" t="str">
        <f>Catalog!$BI$104</f>
        <v>Guac ‘em Out</v>
      </c>
      <c r="G83" s="13"/>
    </row>
    <row r="84" spans="1:7" ht="15" x14ac:dyDescent="0.15">
      <c r="A84" s="11" t="s">
        <v>32</v>
      </c>
      <c r="B84" s="27" t="str">
        <f>Catalog!$E$104</f>
        <v>missionElMacho</v>
      </c>
      <c r="C84" s="17">
        <f>Catalog!$BD$104</f>
        <v>2</v>
      </c>
      <c r="D84" s="17" t="str">
        <f>Catalog!$BE$104</f>
        <v>complete</v>
      </c>
      <c r="E84" s="14" t="s">
        <v>24</v>
      </c>
      <c r="F84" s="17" t="str">
        <f>Catalog!$BK$104</f>
        <v>You scored over 100,000 points!</v>
      </c>
      <c r="G84" s="13"/>
    </row>
    <row r="85" spans="1:7" ht="28" x14ac:dyDescent="0.15">
      <c r="A85" s="11" t="s">
        <v>32</v>
      </c>
      <c r="B85" s="27" t="str">
        <f>Catalog!$E$104</f>
        <v>missionElMacho</v>
      </c>
      <c r="C85" s="17">
        <f>Catalog!$BD$104</f>
        <v>2</v>
      </c>
      <c r="D85" s="17" t="str">
        <f>Catalog!$BE$104</f>
        <v>complete</v>
      </c>
      <c r="E85" s="14" t="s">
        <v>25</v>
      </c>
      <c r="F85" s="17" t="str">
        <f>Catalog!$BL$104</f>
        <v>You scored over 100,000 points in one round! You've got what it takes to join the Vicious 6.</v>
      </c>
      <c r="G85" s="13"/>
    </row>
    <row r="86" spans="1:7" ht="15" x14ac:dyDescent="0.15">
      <c r="A86" s="11" t="s">
        <v>32</v>
      </c>
      <c r="B86" s="27" t="str">
        <f>Catalog!$E$104</f>
        <v>missionElMacho</v>
      </c>
      <c r="C86" s="17">
        <f>Catalog!$BD$104</f>
        <v>2</v>
      </c>
      <c r="D86" s="17" t="str">
        <f>Catalog!$BE$104</f>
        <v>complete</v>
      </c>
      <c r="E86" s="14" t="s">
        <v>34</v>
      </c>
      <c r="F86" s="17" t="str">
        <f>Catalog!$BM$104</f>
        <v>You've unlocked El Macho's Unholy Guacamole and a new mission!</v>
      </c>
      <c r="G86" s="13"/>
    </row>
    <row r="87" spans="1:7" ht="15" x14ac:dyDescent="0.15">
      <c r="A87" s="11" t="s">
        <v>5484</v>
      </c>
      <c r="B87" s="27" t="str">
        <f>Catalog!$E$105</f>
        <v>achievementMissionElMacho</v>
      </c>
      <c r="C87" s="20">
        <f>Catalog!$W$105</f>
        <v>0</v>
      </c>
      <c r="D87" s="610" t="str">
        <f>Catalog!$X$105</f>
        <v>unearned</v>
      </c>
      <c r="E87" s="14" t="s">
        <v>25</v>
      </c>
      <c r="F87" s="610" t="str">
        <f>Catalog!$AD$105</f>
        <v>You must complete mission Guac 'em Out to get this achievement!</v>
      </c>
      <c r="G87" s="13"/>
    </row>
    <row r="88" spans="1:7" ht="15" x14ac:dyDescent="0.15">
      <c r="A88" s="11" t="s">
        <v>5484</v>
      </c>
      <c r="B88" s="27" t="str">
        <f>Catalog!$E$105</f>
        <v>achievementMissionElMacho</v>
      </c>
      <c r="C88" s="17">
        <f>Catalog!$BD$105</f>
        <v>2</v>
      </c>
      <c r="D88" s="17" t="str">
        <f>Catalog!$BE$105</f>
        <v>earned</v>
      </c>
      <c r="E88" s="14" t="s">
        <v>23</v>
      </c>
      <c r="F88" s="610" t="str">
        <f>Catalog!$BI$105</f>
        <v>Muy Macho</v>
      </c>
      <c r="G88" s="13"/>
    </row>
    <row r="89" spans="1:7" ht="28" x14ac:dyDescent="0.15">
      <c r="A89" s="11" t="s">
        <v>5484</v>
      </c>
      <c r="B89" s="27" t="str">
        <f>Catalog!$E$105</f>
        <v>achievementMissionElMacho</v>
      </c>
      <c r="C89" s="17">
        <f>Catalog!$BD$105</f>
        <v>2</v>
      </c>
      <c r="D89" s="17" t="str">
        <f>Catalog!$BE$105</f>
        <v>earned</v>
      </c>
      <c r="E89" s="14" t="s">
        <v>25</v>
      </c>
      <c r="F89" s="20" t="str">
        <f>Catalog!$BL$105</f>
        <v>Has anyone blasted through the challenge with such undeniable machoness before?</v>
      </c>
      <c r="G89" s="13"/>
    </row>
    <row r="90" spans="1:7" ht="15" x14ac:dyDescent="0.15">
      <c r="A90" s="11" t="s">
        <v>32</v>
      </c>
      <c r="B90" s="27" t="str">
        <f>Catalog!$E$108</f>
        <v>missionBratt</v>
      </c>
      <c r="C90" s="17">
        <f>Catalog!$W$108</f>
        <v>0</v>
      </c>
      <c r="D90" s="17" t="str">
        <f>Catalog!$X$108</f>
        <v>locked</v>
      </c>
      <c r="E90" s="14" t="s">
        <v>23</v>
      </c>
      <c r="F90" s="17" t="str">
        <f>Catalog!$AB$108</f>
        <v>Secret Mission</v>
      </c>
      <c r="G90" s="13"/>
    </row>
    <row r="91" spans="1:7" ht="15" x14ac:dyDescent="0.15">
      <c r="A91" s="11" t="s">
        <v>32</v>
      </c>
      <c r="B91" s="27" t="str">
        <f>Catalog!$E$108</f>
        <v>missionBratt</v>
      </c>
      <c r="C91" s="17">
        <f>Catalog!$W$108</f>
        <v>0</v>
      </c>
      <c r="D91" s="17" t="str">
        <f>Catalog!$X$108</f>
        <v>locked</v>
      </c>
      <c r="E91" s="14" t="s">
        <v>25</v>
      </c>
      <c r="F91" s="17" t="str">
        <f>Catalog!$AD$108</f>
        <v>You must complete El Macho's mission to unlock this mission!</v>
      </c>
      <c r="G91" s="13"/>
    </row>
    <row r="92" spans="1:7" ht="15" x14ac:dyDescent="0.15">
      <c r="A92" s="11" t="s">
        <v>32</v>
      </c>
      <c r="B92" s="27" t="str">
        <f>Catalog!$E$108</f>
        <v>missionBratt</v>
      </c>
      <c r="C92" s="17">
        <f>Catalog!$AN$108</f>
        <v>1</v>
      </c>
      <c r="D92" s="17" t="str">
        <f>Catalog!$AO$108</f>
        <v>Available</v>
      </c>
      <c r="E92" s="14" t="s">
        <v>23</v>
      </c>
      <c r="F92" s="17" t="str">
        <f>Catalog!$AS$108</f>
        <v>Swag Snatch</v>
      </c>
      <c r="G92" s="13"/>
    </row>
    <row r="93" spans="1:7" ht="15" x14ac:dyDescent="0.15">
      <c r="A93" s="11" t="s">
        <v>32</v>
      </c>
      <c r="B93" s="27" t="str">
        <f>Catalog!$E$108</f>
        <v>missionBratt</v>
      </c>
      <c r="C93" s="17">
        <f>Catalog!$AN$108</f>
        <v>1</v>
      </c>
      <c r="D93" s="17" t="str">
        <f>Catalog!$AO$108</f>
        <v>Available</v>
      </c>
      <c r="E93" s="14" t="s">
        <v>24</v>
      </c>
      <c r="F93" s="17" t="str">
        <f>Catalog!$AT$108</f>
        <v>Blast 20 collectibles!</v>
      </c>
      <c r="G93" s="13"/>
    </row>
    <row r="94" spans="1:7" ht="15" x14ac:dyDescent="0.15">
      <c r="A94" s="11" t="s">
        <v>32</v>
      </c>
      <c r="B94" s="27" t="str">
        <f>Catalog!$E$108</f>
        <v>missionBratt</v>
      </c>
      <c r="C94" s="17">
        <f>Catalog!$AN$108</f>
        <v>1</v>
      </c>
      <c r="D94" s="17" t="str">
        <f>Catalog!$AO$108</f>
        <v>Available</v>
      </c>
      <c r="E94" s="14" t="s">
        <v>25</v>
      </c>
      <c r="F94" s="17" t="str">
        <f>Catalog!$AU$108</f>
        <v xml:space="preserve">Get 20 collectibles in a single round! Grab &amp; go!  </v>
      </c>
      <c r="G94" s="13"/>
    </row>
    <row r="95" spans="1:7" ht="15" x14ac:dyDescent="0.15">
      <c r="A95" s="11" t="s">
        <v>32</v>
      </c>
      <c r="B95" s="27" t="str">
        <f>Catalog!$E$108</f>
        <v>missionBratt</v>
      </c>
      <c r="C95" s="17">
        <f>Catalog!$AN$108</f>
        <v>1</v>
      </c>
      <c r="D95" s="17" t="str">
        <f>Catalog!$AO$108</f>
        <v>Available</v>
      </c>
      <c r="E95" s="14" t="s">
        <v>34</v>
      </c>
      <c r="F95" s="17" t="str">
        <f>Catalog!$AV$108</f>
        <v>Completing this mission unlocks a new Ultimate!</v>
      </c>
      <c r="G95" s="13"/>
    </row>
    <row r="96" spans="1:7" ht="15" x14ac:dyDescent="0.15">
      <c r="A96" s="11" t="s">
        <v>32</v>
      </c>
      <c r="B96" s="27" t="str">
        <f>Catalog!$E$108</f>
        <v>missionBratt</v>
      </c>
      <c r="C96" s="17">
        <f>Catalog!$BD$108</f>
        <v>2</v>
      </c>
      <c r="D96" s="17" t="str">
        <f>Catalog!$BE$108</f>
        <v>complete</v>
      </c>
      <c r="E96" s="14" t="s">
        <v>23</v>
      </c>
      <c r="F96" s="17" t="str">
        <f>Catalog!$BI$108</f>
        <v>Swag Snatch</v>
      </c>
      <c r="G96" s="13"/>
    </row>
    <row r="97" spans="1:7" ht="15" x14ac:dyDescent="0.15">
      <c r="A97" s="11" t="s">
        <v>32</v>
      </c>
      <c r="B97" s="27" t="str">
        <f>Catalog!$E$108</f>
        <v>missionBratt</v>
      </c>
      <c r="C97" s="17">
        <f>Catalog!$BD$108</f>
        <v>2</v>
      </c>
      <c r="D97" s="17" t="str">
        <f>Catalog!$BE$108</f>
        <v>complete</v>
      </c>
      <c r="E97" s="14" t="s">
        <v>24</v>
      </c>
      <c r="F97" s="17" t="str">
        <f>Catalog!$BK$108</f>
        <v>You blasted 20 collectibles!</v>
      </c>
      <c r="G97" s="13"/>
    </row>
    <row r="98" spans="1:7" ht="15" x14ac:dyDescent="0.15">
      <c r="A98" s="11" t="s">
        <v>32</v>
      </c>
      <c r="B98" s="27" t="str">
        <f>Catalog!$E$108</f>
        <v>missionBratt</v>
      </c>
      <c r="C98" s="17">
        <f>Catalog!$BD$108</f>
        <v>2</v>
      </c>
      <c r="D98" s="17" t="str">
        <f>Catalog!$BE$108</f>
        <v>complete</v>
      </c>
      <c r="E98" s="14" t="s">
        <v>25</v>
      </c>
      <c r="F98" s="17" t="str">
        <f>Catalog!$BL$108</f>
        <v>You blasted at least 20 collectibles! Go on and brag, you got that swag!</v>
      </c>
      <c r="G98" s="13"/>
    </row>
    <row r="99" spans="1:7" ht="15" x14ac:dyDescent="0.15">
      <c r="A99" s="11" t="s">
        <v>32</v>
      </c>
      <c r="B99" s="27" t="str">
        <f>Catalog!$E$108</f>
        <v>missionBratt</v>
      </c>
      <c r="C99" s="17">
        <f>Catalog!$BD$108</f>
        <v>2</v>
      </c>
      <c r="D99" s="17" t="str">
        <f>Catalog!$BE$108</f>
        <v>complete</v>
      </c>
      <c r="E99" s="14" t="s">
        <v>34</v>
      </c>
      <c r="F99" s="17" t="str">
        <f>Catalog!$BM$108</f>
        <v>You've unlocked Bratt's BOOM! (TM) Box!</v>
      </c>
      <c r="G99" s="13"/>
    </row>
    <row r="100" spans="1:7" ht="15" x14ac:dyDescent="0.15">
      <c r="A100" s="11" t="s">
        <v>5484</v>
      </c>
      <c r="B100" s="12" t="str">
        <f>Catalog!E109</f>
        <v>achievementMissionBratt</v>
      </c>
      <c r="C100" s="20">
        <f>Catalog!$W$109</f>
        <v>0</v>
      </c>
      <c r="D100" s="20" t="str">
        <f>Catalog!$X$109</f>
        <v>unearned</v>
      </c>
      <c r="E100" s="19" t="s">
        <v>25</v>
      </c>
      <c r="F100" s="20" t="str">
        <f>Catalog!$AD$109</f>
        <v>You must complete mission Swag Snatch to get this achievement!</v>
      </c>
    </row>
    <row r="101" spans="1:7" ht="15" x14ac:dyDescent="0.15">
      <c r="A101" s="11" t="s">
        <v>5484</v>
      </c>
      <c r="B101" s="12" t="str">
        <f>Catalog!E109</f>
        <v>achievementMissionBratt</v>
      </c>
      <c r="C101" s="17">
        <f>Catalog!$BD$109</f>
        <v>2</v>
      </c>
      <c r="D101" s="17" t="str">
        <f>Catalog!$BE$109</f>
        <v>earned</v>
      </c>
      <c r="E101" s="19" t="s">
        <v>23</v>
      </c>
      <c r="F101" s="610" t="str">
        <f>Catalog!$BI$109</f>
        <v>Swag Champion</v>
      </c>
    </row>
    <row r="102" spans="1:7" ht="28" x14ac:dyDescent="0.15">
      <c r="A102" s="11" t="s">
        <v>5484</v>
      </c>
      <c r="B102" s="12" t="str">
        <f>Catalog!E109</f>
        <v>achievementMissionBratt</v>
      </c>
      <c r="C102" s="17">
        <f>Catalog!$BD$109</f>
        <v>2</v>
      </c>
      <c r="D102" s="17" t="str">
        <f>Catalog!$BE$109</f>
        <v>earned</v>
      </c>
      <c r="E102" s="19" t="s">
        <v>25</v>
      </c>
      <c r="F102" s="20" t="str">
        <f>Catalog!$BL$109</f>
        <v xml:space="preserve">You blasted at least 20 collectibles in one round! Save some swag for the rest of the villains! </v>
      </c>
    </row>
    <row r="103" spans="1:7" ht="15" x14ac:dyDescent="0.15">
      <c r="A103" s="11" t="s">
        <v>32</v>
      </c>
      <c r="B103" s="27" t="str">
        <f>Catalog!$E$113</f>
        <v>missionBelle</v>
      </c>
      <c r="C103" s="17">
        <f>Catalog!$W$113</f>
        <v>0</v>
      </c>
      <c r="D103" s="17" t="str">
        <f>Catalog!$X$113</f>
        <v>locked</v>
      </c>
      <c r="E103" s="14" t="s">
        <v>23</v>
      </c>
      <c r="F103" s="17" t="str">
        <f>Catalog!$AB$113</f>
        <v>Secret Mission</v>
      </c>
      <c r="G103" s="13"/>
    </row>
    <row r="104" spans="1:7" ht="15" x14ac:dyDescent="0.15">
      <c r="A104" s="11" t="s">
        <v>32</v>
      </c>
      <c r="B104" s="27" t="str">
        <f>Catalog!$E$113</f>
        <v>missionBelle</v>
      </c>
      <c r="C104" s="17">
        <f>Catalog!$W$113</f>
        <v>0</v>
      </c>
      <c r="D104" s="17" t="str">
        <f>Catalog!$X$113</f>
        <v>locked</v>
      </c>
      <c r="E104" s="14" t="s">
        <v>25</v>
      </c>
      <c r="F104" s="17" t="str">
        <f>Catalog!$AD$113</f>
        <v>You must find Belle Bottom's launcher to unlock this mission!</v>
      </c>
      <c r="G104" s="13"/>
    </row>
    <row r="105" spans="1:7" ht="15" x14ac:dyDescent="0.15">
      <c r="A105" s="11" t="s">
        <v>32</v>
      </c>
      <c r="B105" s="27" t="str">
        <f>Catalog!$E$113</f>
        <v>missionBelle</v>
      </c>
      <c r="C105" s="17">
        <f>Catalog!$AN$113</f>
        <v>1</v>
      </c>
      <c r="D105" s="17" t="str">
        <f>Catalog!$AO$113</f>
        <v>Available</v>
      </c>
      <c r="E105" s="14" t="s">
        <v>23</v>
      </c>
      <c r="F105" s="17" t="str">
        <f>Catalog!$AS$113</f>
        <v>Boss Battle</v>
      </c>
      <c r="G105" s="13"/>
    </row>
    <row r="106" spans="1:7" ht="15" x14ac:dyDescent="0.15">
      <c r="A106" s="11" t="s">
        <v>32</v>
      </c>
      <c r="B106" s="27" t="str">
        <f>Catalog!$E$113</f>
        <v>missionBelle</v>
      </c>
      <c r="C106" s="17">
        <f>Catalog!$AN$113</f>
        <v>1</v>
      </c>
      <c r="D106" s="17" t="str">
        <f>Catalog!$AO$113</f>
        <v>Available</v>
      </c>
      <c r="E106" s="14" t="s">
        <v>24</v>
      </c>
      <c r="F106" s="17" t="str">
        <f>Catalog!$AT$113</f>
        <v>Blast other bosses at least 99 times!</v>
      </c>
      <c r="G106" s="13"/>
    </row>
    <row r="107" spans="1:7" ht="15" x14ac:dyDescent="0.15">
      <c r="A107" s="11" t="s">
        <v>32</v>
      </c>
      <c r="B107" s="27" t="str">
        <f>Catalog!$E$113</f>
        <v>missionBelle</v>
      </c>
      <c r="C107" s="17">
        <f>Catalog!$AN$113</f>
        <v>1</v>
      </c>
      <c r="D107" s="17" t="str">
        <f>Catalog!$AO$113</f>
        <v>Available</v>
      </c>
      <c r="E107" s="14" t="s">
        <v>25</v>
      </c>
      <c r="F107" s="17" t="str">
        <f>Catalog!$AU$113</f>
        <v>Land 99 hits on other villains during a single playthrough!</v>
      </c>
      <c r="G107" s="13"/>
    </row>
    <row r="108" spans="1:7" ht="15" x14ac:dyDescent="0.15">
      <c r="A108" s="11" t="s">
        <v>32</v>
      </c>
      <c r="B108" s="27" t="str">
        <f>Catalog!$E$113</f>
        <v>missionBelle</v>
      </c>
      <c r="C108" s="17">
        <f>Catalog!$AN$113</f>
        <v>1</v>
      </c>
      <c r="D108" s="17" t="str">
        <f>Catalog!$AO$113</f>
        <v>Available</v>
      </c>
      <c r="E108" s="14" t="s">
        <v>34</v>
      </c>
      <c r="F108" s="17" t="str">
        <f>Catalog!$AV$113</f>
        <v>Completing this mission unlocks a new launcher!</v>
      </c>
      <c r="G108" s="13"/>
    </row>
    <row r="109" spans="1:7" ht="15" x14ac:dyDescent="0.15">
      <c r="A109" s="11" t="s">
        <v>32</v>
      </c>
      <c r="B109" s="27" t="str">
        <f>Catalog!$E$113</f>
        <v>missionBelle</v>
      </c>
      <c r="C109" s="17">
        <f>Catalog!$BD$113</f>
        <v>2</v>
      </c>
      <c r="D109" s="17" t="str">
        <f>Catalog!$BE$113</f>
        <v>complete</v>
      </c>
      <c r="E109" s="14" t="s">
        <v>23</v>
      </c>
      <c r="F109" s="17" t="str">
        <f>Catalog!$BI$113</f>
        <v>Boss Battle</v>
      </c>
      <c r="G109" s="13"/>
    </row>
    <row r="110" spans="1:7" ht="15" x14ac:dyDescent="0.15">
      <c r="A110" s="11" t="s">
        <v>32</v>
      </c>
      <c r="B110" s="27" t="str">
        <f>Catalog!$E$113</f>
        <v>missionBelle</v>
      </c>
      <c r="C110" s="17">
        <f>Catalog!$BD$113</f>
        <v>2</v>
      </c>
      <c r="D110" s="17" t="str">
        <f>Catalog!$BE$113</f>
        <v>complete</v>
      </c>
      <c r="E110" s="14" t="s">
        <v>24</v>
      </c>
      <c r="F110" s="17" t="str">
        <f>Catalog!$BK$113</f>
        <v>You blasted other bosses at least 99 times!</v>
      </c>
      <c r="G110" s="13"/>
    </row>
    <row r="111" spans="1:7" ht="28" x14ac:dyDescent="0.15">
      <c r="A111" s="11" t="s">
        <v>32</v>
      </c>
      <c r="B111" s="27" t="str">
        <f>Catalog!$E$113</f>
        <v>missionBelle</v>
      </c>
      <c r="C111" s="17">
        <f>Catalog!$BD$113</f>
        <v>2</v>
      </c>
      <c r="D111" s="17" t="str">
        <f>Catalog!$BE$113</f>
        <v>complete</v>
      </c>
      <c r="E111" s="14" t="s">
        <v>25</v>
      </c>
      <c r="F111" s="17" t="str">
        <f>Catalog!$BL$113</f>
        <v>You landed at least 99 hits on other bosses! They'd be proud if they weren't in so much pain.</v>
      </c>
      <c r="G111" s="13"/>
    </row>
    <row r="112" spans="1:7" ht="15" x14ac:dyDescent="0.15">
      <c r="A112" s="11" t="s">
        <v>32</v>
      </c>
      <c r="B112" s="27" t="str">
        <f>Catalog!$E$113</f>
        <v>missionBelle</v>
      </c>
      <c r="C112" s="17">
        <f>Catalog!$BD$113</f>
        <v>2</v>
      </c>
      <c r="D112" s="17" t="str">
        <f>Catalog!$BE$113</f>
        <v>complete</v>
      </c>
      <c r="E112" s="14" t="s">
        <v>34</v>
      </c>
      <c r="F112" s="17" t="str">
        <f>Catalog!$BM$113</f>
        <v>You've unlocked Belle's Laser Party Ball Launcher!</v>
      </c>
      <c r="G112" s="13"/>
    </row>
    <row r="113" spans="1:7" ht="15" x14ac:dyDescent="0.15">
      <c r="A113" s="11" t="s">
        <v>5484</v>
      </c>
      <c r="B113" s="12" t="str">
        <f>Catalog!$E$114</f>
        <v>achievementMissionBelle</v>
      </c>
      <c r="C113" s="20">
        <f>Catalog!$W$114</f>
        <v>0</v>
      </c>
      <c r="D113" s="20" t="str">
        <f>Catalog!$X$114</f>
        <v>unearned</v>
      </c>
      <c r="E113" s="19" t="s">
        <v>25</v>
      </c>
      <c r="F113" s="20" t="str">
        <f>Catalog!$AD$114</f>
        <v>You must complete mission Boss Battle to get this achievement!</v>
      </c>
    </row>
    <row r="114" spans="1:7" ht="15" x14ac:dyDescent="0.15">
      <c r="A114" s="11" t="s">
        <v>5484</v>
      </c>
      <c r="B114" s="12" t="str">
        <f>Catalog!$E$114</f>
        <v>achievementMissionBelle</v>
      </c>
      <c r="C114" s="20">
        <f>Catalog!$BD$114</f>
        <v>2</v>
      </c>
      <c r="D114" s="20" t="str">
        <f>Catalog!$BE$114</f>
        <v>earned</v>
      </c>
      <c r="E114" s="19" t="s">
        <v>23</v>
      </c>
      <c r="F114" s="20" t="str">
        <f>Catalog!$BI$114</f>
        <v>Boss Battle</v>
      </c>
    </row>
    <row r="115" spans="1:7" ht="15" x14ac:dyDescent="0.15">
      <c r="A115" s="11" t="s">
        <v>5484</v>
      </c>
      <c r="B115" s="12" t="str">
        <f>Catalog!$E$114</f>
        <v>achievementMissionBelle</v>
      </c>
      <c r="C115" s="20">
        <f>Catalog!$BD$114</f>
        <v>2</v>
      </c>
      <c r="D115" s="20" t="str">
        <f>Catalog!$BE$114</f>
        <v>earned</v>
      </c>
      <c r="E115" s="19" t="s">
        <v>25</v>
      </c>
      <c r="F115" s="20" t="str">
        <f>Catalog!$BL$114</f>
        <v>You caused epic boss damage! They'll all be working for you soon.</v>
      </c>
    </row>
    <row r="116" spans="1:7" ht="15" x14ac:dyDescent="0.15">
      <c r="A116" s="11" t="s">
        <v>32</v>
      </c>
      <c r="B116" s="18" t="str">
        <f>Catalog!$E$118</f>
        <v>missionStronghold</v>
      </c>
      <c r="C116" s="17">
        <f>Catalog!$W$118</f>
        <v>0</v>
      </c>
      <c r="D116" s="17" t="str">
        <f>Catalog!$X$118</f>
        <v>locked</v>
      </c>
      <c r="E116" s="14" t="s">
        <v>23</v>
      </c>
      <c r="F116" s="17" t="str">
        <f>Catalog!$AB$118</f>
        <v>Secret Mission</v>
      </c>
      <c r="G116" s="13"/>
    </row>
    <row r="117" spans="1:7" ht="15" x14ac:dyDescent="0.15">
      <c r="A117" s="11" t="s">
        <v>32</v>
      </c>
      <c r="B117" s="18" t="str">
        <f>Catalog!$E$118</f>
        <v>missionStronghold</v>
      </c>
      <c r="C117" s="17">
        <f>Catalog!$W$118</f>
        <v>0</v>
      </c>
      <c r="D117" s="17" t="str">
        <f>Catalog!$X$118</f>
        <v>locked</v>
      </c>
      <c r="E117" s="14" t="s">
        <v>25</v>
      </c>
      <c r="F117" s="17" t="str">
        <f>Catalog!$AD$118</f>
        <v>You must find Stronghold's launcher to unlock this mission!</v>
      </c>
      <c r="G117" s="13"/>
    </row>
    <row r="118" spans="1:7" ht="15" x14ac:dyDescent="0.15">
      <c r="A118" s="11" t="s">
        <v>32</v>
      </c>
      <c r="B118" s="18" t="str">
        <f>Catalog!$E$118</f>
        <v>missionStronghold</v>
      </c>
      <c r="C118" s="17">
        <f>Catalog!$AN$118</f>
        <v>1</v>
      </c>
      <c r="D118" s="17" t="str">
        <f>Catalog!$AO$118</f>
        <v>Available</v>
      </c>
      <c r="E118" s="14" t="s">
        <v>23</v>
      </c>
      <c r="F118" s="17" t="str">
        <f>Catalog!$AS$118</f>
        <v>Fists of Fury</v>
      </c>
      <c r="G118" s="13"/>
    </row>
    <row r="119" spans="1:7" ht="15" x14ac:dyDescent="0.15">
      <c r="A119" s="11" t="s">
        <v>32</v>
      </c>
      <c r="B119" s="18" t="str">
        <f>Catalog!$E$118</f>
        <v>missionStronghold</v>
      </c>
      <c r="C119" s="17">
        <f>Catalog!$AN$118</f>
        <v>1</v>
      </c>
      <c r="D119" s="17" t="str">
        <f>Catalog!$AO$118</f>
        <v>Available</v>
      </c>
      <c r="E119" s="14" t="s">
        <v>24</v>
      </c>
      <c r="F119" s="17" t="str">
        <f>Catalog!$AT$118</f>
        <v>Damage the environment with at least 70 hits!</v>
      </c>
      <c r="G119" s="13"/>
    </row>
    <row r="120" spans="1:7" ht="15" x14ac:dyDescent="0.15">
      <c r="A120" s="11" t="s">
        <v>32</v>
      </c>
      <c r="B120" s="18" t="str">
        <f>Catalog!$E$118</f>
        <v>missionStronghold</v>
      </c>
      <c r="C120" s="17">
        <f>Catalog!$AN$118</f>
        <v>1</v>
      </c>
      <c r="D120" s="17" t="str">
        <f>Catalog!$AO$118</f>
        <v>Available</v>
      </c>
      <c r="E120" s="14" t="s">
        <v>25</v>
      </c>
      <c r="F120" s="17" t="str">
        <f>Catalog!$AU$118</f>
        <v>Destroy decor, furniture, everything! Villain-Con is your rage room now!</v>
      </c>
      <c r="G120" s="13"/>
    </row>
    <row r="121" spans="1:7" ht="15" x14ac:dyDescent="0.15">
      <c r="A121" s="11" t="s">
        <v>32</v>
      </c>
      <c r="B121" s="18" t="str">
        <f>Catalog!$E$118</f>
        <v>missionStronghold</v>
      </c>
      <c r="C121" s="17">
        <f>Catalog!$AN$118</f>
        <v>1</v>
      </c>
      <c r="D121" s="17" t="str">
        <f>Catalog!$AO$118</f>
        <v>Available</v>
      </c>
      <c r="E121" s="14" t="s">
        <v>34</v>
      </c>
      <c r="F121" s="17" t="str">
        <f>Catalog!$AV$118</f>
        <v>Completing this mission unlocks a new launcher!</v>
      </c>
      <c r="G121" s="13"/>
    </row>
    <row r="122" spans="1:7" ht="15" x14ac:dyDescent="0.15">
      <c r="A122" s="11" t="s">
        <v>32</v>
      </c>
      <c r="B122" s="18" t="str">
        <f>Catalog!$E$118</f>
        <v>missionStronghold</v>
      </c>
      <c r="C122" s="17">
        <f>Catalog!$BD$118</f>
        <v>2</v>
      </c>
      <c r="D122" s="17" t="str">
        <f>Catalog!$BE$118</f>
        <v>complete</v>
      </c>
      <c r="E122" s="14" t="s">
        <v>23</v>
      </c>
      <c r="F122" s="17" t="str">
        <f>Catalog!$BI$118</f>
        <v>Fists of Fury</v>
      </c>
      <c r="G122" s="13"/>
    </row>
    <row r="123" spans="1:7" ht="15" x14ac:dyDescent="0.15">
      <c r="A123" s="11" t="s">
        <v>32</v>
      </c>
      <c r="B123" s="18" t="str">
        <f>Catalog!$E$118</f>
        <v>missionStronghold</v>
      </c>
      <c r="C123" s="17">
        <f>Catalog!$BD$118</f>
        <v>2</v>
      </c>
      <c r="D123" s="17" t="str">
        <f>Catalog!$BE$118</f>
        <v>complete</v>
      </c>
      <c r="E123" s="14" t="s">
        <v>24</v>
      </c>
      <c r="F123" s="17" t="str">
        <f>Catalog!$BK$118</f>
        <v>You landed at least 70 hits of Environmental Damage!</v>
      </c>
      <c r="G123" s="13"/>
    </row>
    <row r="124" spans="1:7" ht="28" x14ac:dyDescent="0.15">
      <c r="A124" s="11" t="s">
        <v>32</v>
      </c>
      <c r="B124" s="18" t="str">
        <f>Catalog!$E$118</f>
        <v>missionStronghold</v>
      </c>
      <c r="C124" s="17">
        <f>Catalog!$BD$118</f>
        <v>2</v>
      </c>
      <c r="D124" s="17" t="str">
        <f>Catalog!$BE$118</f>
        <v>complete</v>
      </c>
      <c r="E124" s="14" t="s">
        <v>25</v>
      </c>
      <c r="F124" s="17" t="str">
        <f>Catalog!$BL$118</f>
        <v>You turned all of Villain-Con into your rage room! Those walls were lookin' real breakable...</v>
      </c>
      <c r="G124" s="13"/>
    </row>
    <row r="125" spans="1:7" ht="15" x14ac:dyDescent="0.15">
      <c r="A125" s="11" t="s">
        <v>32</v>
      </c>
      <c r="B125" s="18" t="str">
        <f>Catalog!$E$118</f>
        <v>missionStronghold</v>
      </c>
      <c r="C125" s="17">
        <f>Catalog!$BD$118</f>
        <v>2</v>
      </c>
      <c r="D125" s="17" t="str">
        <f>Catalog!$BE$118</f>
        <v>complete</v>
      </c>
      <c r="E125" s="14" t="s">
        <v>34</v>
      </c>
      <c r="F125" s="17" t="str">
        <f>Catalog!$BM$118</f>
        <v>You've unlocked Stronghold's Iron Fists Launcher!</v>
      </c>
      <c r="G125" s="13"/>
    </row>
    <row r="126" spans="1:7" ht="15" x14ac:dyDescent="0.15">
      <c r="A126" s="11" t="s">
        <v>5484</v>
      </c>
      <c r="B126" s="12" t="str">
        <f>Catalog!$E$119</f>
        <v>achievementMissionStronghold</v>
      </c>
      <c r="C126" s="20">
        <f>Catalog!$W$119</f>
        <v>0</v>
      </c>
      <c r="D126" s="20" t="str">
        <f>Catalog!$X$119</f>
        <v>unearned</v>
      </c>
      <c r="E126" s="19" t="s">
        <v>25</v>
      </c>
      <c r="F126" s="20" t="str">
        <f>Catalog!$AD$119</f>
        <v>You must complete mission Fists of Fury to get this achievement!</v>
      </c>
    </row>
    <row r="127" spans="1:7" ht="15" x14ac:dyDescent="0.15">
      <c r="A127" s="11" t="s">
        <v>5484</v>
      </c>
      <c r="B127" s="12" t="str">
        <f>Catalog!$E$119</f>
        <v>achievementMissionStronghold</v>
      </c>
      <c r="C127" s="20">
        <f>Catalog!$BD$119</f>
        <v>2</v>
      </c>
      <c r="D127" s="20" t="str">
        <f>Catalog!$BE$119</f>
        <v>earned</v>
      </c>
      <c r="E127" s="19" t="s">
        <v>23</v>
      </c>
      <c r="F127" s="20" t="str">
        <f>Catalog!$BI$119</f>
        <v>Certified Smasher</v>
      </c>
    </row>
    <row r="128" spans="1:7" ht="28" x14ac:dyDescent="0.15">
      <c r="A128" s="11" t="s">
        <v>5484</v>
      </c>
      <c r="B128" s="12" t="str">
        <f>Catalog!$E$119</f>
        <v>achievementMissionStronghold</v>
      </c>
      <c r="C128" s="20">
        <f>Catalog!$BD$119</f>
        <v>2</v>
      </c>
      <c r="D128" s="20" t="str">
        <f>Catalog!$BE$119</f>
        <v>earned</v>
      </c>
      <c r="E128" s="19" t="s">
        <v>25</v>
      </c>
      <c r="F128" s="20" t="str">
        <f>Catalog!$BL$119</f>
        <v>You caused massive environmental damage! You make the oil companies look like amateurs!</v>
      </c>
    </row>
    <row r="129" spans="1:7" ht="15" x14ac:dyDescent="0.15">
      <c r="A129" s="11" t="s">
        <v>32</v>
      </c>
      <c r="B129" s="18" t="str">
        <f>Catalog!$E$123</f>
        <v>missionNunchuck</v>
      </c>
      <c r="C129" s="17">
        <f>Catalog!$W$123</f>
        <v>0</v>
      </c>
      <c r="D129" s="17" t="str">
        <f>Catalog!$X$123</f>
        <v>locked</v>
      </c>
      <c r="E129" s="14" t="s">
        <v>23</v>
      </c>
      <c r="F129" s="17" t="str">
        <f>Catalog!$AB$123</f>
        <v>Secret Mission</v>
      </c>
      <c r="G129" s="13"/>
    </row>
    <row r="130" spans="1:7" ht="15" x14ac:dyDescent="0.15">
      <c r="A130" s="11" t="s">
        <v>32</v>
      </c>
      <c r="B130" s="18" t="str">
        <f>Catalog!$E$123</f>
        <v>missionNunchuck</v>
      </c>
      <c r="C130" s="17">
        <f>Catalog!$W$123</f>
        <v>0</v>
      </c>
      <c r="D130" s="17" t="str">
        <f>Catalog!$X$123</f>
        <v>locked</v>
      </c>
      <c r="E130" s="14" t="s">
        <v>25</v>
      </c>
      <c r="F130" s="17" t="str">
        <f>Catalog!$AD$123</f>
        <v>You must find Nun Chuck's launcher to unlock this mission!</v>
      </c>
      <c r="G130" s="13"/>
    </row>
    <row r="131" spans="1:7" ht="15" x14ac:dyDescent="0.15">
      <c r="A131" s="11" t="s">
        <v>32</v>
      </c>
      <c r="B131" s="18" t="str">
        <f>Catalog!$E$123</f>
        <v>missionNunchuck</v>
      </c>
      <c r="C131" s="17">
        <f>Catalog!$AN$123</f>
        <v>1</v>
      </c>
      <c r="D131" s="17" t="str">
        <f>Catalog!$AO$123</f>
        <v>Available</v>
      </c>
      <c r="E131" s="14" t="s">
        <v>23</v>
      </c>
      <c r="F131" s="17" t="str">
        <f>Catalog!$AS$123</f>
        <v>No Fly Drone</v>
      </c>
      <c r="G131" s="13"/>
    </row>
    <row r="132" spans="1:7" ht="15" x14ac:dyDescent="0.15">
      <c r="A132" s="11" t="s">
        <v>32</v>
      </c>
      <c r="B132" s="18" t="str">
        <f>Catalog!$E$123</f>
        <v>missionNunchuck</v>
      </c>
      <c r="C132" s="17">
        <f>Catalog!$AN$123</f>
        <v>1</v>
      </c>
      <c r="D132" s="17" t="str">
        <f>Catalog!$AO$123</f>
        <v>Available</v>
      </c>
      <c r="E132" s="14" t="s">
        <v>24</v>
      </c>
      <c r="F132" s="17" t="str">
        <f>Catalog!$AT$123</f>
        <v>Destroy 20 flying targets!</v>
      </c>
      <c r="G132" s="13"/>
    </row>
    <row r="133" spans="1:7" ht="28" x14ac:dyDescent="0.15">
      <c r="A133" s="11" t="s">
        <v>32</v>
      </c>
      <c r="B133" s="18" t="str">
        <f>Catalog!$E$123</f>
        <v>missionNunchuck</v>
      </c>
      <c r="C133" s="17">
        <f>Catalog!$AN$123</f>
        <v>1</v>
      </c>
      <c r="D133" s="17" t="str">
        <f>Catalog!$AO$123</f>
        <v>Available</v>
      </c>
      <c r="E133" s="14" t="s">
        <v>25</v>
      </c>
      <c r="F133" s="17" t="str">
        <f>Catalog!$AU$123</f>
        <v>Destroy 20 flying targets: drones, music notes, jetpack Minions, bubbles, records!</v>
      </c>
      <c r="G133" s="13"/>
    </row>
    <row r="134" spans="1:7" ht="15" x14ac:dyDescent="0.15">
      <c r="A134" s="11" t="s">
        <v>32</v>
      </c>
      <c r="B134" s="18" t="str">
        <f>Catalog!$E$123</f>
        <v>missionNunchuck</v>
      </c>
      <c r="C134" s="17">
        <f>Catalog!$AN$123</f>
        <v>1</v>
      </c>
      <c r="D134" s="17" t="str">
        <f>Catalog!$AO$123</f>
        <v>Available</v>
      </c>
      <c r="E134" s="14" t="s">
        <v>34</v>
      </c>
      <c r="F134" s="17" t="str">
        <f>Catalog!$AV$123</f>
        <v>Completing this mission unlocks a new launcher!</v>
      </c>
      <c r="G134" s="13"/>
    </row>
    <row r="135" spans="1:7" ht="15" x14ac:dyDescent="0.15">
      <c r="A135" s="11" t="s">
        <v>32</v>
      </c>
      <c r="B135" s="18" t="str">
        <f>Catalog!$E$123</f>
        <v>missionNunchuck</v>
      </c>
      <c r="C135" s="17">
        <f>Catalog!$BD$123</f>
        <v>2</v>
      </c>
      <c r="D135" s="17" t="str">
        <f>Catalog!$BE$123</f>
        <v>complete</v>
      </c>
      <c r="E135" s="14" t="s">
        <v>23</v>
      </c>
      <c r="F135" s="17" t="str">
        <f>Catalog!$BI$123</f>
        <v>No Fly Drone</v>
      </c>
      <c r="G135" s="13"/>
    </row>
    <row r="136" spans="1:7" ht="15" x14ac:dyDescent="0.15">
      <c r="A136" s="11" t="s">
        <v>32</v>
      </c>
      <c r="B136" s="18" t="str">
        <f>Catalog!$E$123</f>
        <v>missionNunchuck</v>
      </c>
      <c r="C136" s="17">
        <f>Catalog!$BD$123</f>
        <v>2</v>
      </c>
      <c r="D136" s="17" t="str">
        <f>Catalog!$BE$123</f>
        <v>complete</v>
      </c>
      <c r="E136" s="14" t="s">
        <v>24</v>
      </c>
      <c r="F136" s="17" t="str">
        <f>Catalog!$BK$123</f>
        <v>You destroyed 20 flying targets!</v>
      </c>
      <c r="G136" s="13"/>
    </row>
    <row r="137" spans="1:7" ht="15" x14ac:dyDescent="0.15">
      <c r="A137" s="11" t="s">
        <v>32</v>
      </c>
      <c r="B137" s="18" t="str">
        <f>Catalog!$E$123</f>
        <v>missionNunchuck</v>
      </c>
      <c r="C137" s="17">
        <f>Catalog!$BD$123</f>
        <v>2</v>
      </c>
      <c r="D137" s="17" t="str">
        <f>Catalog!$BE$123</f>
        <v>complete</v>
      </c>
      <c r="E137" s="14" t="s">
        <v>25</v>
      </c>
      <c r="F137" s="17" t="str">
        <f>Catalog!$BL$123</f>
        <v>You destroyed at least 20 flying targets! Now YOU rule the skies.</v>
      </c>
      <c r="G137" s="13"/>
    </row>
    <row r="138" spans="1:7" ht="15" x14ac:dyDescent="0.15">
      <c r="A138" s="11" t="s">
        <v>32</v>
      </c>
      <c r="B138" s="18" t="str">
        <f>Catalog!$E$123</f>
        <v>missionNunchuck</v>
      </c>
      <c r="C138" s="17">
        <f>Catalog!$BD$123</f>
        <v>2</v>
      </c>
      <c r="D138" s="17" t="str">
        <f>Catalog!$BE$123</f>
        <v>complete</v>
      </c>
      <c r="E138" s="14" t="s">
        <v>34</v>
      </c>
      <c r="F138" s="17" t="str">
        <f>Catalog!$BM$123</f>
        <v>You've unlocked Nunchuck's Boom Chucks!</v>
      </c>
      <c r="G138" s="13"/>
    </row>
    <row r="139" spans="1:7" ht="15" x14ac:dyDescent="0.15">
      <c r="A139" s="11" t="s">
        <v>5484</v>
      </c>
      <c r="B139" s="12" t="str">
        <f>Catalog!$E$124</f>
        <v>achievementMissionNunchuck</v>
      </c>
      <c r="C139" s="20">
        <f>Catalog!$W$124</f>
        <v>0</v>
      </c>
      <c r="D139" s="20" t="str">
        <f>Catalog!$X$124</f>
        <v>unearned</v>
      </c>
      <c r="E139" s="19" t="s">
        <v>25</v>
      </c>
      <c r="F139" s="20" t="str">
        <f>Catalog!$AD$124</f>
        <v>You must complete mission No Fly Drone to get this achievement!</v>
      </c>
    </row>
    <row r="140" spans="1:7" ht="15" x14ac:dyDescent="0.15">
      <c r="A140" s="11" t="s">
        <v>5484</v>
      </c>
      <c r="B140" s="12" t="str">
        <f>Catalog!$E$124</f>
        <v>achievementMissionNunchuck</v>
      </c>
      <c r="C140" s="20">
        <f>Catalog!$BD$124</f>
        <v>2</v>
      </c>
      <c r="D140" s="20" t="str">
        <f>Catalog!$BE$124</f>
        <v>earned</v>
      </c>
      <c r="E140" s="19" t="s">
        <v>23</v>
      </c>
      <c r="F140" s="20" t="str">
        <f>Catalog!$BI$124</f>
        <v>High Flier</v>
      </c>
    </row>
    <row r="141" spans="1:7" ht="28" x14ac:dyDescent="0.15">
      <c r="A141" s="11" t="s">
        <v>5484</v>
      </c>
      <c r="B141" s="12" t="str">
        <f>Catalog!$E$124</f>
        <v>achievementMissionNunchuck</v>
      </c>
      <c r="C141" s="20">
        <f>Catalog!$BD$124</f>
        <v>2</v>
      </c>
      <c r="D141" s="20" t="str">
        <f>Catalog!$BE$124</f>
        <v>earned</v>
      </c>
      <c r="E141" s="19" t="s">
        <v>25</v>
      </c>
      <c r="F141" s="20" t="str">
        <f>Catalog!$BL$124</f>
        <v>You destroyed over 20 flying targets! With your new Boom Chucks, you can take explosiveness to new heights!</v>
      </c>
    </row>
    <row r="142" spans="1:7" ht="15" x14ac:dyDescent="0.15">
      <c r="A142" s="11" t="s">
        <v>32</v>
      </c>
      <c r="B142" s="27" t="str">
        <f>Catalog!$E$128</f>
        <v>missionSvengeance</v>
      </c>
      <c r="C142" s="17">
        <f>Catalog!$W$128</f>
        <v>0</v>
      </c>
      <c r="D142" s="17" t="str">
        <f>Catalog!$X$128</f>
        <v>locked</v>
      </c>
      <c r="E142" s="14" t="s">
        <v>23</v>
      </c>
      <c r="F142" s="17" t="str">
        <f>Catalog!$AB$128</f>
        <v>Secret Mission</v>
      </c>
      <c r="G142" s="13"/>
    </row>
    <row r="143" spans="1:7" ht="15" x14ac:dyDescent="0.15">
      <c r="A143" s="11" t="s">
        <v>32</v>
      </c>
      <c r="B143" s="27" t="str">
        <f>Catalog!$E$128</f>
        <v>missionSvengeance</v>
      </c>
      <c r="C143" s="17">
        <f>Catalog!$W$128</f>
        <v>0</v>
      </c>
      <c r="D143" s="17" t="str">
        <f>Catalog!$X$128</f>
        <v>locked</v>
      </c>
      <c r="E143" s="14" t="s">
        <v>25</v>
      </c>
      <c r="F143" s="17" t="str">
        <f>Catalog!$AD$128</f>
        <v>You must find Svengeance's launcher to unlock this mission!</v>
      </c>
      <c r="G143" s="13"/>
    </row>
    <row r="144" spans="1:7" ht="15" x14ac:dyDescent="0.15">
      <c r="A144" s="11" t="s">
        <v>32</v>
      </c>
      <c r="B144" s="27" t="str">
        <f>Catalog!$E$128</f>
        <v>missionSvengeance</v>
      </c>
      <c r="C144" s="17">
        <f>Catalog!$AN$128</f>
        <v>1</v>
      </c>
      <c r="D144" s="17" t="str">
        <f>Catalog!$AO$128</f>
        <v>Available</v>
      </c>
      <c r="E144" s="14" t="s">
        <v>23</v>
      </c>
      <c r="F144" s="17" t="str">
        <f>Catalog!$AS$128</f>
        <v>Svender Bender</v>
      </c>
      <c r="G144" s="13"/>
    </row>
    <row r="145" spans="1:7" ht="15" x14ac:dyDescent="0.15">
      <c r="A145" s="11" t="s">
        <v>32</v>
      </c>
      <c r="B145" s="27" t="str">
        <f>Catalog!$E$128</f>
        <v>missionSvengeance</v>
      </c>
      <c r="C145" s="17">
        <f>Catalog!$AN$128</f>
        <v>1</v>
      </c>
      <c r="D145" s="17" t="str">
        <f>Catalog!$AO$128</f>
        <v>Available</v>
      </c>
      <c r="E145" s="14" t="s">
        <v>24</v>
      </c>
      <c r="F145" s="17" t="str">
        <f>Catalog!$AT$128</f>
        <v>Destroy 10 rolling targets!</v>
      </c>
      <c r="G145" s="13"/>
    </row>
    <row r="146" spans="1:7" ht="28" x14ac:dyDescent="0.15">
      <c r="A146" s="11" t="s">
        <v>32</v>
      </c>
      <c r="B146" s="27" t="str">
        <f>Catalog!$E$128</f>
        <v>missionSvengeance</v>
      </c>
      <c r="C146" s="17">
        <f>Catalog!$AN$128</f>
        <v>1</v>
      </c>
      <c r="D146" s="17" t="str">
        <f>Catalog!$AO$128</f>
        <v>Available</v>
      </c>
      <c r="E146" s="14" t="s">
        <v>25</v>
      </c>
      <c r="F146" s="17" t="str">
        <f>Catalog!$AU$128</f>
        <v>Destroy 10 rolling targets: pedestals, roller Minions, rollerskating bots...if they're on wheels, get 'em!</v>
      </c>
      <c r="G146" s="13"/>
    </row>
    <row r="147" spans="1:7" ht="15" x14ac:dyDescent="0.15">
      <c r="A147" s="11" t="s">
        <v>32</v>
      </c>
      <c r="B147" s="27" t="str">
        <f>Catalog!$E$128</f>
        <v>missionSvengeance</v>
      </c>
      <c r="C147" s="17">
        <f>Catalog!$AN$128</f>
        <v>1</v>
      </c>
      <c r="D147" s="17" t="str">
        <f>Catalog!$AO$128</f>
        <v>Available</v>
      </c>
      <c r="E147" s="14" t="s">
        <v>34</v>
      </c>
      <c r="F147" s="17" t="str">
        <f>Catalog!$AV$128</f>
        <v>Completing this mission unlocks a new launcher!</v>
      </c>
      <c r="G147" s="13"/>
    </row>
    <row r="148" spans="1:7" ht="15" x14ac:dyDescent="0.15">
      <c r="A148" s="11" t="s">
        <v>32</v>
      </c>
      <c r="B148" s="27" t="str">
        <f>Catalog!$E$128</f>
        <v>missionSvengeance</v>
      </c>
      <c r="C148" s="17">
        <f>Catalog!$BD$128</f>
        <v>2</v>
      </c>
      <c r="D148" s="17" t="str">
        <f>Catalog!$BE$128</f>
        <v>complete</v>
      </c>
      <c r="E148" s="14" t="s">
        <v>23</v>
      </c>
      <c r="F148" s="17" t="str">
        <f>Catalog!$BI$128</f>
        <v>Svender Bender</v>
      </c>
      <c r="G148" s="13"/>
    </row>
    <row r="149" spans="1:7" ht="15" x14ac:dyDescent="0.15">
      <c r="A149" s="11" t="s">
        <v>32</v>
      </c>
      <c r="B149" s="27" t="str">
        <f>Catalog!$E$128</f>
        <v>missionSvengeance</v>
      </c>
      <c r="C149" s="17">
        <f>Catalog!$BD$128</f>
        <v>2</v>
      </c>
      <c r="D149" s="17" t="str">
        <f>Catalog!$BE$128</f>
        <v>complete</v>
      </c>
      <c r="E149" s="14" t="s">
        <v>24</v>
      </c>
      <c r="F149" s="17" t="str">
        <f>Catalog!$BK$128</f>
        <v>You destroyed 10 rolling targets!</v>
      </c>
      <c r="G149" s="13"/>
    </row>
    <row r="150" spans="1:7" ht="28" x14ac:dyDescent="0.15">
      <c r="A150" s="11" t="s">
        <v>32</v>
      </c>
      <c r="B150" s="27" t="str">
        <f>Catalog!$E$128</f>
        <v>missionSvengeance</v>
      </c>
      <c r="C150" s="17">
        <f>Catalog!$BD$128</f>
        <v>2</v>
      </c>
      <c r="D150" s="17" t="str">
        <f>Catalog!$BE$128</f>
        <v>complete</v>
      </c>
      <c r="E150" s="14" t="s">
        <v>25</v>
      </c>
      <c r="F150" s="17" t="str">
        <f>Catalog!$BL$128</f>
        <v>You've unlocked the Spiked Vengeance Launcher. You're the MVV (Most Valuable Villain)!</v>
      </c>
      <c r="G150" s="13"/>
    </row>
    <row r="151" spans="1:7" ht="15" x14ac:dyDescent="0.15">
      <c r="A151" s="11" t="s">
        <v>32</v>
      </c>
      <c r="B151" s="27" t="str">
        <f>Catalog!$E$128</f>
        <v>missionSvengeance</v>
      </c>
      <c r="C151" s="17">
        <f>Catalog!$BD$128</f>
        <v>2</v>
      </c>
      <c r="D151" s="17" t="str">
        <f>Catalog!$BE$128</f>
        <v>complete</v>
      </c>
      <c r="E151" s="14" t="s">
        <v>34</v>
      </c>
      <c r="F151" s="17" t="str">
        <f>Catalog!$BM$128</f>
        <v>You've unlocked Svengeance's Spiked Vengeance Launcher!</v>
      </c>
      <c r="G151" s="13"/>
    </row>
    <row r="152" spans="1:7" ht="15" x14ac:dyDescent="0.15">
      <c r="A152" s="11" t="s">
        <v>5484</v>
      </c>
      <c r="B152" s="12" t="str">
        <f>Catalog!$E$129</f>
        <v>achievementMissionSvengeance</v>
      </c>
      <c r="C152" s="20">
        <f>Catalog!$W$129</f>
        <v>0</v>
      </c>
      <c r="D152" s="20" t="str">
        <f>Catalog!$X$129</f>
        <v>unearned</v>
      </c>
      <c r="E152" s="19" t="s">
        <v>25</v>
      </c>
      <c r="F152" s="20" t="str">
        <f>Catalog!$AD$129</f>
        <v>You must complete mission Svender Bender to get this achievement!</v>
      </c>
    </row>
    <row r="153" spans="1:7" ht="15" x14ac:dyDescent="0.15">
      <c r="A153" s="11" t="s">
        <v>5484</v>
      </c>
      <c r="B153" s="12" t="str">
        <f>Catalog!$E$129</f>
        <v>achievementMissionSvengeance</v>
      </c>
      <c r="C153" s="20">
        <f>Catalog!$BD$129</f>
        <v>2</v>
      </c>
      <c r="D153" s="20" t="str">
        <f>Catalog!$BE$129</f>
        <v>earned</v>
      </c>
      <c r="E153" s="19" t="s">
        <v>23</v>
      </c>
      <c r="F153" s="20" t="str">
        <f>Catalog!$AB$129</f>
        <v>Skate Star</v>
      </c>
    </row>
    <row r="154" spans="1:7" ht="15" x14ac:dyDescent="0.15">
      <c r="A154" s="11" t="s">
        <v>5484</v>
      </c>
      <c r="B154" s="12" t="str">
        <f>Catalog!$E$129</f>
        <v>achievementMissionSvengeance</v>
      </c>
      <c r="C154" s="20">
        <f>Catalog!$BD$135</f>
        <v>2</v>
      </c>
      <c r="D154" s="20" t="str">
        <f>Catalog!$BE$129</f>
        <v>earned</v>
      </c>
      <c r="E154" s="19" t="s">
        <v>25</v>
      </c>
      <c r="F154" s="20" t="str">
        <f>Catalog!$BL$129</f>
        <v>You destroyed at least 10 rolling targets! That's an entire team!</v>
      </c>
    </row>
    <row r="155" spans="1:7" ht="15" x14ac:dyDescent="0.15">
      <c r="A155" s="11" t="s">
        <v>32</v>
      </c>
      <c r="B155" s="27" t="str">
        <f>Catalog!$E$133</f>
        <v>missionJeanClawed</v>
      </c>
      <c r="C155" s="17">
        <f>Catalog!$W$133</f>
        <v>0</v>
      </c>
      <c r="D155" s="17" t="str">
        <f>Catalog!$X$133</f>
        <v>locked</v>
      </c>
      <c r="E155" s="14" t="s">
        <v>23</v>
      </c>
      <c r="F155" s="17" t="str">
        <f>Catalog!$AB$133</f>
        <v>Secret Mission</v>
      </c>
      <c r="G155" s="13"/>
    </row>
    <row r="156" spans="1:7" ht="15" x14ac:dyDescent="0.15">
      <c r="A156" s="11" t="s">
        <v>32</v>
      </c>
      <c r="B156" s="27" t="str">
        <f>Catalog!$E$133</f>
        <v>missionJeanClawed</v>
      </c>
      <c r="C156" s="17">
        <f>Catalog!$W$133</f>
        <v>0</v>
      </c>
      <c r="D156" s="17" t="str">
        <f>Catalog!$X$133</f>
        <v>locked</v>
      </c>
      <c r="E156" s="14" t="s">
        <v>25</v>
      </c>
      <c r="F156" s="17" t="str">
        <f>Catalog!$AD$133</f>
        <v>You must find Jean Clawed's launcher to unlock this mission!</v>
      </c>
      <c r="G156" s="13"/>
    </row>
    <row r="157" spans="1:7" ht="15" x14ac:dyDescent="0.15">
      <c r="A157" s="11" t="s">
        <v>32</v>
      </c>
      <c r="B157" s="27" t="str">
        <f>Catalog!$E$133</f>
        <v>missionJeanClawed</v>
      </c>
      <c r="C157" s="17">
        <f>Catalog!$AN$133</f>
        <v>1</v>
      </c>
      <c r="D157" s="17" t="str">
        <f>Catalog!$AO$133</f>
        <v>Available</v>
      </c>
      <c r="E157" s="14" t="s">
        <v>23</v>
      </c>
      <c r="F157" s="17" t="str">
        <f>Catalog!$AS$133</f>
        <v>Buried Treasure</v>
      </c>
      <c r="G157" s="13"/>
    </row>
    <row r="158" spans="1:7" ht="15" x14ac:dyDescent="0.15">
      <c r="A158" s="11" t="s">
        <v>32</v>
      </c>
      <c r="B158" s="27" t="str">
        <f>Catalog!$E$133</f>
        <v>missionJeanClawed</v>
      </c>
      <c r="C158" s="17">
        <f>Catalog!$AN$133</f>
        <v>1</v>
      </c>
      <c r="D158" s="17" t="str">
        <f>Catalog!$AO$133</f>
        <v>Available</v>
      </c>
      <c r="E158" s="14" t="s">
        <v>24</v>
      </c>
      <c r="F158" s="17" t="str">
        <f>Catalog!$AT$133</f>
        <v>Collect 2500 points' worth of V6 medallions!</v>
      </c>
      <c r="G158" s="13"/>
    </row>
    <row r="159" spans="1:7" ht="28" x14ac:dyDescent="0.15">
      <c r="A159" s="11" t="s">
        <v>32</v>
      </c>
      <c r="B159" s="27" t="str">
        <f>Catalog!$E$133</f>
        <v>missionJeanClawed</v>
      </c>
      <c r="C159" s="17">
        <f>Catalog!$AN$133</f>
        <v>1</v>
      </c>
      <c r="D159" s="17" t="str">
        <f>Catalog!$AO$133</f>
        <v>Available</v>
      </c>
      <c r="E159" s="14" t="s">
        <v>25</v>
      </c>
      <c r="F159" s="17" t="str">
        <f>Catalog!$AU$133</f>
        <v>Collect 2500 points' worth of V6 medallions! Go for the gold. (Silver will do too.)</v>
      </c>
      <c r="G159" s="13"/>
    </row>
    <row r="160" spans="1:7" ht="15" x14ac:dyDescent="0.15">
      <c r="A160" s="11" t="s">
        <v>32</v>
      </c>
      <c r="B160" s="27" t="str">
        <f>Catalog!$E$133</f>
        <v>missionJeanClawed</v>
      </c>
      <c r="C160" s="17">
        <f>Catalog!$AN$133</f>
        <v>1</v>
      </c>
      <c r="D160" s="17" t="str">
        <f>Catalog!$AO$133</f>
        <v>Available</v>
      </c>
      <c r="E160" s="14" t="s">
        <v>34</v>
      </c>
      <c r="F160" s="17" t="str">
        <f>Catalog!$AV$133</f>
        <v>Completing this mission unlocks a new launcher!</v>
      </c>
      <c r="G160" s="13"/>
    </row>
    <row r="161" spans="1:7" ht="15" x14ac:dyDescent="0.15">
      <c r="A161" s="11" t="s">
        <v>32</v>
      </c>
      <c r="B161" s="27" t="str">
        <f>Catalog!$E$133</f>
        <v>missionJeanClawed</v>
      </c>
      <c r="C161" s="17">
        <f>Catalog!$BD$133</f>
        <v>2</v>
      </c>
      <c r="D161" s="17" t="str">
        <f>Catalog!$BE$133</f>
        <v>complete</v>
      </c>
      <c r="E161" s="14" t="s">
        <v>23</v>
      </c>
      <c r="F161" s="17" t="str">
        <f>Catalog!$BI$133</f>
        <v>Buried Treasure</v>
      </c>
      <c r="G161" s="13"/>
    </row>
    <row r="162" spans="1:7" ht="15" x14ac:dyDescent="0.15">
      <c r="A162" s="11" t="s">
        <v>32</v>
      </c>
      <c r="B162" s="27" t="str">
        <f>Catalog!$E$133</f>
        <v>missionJeanClawed</v>
      </c>
      <c r="C162" s="17">
        <f>Catalog!$BD$133</f>
        <v>2</v>
      </c>
      <c r="D162" s="17" t="str">
        <f>Catalog!$BE$133</f>
        <v>complete</v>
      </c>
      <c r="E162" s="14" t="s">
        <v>24</v>
      </c>
      <c r="F162" s="17" t="str">
        <f>Catalog!$BK$133</f>
        <v>You collected 2500 points' worth of V6 medallions!</v>
      </c>
      <c r="G162" s="13"/>
    </row>
    <row r="163" spans="1:7" ht="28" x14ac:dyDescent="0.15">
      <c r="A163" s="11" t="s">
        <v>32</v>
      </c>
      <c r="B163" s="27" t="str">
        <f>Catalog!$E$133</f>
        <v>missionJeanClawed</v>
      </c>
      <c r="C163" s="17">
        <f>Catalog!$BD$133</f>
        <v>2</v>
      </c>
      <c r="D163" s="17" t="str">
        <f>Catalog!$BE$133</f>
        <v>complete</v>
      </c>
      <c r="E163" s="14" t="s">
        <v>25</v>
      </c>
      <c r="F163" s="17" t="str">
        <f>Catalog!$BL$133</f>
        <v>You collected over 2500 points' worth of V6 medallions. That'll impress 'em for sure.</v>
      </c>
      <c r="G163" s="13"/>
    </row>
    <row r="164" spans="1:7" ht="15" x14ac:dyDescent="0.15">
      <c r="A164" s="11" t="s">
        <v>32</v>
      </c>
      <c r="B164" s="27" t="str">
        <f>Catalog!$E$133</f>
        <v>missionJeanClawed</v>
      </c>
      <c r="C164" s="17">
        <f>Catalog!$BD$133</f>
        <v>2</v>
      </c>
      <c r="D164" s="17" t="str">
        <f>Catalog!$BE$133</f>
        <v>complete</v>
      </c>
      <c r="E164" s="14" t="s">
        <v>34</v>
      </c>
      <c r="F164" s="17" t="str">
        <f>Catalog!$BM$133</f>
        <v>You've unlocked Jean-Clawed's Sonique Blast Launcher!</v>
      </c>
      <c r="G164" s="13"/>
    </row>
    <row r="165" spans="1:7" ht="15" x14ac:dyDescent="0.15">
      <c r="A165" s="11" t="s">
        <v>5484</v>
      </c>
      <c r="B165" s="12" t="str">
        <f>Catalog!$E$135</f>
        <v>achievementMissionJeanClawed</v>
      </c>
      <c r="C165" s="20">
        <f>Catalog!$W$135</f>
        <v>0</v>
      </c>
      <c r="D165" s="20" t="str">
        <f>Catalog!$X$135</f>
        <v>unearned</v>
      </c>
      <c r="E165" s="19" t="s">
        <v>25</v>
      </c>
      <c r="F165" s="20" t="str">
        <f>Catalog!$AD$135</f>
        <v>You must complete mission Buried Treasure to get this achievement!</v>
      </c>
    </row>
    <row r="166" spans="1:7" ht="15" x14ac:dyDescent="0.15">
      <c r="A166" s="11" t="s">
        <v>5484</v>
      </c>
      <c r="B166" s="12" t="str">
        <f>Catalog!$E$135</f>
        <v>achievementMissionJeanClawed</v>
      </c>
      <c r="C166" s="20">
        <f>Catalog!$BD$135</f>
        <v>2</v>
      </c>
      <c r="D166" s="20" t="str">
        <f>Catalog!$BE$135</f>
        <v>earned</v>
      </c>
      <c r="E166" s="19" t="s">
        <v>23</v>
      </c>
      <c r="F166" s="20" t="str">
        <f>Catalog!$BI$135</f>
        <v>Claw Cracker</v>
      </c>
    </row>
    <row r="167" spans="1:7" ht="28" x14ac:dyDescent="0.15">
      <c r="A167" s="11" t="s">
        <v>5484</v>
      </c>
      <c r="B167" s="12" t="str">
        <f>Catalog!$E$135</f>
        <v>achievementMissionJeanClawed</v>
      </c>
      <c r="C167" s="20">
        <f>Catalog!$BD$135</f>
        <v>2</v>
      </c>
      <c r="D167" s="20" t="str">
        <f>Catalog!$BE$135</f>
        <v>earned</v>
      </c>
      <c r="E167" s="19" t="s">
        <v>25</v>
      </c>
      <c r="F167" s="20" t="str">
        <f>Catalog!$BL$135</f>
        <v>You collected over 2500 points' worth of V6 medallions. Everyone around you is jealous!</v>
      </c>
    </row>
    <row r="168" spans="1:7" ht="15" x14ac:dyDescent="0.15">
      <c r="A168" s="11" t="s">
        <v>32</v>
      </c>
      <c r="B168" s="27" t="str">
        <f>Catalog!$E$284</f>
        <v>missionOverstock</v>
      </c>
      <c r="C168" s="17">
        <f>Catalog!$W$284</f>
        <v>0</v>
      </c>
      <c r="D168" s="17" t="str">
        <f>Catalog!$X$284</f>
        <v>locked</v>
      </c>
      <c r="E168" s="14" t="s">
        <v>23</v>
      </c>
      <c r="F168" s="17" t="str">
        <f>Catalog!$AB$284</f>
        <v>Ornery Overstock</v>
      </c>
      <c r="G168" s="13" t="s">
        <v>5483</v>
      </c>
    </row>
    <row r="169" spans="1:7" ht="15" x14ac:dyDescent="0.15">
      <c r="A169" s="11" t="s">
        <v>32</v>
      </c>
      <c r="B169" s="27" t="str">
        <f>Catalog!$E$284</f>
        <v>missionOverstock</v>
      </c>
      <c r="C169" s="17">
        <f>Catalog!$W$284</f>
        <v>0</v>
      </c>
      <c r="D169" s="17" t="str">
        <f>Catalog!$X$284</f>
        <v>locked</v>
      </c>
      <c r="E169" s="14" t="s">
        <v>25</v>
      </c>
      <c r="F169" s="17" t="str">
        <f>Catalog!$AD$284</f>
        <v>You have to be Muy Macho to unlock this mission!</v>
      </c>
      <c r="G169" s="13" t="s">
        <v>5483</v>
      </c>
    </row>
    <row r="170" spans="1:7" ht="15" x14ac:dyDescent="0.15">
      <c r="A170" s="11" t="s">
        <v>32</v>
      </c>
      <c r="B170" s="27" t="str">
        <f>Catalog!$E$284</f>
        <v>missionOverstock</v>
      </c>
      <c r="C170" s="17">
        <f>Catalog!$AN$284</f>
        <v>1</v>
      </c>
      <c r="D170" s="17" t="str">
        <f>Catalog!$AO$284</f>
        <v>Available</v>
      </c>
      <c r="E170" s="14" t="s">
        <v>23</v>
      </c>
      <c r="F170" s="17" t="str">
        <f>Catalog!$AS$284</f>
        <v>Ornery Overstock</v>
      </c>
      <c r="G170" s="13" t="s">
        <v>5483</v>
      </c>
    </row>
    <row r="171" spans="1:7" ht="15" x14ac:dyDescent="0.15">
      <c r="A171" s="11" t="s">
        <v>32</v>
      </c>
      <c r="B171" s="27" t="str">
        <f>Catalog!$E$284</f>
        <v>missionOverstock</v>
      </c>
      <c r="C171" s="17">
        <f>Catalog!$AN$284</f>
        <v>1</v>
      </c>
      <c r="D171" s="17" t="str">
        <f>Catalog!$AO$284</f>
        <v>Available</v>
      </c>
      <c r="E171" s="14" t="s">
        <v>24</v>
      </c>
      <c r="F171" s="17" t="str">
        <f>Catalog!$AT$284</f>
        <v>Collect 10 Evil Bratt Action Figures!</v>
      </c>
      <c r="G171" s="13" t="s">
        <v>5483</v>
      </c>
    </row>
    <row r="172" spans="1:7" ht="15" x14ac:dyDescent="0.15">
      <c r="A172" s="11" t="s">
        <v>32</v>
      </c>
      <c r="B172" s="27" t="str">
        <f>Catalog!$E$284</f>
        <v>missionOverstock</v>
      </c>
      <c r="C172" s="17">
        <f>Catalog!$AN$284</f>
        <v>1</v>
      </c>
      <c r="D172" s="17" t="str">
        <f>Catalog!$AO$284</f>
        <v>Available</v>
      </c>
      <c r="E172" s="14" t="s">
        <v>25</v>
      </c>
      <c r="F172" s="17" t="str">
        <f>Catalog!$AU$284</f>
        <v>Collect 10 Evil Bratt Action Figures in a single visit!</v>
      </c>
      <c r="G172" s="13" t="s">
        <v>5483</v>
      </c>
    </row>
    <row r="173" spans="1:7" ht="15" x14ac:dyDescent="0.15">
      <c r="A173" s="11" t="s">
        <v>32</v>
      </c>
      <c r="B173" s="27" t="str">
        <f>Catalog!$E$284</f>
        <v>missionOverstock</v>
      </c>
      <c r="C173" s="17">
        <f>Catalog!$AN$284</f>
        <v>1</v>
      </c>
      <c r="D173" s="17" t="str">
        <f>Catalog!$AO$284</f>
        <v>Available</v>
      </c>
      <c r="E173" s="14" t="s">
        <v>34</v>
      </c>
      <c r="F173" s="17" t="str">
        <f>Catalog!$AV$284</f>
        <v>Completing this mission unlocks a new launcher!</v>
      </c>
      <c r="G173" s="13" t="s">
        <v>5483</v>
      </c>
    </row>
    <row r="174" spans="1:7" ht="15" x14ac:dyDescent="0.15">
      <c r="A174" s="11" t="s">
        <v>32</v>
      </c>
      <c r="B174" s="27" t="str">
        <f>Catalog!$E$284</f>
        <v>missionOverstock</v>
      </c>
      <c r="C174" s="17">
        <f>Catalog!$BD$284</f>
        <v>2</v>
      </c>
      <c r="D174" s="17" t="str">
        <f>Catalog!$BE$284</f>
        <v>complete</v>
      </c>
      <c r="E174" s="14" t="s">
        <v>23</v>
      </c>
      <c r="F174" s="17" t="str">
        <f>Catalog!$BI$284</f>
        <v>Ornery Overstock</v>
      </c>
      <c r="G174" s="13" t="s">
        <v>5483</v>
      </c>
    </row>
    <row r="175" spans="1:7" ht="15" x14ac:dyDescent="0.15">
      <c r="A175" s="11" t="s">
        <v>32</v>
      </c>
      <c r="B175" s="27" t="str">
        <f>Catalog!$E$284</f>
        <v>missionOverstock</v>
      </c>
      <c r="C175" s="17">
        <f>Catalog!$BD$284</f>
        <v>2</v>
      </c>
      <c r="D175" s="17" t="str">
        <f>Catalog!$BE$284</f>
        <v>complete</v>
      </c>
      <c r="E175" s="14" t="s">
        <v>24</v>
      </c>
      <c r="F175" s="17" t="str">
        <f>Catalog!$BK$284</f>
        <v>Collect 20 Evil Bratt Action Figures!</v>
      </c>
      <c r="G175" s="13" t="s">
        <v>5483</v>
      </c>
    </row>
    <row r="176" spans="1:7" ht="15" x14ac:dyDescent="0.15">
      <c r="A176" s="11" t="s">
        <v>32</v>
      </c>
      <c r="B176" s="27" t="str">
        <f>Catalog!$E$284</f>
        <v>missionOverstock</v>
      </c>
      <c r="C176" s="17">
        <f>Catalog!$BD$284</f>
        <v>2</v>
      </c>
      <c r="D176" s="17" t="str">
        <f>Catalog!$BE$284</f>
        <v>complete</v>
      </c>
      <c r="E176" s="14" t="s">
        <v>25</v>
      </c>
      <c r="F176" s="17" t="str">
        <f>Catalog!$BL$284</f>
        <v>Mint Edition</v>
      </c>
      <c r="G176" s="13" t="s">
        <v>5483</v>
      </c>
    </row>
    <row r="177" spans="1:7" ht="15" x14ac:dyDescent="0.15">
      <c r="A177" s="11" t="s">
        <v>32</v>
      </c>
      <c r="B177" s="27" t="str">
        <f>Catalog!$E$284</f>
        <v>missionOverstock</v>
      </c>
      <c r="C177" s="17">
        <f>Catalog!$BD$284</f>
        <v>2</v>
      </c>
      <c r="D177" s="17" t="str">
        <f>Catalog!$BE$284</f>
        <v>complete</v>
      </c>
      <c r="E177" s="14" t="s">
        <v>34</v>
      </c>
      <c r="F177" s="17" t="str">
        <f>Catalog!$BM$284</f>
        <v>You've unlocked the Pinball Launcher!</v>
      </c>
      <c r="G177" s="13" t="s">
        <v>5483</v>
      </c>
    </row>
    <row r="178" spans="1:7" ht="15" x14ac:dyDescent="0.15">
      <c r="A178" s="11" t="s">
        <v>32</v>
      </c>
      <c r="B178" s="27" t="str">
        <f>Catalog!$E$289</f>
        <v>missionVector</v>
      </c>
      <c r="C178" s="17">
        <f>Catalog!$W$289</f>
        <v>0</v>
      </c>
      <c r="D178" s="17" t="str">
        <f>Catalog!$X$289</f>
        <v>locked</v>
      </c>
      <c r="E178" s="14" t="s">
        <v>23</v>
      </c>
      <c r="F178" s="17" t="str">
        <f>Catalog!$AB$289</f>
        <v>Coconutty</v>
      </c>
      <c r="G178" s="13" t="s">
        <v>5483</v>
      </c>
    </row>
    <row r="179" spans="1:7" ht="15" x14ac:dyDescent="0.15">
      <c r="A179" s="11" t="s">
        <v>32</v>
      </c>
      <c r="B179" s="27" t="str">
        <f>Catalog!$E$289</f>
        <v>missionVector</v>
      </c>
      <c r="C179" s="17">
        <f>Catalog!$W$289</f>
        <v>0</v>
      </c>
      <c r="D179" s="17" t="str">
        <f>Catalog!$X$289</f>
        <v>locked</v>
      </c>
      <c r="E179" s="14" t="s">
        <v>25</v>
      </c>
      <c r="F179" s="17" t="str">
        <f>Catalog!$AD$289</f>
        <v>You must complete Mission 2 to unlock this mission!</v>
      </c>
      <c r="G179" s="13" t="s">
        <v>5483</v>
      </c>
    </row>
    <row r="180" spans="1:7" ht="15" x14ac:dyDescent="0.15">
      <c r="A180" s="11" t="s">
        <v>32</v>
      </c>
      <c r="B180" s="27" t="str">
        <f>Catalog!$E$289</f>
        <v>missionVector</v>
      </c>
      <c r="C180" s="17">
        <f>Catalog!$AN$289</f>
        <v>1</v>
      </c>
      <c r="D180" s="17" t="str">
        <f>Catalog!$AO$289</f>
        <v>Available</v>
      </c>
      <c r="E180" s="14" t="s">
        <v>23</v>
      </c>
      <c r="F180" s="17" t="str">
        <f>Catalog!$AS$289</f>
        <v>Bankshot</v>
      </c>
      <c r="G180" s="13" t="s">
        <v>5483</v>
      </c>
    </row>
    <row r="181" spans="1:7" ht="15" x14ac:dyDescent="0.15">
      <c r="A181" s="11" t="s">
        <v>32</v>
      </c>
      <c r="B181" s="27" t="str">
        <f>Catalog!$E$289</f>
        <v>missionVector</v>
      </c>
      <c r="C181" s="17">
        <f>Catalog!$AN$289</f>
        <v>1</v>
      </c>
      <c r="D181" s="17" t="str">
        <f>Catalog!$AO$289</f>
        <v>Available</v>
      </c>
      <c r="E181" s="14" t="s">
        <v>24</v>
      </c>
      <c r="F181" s="17" t="str">
        <f>Catalog!$AT$289</f>
        <v>Collect 10 boxes of Coconutties!</v>
      </c>
      <c r="G181" s="13" t="s">
        <v>5483</v>
      </c>
    </row>
    <row r="182" spans="1:7" ht="15" x14ac:dyDescent="0.15">
      <c r="A182" s="11" t="s">
        <v>32</v>
      </c>
      <c r="B182" s="27" t="str">
        <f>Catalog!$E$289</f>
        <v>missionVector</v>
      </c>
      <c r="C182" s="17">
        <f>Catalog!$AN$289</f>
        <v>1</v>
      </c>
      <c r="D182" s="17" t="str">
        <f>Catalog!$AO$289</f>
        <v>Available</v>
      </c>
      <c r="E182" s="14" t="s">
        <v>25</v>
      </c>
      <c r="F182" s="17" t="str">
        <f>Catalog!$AU$289</f>
        <v>Collect 10 boxes of Coconutties in a single visit!</v>
      </c>
      <c r="G182" s="13" t="s">
        <v>5483</v>
      </c>
    </row>
    <row r="183" spans="1:7" ht="15" x14ac:dyDescent="0.15">
      <c r="A183" s="11" t="s">
        <v>32</v>
      </c>
      <c r="B183" s="27" t="str">
        <f>Catalog!$E$289</f>
        <v>missionVector</v>
      </c>
      <c r="C183" s="17">
        <f>Catalog!$AN$289</f>
        <v>1</v>
      </c>
      <c r="D183" s="17" t="str">
        <f>Catalog!$AO$289</f>
        <v>Available</v>
      </c>
      <c r="E183" s="14" t="s">
        <v>34</v>
      </c>
      <c r="F183" s="17" t="str">
        <f>Catalog!$AV$289</f>
        <v>Completing this mission unlocks a new launcher!</v>
      </c>
      <c r="G183" s="13" t="s">
        <v>5483</v>
      </c>
    </row>
    <row r="184" spans="1:7" ht="15" x14ac:dyDescent="0.15">
      <c r="A184" s="11" t="s">
        <v>32</v>
      </c>
      <c r="B184" s="27" t="str">
        <f>Catalog!$E$289</f>
        <v>missionVector</v>
      </c>
      <c r="C184" s="17">
        <f>Catalog!$BD$289</f>
        <v>2</v>
      </c>
      <c r="D184" s="17" t="str">
        <f>Catalog!$BE$289</f>
        <v>complete</v>
      </c>
      <c r="E184" s="14" t="s">
        <v>23</v>
      </c>
      <c r="F184" s="17" t="str">
        <f>Catalog!$BI$289</f>
        <v>Coconutty</v>
      </c>
      <c r="G184" s="13" t="s">
        <v>5483</v>
      </c>
    </row>
    <row r="185" spans="1:7" ht="15" x14ac:dyDescent="0.15">
      <c r="A185" s="11" t="s">
        <v>32</v>
      </c>
      <c r="B185" s="27" t="str">
        <f>Catalog!$E$289</f>
        <v>missionVector</v>
      </c>
      <c r="C185" s="17">
        <f>Catalog!$BD$289</f>
        <v>2</v>
      </c>
      <c r="D185" s="17" t="str">
        <f>Catalog!$BE$289</f>
        <v>complete</v>
      </c>
      <c r="E185" s="14" t="s">
        <v>24</v>
      </c>
      <c r="F185" s="17" t="str">
        <f>Catalog!$BK$289</f>
        <v>Collect 20 boxes of Coconutties!</v>
      </c>
      <c r="G185" s="13" t="s">
        <v>5483</v>
      </c>
    </row>
    <row r="186" spans="1:7" ht="28" x14ac:dyDescent="0.15">
      <c r="A186" s="11" t="s">
        <v>32</v>
      </c>
      <c r="B186" s="27" t="str">
        <f>Catalog!$E$289</f>
        <v>missionVector</v>
      </c>
      <c r="C186" s="17">
        <f>Catalog!$BD$289</f>
        <v>2</v>
      </c>
      <c r="D186" s="17" t="str">
        <f>Catalog!$BE$289</f>
        <v>complete</v>
      </c>
      <c r="E186" s="14" t="s">
        <v>25</v>
      </c>
      <c r="F186" s="17" t="str">
        <f>Catalog!$BL$289</f>
        <v>You collected 10 boxes of Coconutties. Now collect 20 in a single playthrough!</v>
      </c>
      <c r="G186" s="13" t="s">
        <v>5483</v>
      </c>
    </row>
    <row r="187" spans="1:7" ht="15" x14ac:dyDescent="0.15">
      <c r="A187" s="11" t="s">
        <v>32</v>
      </c>
      <c r="B187" s="27" t="str">
        <f>Catalog!$E$289</f>
        <v>missionVector</v>
      </c>
      <c r="C187" s="17">
        <f>Catalog!$BD$289</f>
        <v>2</v>
      </c>
      <c r="D187" s="17" t="str">
        <f>Catalog!$BE$289</f>
        <v>complete</v>
      </c>
      <c r="E187" s="14" t="s">
        <v>34</v>
      </c>
      <c r="F187" s="17" t="str">
        <f>Catalog!$BM$289</f>
        <v>You've unlocked the Icy Revenge Launcher!</v>
      </c>
      <c r="G187" s="13" t="s">
        <v>5483</v>
      </c>
    </row>
    <row r="188" spans="1:7" ht="15" x14ac:dyDescent="0.15">
      <c r="A188" s="11" t="s">
        <v>32</v>
      </c>
      <c r="B188" s="27" t="str">
        <f>Catalog!$E$157</f>
        <v>missionDMe</v>
      </c>
      <c r="C188" s="17">
        <f>Catalog!$W$157</f>
        <v>0</v>
      </c>
      <c r="D188" s="17" t="str">
        <f>Catalog!$X$157</f>
        <v>locked</v>
      </c>
      <c r="E188" s="14" t="s">
        <v>23</v>
      </c>
      <c r="F188" s="17" t="str">
        <f>Catalog!$AB$157</f>
        <v>Secret Mission</v>
      </c>
      <c r="G188" s="13" t="s">
        <v>5483</v>
      </c>
    </row>
    <row r="189" spans="1:7" ht="28" x14ac:dyDescent="0.15">
      <c r="A189" s="11" t="s">
        <v>32</v>
      </c>
      <c r="B189" s="27" t="str">
        <f>Catalog!$E$157</f>
        <v>missionDMe</v>
      </c>
      <c r="C189" s="17">
        <f>Catalog!$W$157</f>
        <v>0</v>
      </c>
      <c r="D189" s="17" t="str">
        <f>Catalog!$X$157</f>
        <v>locked</v>
      </c>
      <c r="E189" s="14" t="s">
        <v>25</v>
      </c>
      <c r="F189" s="17" t="str">
        <f>Catalog!$AD$157</f>
        <v>You must have Daddy's Approval, Secret Salsa, and a sweet 80's mixtape to unlock this mission!</v>
      </c>
      <c r="G189" s="13" t="s">
        <v>5483</v>
      </c>
    </row>
    <row r="190" spans="1:7" ht="15" x14ac:dyDescent="0.15">
      <c r="A190" s="11" t="s">
        <v>32</v>
      </c>
      <c r="B190" s="27" t="str">
        <f>Catalog!$E$157</f>
        <v>missionDMe</v>
      </c>
      <c r="C190" s="17">
        <f>Catalog!$AN$157</f>
        <v>1</v>
      </c>
      <c r="D190" s="17" t="str">
        <f>Catalog!$AO$157</f>
        <v>Available</v>
      </c>
      <c r="E190" s="14" t="s">
        <v>23</v>
      </c>
      <c r="F190" s="17" t="str">
        <f>Catalog!$AS$157</f>
        <v>Banana Blast</v>
      </c>
      <c r="G190" s="13" t="s">
        <v>5483</v>
      </c>
    </row>
    <row r="191" spans="1:7" ht="28" x14ac:dyDescent="0.15">
      <c r="A191" s="11" t="s">
        <v>32</v>
      </c>
      <c r="B191" s="27" t="str">
        <f>Catalog!$E$157</f>
        <v>missionDMe</v>
      </c>
      <c r="C191" s="17">
        <f>Catalog!$AN$157</f>
        <v>1</v>
      </c>
      <c r="D191" s="17" t="str">
        <f>Catalog!$AO$157</f>
        <v>Available</v>
      </c>
      <c r="E191" s="14" t="s">
        <v>24</v>
      </c>
      <c r="F191" s="17" t="str">
        <f>Catalog!$AT$157</f>
        <v>- Goal 1
- Goal 2</v>
      </c>
      <c r="G191" s="13" t="s">
        <v>5483</v>
      </c>
    </row>
    <row r="192" spans="1:7" ht="28" x14ac:dyDescent="0.15">
      <c r="A192" s="11" t="s">
        <v>32</v>
      </c>
      <c r="B192" s="27" t="str">
        <f>Catalog!$E$157</f>
        <v>missionDMe</v>
      </c>
      <c r="C192" s="17">
        <f>Catalog!$AN$157</f>
        <v>1</v>
      </c>
      <c r="D192" s="17" t="str">
        <f>Catalog!$AO$157</f>
        <v>Available</v>
      </c>
      <c r="E192" s="14" t="s">
        <v>25</v>
      </c>
      <c r="F192" s="17" t="str">
        <f>Catalog!$AU$157</f>
        <v>Longer description of the goals and that they need to be done in a single visit,</v>
      </c>
      <c r="G192" s="13" t="s">
        <v>5483</v>
      </c>
    </row>
    <row r="193" spans="1:7" ht="42" x14ac:dyDescent="0.15">
      <c r="A193" s="11" t="s">
        <v>32</v>
      </c>
      <c r="B193" s="27" t="str">
        <f>Catalog!$E$157</f>
        <v>missionDMe</v>
      </c>
      <c r="C193" s="17">
        <f>Catalog!$AN$157</f>
        <v>1</v>
      </c>
      <c r="D193" s="17" t="str">
        <f>Catalog!$AO$157</f>
        <v>Available</v>
      </c>
      <c r="E193" s="14" t="s">
        <v>34</v>
      </c>
      <c r="F193" s="17" t="str">
        <f>Catalog!$AV$157</f>
        <v xml:space="preserve">To get this mission unlocked:
Completing the mission unlocks: </v>
      </c>
      <c r="G193" s="13" t="s">
        <v>5483</v>
      </c>
    </row>
    <row r="194" spans="1:7" ht="15" x14ac:dyDescent="0.15">
      <c r="A194" s="11" t="s">
        <v>32</v>
      </c>
      <c r="B194" s="27" t="str">
        <f>Catalog!$E$157</f>
        <v>missionDMe</v>
      </c>
      <c r="C194" s="17">
        <f>Catalog!$BD$157</f>
        <v>2</v>
      </c>
      <c r="D194" s="17" t="str">
        <f>Catalog!$BE$157</f>
        <v>complete</v>
      </c>
      <c r="E194" s="14" t="s">
        <v>23</v>
      </c>
      <c r="F194" s="17" t="str">
        <f>Catalog!$BI$157</f>
        <v>Banana Blast</v>
      </c>
      <c r="G194" s="13" t="s">
        <v>5483</v>
      </c>
    </row>
    <row r="195" spans="1:7" ht="28" x14ac:dyDescent="0.15">
      <c r="A195" s="11" t="s">
        <v>32</v>
      </c>
      <c r="B195" s="27" t="str">
        <f>Catalog!$E$157</f>
        <v>missionDMe</v>
      </c>
      <c r="C195" s="17">
        <f>Catalog!$BD$157</f>
        <v>2</v>
      </c>
      <c r="D195" s="17" t="str">
        <f>Catalog!$BE$157</f>
        <v>complete</v>
      </c>
      <c r="E195" s="14" t="s">
        <v>24</v>
      </c>
      <c r="F195" s="17" t="str">
        <f>Catalog!$BK$157</f>
        <v>- Goal 1
- Goal 2</v>
      </c>
      <c r="G195" s="13" t="s">
        <v>5483</v>
      </c>
    </row>
    <row r="196" spans="1:7" ht="28" x14ac:dyDescent="0.15">
      <c r="A196" s="11" t="s">
        <v>32</v>
      </c>
      <c r="B196" s="27" t="str">
        <f>Catalog!$E$157</f>
        <v>missionDMe</v>
      </c>
      <c r="C196" s="17">
        <f>Catalog!$BD$157</f>
        <v>2</v>
      </c>
      <c r="D196" s="17" t="str">
        <f>Catalog!$BE$157</f>
        <v>complete</v>
      </c>
      <c r="E196" s="14" t="s">
        <v>25</v>
      </c>
      <c r="F196" s="17" t="str">
        <f>Catalog!$BL$157</f>
        <v>You did it! Want to replay this mission? Longer description of the goals and that they need to be done in a single visit,</v>
      </c>
      <c r="G196" s="13" t="s">
        <v>5483</v>
      </c>
    </row>
    <row r="197" spans="1:7" ht="15" x14ac:dyDescent="0.15">
      <c r="A197" s="11" t="s">
        <v>32</v>
      </c>
      <c r="B197" s="27" t="str">
        <f>Catalog!$E$157</f>
        <v>missionDMe</v>
      </c>
      <c r="C197" s="17">
        <f>Catalog!$BD$157</f>
        <v>2</v>
      </c>
      <c r="D197" s="17" t="str">
        <f>Catalog!$BE$157</f>
        <v>complete</v>
      </c>
      <c r="E197" s="14" t="s">
        <v>34</v>
      </c>
      <c r="F197" s="17" t="str">
        <f>Catalog!$BM$157</f>
        <v>You've unlocked the mission Crown Heist!</v>
      </c>
      <c r="G197" s="13" t="s">
        <v>5483</v>
      </c>
    </row>
    <row r="198" spans="1:7" ht="15" x14ac:dyDescent="0.15">
      <c r="A198" s="11" t="s">
        <v>32</v>
      </c>
      <c r="B198" s="27" t="str">
        <f>Catalog!$E$160</f>
        <v>missionAVL</v>
      </c>
      <c r="C198" s="17">
        <f>Catalog!$W$160</f>
        <v>0</v>
      </c>
      <c r="D198" s="17" t="str">
        <f>Catalog!$X$160</f>
        <v>locked</v>
      </c>
      <c r="E198" s="14" t="s">
        <v>23</v>
      </c>
      <c r="F198" s="17" t="str">
        <f>Catalog!$AB$160</f>
        <v>Secret Mission</v>
      </c>
      <c r="G198" s="13" t="s">
        <v>5483</v>
      </c>
    </row>
    <row r="199" spans="1:7" ht="28" x14ac:dyDescent="0.15">
      <c r="A199" s="11" t="s">
        <v>32</v>
      </c>
      <c r="B199" s="27" t="str">
        <f>Catalog!$E$160</f>
        <v>missionAVL</v>
      </c>
      <c r="C199" s="17">
        <f>Catalog!$W$160</f>
        <v>0</v>
      </c>
      <c r="D199" s="17" t="str">
        <f>Catalog!$X$160</f>
        <v>locked</v>
      </c>
      <c r="E199" s="14" t="s">
        <v>25</v>
      </c>
      <c r="F199" s="17" t="str">
        <f>Catalog!$AD$160</f>
        <v>Have you done every other mission? Because...yeah. This one is only for the best of the best.</v>
      </c>
      <c r="G199" s="13" t="s">
        <v>5483</v>
      </c>
    </row>
    <row r="200" spans="1:7" ht="15" x14ac:dyDescent="0.15">
      <c r="A200" s="11" t="s">
        <v>32</v>
      </c>
      <c r="B200" s="27" t="str">
        <f>Catalog!$E$160</f>
        <v>missionAVL</v>
      </c>
      <c r="C200" s="17">
        <f>Catalog!$AN$160</f>
        <v>1</v>
      </c>
      <c r="D200" s="17" t="str">
        <f>Catalog!$AO$160</f>
        <v>Available</v>
      </c>
      <c r="E200" s="14" t="s">
        <v>23</v>
      </c>
      <c r="F200" s="17" t="str">
        <f>Catalog!$AS$160</f>
        <v>Mission 3</v>
      </c>
      <c r="G200" s="13" t="s">
        <v>5483</v>
      </c>
    </row>
    <row r="201" spans="1:7" ht="28" x14ac:dyDescent="0.15">
      <c r="A201" s="11" t="s">
        <v>32</v>
      </c>
      <c r="B201" s="27" t="str">
        <f>Catalog!$E$160</f>
        <v>missionAVL</v>
      </c>
      <c r="C201" s="17">
        <f>Catalog!$AN$160</f>
        <v>1</v>
      </c>
      <c r="D201" s="17" t="str">
        <f>Catalog!$AO$160</f>
        <v>Available</v>
      </c>
      <c r="E201" s="14" t="s">
        <v>24</v>
      </c>
      <c r="F201" s="17" t="str">
        <f>Catalog!$AT$160</f>
        <v>- Goal 1
- Goal 2</v>
      </c>
      <c r="G201" s="13" t="s">
        <v>5483</v>
      </c>
    </row>
    <row r="202" spans="1:7" ht="28" x14ac:dyDescent="0.15">
      <c r="A202" s="11" t="s">
        <v>32</v>
      </c>
      <c r="B202" s="27" t="str">
        <f>Catalog!$E$160</f>
        <v>missionAVL</v>
      </c>
      <c r="C202" s="17">
        <f>Catalog!$AN$160</f>
        <v>1</v>
      </c>
      <c r="D202" s="17" t="str">
        <f>Catalog!$AO$160</f>
        <v>Available</v>
      </c>
      <c r="E202" s="14" t="s">
        <v>25</v>
      </c>
      <c r="F202" s="17" t="str">
        <f>Catalog!$AU$160</f>
        <v>Longer description of the goals and that they need to be done in a single visit,</v>
      </c>
      <c r="G202" s="13" t="s">
        <v>5483</v>
      </c>
    </row>
    <row r="203" spans="1:7" ht="42" x14ac:dyDescent="0.15">
      <c r="A203" s="11" t="s">
        <v>32</v>
      </c>
      <c r="B203" s="27" t="str">
        <f>Catalog!$E$160</f>
        <v>missionAVL</v>
      </c>
      <c r="C203" s="17">
        <f>Catalog!$AN$160</f>
        <v>1</v>
      </c>
      <c r="D203" s="17" t="str">
        <f>Catalog!$AO$160</f>
        <v>Available</v>
      </c>
      <c r="E203" s="14" t="s">
        <v>34</v>
      </c>
      <c r="F203" s="17" t="str">
        <f>Catalog!$AV$160</f>
        <v xml:space="preserve">To get this mission unlocked:
Completing the mission unlocks: </v>
      </c>
      <c r="G203" s="13" t="s">
        <v>5483</v>
      </c>
    </row>
    <row r="204" spans="1:7" ht="15" x14ac:dyDescent="0.15">
      <c r="A204" s="11" t="s">
        <v>32</v>
      </c>
      <c r="B204" s="27" t="str">
        <f>Catalog!$E$160</f>
        <v>missionAVL</v>
      </c>
      <c r="C204" s="17">
        <f>Catalog!$BD$160</f>
        <v>2</v>
      </c>
      <c r="D204" s="17" t="str">
        <f>Catalog!$BE$160</f>
        <v>complete</v>
      </c>
      <c r="E204" s="14" t="s">
        <v>23</v>
      </c>
      <c r="F204" s="17" t="str">
        <f>Catalog!$BI$160</f>
        <v>Mission 3</v>
      </c>
      <c r="G204" s="13" t="s">
        <v>5483</v>
      </c>
    </row>
    <row r="205" spans="1:7" ht="28" x14ac:dyDescent="0.15">
      <c r="A205" s="11" t="s">
        <v>32</v>
      </c>
      <c r="B205" s="27" t="str">
        <f>Catalog!$E$160</f>
        <v>missionAVL</v>
      </c>
      <c r="C205" s="17">
        <f>Catalog!$BD$160</f>
        <v>2</v>
      </c>
      <c r="D205" s="17" t="str">
        <f>Catalog!$BE$160</f>
        <v>complete</v>
      </c>
      <c r="E205" s="14" t="s">
        <v>24</v>
      </c>
      <c r="F205" s="17" t="str">
        <f>Catalog!$BK$160</f>
        <v>- Goal 1
- Goal 2</v>
      </c>
      <c r="G205" s="13" t="s">
        <v>5483</v>
      </c>
    </row>
    <row r="206" spans="1:7" ht="28" x14ac:dyDescent="0.15">
      <c r="A206" s="11" t="s">
        <v>32</v>
      </c>
      <c r="B206" s="27" t="str">
        <f>Catalog!$E$160</f>
        <v>missionAVL</v>
      </c>
      <c r="C206" s="17">
        <f>Catalog!$BD$160</f>
        <v>2</v>
      </c>
      <c r="D206" s="17" t="str">
        <f>Catalog!$BE$160</f>
        <v>complete</v>
      </c>
      <c r="E206" s="14" t="s">
        <v>25</v>
      </c>
      <c r="F206" s="17" t="str">
        <f>Catalog!$BL$160</f>
        <v>You did it! Want to replay this mission? Longer description of the goals and that they need to be done in a single visit,</v>
      </c>
      <c r="G206" s="13" t="s">
        <v>5483</v>
      </c>
    </row>
    <row r="207" spans="1:7" ht="28" x14ac:dyDescent="0.15">
      <c r="A207" s="11" t="s">
        <v>32</v>
      </c>
      <c r="B207" s="27" t="str">
        <f>Catalog!$E$160</f>
        <v>missionAVL</v>
      </c>
      <c r="C207" s="17">
        <f>Catalog!$BD$160</f>
        <v>2</v>
      </c>
      <c r="D207" s="17" t="str">
        <f>Catalog!$BE$160</f>
        <v>complete</v>
      </c>
      <c r="E207" s="14" t="s">
        <v>34</v>
      </c>
      <c r="F207" s="17" t="str">
        <f>Catalog!$BM$160</f>
        <v>Replaying this mission does not give new rewards directly (there may be an achievement for completing multiple times).</v>
      </c>
      <c r="G207" s="13" t="s">
        <v>5483</v>
      </c>
    </row>
    <row r="208" spans="1:7" ht="15" x14ac:dyDescent="0.15">
      <c r="A208" s="11" t="s">
        <v>5484</v>
      </c>
      <c r="B208" s="12" t="str">
        <f>Catalog!E84</f>
        <v>achievementPlayBlasterBlast</v>
      </c>
      <c r="C208" s="19" t="e">
        <f t="shared" ref="C208:D208" si="27">#REF!</f>
        <v>#REF!</v>
      </c>
      <c r="D208" s="19" t="e">
        <f t="shared" si="27"/>
        <v>#REF!</v>
      </c>
      <c r="E208" s="19" t="s">
        <v>23</v>
      </c>
      <c r="F208" s="19" t="e">
        <f t="shared" ref="F208:F213" si="28">#REF!</f>
        <v>#REF!</v>
      </c>
      <c r="G208" s="18" t="s">
        <v>5483</v>
      </c>
    </row>
    <row r="209" spans="1:7" ht="15" x14ac:dyDescent="0.15">
      <c r="A209" s="11" t="s">
        <v>5484</v>
      </c>
      <c r="B209" s="12" t="str">
        <f>Catalog!E84</f>
        <v>achievementPlayBlasterBlast</v>
      </c>
      <c r="C209" s="19" t="e">
        <f t="shared" ref="C209:D209" si="29">#REF!</f>
        <v>#REF!</v>
      </c>
      <c r="D209" s="19" t="e">
        <f t="shared" si="29"/>
        <v>#REF!</v>
      </c>
      <c r="E209" s="19" t="s">
        <v>25</v>
      </c>
      <c r="F209" s="19" t="e">
        <f t="shared" si="28"/>
        <v>#REF!</v>
      </c>
      <c r="G209" s="18" t="s">
        <v>5483</v>
      </c>
    </row>
    <row r="210" spans="1:7" ht="15" x14ac:dyDescent="0.15">
      <c r="A210" s="11" t="s">
        <v>5484</v>
      </c>
      <c r="B210" s="18" t="str">
        <f>Catalog!E86</f>
        <v>achievementPlayBlasterEfficiency</v>
      </c>
      <c r="C210" s="19" t="e">
        <f t="shared" ref="C210:D210" si="30">#REF!</f>
        <v>#REF!</v>
      </c>
      <c r="D210" s="19" t="e">
        <f t="shared" si="30"/>
        <v>#REF!</v>
      </c>
      <c r="E210" s="19" t="s">
        <v>23</v>
      </c>
      <c r="F210" s="19" t="e">
        <f t="shared" si="28"/>
        <v>#REF!</v>
      </c>
      <c r="G210" s="18" t="s">
        <v>5483</v>
      </c>
    </row>
    <row r="211" spans="1:7" ht="15" x14ac:dyDescent="0.15">
      <c r="A211" s="11" t="s">
        <v>5484</v>
      </c>
      <c r="B211" s="18" t="str">
        <f>Catalog!E86</f>
        <v>achievementPlayBlasterEfficiency</v>
      </c>
      <c r="C211" s="19" t="e">
        <f t="shared" ref="C211:D211" si="31">#REF!</f>
        <v>#REF!</v>
      </c>
      <c r="D211" s="19" t="e">
        <f t="shared" si="31"/>
        <v>#REF!</v>
      </c>
      <c r="E211" s="19" t="s">
        <v>25</v>
      </c>
      <c r="F211" s="19" t="e">
        <f t="shared" si="28"/>
        <v>#REF!</v>
      </c>
      <c r="G211" s="18" t="s">
        <v>5483</v>
      </c>
    </row>
    <row r="212" spans="1:7" ht="15" x14ac:dyDescent="0.15">
      <c r="A212" s="11" t="s">
        <v>5484</v>
      </c>
      <c r="B212" s="12" t="str">
        <f>Catalog!E87</f>
        <v>achievementVCBadge</v>
      </c>
      <c r="C212" s="19" t="e">
        <f t="shared" ref="C212:D212" si="32">#REF!</f>
        <v>#REF!</v>
      </c>
      <c r="D212" s="19" t="e">
        <f t="shared" si="32"/>
        <v>#REF!</v>
      </c>
      <c r="E212" s="19" t="s">
        <v>23</v>
      </c>
      <c r="F212" s="19" t="e">
        <f t="shared" si="28"/>
        <v>#REF!</v>
      </c>
    </row>
    <row r="213" spans="1:7" ht="15" x14ac:dyDescent="0.15">
      <c r="A213" s="11" t="s">
        <v>5484</v>
      </c>
      <c r="B213" s="12" t="str">
        <f>Catalog!E87</f>
        <v>achievementVCBadge</v>
      </c>
      <c r="C213" s="19" t="e">
        <f t="shared" ref="C213:D213" si="33">#REF!</f>
        <v>#REF!</v>
      </c>
      <c r="D213" s="19" t="e">
        <f t="shared" si="33"/>
        <v>#REF!</v>
      </c>
      <c r="E213" s="19" t="s">
        <v>25</v>
      </c>
      <c r="F213" s="19" t="e">
        <f t="shared" si="28"/>
        <v>#REF!</v>
      </c>
    </row>
    <row r="214" spans="1:7" ht="15" x14ac:dyDescent="0.15">
      <c r="A214" s="11" t="s">
        <v>5484</v>
      </c>
      <c r="B214" s="12" t="str">
        <f>Catalog!E88</f>
        <v>achievementPlaySyncBlaster</v>
      </c>
      <c r="C214" s="20">
        <f>Catalog!W88</f>
        <v>0</v>
      </c>
      <c r="D214" s="20" t="str">
        <f>Catalog!X88</f>
        <v>unearned</v>
      </c>
      <c r="E214" s="19" t="s">
        <v>25</v>
      </c>
      <c r="F214" s="20" t="str">
        <f>Catalog!AD88</f>
        <v>Sync your blaster by tapping with your phone!</v>
      </c>
    </row>
    <row r="215" spans="1:7" ht="15" x14ac:dyDescent="0.15">
      <c r="A215" s="11" t="s">
        <v>5484</v>
      </c>
      <c r="B215" s="12" t="str">
        <f>Catalog!E88</f>
        <v>achievementPlaySyncBlaster</v>
      </c>
      <c r="C215" s="20">
        <f>Catalog!BD88</f>
        <v>2</v>
      </c>
      <c r="D215" s="20" t="str">
        <f>Catalog!BE88</f>
        <v>earned</v>
      </c>
      <c r="E215" s="19" t="s">
        <v>23</v>
      </c>
      <c r="F215" s="20" t="str">
        <f>Catalog!BI88</f>
        <v>In Sync</v>
      </c>
    </row>
    <row r="216" spans="1:7" ht="15" x14ac:dyDescent="0.15">
      <c r="A216" s="11" t="s">
        <v>5484</v>
      </c>
      <c r="B216" s="12" t="str">
        <f>Catalog!E88</f>
        <v>achievementPlaySyncBlaster</v>
      </c>
      <c r="C216" s="20">
        <f>Catalog!BD88</f>
        <v>2</v>
      </c>
      <c r="D216" s="20" t="str">
        <f>Catalog!BE88</f>
        <v>earned</v>
      </c>
      <c r="E216" s="19" t="s">
        <v>25</v>
      </c>
      <c r="F216" s="20" t="str">
        <f>Catalog!BL88</f>
        <v>You synced your player profile to your blaster! You're ready to do evil.</v>
      </c>
    </row>
    <row r="217" spans="1:7" ht="15" x14ac:dyDescent="0.15">
      <c r="A217" s="11" t="s">
        <v>5484</v>
      </c>
      <c r="B217" s="12" t="str">
        <f>Catalog!E88</f>
        <v>achievementPlaySyncBlaster</v>
      </c>
      <c r="C217" s="19" t="e">
        <f t="shared" ref="C217:D217" si="34">#REF!</f>
        <v>#REF!</v>
      </c>
      <c r="D217" s="19" t="e">
        <f t="shared" si="34"/>
        <v>#REF!</v>
      </c>
      <c r="E217" s="19" t="s">
        <v>25</v>
      </c>
      <c r="F217" s="19" t="e">
        <f t="shared" ref="F217:F218" si="35">#REF!</f>
        <v>#REF!</v>
      </c>
      <c r="G217" s="18" t="s">
        <v>5483</v>
      </c>
    </row>
    <row r="218" spans="1:7" ht="15" x14ac:dyDescent="0.15">
      <c r="A218" s="11" t="s">
        <v>5484</v>
      </c>
      <c r="B218" s="12" t="str">
        <f>Catalog!E88</f>
        <v>achievementPlaySyncBlaster</v>
      </c>
      <c r="C218" s="19" t="e">
        <f t="shared" ref="C218:D218" si="36">#REF!</f>
        <v>#REF!</v>
      </c>
      <c r="D218" s="19" t="e">
        <f t="shared" si="36"/>
        <v>#REF!</v>
      </c>
      <c r="E218" s="19" t="s">
        <v>25</v>
      </c>
      <c r="F218" s="19" t="e">
        <f t="shared" si="35"/>
        <v>#REF!</v>
      </c>
      <c r="G218" s="18" t="s">
        <v>5483</v>
      </c>
    </row>
    <row r="219" spans="1:7" ht="28" x14ac:dyDescent="0.15">
      <c r="A219" s="11" t="s">
        <v>5484</v>
      </c>
      <c r="B219" s="12" t="str">
        <f>Catalog!E140</f>
        <v>achievementPlayNoMinionHits</v>
      </c>
      <c r="C219" s="20">
        <f>Catalog!W140</f>
        <v>0</v>
      </c>
      <c r="D219" s="20" t="str">
        <f>Catalog!$X$140</f>
        <v>unearned</v>
      </c>
      <c r="E219" s="19" t="s">
        <v>25</v>
      </c>
      <c r="F219" s="19" t="str">
        <f>Catalog!AD140</f>
        <v>Complete the challenge without blasting any Minions. It's harder than you think – they're everywhere!</v>
      </c>
    </row>
    <row r="220" spans="1:7" ht="15" x14ac:dyDescent="0.15">
      <c r="A220" s="11" t="s">
        <v>5484</v>
      </c>
      <c r="B220" s="12" t="str">
        <f>Catalog!E140</f>
        <v>achievementPlayNoMinionHits</v>
      </c>
      <c r="C220" s="20">
        <f>Catalog!BD140</f>
        <v>2</v>
      </c>
      <c r="D220" s="20" t="str">
        <f>Catalog!$BE$140</f>
        <v>earned</v>
      </c>
      <c r="E220" s="19" t="s">
        <v>23</v>
      </c>
      <c r="F220" s="19" t="str">
        <f>Catalog!BI140</f>
        <v>Big Boss!</v>
      </c>
    </row>
    <row r="221" spans="1:7" ht="28" x14ac:dyDescent="0.15">
      <c r="A221" s="11" t="s">
        <v>5484</v>
      </c>
      <c r="B221" s="12" t="str">
        <f>Catalog!E140</f>
        <v>achievementPlayNoMinionHits</v>
      </c>
      <c r="C221" s="20">
        <f>Catalog!BD140</f>
        <v>2</v>
      </c>
      <c r="D221" s="20" t="str">
        <f>Catalog!$BE$140</f>
        <v>earned</v>
      </c>
      <c r="E221" s="19" t="s">
        <v>25</v>
      </c>
      <c r="F221" s="19" t="str">
        <f>Catalog!BL140</f>
        <v>You completed the challenge without blasting any Minions. They might consider you for their next boss.</v>
      </c>
    </row>
    <row r="222" spans="1:7" ht="15" x14ac:dyDescent="0.15">
      <c r="A222" s="11" t="s">
        <v>5484</v>
      </c>
      <c r="B222" s="12" t="str">
        <f>Catalog!E140</f>
        <v>achievementPlayNoMinionHits</v>
      </c>
      <c r="C222" s="19" t="e">
        <f t="shared" ref="C222:D222" si="37">#REF!</f>
        <v>#REF!</v>
      </c>
      <c r="D222" s="19" t="e">
        <f t="shared" si="37"/>
        <v>#REF!</v>
      </c>
      <c r="E222" s="19" t="s">
        <v>25</v>
      </c>
      <c r="F222" s="19" t="e">
        <f t="shared" ref="F222:F225" si="38">#REF!</f>
        <v>#REF!</v>
      </c>
      <c r="G222" s="18" t="s">
        <v>5483</v>
      </c>
    </row>
    <row r="223" spans="1:7" ht="15" x14ac:dyDescent="0.15">
      <c r="A223" s="11" t="s">
        <v>5484</v>
      </c>
      <c r="B223" s="12" t="str">
        <f>Catalog!E140</f>
        <v>achievementPlayNoMinionHits</v>
      </c>
      <c r="C223" s="19" t="e">
        <f t="shared" ref="C223:D223" si="39">#REF!</f>
        <v>#REF!</v>
      </c>
      <c r="D223" s="19" t="e">
        <f t="shared" si="39"/>
        <v>#REF!</v>
      </c>
      <c r="E223" s="19" t="s">
        <v>25</v>
      </c>
      <c r="F223" s="19" t="e">
        <f t="shared" si="38"/>
        <v>#REF!</v>
      </c>
      <c r="G223" s="18" t="s">
        <v>5483</v>
      </c>
    </row>
    <row r="224" spans="1:7" ht="15" x14ac:dyDescent="0.15">
      <c r="A224" s="11" t="s">
        <v>5484</v>
      </c>
      <c r="B224" s="12" t="str">
        <f>Catalog!E100</f>
        <v>achievementMissionScarlet</v>
      </c>
      <c r="C224" s="19" t="e">
        <f t="shared" ref="C224:D224" si="40">#REF!</f>
        <v>#REF!</v>
      </c>
      <c r="D224" s="19" t="e">
        <f t="shared" si="40"/>
        <v>#REF!</v>
      </c>
      <c r="E224" s="19" t="s">
        <v>25</v>
      </c>
      <c r="F224" s="19" t="e">
        <f t="shared" si="38"/>
        <v>#REF!</v>
      </c>
      <c r="G224" s="18" t="s">
        <v>5483</v>
      </c>
    </row>
    <row r="225" spans="1:7" ht="15" x14ac:dyDescent="0.15">
      <c r="A225" s="11" t="s">
        <v>5484</v>
      </c>
      <c r="B225" s="12" t="str">
        <f>Catalog!E100</f>
        <v>achievementMissionScarlet</v>
      </c>
      <c r="C225" s="19" t="e">
        <f t="shared" ref="C225:D225" si="41">#REF!</f>
        <v>#REF!</v>
      </c>
      <c r="D225" s="19" t="e">
        <f t="shared" si="41"/>
        <v>#REF!</v>
      </c>
      <c r="E225" s="19" t="s">
        <v>25</v>
      </c>
      <c r="F225" s="19" t="e">
        <f t="shared" si="38"/>
        <v>#REF!</v>
      </c>
      <c r="G225" s="18" t="s">
        <v>5483</v>
      </c>
    </row>
    <row r="226" spans="1:7" ht="15" x14ac:dyDescent="0.15">
      <c r="A226" s="11" t="s">
        <v>5484</v>
      </c>
      <c r="B226" s="18" t="str">
        <f>Catalog!E136</f>
        <v>achievementPlayRankDaily</v>
      </c>
      <c r="C226" s="20">
        <f>Catalog!W136</f>
        <v>0</v>
      </c>
      <c r="D226" s="20" t="str">
        <f>Catalog!X136</f>
        <v>unearned</v>
      </c>
      <c r="E226" s="19" t="s">
        <v>25</v>
      </c>
      <c r="F226" s="19" t="str">
        <f>Catalog!AD136</f>
        <v>Reach the Top 50 of the Daily Leaderboard!</v>
      </c>
    </row>
    <row r="227" spans="1:7" ht="15" x14ac:dyDescent="0.15">
      <c r="A227" s="11" t="s">
        <v>5484</v>
      </c>
      <c r="B227" s="18" t="str">
        <f>Catalog!E136</f>
        <v>achievementPlayRankDaily</v>
      </c>
      <c r="C227" s="20">
        <f>Catalog!BD136</f>
        <v>2</v>
      </c>
      <c r="D227" s="20" t="str">
        <f>Catalog!BE136</f>
        <v>earned</v>
      </c>
      <c r="E227" s="19" t="s">
        <v>23</v>
      </c>
      <c r="F227" s="20" t="str">
        <f>Catalog!BI136</f>
        <v>Seized the Day</v>
      </c>
    </row>
    <row r="228" spans="1:7" ht="28" x14ac:dyDescent="0.15">
      <c r="A228" s="11" t="s">
        <v>5484</v>
      </c>
      <c r="B228" s="18" t="str">
        <f>Catalog!E136</f>
        <v>achievementPlayRankDaily</v>
      </c>
      <c r="C228" s="20">
        <f>Catalog!BD136</f>
        <v>2</v>
      </c>
      <c r="D228" s="20" t="str">
        <f>Catalog!BE136</f>
        <v>earned</v>
      </c>
      <c r="E228" s="19" t="s">
        <v>25</v>
      </c>
      <c r="F228" s="19" t="str">
        <f>Catalog!BL136</f>
        <v>You reached the Top 50 on the Daily Leaderboard. Let the bragging commence.</v>
      </c>
    </row>
    <row r="229" spans="1:7" ht="15" x14ac:dyDescent="0.15">
      <c r="A229" s="11" t="s">
        <v>5484</v>
      </c>
      <c r="B229" s="18" t="str">
        <f>Catalog!E136</f>
        <v>achievementPlayRankDaily</v>
      </c>
      <c r="C229" s="19" t="e">
        <f t="shared" ref="C229:D229" si="42">#REF!</f>
        <v>#REF!</v>
      </c>
      <c r="D229" s="19" t="e">
        <f t="shared" si="42"/>
        <v>#REF!</v>
      </c>
      <c r="E229" s="19" t="s">
        <v>25</v>
      </c>
      <c r="F229" s="19" t="e">
        <f t="shared" ref="F229:F230" si="43">#REF!</f>
        <v>#REF!</v>
      </c>
      <c r="G229" s="18" t="s">
        <v>5483</v>
      </c>
    </row>
    <row r="230" spans="1:7" ht="15" x14ac:dyDescent="0.15">
      <c r="A230" s="11" t="s">
        <v>5484</v>
      </c>
      <c r="B230" s="18" t="str">
        <f>Catalog!E136</f>
        <v>achievementPlayRankDaily</v>
      </c>
      <c r="C230" s="19" t="e">
        <f t="shared" ref="C230:D230" si="44">#REF!</f>
        <v>#REF!</v>
      </c>
      <c r="D230" s="19" t="e">
        <f t="shared" si="44"/>
        <v>#REF!</v>
      </c>
      <c r="E230" s="19" t="s">
        <v>25</v>
      </c>
      <c r="F230" s="19" t="e">
        <f t="shared" si="43"/>
        <v>#REF!</v>
      </c>
      <c r="G230" s="18" t="s">
        <v>5483</v>
      </c>
    </row>
    <row r="231" spans="1:7" ht="15" x14ac:dyDescent="0.15">
      <c r="A231" s="11" t="s">
        <v>5484</v>
      </c>
      <c r="B231" s="12" t="str">
        <f>Catalog!E138</f>
        <v>achievementPlayAccurate</v>
      </c>
      <c r="C231" s="20">
        <f>Catalog!W138</f>
        <v>0</v>
      </c>
      <c r="D231" s="20" t="str">
        <f>Catalog!X138</f>
        <v>unearned</v>
      </c>
      <c r="E231" s="19" t="s">
        <v>25</v>
      </c>
      <c r="F231" s="19" t="str">
        <f>Catalog!AD138</f>
        <v>Land 5 hits on enemies or loot without missing!</v>
      </c>
    </row>
    <row r="232" spans="1:7" ht="15" x14ac:dyDescent="0.15">
      <c r="A232" s="11" t="s">
        <v>5484</v>
      </c>
      <c r="B232" s="12" t="str">
        <f>Catalog!E138</f>
        <v>achievementPlayAccurate</v>
      </c>
      <c r="C232" s="20">
        <f>Catalog!BD138</f>
        <v>2</v>
      </c>
      <c r="D232" s="20" t="str">
        <f>Catalog!BE138</f>
        <v>earned</v>
      </c>
      <c r="E232" s="19" t="s">
        <v>23</v>
      </c>
      <c r="F232" s="20" t="str">
        <f>Catalog!BI138</f>
        <v>Eagle Eyes</v>
      </c>
    </row>
    <row r="233" spans="1:7" ht="15" x14ac:dyDescent="0.15">
      <c r="A233" s="11" t="s">
        <v>5484</v>
      </c>
      <c r="B233" s="12" t="str">
        <f>Catalog!E138</f>
        <v>achievementPlayAccurate</v>
      </c>
      <c r="C233" s="20">
        <f>Catalog!BD138</f>
        <v>2</v>
      </c>
      <c r="D233" s="20" t="str">
        <f>Catalog!BE138</f>
        <v>earned</v>
      </c>
      <c r="E233" s="19" t="s">
        <v>25</v>
      </c>
      <c r="F233" s="19" t="str">
        <f>Catalog!BL138</f>
        <v>You landed 5 hits on enemies or loot without missing!</v>
      </c>
    </row>
    <row r="234" spans="1:7" ht="15" x14ac:dyDescent="0.15">
      <c r="A234" s="11" t="s">
        <v>5484</v>
      </c>
      <c r="B234" s="12" t="str">
        <f>Catalog!E138</f>
        <v>achievementPlayAccurate</v>
      </c>
      <c r="C234" s="19" t="e">
        <f t="shared" ref="C234:D234" si="45">#REF!</f>
        <v>#REF!</v>
      </c>
      <c r="D234" s="19" t="e">
        <f t="shared" si="45"/>
        <v>#REF!</v>
      </c>
      <c r="E234" s="19" t="s">
        <v>25</v>
      </c>
      <c r="F234" s="19" t="e">
        <f t="shared" ref="F234:F235" si="46">#REF!</f>
        <v>#REF!</v>
      </c>
      <c r="G234" s="18" t="s">
        <v>5483</v>
      </c>
    </row>
    <row r="235" spans="1:7" ht="15" x14ac:dyDescent="0.15">
      <c r="A235" s="11" t="s">
        <v>5484</v>
      </c>
      <c r="B235" s="12" t="str">
        <f>Catalog!E138</f>
        <v>achievementPlayAccurate</v>
      </c>
      <c r="C235" s="19" t="e">
        <f t="shared" ref="C235:D235" si="47">#REF!</f>
        <v>#REF!</v>
      </c>
      <c r="D235" s="19" t="e">
        <f t="shared" si="47"/>
        <v>#REF!</v>
      </c>
      <c r="E235" s="19" t="s">
        <v>25</v>
      </c>
      <c r="F235" s="19" t="e">
        <f t="shared" si="46"/>
        <v>#REF!</v>
      </c>
      <c r="G235" s="18" t="s">
        <v>5483</v>
      </c>
    </row>
    <row r="236" spans="1:7" ht="28" x14ac:dyDescent="0.15">
      <c r="A236" s="11" t="s">
        <v>5484</v>
      </c>
      <c r="B236" s="12" t="str">
        <f>Catalog!E172</f>
        <v>achievementPlayAmmoSwap</v>
      </c>
      <c r="C236" s="20">
        <f>Catalog!W172</f>
        <v>0</v>
      </c>
      <c r="D236" s="20" t="str">
        <f>Catalog!X172</f>
        <v>unearned</v>
      </c>
      <c r="E236" s="19" t="s">
        <v>25</v>
      </c>
      <c r="F236" s="19" t="str">
        <f>Catalog!AD172</f>
        <v>Swap your Elemental or Launcher type while playing by blasting a new elemental or launcher...25 times!</v>
      </c>
    </row>
    <row r="237" spans="1:7" ht="15" x14ac:dyDescent="0.15">
      <c r="A237" s="11" t="s">
        <v>5484</v>
      </c>
      <c r="B237" s="12" t="str">
        <f>Catalog!E172</f>
        <v>achievementPlayAmmoSwap</v>
      </c>
      <c r="C237" s="20">
        <f>Catalog!BD172</f>
        <v>2</v>
      </c>
      <c r="D237" s="20" t="str">
        <f>Catalog!BE172</f>
        <v>earned</v>
      </c>
      <c r="E237" s="19" t="s">
        <v>23</v>
      </c>
      <c r="F237" s="20" t="str">
        <f>Catalog!BI172</f>
        <v>Ele-mental!</v>
      </c>
    </row>
    <row r="238" spans="1:7" ht="28" x14ac:dyDescent="0.15">
      <c r="A238" s="11" t="s">
        <v>5484</v>
      </c>
      <c r="B238" s="12" t="str">
        <f>Catalog!E172</f>
        <v>achievementPlayAmmoSwap</v>
      </c>
      <c r="C238" s="20">
        <f>Catalog!BD172</f>
        <v>2</v>
      </c>
      <c r="D238" s="20" t="str">
        <f>Catalog!BE172</f>
        <v>earned</v>
      </c>
      <c r="E238" s="19" t="s">
        <v>25</v>
      </c>
      <c r="F238" s="19" t="str">
        <f>Catalog!BL172</f>
        <v>You swapped your elemental or launcher 25 times while blasting through the challenge! A versatile villain is unstoppable.</v>
      </c>
    </row>
    <row r="239" spans="1:7" ht="15" x14ac:dyDescent="0.15">
      <c r="A239" s="11" t="s">
        <v>5484</v>
      </c>
      <c r="B239" s="12" t="str">
        <f>Catalog!E172</f>
        <v>achievementPlayAmmoSwap</v>
      </c>
      <c r="C239" s="19" t="e">
        <f t="shared" ref="C239:D239" si="48">#REF!</f>
        <v>#REF!</v>
      </c>
      <c r="D239" s="19" t="e">
        <f t="shared" si="48"/>
        <v>#REF!</v>
      </c>
      <c r="E239" s="19" t="s">
        <v>25</v>
      </c>
      <c r="F239" s="19" t="e">
        <f t="shared" ref="F239:F240" si="49">#REF!</f>
        <v>#REF!</v>
      </c>
      <c r="G239" s="18" t="s">
        <v>5483</v>
      </c>
    </row>
    <row r="240" spans="1:7" ht="15" x14ac:dyDescent="0.15">
      <c r="A240" s="11" t="s">
        <v>5484</v>
      </c>
      <c r="B240" s="12" t="str">
        <f>Catalog!E172</f>
        <v>achievementPlayAmmoSwap</v>
      </c>
      <c r="C240" s="19" t="e">
        <f t="shared" ref="C240:D240" si="50">#REF!</f>
        <v>#REF!</v>
      </c>
      <c r="D240" s="19" t="e">
        <f t="shared" si="50"/>
        <v>#REF!</v>
      </c>
      <c r="E240" s="19" t="s">
        <v>25</v>
      </c>
      <c r="F240" s="19" t="e">
        <f t="shared" si="49"/>
        <v>#REF!</v>
      </c>
      <c r="G240" s="18" t="s">
        <v>5483</v>
      </c>
    </row>
    <row r="241" spans="1:7" ht="15" x14ac:dyDescent="0.15">
      <c r="A241" s="11" t="s">
        <v>5484</v>
      </c>
      <c r="B241" s="611" t="str">
        <f>Catalog!E134</f>
        <v>achievementPlayBlasterOvercharge</v>
      </c>
      <c r="C241" s="20">
        <f>Catalog!W134</f>
        <v>0</v>
      </c>
      <c r="D241" s="20" t="str">
        <f>Catalog!X134</f>
        <v>unearned</v>
      </c>
      <c r="E241" s="19" t="s">
        <v>25</v>
      </c>
      <c r="F241" s="20" t="str">
        <f>Catalog!AD134</f>
        <v>Overcharge your Blaster 20 times to reach Bronze</v>
      </c>
    </row>
    <row r="242" spans="1:7" ht="15" x14ac:dyDescent="0.15">
      <c r="A242" s="11" t="s">
        <v>5484</v>
      </c>
      <c r="B242" s="611" t="str">
        <f>Catalog!E134</f>
        <v>achievementPlayBlasterOvercharge</v>
      </c>
      <c r="C242" s="20">
        <f>Catalog!BD134</f>
        <v>2</v>
      </c>
      <c r="D242" s="19" t="str">
        <f>Catalog!BE134</f>
        <v>bronze</v>
      </c>
      <c r="E242" s="19" t="s">
        <v>23</v>
      </c>
      <c r="F242" s="20" t="str">
        <f>Catalog!BI134</f>
        <v>Blaster Overcharge</v>
      </c>
    </row>
    <row r="243" spans="1:7" ht="28" x14ac:dyDescent="0.15">
      <c r="A243" s="11" t="s">
        <v>5484</v>
      </c>
      <c r="B243" s="611" t="str">
        <f>Catalog!E134</f>
        <v>achievementPlayBlasterOvercharge</v>
      </c>
      <c r="C243" s="20">
        <f>Catalog!BD134</f>
        <v>2</v>
      </c>
      <c r="D243" s="19" t="str">
        <f>Catalog!BE134</f>
        <v>bronze</v>
      </c>
      <c r="E243" s="19" t="s">
        <v>25</v>
      </c>
      <c r="F243" s="19" t="str">
        <f>Catalog!BL134</f>
        <v>You overcharged your blaster 20 times! Now try overcharging it 50 times to reach Silver.</v>
      </c>
    </row>
    <row r="244" spans="1:7" ht="15" x14ac:dyDescent="0.15">
      <c r="A244" s="11" t="s">
        <v>5484</v>
      </c>
      <c r="B244" s="611" t="str">
        <f>Catalog!E134</f>
        <v>achievementPlayBlasterOvercharge</v>
      </c>
      <c r="C244" s="19" t="e">
        <f t="shared" ref="C244:D244" si="51">#REF!</f>
        <v>#REF!</v>
      </c>
      <c r="D244" s="19" t="e">
        <f t="shared" si="51"/>
        <v>#REF!</v>
      </c>
      <c r="E244" s="19" t="s">
        <v>25</v>
      </c>
      <c r="F244" s="19" t="e">
        <f t="shared" ref="F244:F245" si="52">#REF!</f>
        <v>#REF!</v>
      </c>
      <c r="G244" s="18" t="s">
        <v>5483</v>
      </c>
    </row>
    <row r="245" spans="1:7" ht="15" x14ac:dyDescent="0.15">
      <c r="A245" s="11" t="s">
        <v>5484</v>
      </c>
      <c r="B245" s="611" t="str">
        <f>Catalog!E134</f>
        <v>achievementPlayBlasterOvercharge</v>
      </c>
      <c r="C245" s="19" t="e">
        <f t="shared" ref="C245:D245" si="53">#REF!</f>
        <v>#REF!</v>
      </c>
      <c r="D245" s="19" t="e">
        <f t="shared" si="53"/>
        <v>#REF!</v>
      </c>
      <c r="E245" s="19" t="s">
        <v>25</v>
      </c>
      <c r="F245" s="19" t="e">
        <f t="shared" si="52"/>
        <v>#REF!</v>
      </c>
      <c r="G245" s="18" t="s">
        <v>5483</v>
      </c>
    </row>
    <row r="246" spans="1:7" ht="15" x14ac:dyDescent="0.15">
      <c r="A246" s="11" t="s">
        <v>5484</v>
      </c>
      <c r="B246" s="12" t="str">
        <f>Catalog!E144</f>
        <v>achievementPlayUltimateUse</v>
      </c>
      <c r="C246" s="20">
        <f>Catalog!W144</f>
        <v>0</v>
      </c>
      <c r="D246" s="20" t="str">
        <f>Catalog!X144</f>
        <v>unearned</v>
      </c>
      <c r="E246" s="19" t="s">
        <v>25</v>
      </c>
      <c r="F246" s="19" t="str">
        <f>Catalog!AD144</f>
        <v>Land 25 hits with your Ultimate Blaster!</v>
      </c>
    </row>
    <row r="247" spans="1:7" ht="15" x14ac:dyDescent="0.15">
      <c r="A247" s="11" t="s">
        <v>5484</v>
      </c>
      <c r="B247" s="12" t="str">
        <f>Catalog!E144</f>
        <v>achievementPlayUltimateUse</v>
      </c>
      <c r="C247" s="19" t="e">
        <f t="shared" ref="C247:D247" si="54">#REF!</f>
        <v>#REF!</v>
      </c>
      <c r="D247" s="19" t="e">
        <f t="shared" si="54"/>
        <v>#REF!</v>
      </c>
      <c r="E247" s="19" t="s">
        <v>23</v>
      </c>
      <c r="F247" s="20" t="str">
        <f>Catalog!BI144</f>
        <v>Real Ultimate Power</v>
      </c>
    </row>
    <row r="248" spans="1:7" ht="15" x14ac:dyDescent="0.15">
      <c r="A248" s="11" t="s">
        <v>5484</v>
      </c>
      <c r="B248" s="12" t="str">
        <f>Catalog!E144</f>
        <v>achievementPlayUltimateUse</v>
      </c>
      <c r="C248" s="19" t="e">
        <f t="shared" ref="C248:D248" si="55">#REF!</f>
        <v>#REF!</v>
      </c>
      <c r="D248" s="19" t="e">
        <f t="shared" si="55"/>
        <v>#REF!</v>
      </c>
      <c r="E248" s="19" t="s">
        <v>25</v>
      </c>
      <c r="F248" s="19" t="str">
        <f>Catalog!BL144</f>
        <v>You landed 25 hits with your Ultimate Blaster!</v>
      </c>
    </row>
    <row r="249" spans="1:7" ht="15" x14ac:dyDescent="0.15">
      <c r="A249" s="11" t="s">
        <v>5484</v>
      </c>
      <c r="B249" s="12" t="str">
        <f>Catalog!E146</f>
        <v>achievementPlayObjectsFreeze</v>
      </c>
      <c r="C249" s="20">
        <f>Catalog!W146</f>
        <v>0</v>
      </c>
      <c r="D249" s="20" t="str">
        <f>Catalog!X146</f>
        <v>unearned</v>
      </c>
      <c r="E249" s="19" t="s">
        <v>25</v>
      </c>
      <c r="F249" s="19" t="str">
        <f>Catalog!AD146</f>
        <v>Freeze 25 targets with your Freeze Elemental!</v>
      </c>
    </row>
    <row r="250" spans="1:7" ht="15" x14ac:dyDescent="0.15">
      <c r="A250" s="11" t="s">
        <v>5484</v>
      </c>
      <c r="B250" s="12" t="str">
        <f>Catalog!E146</f>
        <v>achievementPlayObjectsFreeze</v>
      </c>
      <c r="C250" s="20">
        <f>Catalog!BD146</f>
        <v>2</v>
      </c>
      <c r="D250" s="20" t="str">
        <f>Catalog!BE146</f>
        <v>earned</v>
      </c>
      <c r="E250" s="19" t="s">
        <v>23</v>
      </c>
      <c r="F250" s="20" t="str">
        <f>Catalog!BI146</f>
        <v>Cold-Hearted</v>
      </c>
    </row>
    <row r="251" spans="1:7" ht="15" x14ac:dyDescent="0.15">
      <c r="A251" s="11" t="s">
        <v>5484</v>
      </c>
      <c r="B251" s="12" t="str">
        <f>Catalog!E146</f>
        <v>achievementPlayObjectsFreeze</v>
      </c>
      <c r="C251" s="20">
        <f>Catalog!BD146</f>
        <v>2</v>
      </c>
      <c r="D251" s="20" t="str">
        <f>Catalog!BE146</f>
        <v>earned</v>
      </c>
      <c r="E251" s="19" t="s">
        <v>25</v>
      </c>
      <c r="F251" s="19" t="str">
        <f>Catalog!BL146</f>
        <v>You froze 25 targets with your Freeze Elemental!</v>
      </c>
    </row>
    <row r="252" spans="1:7" ht="15" x14ac:dyDescent="0.15">
      <c r="A252" s="11" t="s">
        <v>5484</v>
      </c>
      <c r="B252" s="12" t="str">
        <f>Catalog!E146</f>
        <v>achievementPlayObjectsFreeze</v>
      </c>
      <c r="C252" s="19" t="e">
        <f t="shared" ref="C252:D252" si="56">#REF!</f>
        <v>#REF!</v>
      </c>
      <c r="D252" s="19" t="e">
        <f t="shared" si="56"/>
        <v>#REF!</v>
      </c>
      <c r="E252" s="19" t="s">
        <v>25</v>
      </c>
      <c r="F252" s="19" t="e">
        <f t="shared" ref="F252:F253" si="57">#REF!</f>
        <v>#REF!</v>
      </c>
      <c r="G252" s="18" t="s">
        <v>5483</v>
      </c>
    </row>
    <row r="253" spans="1:7" ht="15" x14ac:dyDescent="0.15">
      <c r="A253" s="11" t="s">
        <v>5484</v>
      </c>
      <c r="B253" s="12" t="str">
        <f>Catalog!E146</f>
        <v>achievementPlayObjectsFreeze</v>
      </c>
      <c r="C253" s="19" t="e">
        <f t="shared" ref="C253:D253" si="58">#REF!</f>
        <v>#REF!</v>
      </c>
      <c r="D253" s="19" t="e">
        <f t="shared" si="58"/>
        <v>#REF!</v>
      </c>
      <c r="E253" s="19" t="s">
        <v>25</v>
      </c>
      <c r="F253" s="19" t="e">
        <f t="shared" si="57"/>
        <v>#REF!</v>
      </c>
      <c r="G253" s="18" t="s">
        <v>5483</v>
      </c>
    </row>
    <row r="254" spans="1:7" ht="15" x14ac:dyDescent="0.15">
      <c r="A254" s="11" t="s">
        <v>5484</v>
      </c>
      <c r="B254" s="12" t="str">
        <f>Catalog!E148</f>
        <v>achievementPlayObjectsBurn</v>
      </c>
      <c r="C254" s="20">
        <f>Catalog!W148</f>
        <v>0</v>
      </c>
      <c r="D254" s="20" t="str">
        <f>Catalog!X148</f>
        <v>unearned</v>
      </c>
      <c r="E254" s="19" t="s">
        <v>25</v>
      </c>
      <c r="F254" s="19" t="str">
        <f>Catalog!AD148</f>
        <v>Set 25 targets on fire with your Fire Elemental!</v>
      </c>
    </row>
    <row r="255" spans="1:7" ht="15" x14ac:dyDescent="0.15">
      <c r="A255" s="11" t="s">
        <v>5484</v>
      </c>
      <c r="B255" s="12" t="str">
        <f>Catalog!E148</f>
        <v>achievementPlayObjectsBurn</v>
      </c>
      <c r="C255" s="20">
        <f>Catalog!BD148</f>
        <v>2</v>
      </c>
      <c r="D255" s="20" t="str">
        <f>Catalog!BE148</f>
        <v>earned</v>
      </c>
      <c r="E255" s="19" t="s">
        <v>23</v>
      </c>
      <c r="F255" s="20" t="str">
        <f>Catalog!BI148</f>
        <v>Fired Up</v>
      </c>
    </row>
    <row r="256" spans="1:7" ht="15" x14ac:dyDescent="0.15">
      <c r="A256" s="11" t="s">
        <v>5484</v>
      </c>
      <c r="B256" s="12" t="str">
        <f>Catalog!E148</f>
        <v>achievementPlayObjectsBurn</v>
      </c>
      <c r="C256" s="20">
        <f>Catalog!BD148</f>
        <v>2</v>
      </c>
      <c r="D256" s="20" t="str">
        <f>Catalog!BE148</f>
        <v>earned</v>
      </c>
      <c r="E256" s="19" t="s">
        <v>25</v>
      </c>
      <c r="F256" s="19" t="str">
        <f>Catalog!BL148</f>
        <v>You set 25 targets on fire with your Fire Elemental!</v>
      </c>
    </row>
    <row r="257" spans="1:7" ht="15" x14ac:dyDescent="0.15">
      <c r="A257" s="11" t="s">
        <v>5484</v>
      </c>
      <c r="B257" s="12" t="str">
        <f>Catalog!E148</f>
        <v>achievementPlayObjectsBurn</v>
      </c>
      <c r="C257" s="19" t="e">
        <f t="shared" ref="C257:D257" si="59">#REF!</f>
        <v>#REF!</v>
      </c>
      <c r="D257" s="19" t="e">
        <f t="shared" si="59"/>
        <v>#REF!</v>
      </c>
      <c r="E257" s="19" t="s">
        <v>25</v>
      </c>
      <c r="F257" s="19" t="e">
        <f t="shared" ref="F257:F258" si="60">#REF!</f>
        <v>#REF!</v>
      </c>
      <c r="G257" s="18" t="s">
        <v>5483</v>
      </c>
    </row>
    <row r="258" spans="1:7" ht="15" x14ac:dyDescent="0.15">
      <c r="A258" s="11" t="s">
        <v>5484</v>
      </c>
      <c r="B258" s="12" t="str">
        <f>Catalog!E148</f>
        <v>achievementPlayObjectsBurn</v>
      </c>
      <c r="C258" s="19" t="e">
        <f t="shared" ref="C258:D258" si="61">#REF!</f>
        <v>#REF!</v>
      </c>
      <c r="D258" s="19" t="e">
        <f t="shared" si="61"/>
        <v>#REF!</v>
      </c>
      <c r="E258" s="19" t="s">
        <v>25</v>
      </c>
      <c r="F258" s="19" t="e">
        <f t="shared" si="60"/>
        <v>#REF!</v>
      </c>
      <c r="G258" s="18" t="s">
        <v>5483</v>
      </c>
    </row>
    <row r="259" spans="1:7" ht="15" x14ac:dyDescent="0.15">
      <c r="A259" s="11" t="s">
        <v>5484</v>
      </c>
      <c r="B259" s="12" t="str">
        <f>Catalog!E150</f>
        <v>achievementPlayObjectsElectrify</v>
      </c>
      <c r="C259" s="20">
        <f>Catalog!W150</f>
        <v>0</v>
      </c>
      <c r="D259" s="20" t="str">
        <f>Catalog!X150</f>
        <v>unearned</v>
      </c>
      <c r="E259" s="19" t="s">
        <v>25</v>
      </c>
      <c r="F259" s="19" t="str">
        <f>Catalog!AD150</f>
        <v>Electrify 25 targets with your Lightning Elemental!</v>
      </c>
    </row>
    <row r="260" spans="1:7" ht="15" x14ac:dyDescent="0.15">
      <c r="A260" s="11" t="s">
        <v>5484</v>
      </c>
      <c r="B260" s="12" t="str">
        <f>Catalog!E150</f>
        <v>achievementPlayObjectsElectrify</v>
      </c>
      <c r="C260" s="20">
        <f>Catalog!BD150</f>
        <v>2</v>
      </c>
      <c r="D260" s="20" t="str">
        <f>Catalog!BE150</f>
        <v>earned</v>
      </c>
      <c r="E260" s="19" t="s">
        <v>23</v>
      </c>
      <c r="F260" s="20" t="str">
        <f>Catalog!BI150</f>
        <v>Shock &amp; Roll</v>
      </c>
    </row>
    <row r="261" spans="1:7" ht="15" x14ac:dyDescent="0.15">
      <c r="A261" s="11" t="s">
        <v>5484</v>
      </c>
      <c r="B261" s="12" t="str">
        <f>Catalog!E150</f>
        <v>achievementPlayObjectsElectrify</v>
      </c>
      <c r="C261" s="20">
        <f>Catalog!BD150</f>
        <v>2</v>
      </c>
      <c r="D261" s="20" t="str">
        <f>Catalog!BE150</f>
        <v>earned</v>
      </c>
      <c r="E261" s="19" t="s">
        <v>25</v>
      </c>
      <c r="F261" s="19" t="str">
        <f>Catalog!BL150</f>
        <v>You electrified 25 targets with your Lightning Elemental!</v>
      </c>
    </row>
    <row r="262" spans="1:7" ht="15" x14ac:dyDescent="0.15">
      <c r="A262" s="11" t="s">
        <v>5484</v>
      </c>
      <c r="B262" s="12" t="str">
        <f>Catalog!E150</f>
        <v>achievementPlayObjectsElectrify</v>
      </c>
      <c r="C262" s="19" t="e">
        <f t="shared" ref="C262:D262" si="62">#REF!</f>
        <v>#REF!</v>
      </c>
      <c r="D262" s="19" t="e">
        <f t="shared" si="62"/>
        <v>#REF!</v>
      </c>
      <c r="E262" s="19" t="s">
        <v>25</v>
      </c>
      <c r="F262" s="19" t="e">
        <f t="shared" ref="F262:F263" si="63">#REF!</f>
        <v>#REF!</v>
      </c>
      <c r="G262" s="18" t="s">
        <v>5483</v>
      </c>
    </row>
    <row r="263" spans="1:7" ht="15" x14ac:dyDescent="0.15">
      <c r="A263" s="11" t="s">
        <v>5484</v>
      </c>
      <c r="B263" s="12" t="str">
        <f>Catalog!E150</f>
        <v>achievementPlayObjectsElectrify</v>
      </c>
      <c r="C263" s="19" t="e">
        <f t="shared" ref="C263:D263" si="64">#REF!</f>
        <v>#REF!</v>
      </c>
      <c r="D263" s="19" t="e">
        <f t="shared" si="64"/>
        <v>#REF!</v>
      </c>
      <c r="E263" s="19" t="s">
        <v>25</v>
      </c>
      <c r="F263" s="19" t="e">
        <f t="shared" si="63"/>
        <v>#REF!</v>
      </c>
      <c r="G263" s="18" t="s">
        <v>5483</v>
      </c>
    </row>
    <row r="264" spans="1:7" ht="15" x14ac:dyDescent="0.15">
      <c r="A264" s="11" t="s">
        <v>5484</v>
      </c>
      <c r="B264" s="12" t="str">
        <f>Catalog!E152</f>
        <v>achievementPlayObjectsCrush</v>
      </c>
      <c r="C264" s="20">
        <f>Catalog!W152</f>
        <v>0</v>
      </c>
      <c r="D264" s="20" t="str">
        <f>Catalog!X152</f>
        <v>unearned</v>
      </c>
      <c r="E264" s="19" t="s">
        <v>25</v>
      </c>
      <c r="F264" s="19" t="str">
        <f>Catalog!AD152</f>
        <v>Crush 25 targets with your Force Elemental!</v>
      </c>
    </row>
    <row r="265" spans="1:7" ht="15" x14ac:dyDescent="0.15">
      <c r="A265" s="11" t="s">
        <v>5484</v>
      </c>
      <c r="B265" s="12" t="str">
        <f>Catalog!E152</f>
        <v>achievementPlayObjectsCrush</v>
      </c>
      <c r="C265" s="20">
        <f>Catalog!BD152</f>
        <v>2</v>
      </c>
      <c r="D265" s="20" t="str">
        <f>Catalog!BE152</f>
        <v>earned</v>
      </c>
      <c r="E265" s="19" t="s">
        <v>23</v>
      </c>
      <c r="F265" s="20" t="str">
        <f>Catalog!BI152</f>
        <v>Tour de Force</v>
      </c>
    </row>
    <row r="266" spans="1:7" ht="15" x14ac:dyDescent="0.15">
      <c r="A266" s="11" t="s">
        <v>5484</v>
      </c>
      <c r="B266" s="12" t="str">
        <f>Catalog!E152</f>
        <v>achievementPlayObjectsCrush</v>
      </c>
      <c r="C266" s="20">
        <f>Catalog!BD152</f>
        <v>2</v>
      </c>
      <c r="D266" s="20" t="str">
        <f>Catalog!BE152</f>
        <v>earned</v>
      </c>
      <c r="E266" s="19" t="s">
        <v>25</v>
      </c>
      <c r="F266" s="19" t="str">
        <f>Catalog!BL152</f>
        <v>You crushed 25 targets with your Force Elemental!</v>
      </c>
    </row>
    <row r="267" spans="1:7" ht="15" x14ac:dyDescent="0.15">
      <c r="A267" s="11" t="s">
        <v>5484</v>
      </c>
      <c r="B267" s="12" t="str">
        <f>Catalog!E152</f>
        <v>achievementPlayObjectsCrush</v>
      </c>
      <c r="C267" s="19" t="e">
        <f t="shared" ref="C267:D267" si="65">#REF!</f>
        <v>#REF!</v>
      </c>
      <c r="D267" s="19" t="e">
        <f t="shared" si="65"/>
        <v>#REF!</v>
      </c>
      <c r="E267" s="19" t="s">
        <v>25</v>
      </c>
      <c r="F267" s="19" t="e">
        <f t="shared" ref="F267:F268" si="66">#REF!</f>
        <v>#REF!</v>
      </c>
      <c r="G267" s="18" t="s">
        <v>5483</v>
      </c>
    </row>
    <row r="268" spans="1:7" ht="15" x14ac:dyDescent="0.15">
      <c r="A268" s="11" t="s">
        <v>5484</v>
      </c>
      <c r="B268" s="12" t="str">
        <f>Catalog!E152</f>
        <v>achievementPlayObjectsCrush</v>
      </c>
      <c r="C268" s="19" t="e">
        <f t="shared" ref="C268:D268" si="67">#REF!</f>
        <v>#REF!</v>
      </c>
      <c r="D268" s="19" t="e">
        <f t="shared" si="67"/>
        <v>#REF!</v>
      </c>
      <c r="E268" s="19" t="s">
        <v>25</v>
      </c>
      <c r="F268" s="19" t="e">
        <f t="shared" si="66"/>
        <v>#REF!</v>
      </c>
      <c r="G268" s="18" t="s">
        <v>5483</v>
      </c>
    </row>
    <row r="269" spans="1:7" ht="15" x14ac:dyDescent="0.15">
      <c r="A269" s="11" t="s">
        <v>5484</v>
      </c>
      <c r="B269" s="12" t="str">
        <f>Catalog!E154</f>
        <v>achievementPlayBombsExplode</v>
      </c>
      <c r="C269" s="20">
        <f>Catalog!W154</f>
        <v>0</v>
      </c>
      <c r="D269" s="20" t="str">
        <f>Catalog!X154</f>
        <v>unearned</v>
      </c>
      <c r="E269" s="19" t="s">
        <v>25</v>
      </c>
      <c r="F269" s="19" t="str">
        <f>Catalog!AD154</f>
        <v>Explode 25 bombs!</v>
      </c>
    </row>
    <row r="270" spans="1:7" ht="15" x14ac:dyDescent="0.15">
      <c r="A270" s="11" t="s">
        <v>5484</v>
      </c>
      <c r="B270" s="12" t="str">
        <f>Catalog!E154</f>
        <v>achievementPlayBombsExplode</v>
      </c>
      <c r="C270" s="20">
        <f>Catalog!BD154</f>
        <v>2</v>
      </c>
      <c r="D270" s="20" t="str">
        <f>Catalog!BE154</f>
        <v>earned</v>
      </c>
      <c r="E270" s="19" t="s">
        <v>23</v>
      </c>
      <c r="F270" s="20" t="str">
        <f>Catalog!BI154</f>
        <v>You da Bomb!</v>
      </c>
    </row>
    <row r="271" spans="1:7" ht="15" x14ac:dyDescent="0.15">
      <c r="A271" s="11" t="s">
        <v>5484</v>
      </c>
      <c r="B271" s="12" t="str">
        <f>Catalog!E154</f>
        <v>achievementPlayBombsExplode</v>
      </c>
      <c r="C271" s="20">
        <f>Catalog!BD154</f>
        <v>2</v>
      </c>
      <c r="D271" s="20" t="str">
        <f>Catalog!BE154</f>
        <v>earned</v>
      </c>
      <c r="E271" s="19" t="s">
        <v>25</v>
      </c>
      <c r="F271" s="19" t="str">
        <f>Catalog!BL154</f>
        <v>You exploded 25 bombs!</v>
      </c>
    </row>
    <row r="272" spans="1:7" ht="15" x14ac:dyDescent="0.15">
      <c r="A272" s="11" t="s">
        <v>5484</v>
      </c>
      <c r="B272" s="12" t="str">
        <f>Catalog!E154</f>
        <v>achievementPlayBombsExplode</v>
      </c>
      <c r="C272" s="19" t="e">
        <f t="shared" ref="C272:D272" si="68">#REF!</f>
        <v>#REF!</v>
      </c>
      <c r="D272" s="19" t="e">
        <f t="shared" si="68"/>
        <v>#REF!</v>
      </c>
      <c r="E272" s="19" t="s">
        <v>25</v>
      </c>
      <c r="F272" s="19" t="e">
        <f t="shared" ref="F272:F273" si="69">#REF!</f>
        <v>#REF!</v>
      </c>
      <c r="G272" s="18" t="s">
        <v>5483</v>
      </c>
    </row>
    <row r="273" spans="1:7" ht="15" x14ac:dyDescent="0.15">
      <c r="A273" s="11" t="s">
        <v>5484</v>
      </c>
      <c r="B273" s="12" t="str">
        <f>Catalog!E154</f>
        <v>achievementPlayBombsExplode</v>
      </c>
      <c r="C273" s="19" t="e">
        <f t="shared" ref="C273:D273" si="70">#REF!</f>
        <v>#REF!</v>
      </c>
      <c r="D273" s="19" t="e">
        <f t="shared" si="70"/>
        <v>#REF!</v>
      </c>
      <c r="E273" s="19" t="s">
        <v>25</v>
      </c>
      <c r="F273" s="19" t="e">
        <f t="shared" si="69"/>
        <v>#REF!</v>
      </c>
      <c r="G273" s="18" t="s">
        <v>5483</v>
      </c>
    </row>
    <row r="274" spans="1:7" ht="15" x14ac:dyDescent="0.15">
      <c r="A274" s="11" t="s">
        <v>5484</v>
      </c>
      <c r="B274" s="12" t="str">
        <f>Catalog!E162</f>
        <v>achievementPlay5in10</v>
      </c>
      <c r="C274" s="20">
        <f>Catalog!W162</f>
        <v>0</v>
      </c>
      <c r="D274" s="20" t="str">
        <f>Catalog!X162</f>
        <v>unearned</v>
      </c>
      <c r="E274" s="19" t="s">
        <v>25</v>
      </c>
      <c r="F274" s="19" t="str">
        <f>Catalog!AD162</f>
        <v>Destroy 5 objects in 10 seconds</v>
      </c>
    </row>
    <row r="275" spans="1:7" ht="15" x14ac:dyDescent="0.15">
      <c r="A275" s="11" t="s">
        <v>5484</v>
      </c>
      <c r="B275" s="12" t="str">
        <f>Catalog!E162</f>
        <v>achievementPlay5in10</v>
      </c>
      <c r="C275" s="20">
        <f>Catalog!BD162</f>
        <v>2</v>
      </c>
      <c r="D275" s="20" t="str">
        <f>Catalog!BE162</f>
        <v>earned</v>
      </c>
      <c r="E275" s="19" t="s">
        <v>23</v>
      </c>
      <c r="F275" s="20" t="str">
        <f>Catalog!BI162</f>
        <v>Speed Demon</v>
      </c>
    </row>
    <row r="276" spans="1:7" ht="15" x14ac:dyDescent="0.15">
      <c r="A276" s="11" t="s">
        <v>5484</v>
      </c>
      <c r="B276" s="12" t="str">
        <f>Catalog!E162</f>
        <v>achievementPlay5in10</v>
      </c>
      <c r="C276" s="20">
        <f>Catalog!BD162</f>
        <v>2</v>
      </c>
      <c r="D276" s="20" t="str">
        <f>Catalog!BE162</f>
        <v>earned</v>
      </c>
      <c r="E276" s="19" t="s">
        <v>25</v>
      </c>
      <c r="F276" s="19" t="str">
        <f>Catalog!BL162</f>
        <v>You destroyed 5 objects in 10 seconds!</v>
      </c>
    </row>
    <row r="277" spans="1:7" ht="15" x14ac:dyDescent="0.15">
      <c r="A277" s="11" t="s">
        <v>5484</v>
      </c>
      <c r="B277" s="12" t="str">
        <f>Catalog!E162</f>
        <v>achievementPlay5in10</v>
      </c>
      <c r="C277" s="19" t="e">
        <f t="shared" ref="C277:D277" si="71">#REF!</f>
        <v>#REF!</v>
      </c>
      <c r="D277" s="19" t="e">
        <f t="shared" si="71"/>
        <v>#REF!</v>
      </c>
      <c r="E277" s="19" t="s">
        <v>25</v>
      </c>
      <c r="F277" s="19" t="e">
        <f t="shared" ref="F277:F278" si="72">#REF!</f>
        <v>#REF!</v>
      </c>
      <c r="G277" s="18" t="s">
        <v>5483</v>
      </c>
    </row>
    <row r="278" spans="1:7" ht="15" x14ac:dyDescent="0.15">
      <c r="A278" s="11" t="s">
        <v>5484</v>
      </c>
      <c r="B278" s="12" t="str">
        <f>Catalog!E162</f>
        <v>achievementPlay5in10</v>
      </c>
      <c r="C278" s="19" t="e">
        <f t="shared" ref="C278:D278" si="73">#REF!</f>
        <v>#REF!</v>
      </c>
      <c r="D278" s="19" t="e">
        <f t="shared" si="73"/>
        <v>#REF!</v>
      </c>
      <c r="E278" s="19" t="s">
        <v>25</v>
      </c>
      <c r="F278" s="19" t="e">
        <f t="shared" si="72"/>
        <v>#REF!</v>
      </c>
      <c r="G278" s="18" t="s">
        <v>5483</v>
      </c>
    </row>
    <row r="279" spans="1:7" ht="15" x14ac:dyDescent="0.15">
      <c r="A279" s="11" t="s">
        <v>5484</v>
      </c>
      <c r="B279" s="12" t="str">
        <f>Catalog!E164</f>
        <v>achievementPlayerNerfed</v>
      </c>
      <c r="C279" s="20">
        <f>Catalog!W164</f>
        <v>0</v>
      </c>
      <c r="D279" s="20" t="str">
        <f>Catalog!X164</f>
        <v>unearned</v>
      </c>
      <c r="E279" s="19" t="s">
        <v>25</v>
      </c>
      <c r="F279" s="20" t="str">
        <f>Catalog!AD164</f>
        <v>Shoot bubbles during battle.</v>
      </c>
    </row>
    <row r="280" spans="1:7" ht="15" x14ac:dyDescent="0.15">
      <c r="A280" s="11" t="s">
        <v>5484</v>
      </c>
      <c r="B280" s="12" t="str">
        <f>Catalog!E164</f>
        <v>achievementPlayerNerfed</v>
      </c>
      <c r="C280" s="19" t="e">
        <f t="shared" ref="C280:D280" si="74">#REF!</f>
        <v>#REF!</v>
      </c>
      <c r="D280" s="19" t="e">
        <f t="shared" si="74"/>
        <v>#REF!</v>
      </c>
      <c r="E280" s="19" t="s">
        <v>23</v>
      </c>
      <c r="F280" s="19" t="e">
        <f t="shared" ref="F280:F281" si="75">#REF!</f>
        <v>#REF!</v>
      </c>
    </row>
    <row r="281" spans="1:7" ht="15" x14ac:dyDescent="0.15">
      <c r="A281" s="11" t="s">
        <v>5484</v>
      </c>
      <c r="B281" s="12" t="str">
        <f>Catalog!E164</f>
        <v>achievementPlayerNerfed</v>
      </c>
      <c r="C281" s="19" t="e">
        <f t="shared" ref="C281:D281" si="76">#REF!</f>
        <v>#REF!</v>
      </c>
      <c r="D281" s="19" t="e">
        <f t="shared" si="76"/>
        <v>#REF!</v>
      </c>
      <c r="E281" s="19" t="s">
        <v>25</v>
      </c>
      <c r="F281" s="19" t="e">
        <f t="shared" si="75"/>
        <v>#REF!</v>
      </c>
    </row>
    <row r="282" spans="1:7" ht="15" x14ac:dyDescent="0.15">
      <c r="A282" s="11" t="s">
        <v>5484</v>
      </c>
      <c r="B282" s="12" t="str">
        <f>Catalog!E183</f>
        <v>achievementPlayBelleRecordBreak</v>
      </c>
      <c r="C282" s="20">
        <f>Catalog!W183</f>
        <v>0</v>
      </c>
      <c r="D282" s="20" t="str">
        <f>Catalog!X183</f>
        <v>unearned</v>
      </c>
      <c r="E282" s="19" t="s">
        <v>25</v>
      </c>
      <c r="F282" s="19" t="str">
        <f>Catalog!AD183</f>
        <v>Break 25 records at Belle Bottom's Disco!</v>
      </c>
    </row>
    <row r="283" spans="1:7" ht="15" x14ac:dyDescent="0.15">
      <c r="A283" s="11" t="s">
        <v>5484</v>
      </c>
      <c r="B283" s="12" t="str">
        <f>Catalog!E183</f>
        <v>achievementPlayBelleRecordBreak</v>
      </c>
      <c r="C283" s="19" t="e">
        <f t="shared" ref="C283:D283" si="77">#REF!</f>
        <v>#REF!</v>
      </c>
      <c r="D283" s="19" t="e">
        <f t="shared" si="77"/>
        <v>#REF!</v>
      </c>
      <c r="E283" s="19" t="s">
        <v>23</v>
      </c>
      <c r="F283" s="19" t="e">
        <f t="shared" ref="F283:F284" si="78">#REF!</f>
        <v>#REF!</v>
      </c>
    </row>
    <row r="284" spans="1:7" ht="15" x14ac:dyDescent="0.15">
      <c r="A284" s="11" t="s">
        <v>5484</v>
      </c>
      <c r="B284" s="12" t="str">
        <f>Catalog!E183</f>
        <v>achievementPlayBelleRecordBreak</v>
      </c>
      <c r="C284" s="19" t="e">
        <f t="shared" ref="C284:D284" si="79">#REF!</f>
        <v>#REF!</v>
      </c>
      <c r="D284" s="19" t="e">
        <f t="shared" si="79"/>
        <v>#REF!</v>
      </c>
      <c r="E284" s="19" t="s">
        <v>25</v>
      </c>
      <c r="F284" s="19" t="e">
        <f t="shared" si="78"/>
        <v>#REF!</v>
      </c>
    </row>
    <row r="285" spans="1:7" ht="15" x14ac:dyDescent="0.15">
      <c r="A285" s="11" t="s">
        <v>5484</v>
      </c>
      <c r="B285" s="12" t="str">
        <f>Catalog!E177</f>
        <v>achievementPlayNunchuckMusicNotes</v>
      </c>
      <c r="C285" s="20">
        <f>Catalog!W177</f>
        <v>0</v>
      </c>
      <c r="D285" s="20" t="str">
        <f>Catalog!X177</f>
        <v>unearned</v>
      </c>
      <c r="E285" s="19" t="s">
        <v>25</v>
      </c>
      <c r="F285" s="19" t="str">
        <f>Catalog!AD177</f>
        <v>Change Nun-Chuck's music 25 times!</v>
      </c>
    </row>
    <row r="286" spans="1:7" ht="15" x14ac:dyDescent="0.15">
      <c r="A286" s="11" t="s">
        <v>5484</v>
      </c>
      <c r="B286" s="12" t="str">
        <f>Catalog!E177</f>
        <v>achievementPlayNunchuckMusicNotes</v>
      </c>
      <c r="C286" s="19" t="e">
        <f t="shared" ref="C286:D286" si="80">#REF!</f>
        <v>#REF!</v>
      </c>
      <c r="D286" s="19" t="e">
        <f t="shared" si="80"/>
        <v>#REF!</v>
      </c>
      <c r="E286" s="19" t="s">
        <v>23</v>
      </c>
      <c r="F286" s="19" t="e">
        <f t="shared" ref="F286:F287" si="81">#REF!</f>
        <v>#REF!</v>
      </c>
    </row>
    <row r="287" spans="1:7" ht="15" x14ac:dyDescent="0.15">
      <c r="A287" s="11" t="s">
        <v>5484</v>
      </c>
      <c r="B287" s="12" t="str">
        <f>Catalog!E177</f>
        <v>achievementPlayNunchuckMusicNotes</v>
      </c>
      <c r="C287" s="19" t="e">
        <f t="shared" ref="C287:D287" si="82">#REF!</f>
        <v>#REF!</v>
      </c>
      <c r="D287" s="19" t="e">
        <f t="shared" si="82"/>
        <v>#REF!</v>
      </c>
      <c r="E287" s="19" t="s">
        <v>25</v>
      </c>
      <c r="F287" s="19" t="e">
        <f t="shared" si="81"/>
        <v>#REF!</v>
      </c>
    </row>
    <row r="288" spans="1:7" ht="15" x14ac:dyDescent="0.15">
      <c r="A288" s="11" t="s">
        <v>5484</v>
      </c>
      <c r="B288" s="12" t="str">
        <f>Catalog!E181</f>
        <v>achievementPlaySvengeanceSkaterbots</v>
      </c>
      <c r="C288" s="20">
        <f>Catalog!W181</f>
        <v>0</v>
      </c>
      <c r="D288" s="20" t="str">
        <f>Catalog!X181</f>
        <v>unearned</v>
      </c>
      <c r="E288" s="19" t="s">
        <v>25</v>
      </c>
      <c r="F288" s="19" t="str">
        <f>Catalog!AD181</f>
        <v>Destroy 25 of Svengeance's Roller Derby Bots!</v>
      </c>
    </row>
    <row r="289" spans="1:6" ht="15" x14ac:dyDescent="0.15">
      <c r="A289" s="11" t="s">
        <v>5484</v>
      </c>
      <c r="B289" s="12" t="str">
        <f>Catalog!E181</f>
        <v>achievementPlaySvengeanceSkaterbots</v>
      </c>
      <c r="C289" s="19" t="e">
        <f t="shared" ref="C289:D289" si="83">#REF!</f>
        <v>#REF!</v>
      </c>
      <c r="D289" s="19" t="e">
        <f t="shared" si="83"/>
        <v>#REF!</v>
      </c>
      <c r="E289" s="19" t="s">
        <v>23</v>
      </c>
      <c r="F289" s="19" t="e">
        <f t="shared" ref="F289:F290" si="84">#REF!</f>
        <v>#REF!</v>
      </c>
    </row>
    <row r="290" spans="1:6" ht="15" x14ac:dyDescent="0.15">
      <c r="A290" s="11" t="s">
        <v>5484</v>
      </c>
      <c r="B290" s="12" t="str">
        <f>Catalog!E181</f>
        <v>achievementPlaySvengeanceSkaterbots</v>
      </c>
      <c r="C290" s="19" t="e">
        <f t="shared" ref="C290:D290" si="85">#REF!</f>
        <v>#REF!</v>
      </c>
      <c r="D290" s="19" t="e">
        <f t="shared" si="85"/>
        <v>#REF!</v>
      </c>
      <c r="E290" s="19" t="s">
        <v>25</v>
      </c>
      <c r="F290" s="19" t="e">
        <f t="shared" si="84"/>
        <v>#REF!</v>
      </c>
    </row>
    <row r="291" spans="1:6" ht="15" x14ac:dyDescent="0.15">
      <c r="A291" s="11" t="s">
        <v>5484</v>
      </c>
      <c r="B291" s="12" t="str">
        <f>Catalog!E175</f>
        <v>achievementPlayStrongholdTankHaywire</v>
      </c>
      <c r="C291" s="20">
        <f>Catalog!W175</f>
        <v>0</v>
      </c>
      <c r="D291" s="20" t="str">
        <f>Catalog!X175</f>
        <v>unearned</v>
      </c>
      <c r="E291" s="19" t="s">
        <v>25</v>
      </c>
      <c r="F291" s="19" t="str">
        <f>Catalog!AD175</f>
        <v>Damage Stronghold's Bulldozer till it goes haywire!</v>
      </c>
    </row>
    <row r="292" spans="1:6" ht="15" x14ac:dyDescent="0.15">
      <c r="A292" s="11" t="s">
        <v>5484</v>
      </c>
      <c r="B292" s="12" t="str">
        <f>Catalog!E175</f>
        <v>achievementPlayStrongholdTankHaywire</v>
      </c>
      <c r="C292" s="19" t="e">
        <f t="shared" ref="C292:D292" si="86">#REF!</f>
        <v>#REF!</v>
      </c>
      <c r="D292" s="19" t="e">
        <f t="shared" si="86"/>
        <v>#REF!</v>
      </c>
      <c r="E292" s="19" t="s">
        <v>23</v>
      </c>
      <c r="F292" s="19" t="e">
        <f t="shared" ref="F292:F293" si="87">#REF!</f>
        <v>#REF!</v>
      </c>
    </row>
    <row r="293" spans="1:6" ht="15" x14ac:dyDescent="0.15">
      <c r="A293" s="11" t="s">
        <v>5484</v>
      </c>
      <c r="B293" s="12" t="str">
        <f>Catalog!E175</f>
        <v>achievementPlayStrongholdTankHaywire</v>
      </c>
      <c r="C293" s="19" t="e">
        <f t="shared" ref="C293:D293" si="88">#REF!</f>
        <v>#REF!</v>
      </c>
      <c r="D293" s="19" t="e">
        <f t="shared" si="88"/>
        <v>#REF!</v>
      </c>
      <c r="E293" s="19" t="s">
        <v>25</v>
      </c>
      <c r="F293" s="19" t="e">
        <f t="shared" si="87"/>
        <v>#REF!</v>
      </c>
    </row>
    <row r="294" spans="1:6" ht="15" x14ac:dyDescent="0.15">
      <c r="A294" s="11" t="s">
        <v>5484</v>
      </c>
      <c r="B294" s="12" t="str">
        <f>Catalog!E184</f>
        <v>achievementPlayBrattPack</v>
      </c>
      <c r="C294" s="20">
        <f>Catalog!W184</f>
        <v>0</v>
      </c>
      <c r="D294" s="20" t="str">
        <f>Catalog!X184</f>
        <v>unearned</v>
      </c>
      <c r="E294" s="19" t="s">
        <v>25</v>
      </c>
      <c r="F294" s="19" t="str">
        <f>Catalog!AD184</f>
        <v>Blast 10 of Bratt's drones!</v>
      </c>
    </row>
    <row r="295" spans="1:6" ht="15" x14ac:dyDescent="0.15">
      <c r="A295" s="11" t="s">
        <v>5484</v>
      </c>
      <c r="B295" s="12" t="str">
        <f>Catalog!E184</f>
        <v>achievementPlayBrattPack</v>
      </c>
      <c r="C295" s="19" t="e">
        <f t="shared" ref="C295:D295" si="89">#REF!</f>
        <v>#REF!</v>
      </c>
      <c r="D295" s="19" t="e">
        <f t="shared" si="89"/>
        <v>#REF!</v>
      </c>
      <c r="E295" s="19" t="s">
        <v>23</v>
      </c>
      <c r="F295" s="19" t="e">
        <f t="shared" ref="F295:F296" si="90">#REF!</f>
        <v>#REF!</v>
      </c>
    </row>
    <row r="296" spans="1:6" ht="15" x14ac:dyDescent="0.15">
      <c r="A296" s="11" t="s">
        <v>5484</v>
      </c>
      <c r="B296" s="12" t="str">
        <f>Catalog!E184</f>
        <v>achievementPlayBrattPack</v>
      </c>
      <c r="C296" s="19" t="e">
        <f t="shared" ref="C296:D296" si="91">#REF!</f>
        <v>#REF!</v>
      </c>
      <c r="D296" s="19" t="e">
        <f t="shared" si="91"/>
        <v>#REF!</v>
      </c>
      <c r="E296" s="19" t="s">
        <v>25</v>
      </c>
      <c r="F296" s="19" t="e">
        <f t="shared" si="90"/>
        <v>#REF!</v>
      </c>
    </row>
    <row r="297" spans="1:6" ht="15" x14ac:dyDescent="0.15">
      <c r="A297" s="11" t="s">
        <v>5484</v>
      </c>
      <c r="B297" s="12" t="str">
        <f>Catalog!E185</f>
        <v>achievementPlayScarletTeddyDrones</v>
      </c>
      <c r="C297" s="20">
        <f>Catalog!W185</f>
        <v>0</v>
      </c>
      <c r="D297" s="20" t="str">
        <f>Catalog!X185</f>
        <v>unearned</v>
      </c>
      <c r="E297" s="19" t="s">
        <v>25</v>
      </c>
      <c r="F297" s="19" t="str">
        <f>Catalog!AD185</f>
        <v>Blast X of Scarlet's Evil Teddys!</v>
      </c>
    </row>
    <row r="298" spans="1:6" ht="15" x14ac:dyDescent="0.15">
      <c r="A298" s="11" t="s">
        <v>5484</v>
      </c>
      <c r="B298" s="12" t="str">
        <f>Catalog!E185</f>
        <v>achievementPlayScarletTeddyDrones</v>
      </c>
      <c r="C298" s="19" t="e">
        <f t="shared" ref="C298:D298" si="92">#REF!</f>
        <v>#REF!</v>
      </c>
      <c r="D298" s="19" t="e">
        <f t="shared" si="92"/>
        <v>#REF!</v>
      </c>
      <c r="E298" s="19" t="s">
        <v>23</v>
      </c>
      <c r="F298" s="19" t="e">
        <f t="shared" ref="F298:F299" si="93">#REF!</f>
        <v>#REF!</v>
      </c>
    </row>
    <row r="299" spans="1:6" ht="15" x14ac:dyDescent="0.15">
      <c r="A299" s="11" t="s">
        <v>5484</v>
      </c>
      <c r="B299" s="12" t="str">
        <f>Catalog!E185</f>
        <v>achievementPlayScarletTeddyDrones</v>
      </c>
      <c r="C299" s="19" t="e">
        <f t="shared" ref="C299:D299" si="94">#REF!</f>
        <v>#REF!</v>
      </c>
      <c r="D299" s="19" t="e">
        <f t="shared" si="94"/>
        <v>#REF!</v>
      </c>
      <c r="E299" s="19" t="s">
        <v>25</v>
      </c>
      <c r="F299" s="19" t="e">
        <f t="shared" si="93"/>
        <v>#REF!</v>
      </c>
    </row>
    <row r="300" spans="1:6" ht="15" x14ac:dyDescent="0.15">
      <c r="A300" s="11" t="s">
        <v>5484</v>
      </c>
      <c r="B300" s="12" t="str">
        <f>Catalog!E187</f>
        <v>achievementPlayElMachoPurpleMonsters</v>
      </c>
      <c r="C300" s="20">
        <f>Catalog!W187</f>
        <v>0</v>
      </c>
      <c r="D300" s="20" t="str">
        <f>Catalog!X187</f>
        <v>unearned</v>
      </c>
      <c r="E300" s="19" t="s">
        <v>25</v>
      </c>
      <c r="F300" s="19" t="str">
        <f>Catalog!AD187</f>
        <v>Destroy 10 of El Macho's Purple Minions!</v>
      </c>
    </row>
    <row r="301" spans="1:6" ht="15" x14ac:dyDescent="0.15">
      <c r="A301" s="11" t="s">
        <v>5484</v>
      </c>
      <c r="B301" s="12" t="str">
        <f>Catalog!E187</f>
        <v>achievementPlayElMachoPurpleMonsters</v>
      </c>
      <c r="C301" s="19" t="e">
        <f t="shared" ref="C301:D301" si="95">#REF!</f>
        <v>#REF!</v>
      </c>
      <c r="D301" s="19" t="e">
        <f t="shared" si="95"/>
        <v>#REF!</v>
      </c>
      <c r="E301" s="19" t="s">
        <v>23</v>
      </c>
      <c r="F301" s="19" t="e">
        <f t="shared" ref="F301:F302" si="96">#REF!</f>
        <v>#REF!</v>
      </c>
    </row>
    <row r="302" spans="1:6" ht="15" x14ac:dyDescent="0.15">
      <c r="A302" s="11" t="s">
        <v>5484</v>
      </c>
      <c r="B302" s="12" t="str">
        <f>Catalog!E187</f>
        <v>achievementPlayElMachoPurpleMonsters</v>
      </c>
      <c r="C302" s="19" t="e">
        <f t="shared" ref="C302:D302" si="97">#REF!</f>
        <v>#REF!</v>
      </c>
      <c r="D302" s="19" t="e">
        <f t="shared" si="97"/>
        <v>#REF!</v>
      </c>
      <c r="E302" s="19" t="s">
        <v>25</v>
      </c>
      <c r="F302" s="19" t="e">
        <f t="shared" si="96"/>
        <v>#REF!</v>
      </c>
    </row>
    <row r="303" spans="1:6" ht="15" x14ac:dyDescent="0.15">
      <c r="A303" s="11" t="s">
        <v>5484</v>
      </c>
      <c r="B303" s="12" t="str">
        <f>Catalog!E189</f>
        <v>achievementPlayVectorPiranha</v>
      </c>
      <c r="C303" s="20">
        <f>Catalog!W189</f>
        <v>0</v>
      </c>
      <c r="D303" s="20" t="str">
        <f>Catalog!X189</f>
        <v>unearned</v>
      </c>
      <c r="E303" s="19" t="s">
        <v>25</v>
      </c>
      <c r="F303" s="19" t="str">
        <f>Catalog!AD189</f>
        <v>Destroy 10 of Vector's Piranha drones!</v>
      </c>
    </row>
    <row r="304" spans="1:6" ht="15" x14ac:dyDescent="0.15">
      <c r="A304" s="11" t="s">
        <v>5484</v>
      </c>
      <c r="B304" s="12" t="str">
        <f>Catalog!E189</f>
        <v>achievementPlayVectorPiranha</v>
      </c>
      <c r="C304" s="19" t="e">
        <f t="shared" ref="C304:D304" si="98">#REF!</f>
        <v>#REF!</v>
      </c>
      <c r="D304" s="19" t="e">
        <f t="shared" si="98"/>
        <v>#REF!</v>
      </c>
      <c r="E304" s="19" t="s">
        <v>23</v>
      </c>
      <c r="F304" s="19" t="e">
        <f t="shared" ref="F304:F305" si="99">#REF!</f>
        <v>#REF!</v>
      </c>
    </row>
    <row r="305" spans="1:7" ht="15" x14ac:dyDescent="0.15">
      <c r="A305" s="11" t="s">
        <v>5484</v>
      </c>
      <c r="B305" s="12" t="str">
        <f>Catalog!E189</f>
        <v>achievementPlayVectorPiranha</v>
      </c>
      <c r="C305" s="19" t="e">
        <f t="shared" ref="C305:D305" si="100">#REF!</f>
        <v>#REF!</v>
      </c>
      <c r="D305" s="19" t="e">
        <f t="shared" si="100"/>
        <v>#REF!</v>
      </c>
      <c r="E305" s="19" t="s">
        <v>25</v>
      </c>
      <c r="F305" s="19" t="e">
        <f t="shared" si="99"/>
        <v>#REF!</v>
      </c>
    </row>
    <row r="306" spans="1:7" ht="28" x14ac:dyDescent="0.15">
      <c r="A306" s="11" t="s">
        <v>5484</v>
      </c>
      <c r="B306" s="12" t="str">
        <f>Catalog!E167</f>
        <v>achievementPlayEarlyBird</v>
      </c>
      <c r="C306" s="20">
        <f>Catalog!W167</f>
        <v>0</v>
      </c>
      <c r="D306" s="20" t="str">
        <f>Catalog!X167</f>
        <v>unearned</v>
      </c>
      <c r="E306" s="19" t="s">
        <v>25</v>
      </c>
      <c r="F306" s="19" t="str">
        <f>Catalog!AD167</f>
        <v>Blast through the challenge before 11AM. The early villain steals the worm!</v>
      </c>
    </row>
    <row r="307" spans="1:7" ht="15" x14ac:dyDescent="0.15">
      <c r="A307" s="11" t="s">
        <v>5484</v>
      </c>
      <c r="B307" s="12" t="str">
        <f>Catalog!E167</f>
        <v>achievementPlayEarlyBird</v>
      </c>
      <c r="C307" s="19" t="e">
        <f t="shared" ref="C307:D307" si="101">#REF!</f>
        <v>#REF!</v>
      </c>
      <c r="D307" s="19" t="e">
        <f t="shared" si="101"/>
        <v>#REF!</v>
      </c>
      <c r="E307" s="19" t="s">
        <v>23</v>
      </c>
      <c r="F307" s="19" t="e">
        <f t="shared" ref="F307:F308" si="102">#REF!</f>
        <v>#REF!</v>
      </c>
    </row>
    <row r="308" spans="1:7" ht="15" x14ac:dyDescent="0.15">
      <c r="A308" s="11" t="s">
        <v>5484</v>
      </c>
      <c r="B308" s="12" t="str">
        <f>Catalog!E167</f>
        <v>achievementPlayEarlyBird</v>
      </c>
      <c r="C308" s="19" t="e">
        <f t="shared" ref="C308:D308" si="103">#REF!</f>
        <v>#REF!</v>
      </c>
      <c r="D308" s="19" t="e">
        <f t="shared" si="103"/>
        <v>#REF!</v>
      </c>
      <c r="E308" s="19" t="s">
        <v>25</v>
      </c>
      <c r="F308" s="19" t="e">
        <f t="shared" si="102"/>
        <v>#REF!</v>
      </c>
    </row>
    <row r="309" spans="1:7" ht="15" x14ac:dyDescent="0.15">
      <c r="A309" s="11" t="s">
        <v>5484</v>
      </c>
      <c r="B309" s="12" t="str">
        <f>Catalog!E168</f>
        <v>achievementPlayLateNight</v>
      </c>
      <c r="C309" s="20">
        <f>Catalog!W168</f>
        <v>0</v>
      </c>
      <c r="D309" s="20" t="str">
        <f>Catalog!X168</f>
        <v>unearned</v>
      </c>
      <c r="E309" s="19" t="s">
        <v>25</v>
      </c>
      <c r="F309" s="19" t="str">
        <f>Catalog!AD168</f>
        <v>Take the challenge after 7pm. Blast into the night!</v>
      </c>
    </row>
    <row r="310" spans="1:7" ht="15" x14ac:dyDescent="0.15">
      <c r="A310" s="11" t="s">
        <v>5484</v>
      </c>
      <c r="B310" s="12" t="str">
        <f>Catalog!E168</f>
        <v>achievementPlayLateNight</v>
      </c>
      <c r="C310" s="19" t="e">
        <f t="shared" ref="C310:D310" si="104">#REF!</f>
        <v>#REF!</v>
      </c>
      <c r="D310" s="19" t="e">
        <f t="shared" si="104"/>
        <v>#REF!</v>
      </c>
      <c r="E310" s="19" t="s">
        <v>23</v>
      </c>
      <c r="F310" s="19" t="e">
        <f t="shared" ref="F310:F311" si="105">#REF!</f>
        <v>#REF!</v>
      </c>
    </row>
    <row r="311" spans="1:7" ht="15" x14ac:dyDescent="0.15">
      <c r="A311" s="11" t="s">
        <v>5484</v>
      </c>
      <c r="B311" s="12" t="str">
        <f>Catalog!E168</f>
        <v>achievementPlayLateNight</v>
      </c>
      <c r="C311" s="19" t="e">
        <f t="shared" ref="C311:D311" si="106">#REF!</f>
        <v>#REF!</v>
      </c>
      <c r="D311" s="19" t="e">
        <f t="shared" si="106"/>
        <v>#REF!</v>
      </c>
      <c r="E311" s="19" t="s">
        <v>25</v>
      </c>
      <c r="F311" s="19" t="e">
        <f t="shared" si="105"/>
        <v>#REF!</v>
      </c>
    </row>
    <row r="312" spans="1:7" ht="15" x14ac:dyDescent="0.15">
      <c r="A312" s="11" t="s">
        <v>5484</v>
      </c>
      <c r="B312" s="12" t="str">
        <f>Catalog!E170</f>
        <v>achievementPlayTimes</v>
      </c>
      <c r="C312" s="20">
        <f>Catalog!W170</f>
        <v>0</v>
      </c>
      <c r="D312" s="20" t="str">
        <f>Catalog!X170</f>
        <v>unearned</v>
      </c>
      <c r="E312" s="19" t="s">
        <v>25</v>
      </c>
      <c r="F312" s="19" t="str">
        <f>Catalog!AD170</f>
        <v>Take the challenge 10 times!</v>
      </c>
    </row>
    <row r="313" spans="1:7" ht="15" x14ac:dyDescent="0.15">
      <c r="A313" s="11" t="s">
        <v>5484</v>
      </c>
      <c r="B313" s="12" t="str">
        <f>Catalog!E170</f>
        <v>achievementPlayTimes</v>
      </c>
      <c r="C313" s="19" t="e">
        <f t="shared" ref="C313:D313" si="107">#REF!</f>
        <v>#REF!</v>
      </c>
      <c r="D313" s="19" t="e">
        <f t="shared" si="107"/>
        <v>#REF!</v>
      </c>
      <c r="E313" s="19" t="s">
        <v>23</v>
      </c>
      <c r="F313" s="19" t="e">
        <f t="shared" ref="F313:F314" si="108">#REF!</f>
        <v>#REF!</v>
      </c>
    </row>
    <row r="314" spans="1:7" ht="15" x14ac:dyDescent="0.15">
      <c r="A314" s="11" t="s">
        <v>5484</v>
      </c>
      <c r="B314" s="12" t="str">
        <f>Catalog!E170</f>
        <v>achievementPlayTimes</v>
      </c>
      <c r="C314" s="19" t="e">
        <f t="shared" ref="C314:D314" si="109">#REF!</f>
        <v>#REF!</v>
      </c>
      <c r="D314" s="19" t="e">
        <f t="shared" si="109"/>
        <v>#REF!</v>
      </c>
      <c r="E314" s="19" t="s">
        <v>25</v>
      </c>
      <c r="F314" s="19" t="e">
        <f t="shared" si="108"/>
        <v>#REF!</v>
      </c>
    </row>
    <row r="315" spans="1:7" ht="15" x14ac:dyDescent="0.15">
      <c r="A315" s="11" t="s">
        <v>5484</v>
      </c>
      <c r="B315" s="12" t="str">
        <f>Catalog!E190</f>
        <v>achievementCollectBanana</v>
      </c>
      <c r="C315" s="20">
        <f>Catalog!W190</f>
        <v>0</v>
      </c>
      <c r="D315" s="20" t="str">
        <f>Catalog!X190</f>
        <v>unearned</v>
      </c>
      <c r="E315" s="19" t="s">
        <v>25</v>
      </c>
      <c r="F315" s="19" t="str">
        <f>Catalog!AD190</f>
        <v>Collect 25 bananas!</v>
      </c>
      <c r="G315" s="18" t="s">
        <v>5483</v>
      </c>
    </row>
    <row r="316" spans="1:7" ht="15" x14ac:dyDescent="0.15">
      <c r="A316" s="11" t="s">
        <v>5484</v>
      </c>
      <c r="B316" s="12" t="str">
        <f>Catalog!E190</f>
        <v>achievementCollectBanana</v>
      </c>
      <c r="C316" s="19" t="e">
        <f t="shared" ref="C316:D316" si="110">#REF!</f>
        <v>#REF!</v>
      </c>
      <c r="D316" s="19" t="e">
        <f t="shared" si="110"/>
        <v>#REF!</v>
      </c>
      <c r="E316" s="19" t="s">
        <v>23</v>
      </c>
      <c r="F316" s="19" t="e">
        <f t="shared" ref="F316:F317" si="111">#REF!</f>
        <v>#REF!</v>
      </c>
      <c r="G316" s="18" t="s">
        <v>5483</v>
      </c>
    </row>
    <row r="317" spans="1:7" ht="15" x14ac:dyDescent="0.15">
      <c r="A317" s="11" t="s">
        <v>5484</v>
      </c>
      <c r="B317" s="12" t="str">
        <f>Catalog!E190</f>
        <v>achievementCollectBanana</v>
      </c>
      <c r="C317" s="19" t="e">
        <f t="shared" ref="C317:D317" si="112">#REF!</f>
        <v>#REF!</v>
      </c>
      <c r="D317" s="19" t="e">
        <f t="shared" si="112"/>
        <v>#REF!</v>
      </c>
      <c r="E317" s="19" t="s">
        <v>25</v>
      </c>
      <c r="F317" s="19" t="e">
        <f t="shared" si="111"/>
        <v>#REF!</v>
      </c>
      <c r="G317" s="18" t="s">
        <v>5483</v>
      </c>
    </row>
    <row r="318" spans="1:7" ht="15" x14ac:dyDescent="0.15">
      <c r="A318" s="11" t="s">
        <v>5484</v>
      </c>
      <c r="B318" s="12" t="str">
        <f>Catalog!E200</f>
        <v>achievementCollectHydrant</v>
      </c>
      <c r="C318" s="20">
        <f>Catalog!W200</f>
        <v>0</v>
      </c>
      <c r="D318" s="20" t="str">
        <f>Catalog!X200</f>
        <v>unearned</v>
      </c>
      <c r="E318" s="19" t="s">
        <v>25</v>
      </c>
      <c r="F318" s="19" t="str">
        <f>Catalog!AD200</f>
        <v>Collect 5 yellow Fire Hydrants</v>
      </c>
      <c r="G318" s="18" t="s">
        <v>5483</v>
      </c>
    </row>
    <row r="319" spans="1:7" ht="15" x14ac:dyDescent="0.15">
      <c r="A319" s="11" t="s">
        <v>5484</v>
      </c>
      <c r="B319" s="12" t="str">
        <f>Catalog!E200</f>
        <v>achievementCollectHydrant</v>
      </c>
      <c r="C319" s="20">
        <f>Catalog!BD200</f>
        <v>2</v>
      </c>
      <c r="D319" s="19" t="str">
        <f>Catalog!BE200</f>
        <v>Bronze</v>
      </c>
      <c r="E319" s="19" t="s">
        <v>23</v>
      </c>
      <c r="F319" s="20" t="str">
        <f>Catalog!BI200</f>
        <v>Watch Out for Dogs</v>
      </c>
      <c r="G319" s="18" t="s">
        <v>5483</v>
      </c>
    </row>
    <row r="320" spans="1:7" ht="28" x14ac:dyDescent="0.15">
      <c r="A320" s="11" t="s">
        <v>5484</v>
      </c>
      <c r="B320" s="12" t="str">
        <f>Catalog!E200</f>
        <v>achievementCollectHydrant</v>
      </c>
      <c r="C320" s="20">
        <f>Catalog!BD200</f>
        <v>2</v>
      </c>
      <c r="D320" s="19" t="str">
        <f>Catalog!BE200</f>
        <v>Bronze</v>
      </c>
      <c r="E320" s="19" t="s">
        <v>25</v>
      </c>
      <c r="F320" s="19" t="str">
        <f>Catalog!BL200</f>
        <v>Congrats on collecting 5 yellow Fire Hydrants. Now collect 25 to reach Silver!</v>
      </c>
      <c r="G320" s="18" t="s">
        <v>5483</v>
      </c>
    </row>
    <row r="321" spans="1:7" ht="15" x14ac:dyDescent="0.15">
      <c r="A321" s="11" t="s">
        <v>5484</v>
      </c>
      <c r="B321" s="12" t="str">
        <f>Catalog!E200</f>
        <v>achievementCollectHydrant</v>
      </c>
      <c r="C321" s="19" t="e">
        <f t="shared" ref="C321:D321" si="113">#REF!</f>
        <v>#REF!</v>
      </c>
      <c r="D321" s="19" t="e">
        <f t="shared" si="113"/>
        <v>#REF!</v>
      </c>
      <c r="E321" s="19" t="s">
        <v>25</v>
      </c>
      <c r="F321" s="19" t="e">
        <f t="shared" ref="F321:F322" si="114">#REF!</f>
        <v>#REF!</v>
      </c>
      <c r="G321" s="18" t="s">
        <v>5483</v>
      </c>
    </row>
    <row r="322" spans="1:7" ht="15" x14ac:dyDescent="0.15">
      <c r="A322" s="11" t="s">
        <v>5484</v>
      </c>
      <c r="B322" s="12" t="str">
        <f>Catalog!E200</f>
        <v>achievementCollectHydrant</v>
      </c>
      <c r="C322" s="19" t="e">
        <f t="shared" ref="C322:D322" si="115">#REF!</f>
        <v>#REF!</v>
      </c>
      <c r="D322" s="19" t="e">
        <f t="shared" si="115"/>
        <v>#REF!</v>
      </c>
      <c r="E322" s="19" t="s">
        <v>25</v>
      </c>
      <c r="F322" s="19" t="e">
        <f t="shared" si="114"/>
        <v>#REF!</v>
      </c>
      <c r="G322" s="18" t="s">
        <v>5483</v>
      </c>
    </row>
    <row r="323" spans="1:7" ht="15" x14ac:dyDescent="0.15">
      <c r="A323" s="11" t="s">
        <v>5484</v>
      </c>
      <c r="B323" s="12" t="str">
        <f>Catalog!E415</f>
        <v>achievementCollectSwagAll</v>
      </c>
      <c r="C323" s="20">
        <f>Catalog!W415</f>
        <v>0</v>
      </c>
      <c r="D323" s="20" t="str">
        <f>Catalog!$X$415</f>
        <v>unearned</v>
      </c>
      <c r="E323" s="19" t="s">
        <v>25</v>
      </c>
      <c r="F323" s="19" t="str">
        <f>Catalog!AD415</f>
        <v>Find all the loot in and around Villain-Con!</v>
      </c>
      <c r="G323" s="18" t="s">
        <v>5483</v>
      </c>
    </row>
    <row r="324" spans="1:7" ht="15" x14ac:dyDescent="0.15">
      <c r="A324" s="11" t="s">
        <v>5484</v>
      </c>
      <c r="B324" s="12" t="str">
        <f>Catalog!E415</f>
        <v>achievementCollectSwagAll</v>
      </c>
      <c r="C324" s="20">
        <f>Catalog!BD415</f>
        <v>0</v>
      </c>
      <c r="D324" s="20">
        <f>Catalog!$BE$415</f>
        <v>0</v>
      </c>
      <c r="E324" s="19" t="s">
        <v>23</v>
      </c>
      <c r="F324" s="20">
        <f>Catalog!BI415</f>
        <v>0</v>
      </c>
      <c r="G324" s="18" t="s">
        <v>5483</v>
      </c>
    </row>
    <row r="325" spans="1:7" ht="15" x14ac:dyDescent="0.15">
      <c r="A325" s="11" t="s">
        <v>5484</v>
      </c>
      <c r="B325" s="12" t="str">
        <f>Catalog!E415</f>
        <v>achievementCollectSwagAll</v>
      </c>
      <c r="C325" s="20">
        <f>Catalog!BD415</f>
        <v>0</v>
      </c>
      <c r="D325" s="20">
        <f>Catalog!$BE$415</f>
        <v>0</v>
      </c>
      <c r="E325" s="19" t="s">
        <v>25</v>
      </c>
      <c r="F325" s="20">
        <f>Catalog!BL415</f>
        <v>0</v>
      </c>
      <c r="G325" s="18" t="s">
        <v>5483</v>
      </c>
    </row>
    <row r="326" spans="1:7" ht="15" x14ac:dyDescent="0.15">
      <c r="A326" s="11" t="s">
        <v>5484</v>
      </c>
      <c r="B326" s="12" t="str">
        <f>Catalog!E415</f>
        <v>achievementCollectSwagAll</v>
      </c>
      <c r="C326" s="19" t="e">
        <f t="shared" ref="C326:D326" si="116">#REF!</f>
        <v>#REF!</v>
      </c>
      <c r="D326" s="19" t="e">
        <f t="shared" si="116"/>
        <v>#REF!</v>
      </c>
      <c r="E326" s="19" t="s">
        <v>25</v>
      </c>
      <c r="F326" s="19" t="e">
        <f t="shared" ref="F326:F327" si="117">#REF!</f>
        <v>#REF!</v>
      </c>
      <c r="G326" s="18" t="s">
        <v>5483</v>
      </c>
    </row>
    <row r="327" spans="1:7" ht="15" x14ac:dyDescent="0.15">
      <c r="A327" s="11" t="s">
        <v>5484</v>
      </c>
      <c r="B327" s="12" t="str">
        <f>Catalog!E415</f>
        <v>achievementCollectSwagAll</v>
      </c>
      <c r="C327" s="19" t="e">
        <f t="shared" ref="C327:D327" si="118">#REF!</f>
        <v>#REF!</v>
      </c>
      <c r="D327" s="19" t="e">
        <f t="shared" si="118"/>
        <v>#REF!</v>
      </c>
      <c r="E327" s="19" t="s">
        <v>25</v>
      </c>
      <c r="F327" s="19" t="e">
        <f t="shared" si="117"/>
        <v>#REF!</v>
      </c>
      <c r="G327" s="18" t="s">
        <v>5483</v>
      </c>
    </row>
    <row r="328" spans="1:7" ht="15" x14ac:dyDescent="0.15">
      <c r="A328" s="11" t="s">
        <v>5484</v>
      </c>
      <c r="B328" s="12" t="str">
        <f>Catalog!E202</f>
        <v>achievementPlayOutdoorExplorer</v>
      </c>
      <c r="C328" s="20">
        <f>Catalog!W202</f>
        <v>0</v>
      </c>
      <c r="D328" s="20" t="str">
        <f>Catalog!X202</f>
        <v>unearned</v>
      </c>
      <c r="E328" s="19" t="s">
        <v>25</v>
      </c>
      <c r="F328" s="19" t="str">
        <f>Catalog!AD202</f>
        <v>Find all the permanent loot outside Villain-Con!</v>
      </c>
      <c r="G328" s="18" t="s">
        <v>5483</v>
      </c>
    </row>
    <row r="329" spans="1:7" ht="15" x14ac:dyDescent="0.15">
      <c r="A329" s="11" t="s">
        <v>5484</v>
      </c>
      <c r="B329" s="12" t="str">
        <f>Catalog!E202</f>
        <v>achievementPlayOutdoorExplorer</v>
      </c>
      <c r="C329" s="19">
        <f>Catalog!BD202</f>
        <v>0</v>
      </c>
      <c r="D329" s="19">
        <f>Catalog!BE202</f>
        <v>0</v>
      </c>
      <c r="E329" s="19" t="s">
        <v>23</v>
      </c>
      <c r="F329" s="19">
        <f>Catalog!BI202</f>
        <v>0</v>
      </c>
      <c r="G329" s="18" t="s">
        <v>5483</v>
      </c>
    </row>
    <row r="330" spans="1:7" ht="15" x14ac:dyDescent="0.15">
      <c r="A330" s="11" t="s">
        <v>5484</v>
      </c>
      <c r="B330" s="12" t="str">
        <f>Catalog!E202</f>
        <v>achievementPlayOutdoorExplorer</v>
      </c>
      <c r="C330" s="19">
        <f>Catalog!BD202</f>
        <v>0</v>
      </c>
      <c r="D330" s="19">
        <f>Catalog!BE202</f>
        <v>0</v>
      </c>
      <c r="E330" s="19" t="s">
        <v>25</v>
      </c>
      <c r="F330" s="19">
        <f>Catalog!BL202</f>
        <v>0</v>
      </c>
      <c r="G330" s="18" t="s">
        <v>5483</v>
      </c>
    </row>
    <row r="331" spans="1:7" ht="15" x14ac:dyDescent="0.15">
      <c r="A331" s="11" t="s">
        <v>5484</v>
      </c>
      <c r="B331" s="12" t="str">
        <f>Catalog!E202</f>
        <v>achievementPlayOutdoorExplorer</v>
      </c>
      <c r="C331" s="19" t="e">
        <f t="shared" ref="C331:D331" si="119">#REF!</f>
        <v>#REF!</v>
      </c>
      <c r="D331" s="19" t="e">
        <f t="shared" si="119"/>
        <v>#REF!</v>
      </c>
      <c r="E331" s="19" t="s">
        <v>25</v>
      </c>
      <c r="F331" s="19" t="e">
        <f t="shared" ref="F331:F332" si="120">#REF!</f>
        <v>#REF!</v>
      </c>
      <c r="G331" s="18" t="s">
        <v>5483</v>
      </c>
    </row>
    <row r="332" spans="1:7" ht="15" x14ac:dyDescent="0.15">
      <c r="A332" s="11" t="s">
        <v>5484</v>
      </c>
      <c r="B332" s="12" t="str">
        <f>Catalog!E202</f>
        <v>achievementPlayOutdoorExplorer</v>
      </c>
      <c r="C332" s="19" t="e">
        <f t="shared" ref="C332:D332" si="121">#REF!</f>
        <v>#REF!</v>
      </c>
      <c r="D332" s="19" t="e">
        <f t="shared" si="121"/>
        <v>#REF!</v>
      </c>
      <c r="E332" s="19" t="s">
        <v>25</v>
      </c>
      <c r="F332" s="19" t="e">
        <f t="shared" si="120"/>
        <v>#REF!</v>
      </c>
      <c r="G332" s="18" t="s">
        <v>5483</v>
      </c>
    </row>
    <row r="333" spans="1:7" ht="15" x14ac:dyDescent="0.15">
      <c r="A333" s="11" t="s">
        <v>5484</v>
      </c>
      <c r="B333" s="18" t="str">
        <f>Catalog!E403</f>
        <v>achievementVisitJanuary</v>
      </c>
      <c r="C333" s="20">
        <f>Catalog!W403</f>
        <v>0</v>
      </c>
      <c r="D333" s="20" t="str">
        <f>Catalog!X403</f>
        <v>unearned</v>
      </c>
      <c r="E333" s="19" t="s">
        <v>25</v>
      </c>
      <c r="F333" s="20" t="str">
        <f>Catalog!AD403</f>
        <v>Visit Villain-Con in January to unlock!</v>
      </c>
      <c r="G333" s="18" t="s">
        <v>5483</v>
      </c>
    </row>
    <row r="334" spans="1:7" ht="15" x14ac:dyDescent="0.15">
      <c r="A334" s="11" t="s">
        <v>5484</v>
      </c>
      <c r="B334" s="18" t="str">
        <f>Catalog!E403</f>
        <v>achievementVisitJanuary</v>
      </c>
      <c r="C334" s="20">
        <f>Catalog!BD403</f>
        <v>0</v>
      </c>
      <c r="D334" s="20">
        <f>Catalog!BE403</f>
        <v>0</v>
      </c>
      <c r="E334" s="19" t="s">
        <v>23</v>
      </c>
      <c r="F334" s="20">
        <f>Catalog!BI403</f>
        <v>0</v>
      </c>
      <c r="G334" s="18" t="s">
        <v>5483</v>
      </c>
    </row>
    <row r="335" spans="1:7" ht="15" x14ac:dyDescent="0.15">
      <c r="A335" s="11" t="s">
        <v>5484</v>
      </c>
      <c r="B335" s="18" t="str">
        <f>Catalog!E403</f>
        <v>achievementVisitJanuary</v>
      </c>
      <c r="C335" s="20">
        <f>Catalog!BD403</f>
        <v>0</v>
      </c>
      <c r="D335" s="20">
        <f>Catalog!BE403</f>
        <v>0</v>
      </c>
      <c r="E335" s="19" t="s">
        <v>25</v>
      </c>
      <c r="F335" s="20">
        <f>Catalog!BL403</f>
        <v>0</v>
      </c>
      <c r="G335" s="18" t="s">
        <v>5483</v>
      </c>
    </row>
    <row r="336" spans="1:7" ht="15" x14ac:dyDescent="0.15">
      <c r="A336" s="11" t="s">
        <v>5484</v>
      </c>
      <c r="B336" s="18" t="str">
        <f>Catalog!E403</f>
        <v>achievementVisitJanuary</v>
      </c>
      <c r="C336" s="19" t="e">
        <f t="shared" ref="C336:D336" si="122">#REF!</f>
        <v>#REF!</v>
      </c>
      <c r="D336" s="19" t="e">
        <f t="shared" si="122"/>
        <v>#REF!</v>
      </c>
      <c r="E336" s="19" t="s">
        <v>25</v>
      </c>
      <c r="F336" s="19" t="e">
        <f t="shared" ref="F336:F337" si="123">#REF!</f>
        <v>#REF!</v>
      </c>
      <c r="G336" s="18" t="s">
        <v>5483</v>
      </c>
    </row>
    <row r="337" spans="1:7" ht="15" x14ac:dyDescent="0.15">
      <c r="A337" s="11" t="s">
        <v>5484</v>
      </c>
      <c r="B337" s="18" t="str">
        <f>Catalog!E403</f>
        <v>achievementVisitJanuary</v>
      </c>
      <c r="C337" s="19" t="e">
        <f t="shared" ref="C337:D337" si="124">#REF!</f>
        <v>#REF!</v>
      </c>
      <c r="D337" s="19" t="e">
        <f t="shared" si="124"/>
        <v>#REF!</v>
      </c>
      <c r="E337" s="19" t="s">
        <v>25</v>
      </c>
      <c r="F337" s="19" t="e">
        <f t="shared" si="123"/>
        <v>#REF!</v>
      </c>
      <c r="G337" s="18" t="s">
        <v>5483</v>
      </c>
    </row>
    <row r="338" spans="1:7" ht="15" x14ac:dyDescent="0.15">
      <c r="A338" s="11" t="s">
        <v>5484</v>
      </c>
      <c r="B338" s="12" t="str">
        <f>Catalog!E405</f>
        <v>achievementVisitMarch</v>
      </c>
      <c r="C338" s="20">
        <f>Catalog!W405</f>
        <v>0</v>
      </c>
      <c r="D338" s="20" t="str">
        <f>Catalog!X405</f>
        <v>unearned</v>
      </c>
      <c r="E338" s="19" t="s">
        <v>25</v>
      </c>
      <c r="F338" s="20" t="str">
        <f>Catalog!AD405</f>
        <v>Visit Villain-Con in March to unlock!</v>
      </c>
      <c r="G338" s="18" t="s">
        <v>5483</v>
      </c>
    </row>
    <row r="339" spans="1:7" ht="15" x14ac:dyDescent="0.15">
      <c r="A339" s="11" t="s">
        <v>5484</v>
      </c>
      <c r="B339" s="12" t="str">
        <f>Catalog!E405</f>
        <v>achievementVisitMarch</v>
      </c>
      <c r="C339" s="20">
        <f>Catalog!BD405</f>
        <v>0</v>
      </c>
      <c r="D339" s="20">
        <f>Catalog!BE405</f>
        <v>0</v>
      </c>
      <c r="E339" s="19" t="s">
        <v>23</v>
      </c>
      <c r="F339" s="20">
        <f>Catalog!BI405</f>
        <v>0</v>
      </c>
      <c r="G339" s="18" t="s">
        <v>5483</v>
      </c>
    </row>
    <row r="340" spans="1:7" ht="15" x14ac:dyDescent="0.15">
      <c r="A340" s="11" t="s">
        <v>5484</v>
      </c>
      <c r="B340" s="12" t="str">
        <f>Catalog!E405</f>
        <v>achievementVisitMarch</v>
      </c>
      <c r="C340" s="20">
        <f>Catalog!BD405</f>
        <v>0</v>
      </c>
      <c r="D340" s="20">
        <f>Catalog!BE405</f>
        <v>0</v>
      </c>
      <c r="E340" s="19" t="s">
        <v>25</v>
      </c>
      <c r="F340" s="19">
        <f>Catalog!BL405</f>
        <v>0</v>
      </c>
      <c r="G340" s="18" t="s">
        <v>5483</v>
      </c>
    </row>
    <row r="341" spans="1:7" ht="15" x14ac:dyDescent="0.15">
      <c r="A341" s="11" t="s">
        <v>5484</v>
      </c>
      <c r="B341" s="12" t="str">
        <f>Catalog!E405</f>
        <v>achievementVisitMarch</v>
      </c>
      <c r="C341" s="19" t="e">
        <f t="shared" ref="C341:D341" si="125">#REF!</f>
        <v>#REF!</v>
      </c>
      <c r="D341" s="19" t="e">
        <f t="shared" si="125"/>
        <v>#REF!</v>
      </c>
      <c r="E341" s="19" t="s">
        <v>25</v>
      </c>
      <c r="F341" s="19" t="e">
        <f t="shared" ref="F341:F342" si="126">#REF!</f>
        <v>#REF!</v>
      </c>
      <c r="G341" s="18" t="s">
        <v>5483</v>
      </c>
    </row>
    <row r="342" spans="1:7" ht="15" x14ac:dyDescent="0.15">
      <c r="A342" s="11" t="s">
        <v>5484</v>
      </c>
      <c r="B342" s="12" t="str">
        <f>Catalog!E405</f>
        <v>achievementVisitMarch</v>
      </c>
      <c r="C342" s="19" t="e">
        <f t="shared" ref="C342:D342" si="127">#REF!</f>
        <v>#REF!</v>
      </c>
      <c r="D342" s="19" t="e">
        <f t="shared" si="127"/>
        <v>#REF!</v>
      </c>
      <c r="E342" s="19" t="s">
        <v>25</v>
      </c>
      <c r="F342" s="19" t="e">
        <f t="shared" si="126"/>
        <v>#REF!</v>
      </c>
      <c r="G342" s="18" t="s">
        <v>5483</v>
      </c>
    </row>
    <row r="343" spans="1:7" ht="15" x14ac:dyDescent="0.15">
      <c r="A343" s="11" t="s">
        <v>5484</v>
      </c>
      <c r="B343" s="12" t="str">
        <f>Catalog!E406</f>
        <v>achievementVisitApril</v>
      </c>
      <c r="C343" s="20">
        <f>Catalog!W406</f>
        <v>0</v>
      </c>
      <c r="D343" s="20" t="str">
        <f>Catalog!X406</f>
        <v>unearned</v>
      </c>
      <c r="E343" s="19" t="s">
        <v>25</v>
      </c>
      <c r="F343" s="20" t="str">
        <f>Catalog!AD406</f>
        <v>Visit Villain-Con in April to unlock!</v>
      </c>
      <c r="G343" s="18" t="s">
        <v>5483</v>
      </c>
    </row>
    <row r="344" spans="1:7" ht="15" x14ac:dyDescent="0.15">
      <c r="A344" s="11" t="s">
        <v>5484</v>
      </c>
      <c r="B344" s="12" t="str">
        <f>Catalog!E406</f>
        <v>achievementVisitApril</v>
      </c>
      <c r="C344" s="20">
        <f>Catalog!BD406</f>
        <v>0</v>
      </c>
      <c r="D344" s="20">
        <f>Catalog!BE406</f>
        <v>0</v>
      </c>
      <c r="E344" s="19" t="s">
        <v>23</v>
      </c>
      <c r="F344" s="20">
        <f>Catalog!BI406</f>
        <v>0</v>
      </c>
      <c r="G344" s="18" t="s">
        <v>5483</v>
      </c>
    </row>
    <row r="345" spans="1:7" ht="15" x14ac:dyDescent="0.15">
      <c r="A345" s="11" t="s">
        <v>5484</v>
      </c>
      <c r="B345" s="12" t="str">
        <f>Catalog!E406</f>
        <v>achievementVisitApril</v>
      </c>
      <c r="C345" s="20">
        <f>Catalog!BD406</f>
        <v>0</v>
      </c>
      <c r="D345" s="20">
        <f>Catalog!BE406</f>
        <v>0</v>
      </c>
      <c r="E345" s="19" t="s">
        <v>25</v>
      </c>
      <c r="F345" s="20">
        <f>Catalog!BL406</f>
        <v>0</v>
      </c>
      <c r="G345" s="18" t="s">
        <v>5483</v>
      </c>
    </row>
    <row r="346" spans="1:7" ht="15" x14ac:dyDescent="0.15">
      <c r="A346" s="11" t="s">
        <v>5484</v>
      </c>
      <c r="B346" s="12" t="str">
        <f>Catalog!E406</f>
        <v>achievementVisitApril</v>
      </c>
      <c r="C346" s="19" t="e">
        <f t="shared" ref="C346:D346" si="128">#REF!</f>
        <v>#REF!</v>
      </c>
      <c r="D346" s="19" t="e">
        <f t="shared" si="128"/>
        <v>#REF!</v>
      </c>
      <c r="E346" s="19" t="s">
        <v>25</v>
      </c>
      <c r="F346" s="19" t="e">
        <f t="shared" ref="F346:F347" si="129">#REF!</f>
        <v>#REF!</v>
      </c>
      <c r="G346" s="18" t="s">
        <v>5483</v>
      </c>
    </row>
    <row r="347" spans="1:7" ht="15" x14ac:dyDescent="0.15">
      <c r="A347" s="11" t="s">
        <v>5484</v>
      </c>
      <c r="B347" s="12" t="str">
        <f>Catalog!E406</f>
        <v>achievementVisitApril</v>
      </c>
      <c r="C347" s="19" t="e">
        <f t="shared" ref="C347:D347" si="130">#REF!</f>
        <v>#REF!</v>
      </c>
      <c r="D347" s="19" t="e">
        <f t="shared" si="130"/>
        <v>#REF!</v>
      </c>
      <c r="E347" s="19" t="s">
        <v>25</v>
      </c>
      <c r="F347" s="19" t="e">
        <f t="shared" si="129"/>
        <v>#REF!</v>
      </c>
      <c r="G347" s="18" t="s">
        <v>5483</v>
      </c>
    </row>
    <row r="348" spans="1:7" ht="15" x14ac:dyDescent="0.15">
      <c r="A348" s="11" t="s">
        <v>5484</v>
      </c>
      <c r="B348" s="12" t="str">
        <f>Catalog!E407</f>
        <v>achievementVisitMay</v>
      </c>
      <c r="C348" s="20">
        <f>Catalog!W407</f>
        <v>0</v>
      </c>
      <c r="D348" s="20" t="str">
        <f>Catalog!X407</f>
        <v>unearned</v>
      </c>
      <c r="E348" s="19" t="s">
        <v>25</v>
      </c>
      <c r="F348" s="20" t="str">
        <f>Catalog!AD407</f>
        <v>Visit Villain-Con in May to unlock!</v>
      </c>
      <c r="G348" s="18" t="s">
        <v>5483</v>
      </c>
    </row>
    <row r="349" spans="1:7" ht="15" x14ac:dyDescent="0.15">
      <c r="A349" s="11" t="s">
        <v>5484</v>
      </c>
      <c r="B349" s="12" t="str">
        <f>Catalog!E407</f>
        <v>achievementVisitMay</v>
      </c>
      <c r="C349" s="20">
        <f>Catalog!BD407</f>
        <v>0</v>
      </c>
      <c r="D349" s="20">
        <f>Catalog!BE407</f>
        <v>0</v>
      </c>
      <c r="E349" s="19" t="s">
        <v>23</v>
      </c>
      <c r="F349" s="20">
        <f>Catalog!BI407</f>
        <v>0</v>
      </c>
      <c r="G349" s="18" t="s">
        <v>5483</v>
      </c>
    </row>
    <row r="350" spans="1:7" ht="15" x14ac:dyDescent="0.15">
      <c r="A350" s="11" t="s">
        <v>5484</v>
      </c>
      <c r="B350" s="12" t="str">
        <f>Catalog!E407</f>
        <v>achievementVisitMay</v>
      </c>
      <c r="C350" s="20">
        <f>Catalog!BD407</f>
        <v>0</v>
      </c>
      <c r="D350" s="20">
        <f>Catalog!BE407</f>
        <v>0</v>
      </c>
      <c r="E350" s="19" t="s">
        <v>25</v>
      </c>
      <c r="F350" s="20">
        <f>Catalog!BL407</f>
        <v>0</v>
      </c>
      <c r="G350" s="18" t="s">
        <v>5483</v>
      </c>
    </row>
    <row r="351" spans="1:7" ht="15" x14ac:dyDescent="0.15">
      <c r="A351" s="11" t="s">
        <v>5484</v>
      </c>
      <c r="B351" s="12" t="str">
        <f>Catalog!E407</f>
        <v>achievementVisitMay</v>
      </c>
      <c r="C351" s="19" t="e">
        <f t="shared" ref="C351:D351" si="131">#REF!</f>
        <v>#REF!</v>
      </c>
      <c r="D351" s="19" t="e">
        <f t="shared" si="131"/>
        <v>#REF!</v>
      </c>
      <c r="E351" s="19" t="s">
        <v>25</v>
      </c>
      <c r="F351" s="19" t="e">
        <f t="shared" ref="F351:F352" si="132">#REF!</f>
        <v>#REF!</v>
      </c>
      <c r="G351" s="18" t="s">
        <v>5483</v>
      </c>
    </row>
    <row r="352" spans="1:7" ht="15" x14ac:dyDescent="0.15">
      <c r="A352" s="11" t="s">
        <v>5484</v>
      </c>
      <c r="B352" s="12" t="str">
        <f>Catalog!E407</f>
        <v>achievementVisitMay</v>
      </c>
      <c r="C352" s="19" t="e">
        <f t="shared" ref="C352:D352" si="133">#REF!</f>
        <v>#REF!</v>
      </c>
      <c r="D352" s="19" t="e">
        <f t="shared" si="133"/>
        <v>#REF!</v>
      </c>
      <c r="E352" s="19" t="s">
        <v>25</v>
      </c>
      <c r="F352" s="19" t="e">
        <f t="shared" si="132"/>
        <v>#REF!</v>
      </c>
      <c r="G352" s="18" t="s">
        <v>5483</v>
      </c>
    </row>
    <row r="353" spans="1:7" ht="15" x14ac:dyDescent="0.15">
      <c r="A353" s="11" t="s">
        <v>5484</v>
      </c>
      <c r="B353" s="12" t="str">
        <f>Catalog!E408</f>
        <v>achievementVisitJune</v>
      </c>
      <c r="C353" s="20">
        <f>Catalog!W408</f>
        <v>0</v>
      </c>
      <c r="D353" s="20" t="str">
        <f>Catalog!X408</f>
        <v>unearned</v>
      </c>
      <c r="E353" s="19" t="s">
        <v>25</v>
      </c>
      <c r="F353" s="20" t="str">
        <f>Catalog!AD408</f>
        <v>Visit Villain-Con in June to unlock!</v>
      </c>
      <c r="G353" s="18" t="s">
        <v>5483</v>
      </c>
    </row>
    <row r="354" spans="1:7" ht="15" x14ac:dyDescent="0.15">
      <c r="A354" s="11" t="s">
        <v>5484</v>
      </c>
      <c r="B354" s="12" t="str">
        <f>Catalog!E408</f>
        <v>achievementVisitJune</v>
      </c>
      <c r="C354" s="20">
        <f>Catalog!BD408</f>
        <v>0</v>
      </c>
      <c r="D354" s="20">
        <f>Catalog!BE408</f>
        <v>0</v>
      </c>
      <c r="E354" s="19" t="s">
        <v>23</v>
      </c>
      <c r="F354" s="20">
        <f>Catalog!BI408</f>
        <v>0</v>
      </c>
      <c r="G354" s="18" t="s">
        <v>5483</v>
      </c>
    </row>
    <row r="355" spans="1:7" ht="15" x14ac:dyDescent="0.15">
      <c r="A355" s="11" t="s">
        <v>5484</v>
      </c>
      <c r="B355" s="12" t="str">
        <f>Catalog!E408</f>
        <v>achievementVisitJune</v>
      </c>
      <c r="C355" s="20">
        <f>Catalog!BD408</f>
        <v>0</v>
      </c>
      <c r="D355" s="20">
        <f>Catalog!BE408</f>
        <v>0</v>
      </c>
      <c r="E355" s="19" t="s">
        <v>25</v>
      </c>
      <c r="F355" s="20">
        <f>Catalog!BL408</f>
        <v>0</v>
      </c>
      <c r="G355" s="18" t="s">
        <v>5483</v>
      </c>
    </row>
    <row r="356" spans="1:7" ht="15" x14ac:dyDescent="0.15">
      <c r="A356" s="11" t="s">
        <v>5484</v>
      </c>
      <c r="B356" s="12" t="str">
        <f>Catalog!E408</f>
        <v>achievementVisitJune</v>
      </c>
      <c r="C356" s="19" t="e">
        <f t="shared" ref="C356:D356" si="134">#REF!</f>
        <v>#REF!</v>
      </c>
      <c r="D356" s="19" t="e">
        <f t="shared" si="134"/>
        <v>#REF!</v>
      </c>
      <c r="E356" s="19" t="s">
        <v>25</v>
      </c>
      <c r="F356" s="19" t="e">
        <f t="shared" ref="F356:F357" si="135">#REF!</f>
        <v>#REF!</v>
      </c>
      <c r="G356" s="18" t="s">
        <v>5483</v>
      </c>
    </row>
    <row r="357" spans="1:7" ht="15" x14ac:dyDescent="0.15">
      <c r="A357" s="11" t="s">
        <v>5484</v>
      </c>
      <c r="B357" s="12" t="str">
        <f>Catalog!E408</f>
        <v>achievementVisitJune</v>
      </c>
      <c r="C357" s="19" t="e">
        <f t="shared" ref="C357:D357" si="136">#REF!</f>
        <v>#REF!</v>
      </c>
      <c r="D357" s="19" t="e">
        <f t="shared" si="136"/>
        <v>#REF!</v>
      </c>
      <c r="E357" s="19" t="s">
        <v>25</v>
      </c>
      <c r="F357" s="19" t="e">
        <f t="shared" si="135"/>
        <v>#REF!</v>
      </c>
      <c r="G357" s="18" t="s">
        <v>5483</v>
      </c>
    </row>
    <row r="358" spans="1:7" ht="15" x14ac:dyDescent="0.15">
      <c r="A358" s="11" t="s">
        <v>5484</v>
      </c>
      <c r="B358" s="12" t="str">
        <f>Catalog!E409</f>
        <v>achievementVisitJuly</v>
      </c>
      <c r="C358" s="20">
        <f>Catalog!W409</f>
        <v>0</v>
      </c>
      <c r="D358" s="20" t="str">
        <f>Catalog!X409</f>
        <v>unearned</v>
      </c>
      <c r="E358" s="19" t="s">
        <v>25</v>
      </c>
      <c r="F358" s="20" t="str">
        <f>Catalog!AD409</f>
        <v>Visit Villain-Con in July to unlock!</v>
      </c>
      <c r="G358" s="18" t="s">
        <v>5483</v>
      </c>
    </row>
    <row r="359" spans="1:7" ht="15" x14ac:dyDescent="0.15">
      <c r="A359" s="11" t="s">
        <v>5484</v>
      </c>
      <c r="B359" s="12" t="str">
        <f>Catalog!E409</f>
        <v>achievementVisitJuly</v>
      </c>
      <c r="C359" s="20">
        <f>Catalog!BD409</f>
        <v>0</v>
      </c>
      <c r="D359" s="20">
        <f>Catalog!BE409</f>
        <v>0</v>
      </c>
      <c r="E359" s="19" t="s">
        <v>23</v>
      </c>
      <c r="F359" s="20">
        <f>Catalog!BI409</f>
        <v>0</v>
      </c>
      <c r="G359" s="18" t="s">
        <v>5483</v>
      </c>
    </row>
    <row r="360" spans="1:7" ht="15" x14ac:dyDescent="0.15">
      <c r="A360" s="11" t="s">
        <v>5484</v>
      </c>
      <c r="B360" s="12" t="str">
        <f>Catalog!E409</f>
        <v>achievementVisitJuly</v>
      </c>
      <c r="C360" s="20">
        <f>Catalog!BD409</f>
        <v>0</v>
      </c>
      <c r="D360" s="20">
        <f>Catalog!BE409</f>
        <v>0</v>
      </c>
      <c r="E360" s="19" t="s">
        <v>25</v>
      </c>
      <c r="F360" s="20">
        <f>Catalog!BL409</f>
        <v>0</v>
      </c>
      <c r="G360" s="18" t="s">
        <v>5483</v>
      </c>
    </row>
    <row r="361" spans="1:7" ht="15" x14ac:dyDescent="0.15">
      <c r="A361" s="11" t="s">
        <v>5484</v>
      </c>
      <c r="B361" s="12" t="str">
        <f>Catalog!E409</f>
        <v>achievementVisitJuly</v>
      </c>
      <c r="C361" s="19" t="e">
        <f t="shared" ref="C361:D361" si="137">#REF!</f>
        <v>#REF!</v>
      </c>
      <c r="D361" s="19" t="e">
        <f t="shared" si="137"/>
        <v>#REF!</v>
      </c>
      <c r="E361" s="19" t="s">
        <v>25</v>
      </c>
      <c r="F361" s="19" t="e">
        <f t="shared" ref="F361:F362" si="138">#REF!</f>
        <v>#REF!</v>
      </c>
      <c r="G361" s="18" t="s">
        <v>5483</v>
      </c>
    </row>
    <row r="362" spans="1:7" ht="15" x14ac:dyDescent="0.15">
      <c r="A362" s="11" t="s">
        <v>5484</v>
      </c>
      <c r="B362" s="12" t="str">
        <f>Catalog!E409</f>
        <v>achievementVisitJuly</v>
      </c>
      <c r="C362" s="19" t="e">
        <f t="shared" ref="C362:D362" si="139">#REF!</f>
        <v>#REF!</v>
      </c>
      <c r="D362" s="19" t="e">
        <f t="shared" si="139"/>
        <v>#REF!</v>
      </c>
      <c r="E362" s="19" t="s">
        <v>25</v>
      </c>
      <c r="F362" s="19" t="e">
        <f t="shared" si="138"/>
        <v>#REF!</v>
      </c>
      <c r="G362" s="18" t="s">
        <v>5483</v>
      </c>
    </row>
    <row r="363" spans="1:7" ht="15" x14ac:dyDescent="0.15">
      <c r="A363" s="11" t="s">
        <v>5484</v>
      </c>
      <c r="B363" s="12" t="str">
        <f>Catalog!$E$410</f>
        <v>achievementVisitAugust</v>
      </c>
      <c r="C363" s="20">
        <f>Catalog!$W$410</f>
        <v>0</v>
      </c>
      <c r="D363" s="20" t="str">
        <f>Catalog!$X$410</f>
        <v>unearned</v>
      </c>
      <c r="E363" s="19" t="s">
        <v>25</v>
      </c>
      <c r="F363" s="20" t="str">
        <f>Catalog!$AD$410</f>
        <v>Visit Villain-Con in August to unlock!</v>
      </c>
      <c r="G363" s="18" t="s">
        <v>5483</v>
      </c>
    </row>
    <row r="364" spans="1:7" ht="15" x14ac:dyDescent="0.15">
      <c r="A364" s="11" t="s">
        <v>5484</v>
      </c>
      <c r="B364" s="12" t="str">
        <f>Catalog!$E$410</f>
        <v>achievementVisitAugust</v>
      </c>
      <c r="C364" s="20">
        <f>Catalog!$BD$410</f>
        <v>0</v>
      </c>
      <c r="D364" s="20">
        <f>Catalog!$BE$410</f>
        <v>0</v>
      </c>
      <c r="E364" s="19" t="s">
        <v>23</v>
      </c>
      <c r="F364" s="20">
        <f>Catalog!$BI$410</f>
        <v>0</v>
      </c>
      <c r="G364" s="18" t="s">
        <v>5483</v>
      </c>
    </row>
    <row r="365" spans="1:7" ht="15" x14ac:dyDescent="0.15">
      <c r="A365" s="11" t="s">
        <v>5484</v>
      </c>
      <c r="B365" s="12" t="str">
        <f>Catalog!$E$410</f>
        <v>achievementVisitAugust</v>
      </c>
      <c r="C365" s="20">
        <f>Catalog!$BD$410</f>
        <v>0</v>
      </c>
      <c r="D365" s="20">
        <f>Catalog!$BE$410</f>
        <v>0</v>
      </c>
      <c r="E365" s="19" t="s">
        <v>25</v>
      </c>
      <c r="F365" s="20">
        <f>Catalog!$BL$410</f>
        <v>0</v>
      </c>
      <c r="G365" s="18" t="s">
        <v>5483</v>
      </c>
    </row>
    <row r="366" spans="1:7" ht="15" x14ac:dyDescent="0.15">
      <c r="A366" s="11" t="s">
        <v>5484</v>
      </c>
      <c r="B366" s="12" t="str">
        <f>Catalog!$E$410</f>
        <v>achievementVisitAugust</v>
      </c>
      <c r="C366" s="19" t="e">
        <f t="shared" ref="C366:D366" si="140">#REF!</f>
        <v>#REF!</v>
      </c>
      <c r="D366" s="19" t="e">
        <f t="shared" si="140"/>
        <v>#REF!</v>
      </c>
      <c r="E366" s="19" t="s">
        <v>25</v>
      </c>
      <c r="F366" s="19" t="e">
        <f t="shared" ref="F366:F367" si="141">#REF!</f>
        <v>#REF!</v>
      </c>
      <c r="G366" s="18" t="s">
        <v>5483</v>
      </c>
    </row>
    <row r="367" spans="1:7" ht="15" x14ac:dyDescent="0.15">
      <c r="A367" s="11" t="s">
        <v>5484</v>
      </c>
      <c r="B367" s="12" t="str">
        <f>Catalog!$E$410</f>
        <v>achievementVisitAugust</v>
      </c>
      <c r="C367" s="19" t="e">
        <f t="shared" ref="C367:D367" si="142">#REF!</f>
        <v>#REF!</v>
      </c>
      <c r="D367" s="19" t="e">
        <f t="shared" si="142"/>
        <v>#REF!</v>
      </c>
      <c r="E367" s="19" t="s">
        <v>25</v>
      </c>
      <c r="F367" s="19" t="e">
        <f t="shared" si="141"/>
        <v>#REF!</v>
      </c>
      <c r="G367" s="18" t="s">
        <v>5483</v>
      </c>
    </row>
    <row r="368" spans="1:7" ht="15" x14ac:dyDescent="0.15">
      <c r="A368" s="11" t="s">
        <v>5484</v>
      </c>
      <c r="B368" s="12" t="str">
        <f>Catalog!$E$96</f>
        <v>achievementMission2</v>
      </c>
      <c r="C368" s="20">
        <f>Catalog!$W$96</f>
        <v>0</v>
      </c>
      <c r="D368" s="20" t="str">
        <f>Catalog!$X$96</f>
        <v>unearned</v>
      </c>
      <c r="E368" s="19" t="s">
        <v>25</v>
      </c>
      <c r="F368" s="20" t="str">
        <f>Catalog!$AD$96</f>
        <v>You must complete mission Party Farty to unlock this achievement!</v>
      </c>
      <c r="G368" s="18" t="s">
        <v>5483</v>
      </c>
    </row>
    <row r="369" spans="1:7" ht="15" x14ac:dyDescent="0.15">
      <c r="A369" s="11" t="s">
        <v>5484</v>
      </c>
      <c r="B369" s="12" t="str">
        <f>Catalog!$E$96</f>
        <v>achievementMission2</v>
      </c>
      <c r="C369" s="20">
        <f>Catalog!$W$96</f>
        <v>0</v>
      </c>
      <c r="D369" s="20" t="str">
        <f>Catalog!$X$96</f>
        <v>unearned</v>
      </c>
      <c r="E369" s="19" t="s">
        <v>23</v>
      </c>
      <c r="F369" s="20" t="str">
        <f>Catalog!AB96</f>
        <v>Fart Fiend</v>
      </c>
      <c r="G369" s="18" t="s">
        <v>5483</v>
      </c>
    </row>
    <row r="370" spans="1:7" ht="15" x14ac:dyDescent="0.15">
      <c r="A370" s="11" t="s">
        <v>5484</v>
      </c>
      <c r="B370" s="12" t="str">
        <f>Catalog!$E$96</f>
        <v>achievementMission2</v>
      </c>
      <c r="C370" s="19" t="e">
        <f t="shared" ref="C370:D370" si="143">#REF!</f>
        <v>#REF!</v>
      </c>
      <c r="D370" s="19" t="e">
        <f t="shared" si="143"/>
        <v>#REF!</v>
      </c>
      <c r="E370" s="19" t="s">
        <v>25</v>
      </c>
      <c r="F370" s="19" t="e">
        <f t="shared" ref="F370:F374" si="144">#REF!</f>
        <v>#REF!</v>
      </c>
      <c r="G370" s="18" t="s">
        <v>5483</v>
      </c>
    </row>
    <row r="371" spans="1:7" ht="15" x14ac:dyDescent="0.15">
      <c r="A371" s="11" t="s">
        <v>5484</v>
      </c>
      <c r="B371" s="12" t="str">
        <f>Catalog!$E$124</f>
        <v>achievementMissionNunchuck</v>
      </c>
      <c r="C371" s="19" t="e">
        <f t="shared" ref="C371:D371" si="145">#REF!</f>
        <v>#REF!</v>
      </c>
      <c r="D371" s="19" t="e">
        <f t="shared" si="145"/>
        <v>#REF!</v>
      </c>
      <c r="E371" s="19" t="s">
        <v>25</v>
      </c>
      <c r="F371" s="19" t="e">
        <f t="shared" si="144"/>
        <v>#REF!</v>
      </c>
      <c r="G371" s="18" t="s">
        <v>5483</v>
      </c>
    </row>
    <row r="372" spans="1:7" ht="15" x14ac:dyDescent="0.15">
      <c r="A372" s="11" t="s">
        <v>5484</v>
      </c>
      <c r="B372" s="12" t="str">
        <f>Catalog!$E$124</f>
        <v>achievementMissionNunchuck</v>
      </c>
      <c r="C372" s="19" t="e">
        <f t="shared" ref="C372:D372" si="146">#REF!</f>
        <v>#REF!</v>
      </c>
      <c r="D372" s="19" t="e">
        <f t="shared" si="146"/>
        <v>#REF!</v>
      </c>
      <c r="E372" s="19" t="s">
        <v>25</v>
      </c>
      <c r="F372" s="19" t="e">
        <f t="shared" si="144"/>
        <v>#REF!</v>
      </c>
      <c r="G372" s="18" t="s">
        <v>5483</v>
      </c>
    </row>
    <row r="373" spans="1:7" ht="15" x14ac:dyDescent="0.15">
      <c r="A373" s="11" t="s">
        <v>5484</v>
      </c>
      <c r="B373" s="12" t="str">
        <f>Catalog!$E$135</f>
        <v>achievementMissionJeanClawed</v>
      </c>
      <c r="C373" s="19" t="e">
        <f t="shared" ref="C373:D373" si="147">#REF!</f>
        <v>#REF!</v>
      </c>
      <c r="D373" s="19" t="e">
        <f t="shared" si="147"/>
        <v>#REF!</v>
      </c>
      <c r="E373" s="19" t="s">
        <v>25</v>
      </c>
      <c r="F373" s="19" t="e">
        <f t="shared" si="144"/>
        <v>#REF!</v>
      </c>
      <c r="G373" s="18" t="s">
        <v>5483</v>
      </c>
    </row>
    <row r="374" spans="1:7" ht="15" x14ac:dyDescent="0.15">
      <c r="A374" s="11" t="s">
        <v>5484</v>
      </c>
      <c r="B374" s="12" t="str">
        <f>Catalog!$E$135</f>
        <v>achievementMissionJeanClawed</v>
      </c>
      <c r="C374" s="19" t="e">
        <f t="shared" ref="C374:D374" si="148">#REF!</f>
        <v>#REF!</v>
      </c>
      <c r="D374" s="19" t="e">
        <f t="shared" si="148"/>
        <v>#REF!</v>
      </c>
      <c r="E374" s="19" t="s">
        <v>25</v>
      </c>
      <c r="F374" s="19" t="e">
        <f t="shared" si="144"/>
        <v>#REF!</v>
      </c>
      <c r="G374" s="18" t="s">
        <v>5483</v>
      </c>
    </row>
    <row r="375" spans="1:7" ht="15" x14ac:dyDescent="0.15">
      <c r="A375" s="11" t="s">
        <v>5484</v>
      </c>
      <c r="B375" s="12" t="str">
        <f>Catalog!$E$193</f>
        <v>achievementMissionVicious6</v>
      </c>
      <c r="C375" s="20">
        <f>Catalog!$W$193</f>
        <v>0</v>
      </c>
      <c r="D375" s="20" t="str">
        <f>Catalog!$X$193</f>
        <v>unearned</v>
      </c>
      <c r="E375" s="19" t="s">
        <v>25</v>
      </c>
      <c r="F375" s="20" t="str">
        <f>Catalog!$AD$193</f>
        <v>You'll get this when you complete a certain mission!</v>
      </c>
      <c r="G375" s="18" t="s">
        <v>5483</v>
      </c>
    </row>
    <row r="376" spans="1:7" ht="15" x14ac:dyDescent="0.15">
      <c r="A376" s="11" t="s">
        <v>5484</v>
      </c>
      <c r="B376" s="12" t="str">
        <f>Catalog!$E$193</f>
        <v>achievementMissionVicious6</v>
      </c>
      <c r="C376" s="20">
        <f>Catalog!$BD$193</f>
        <v>0</v>
      </c>
      <c r="D376" s="20">
        <f>Catalog!$BE$193</f>
        <v>0</v>
      </c>
      <c r="E376" s="19" t="s">
        <v>23</v>
      </c>
      <c r="F376" s="20">
        <f>Catalog!$BI$193</f>
        <v>0</v>
      </c>
      <c r="G376" s="18" t="s">
        <v>5483</v>
      </c>
    </row>
    <row r="377" spans="1:7" ht="15" x14ac:dyDescent="0.15">
      <c r="A377" s="11" t="s">
        <v>5484</v>
      </c>
      <c r="B377" s="12" t="str">
        <f>Catalog!$E$193</f>
        <v>achievementMissionVicious6</v>
      </c>
      <c r="C377" s="20">
        <f>Catalog!$BD$193</f>
        <v>0</v>
      </c>
      <c r="D377" s="20">
        <f>Catalog!$BE$193</f>
        <v>0</v>
      </c>
      <c r="E377" s="19" t="s">
        <v>25</v>
      </c>
      <c r="F377" s="20">
        <f>Catalog!$BL$193</f>
        <v>0</v>
      </c>
      <c r="G377" s="18" t="s">
        <v>5483</v>
      </c>
    </row>
    <row r="378" spans="1:7" ht="15" x14ac:dyDescent="0.15">
      <c r="A378" s="11" t="s">
        <v>5484</v>
      </c>
      <c r="B378" s="12" t="str">
        <f>Catalog!$E$193</f>
        <v>achievementMissionVicious6</v>
      </c>
      <c r="C378" s="19" t="e">
        <f t="shared" ref="C378:D378" si="149">#REF!</f>
        <v>#REF!</v>
      </c>
      <c r="D378" s="19" t="e">
        <f t="shared" si="149"/>
        <v>#REF!</v>
      </c>
      <c r="E378" s="19" t="s">
        <v>25</v>
      </c>
      <c r="F378" s="19" t="e">
        <f t="shared" ref="F378:F379" si="150">#REF!</f>
        <v>#REF!</v>
      </c>
      <c r="G378" s="18" t="s">
        <v>5483</v>
      </c>
    </row>
    <row r="379" spans="1:7" ht="15" x14ac:dyDescent="0.15">
      <c r="A379" s="11" t="s">
        <v>5484</v>
      </c>
      <c r="B379" s="12" t="str">
        <f>Catalog!$E$193</f>
        <v>achievementMissionVicious6</v>
      </c>
      <c r="C379" s="19" t="e">
        <f t="shared" ref="C379:D379" si="151">#REF!</f>
        <v>#REF!</v>
      </c>
      <c r="D379" s="19" t="e">
        <f t="shared" si="151"/>
        <v>#REF!</v>
      </c>
      <c r="E379" s="19" t="s">
        <v>25</v>
      </c>
      <c r="F379" s="19" t="e">
        <f t="shared" si="150"/>
        <v>#REF!</v>
      </c>
      <c r="G379" s="18" t="s">
        <v>5483</v>
      </c>
    </row>
    <row r="380" spans="1:7" ht="15" x14ac:dyDescent="0.15">
      <c r="A380" s="11" t="s">
        <v>5484</v>
      </c>
      <c r="B380" s="12" t="str">
        <f>Catalog!E205</f>
        <v>achievementMissionDMe</v>
      </c>
      <c r="C380" s="20">
        <f>Catalog!W205</f>
        <v>0</v>
      </c>
      <c r="D380" s="20" t="str">
        <f>Catalog!X205</f>
        <v>unearned</v>
      </c>
      <c r="E380" s="19" t="s">
        <v>25</v>
      </c>
      <c r="F380" s="20" t="str">
        <f>Catalog!AD205</f>
        <v>You'll get this when you complete a certain mission!</v>
      </c>
      <c r="G380" s="18" t="s">
        <v>5483</v>
      </c>
    </row>
    <row r="381" spans="1:7" ht="15" x14ac:dyDescent="0.15">
      <c r="A381" s="11" t="s">
        <v>5484</v>
      </c>
      <c r="B381" s="12" t="str">
        <f>Catalog!E205</f>
        <v>achievementMissionDMe</v>
      </c>
      <c r="C381" s="19" t="e">
        <f t="shared" ref="C381:D381" si="152">#REF!</f>
        <v>#REF!</v>
      </c>
      <c r="D381" s="19" t="e">
        <f t="shared" si="152"/>
        <v>#REF!</v>
      </c>
      <c r="E381" s="19" t="s">
        <v>23</v>
      </c>
      <c r="F381" s="19" t="e">
        <f t="shared" ref="F381:F382" si="153">#REF!</f>
        <v>#REF!</v>
      </c>
      <c r="G381" s="18" t="s">
        <v>5483</v>
      </c>
    </row>
    <row r="382" spans="1:7" ht="15" x14ac:dyDescent="0.15">
      <c r="A382" s="11" t="s">
        <v>5484</v>
      </c>
      <c r="B382" s="12" t="str">
        <f>Catalog!E205</f>
        <v>achievementMissionDMe</v>
      </c>
      <c r="C382" s="19" t="e">
        <f t="shared" ref="C382:D382" si="154">#REF!</f>
        <v>#REF!</v>
      </c>
      <c r="D382" s="19" t="e">
        <f t="shared" si="154"/>
        <v>#REF!</v>
      </c>
      <c r="E382" s="19" t="s">
        <v>25</v>
      </c>
      <c r="F382" s="19" t="e">
        <f t="shared" si="153"/>
        <v>#REF!</v>
      </c>
      <c r="G382" s="18" t="s">
        <v>5483</v>
      </c>
    </row>
    <row r="383" spans="1:7" ht="15" x14ac:dyDescent="0.15">
      <c r="A383" s="11" t="s">
        <v>5484</v>
      </c>
      <c r="B383" s="12" t="str">
        <f>Catalog!E101</f>
        <v>achievementMissionScarlet</v>
      </c>
      <c r="C383" s="20">
        <f>Catalog!W101</f>
        <v>0</v>
      </c>
      <c r="D383" s="20" t="str">
        <f>Catalog!X101</f>
        <v>unearned</v>
      </c>
      <c r="E383" s="19" t="s">
        <v>25</v>
      </c>
      <c r="F383" s="20" t="str">
        <f>Catalog!AD101</f>
        <v>You'll get this when you complete a certain mission!</v>
      </c>
      <c r="G383" s="18" t="s">
        <v>5483</v>
      </c>
    </row>
    <row r="384" spans="1:7" ht="15" x14ac:dyDescent="0.15">
      <c r="A384" s="11" t="s">
        <v>5484</v>
      </c>
      <c r="B384" s="12" t="str">
        <f>Catalog!E101</f>
        <v>achievementMissionScarlet</v>
      </c>
      <c r="C384" s="20">
        <f>Catalog!BD101</f>
        <v>2</v>
      </c>
      <c r="D384" s="20" t="str">
        <f>Catalog!BE101</f>
        <v>bronze</v>
      </c>
      <c r="E384" s="19" t="s">
        <v>23</v>
      </c>
      <c r="F384" s="20" t="str">
        <f>Catalog!BI101</f>
        <v>Shoots Actual Lava!</v>
      </c>
      <c r="G384" s="18" t="s">
        <v>5483</v>
      </c>
    </row>
    <row r="385" spans="1:7" ht="28" x14ac:dyDescent="0.15">
      <c r="A385" s="11" t="s">
        <v>5484</v>
      </c>
      <c r="B385" s="12" t="str">
        <f>Catalog!E101</f>
        <v>achievementMissionScarlet</v>
      </c>
      <c r="C385" s="20">
        <f>Catalog!BD101</f>
        <v>2</v>
      </c>
      <c r="D385" s="20" t="str">
        <f>Catalog!BE101</f>
        <v>bronze</v>
      </c>
      <c r="E385" s="19" t="s">
        <v>25</v>
      </c>
      <c r="F385" s="20" t="str">
        <f>Catalog!BL101</f>
        <v>You caused super environmental damage! Now cause MEGA damage using the Magma Launcher to reach silver.</v>
      </c>
      <c r="G385" s="18" t="s">
        <v>5483</v>
      </c>
    </row>
    <row r="386" spans="1:7" ht="15" x14ac:dyDescent="0.15">
      <c r="A386" s="11" t="s">
        <v>5484</v>
      </c>
      <c r="B386" s="12" t="str">
        <f>Catalog!E101</f>
        <v>achievementMissionScarlet</v>
      </c>
      <c r="C386" s="19" t="e">
        <f t="shared" ref="C386:D386" si="155">#REF!</f>
        <v>#REF!</v>
      </c>
      <c r="D386" s="19" t="e">
        <f t="shared" si="155"/>
        <v>#REF!</v>
      </c>
      <c r="E386" s="19" t="s">
        <v>25</v>
      </c>
      <c r="F386" s="19" t="e">
        <f t="shared" ref="F386:F387" si="156">#REF!</f>
        <v>#REF!</v>
      </c>
      <c r="G386" s="18" t="s">
        <v>5483</v>
      </c>
    </row>
    <row r="387" spans="1:7" ht="15" x14ac:dyDescent="0.15">
      <c r="A387" s="11" t="s">
        <v>5484</v>
      </c>
      <c r="B387" s="12" t="str">
        <f>Catalog!E101</f>
        <v>achievementMissionScarlet</v>
      </c>
      <c r="C387" s="19" t="e">
        <f t="shared" ref="C387:D387" si="157">#REF!</f>
        <v>#REF!</v>
      </c>
      <c r="D387" s="19" t="e">
        <f t="shared" si="157"/>
        <v>#REF!</v>
      </c>
      <c r="E387" s="19" t="s">
        <v>25</v>
      </c>
      <c r="F387" s="19" t="e">
        <f t="shared" si="156"/>
        <v>#REF!</v>
      </c>
      <c r="G387" s="18" t="s">
        <v>5483</v>
      </c>
    </row>
    <row r="388" spans="1:7" ht="15" x14ac:dyDescent="0.15">
      <c r="A388" s="11" t="s">
        <v>5484</v>
      </c>
      <c r="B388" s="12" t="str">
        <f>Catalog!E206</f>
        <v>achievementMissionAVL</v>
      </c>
      <c r="C388" s="20">
        <f>Catalog!$W$206</f>
        <v>0</v>
      </c>
      <c r="D388" s="20" t="str">
        <f>Catalog!$X$206</f>
        <v>unearned</v>
      </c>
      <c r="E388" s="19" t="s">
        <v>25</v>
      </c>
      <c r="F388" s="20" t="str">
        <f>Catalog!AD206</f>
        <v>You'll find out what this is...maybe.</v>
      </c>
      <c r="G388" s="18" t="s">
        <v>5483</v>
      </c>
    </row>
    <row r="389" spans="1:7" ht="15" x14ac:dyDescent="0.15">
      <c r="A389" s="11" t="s">
        <v>5484</v>
      </c>
      <c r="B389" s="12" t="str">
        <f>Catalog!E206</f>
        <v>achievementMissionAVL</v>
      </c>
      <c r="C389" s="20">
        <f>Catalog!$W$206</f>
        <v>0</v>
      </c>
      <c r="D389" s="19" t="s">
        <v>37</v>
      </c>
      <c r="E389" s="19" t="s">
        <v>23</v>
      </c>
      <c r="F389" s="20" t="str">
        <f>Catalog!AB206</f>
        <v>Secret Badge</v>
      </c>
      <c r="G389" s="18" t="s">
        <v>5483</v>
      </c>
    </row>
    <row r="390" spans="1:7" ht="15" x14ac:dyDescent="0.15">
      <c r="A390" s="11" t="s">
        <v>5484</v>
      </c>
      <c r="B390" s="12" t="str">
        <f>Catalog!E206</f>
        <v>achievementMissionAVL</v>
      </c>
      <c r="C390" s="19" t="e">
        <f t="shared" ref="C390:D390" si="158">#REF!</f>
        <v>#REF!</v>
      </c>
      <c r="D390" s="19" t="e">
        <f t="shared" si="158"/>
        <v>#REF!</v>
      </c>
      <c r="E390" s="19" t="s">
        <v>25</v>
      </c>
      <c r="F390" s="19" t="e">
        <f>#REF!</f>
        <v>#REF!</v>
      </c>
      <c r="G390" s="18" t="s">
        <v>5483</v>
      </c>
    </row>
    <row r="391" spans="1:7" ht="15" x14ac:dyDescent="0.15">
      <c r="A391" s="11" t="s">
        <v>5484</v>
      </c>
      <c r="B391" s="12" t="str">
        <f>Catalog!$E$416</f>
        <v>achievementMissionAll</v>
      </c>
      <c r="C391" s="20">
        <f>Catalog!W206</f>
        <v>0</v>
      </c>
      <c r="D391" s="20" t="str">
        <f>Catalog!$X$416</f>
        <v>unearned</v>
      </c>
      <c r="E391" s="19" t="s">
        <v>25</v>
      </c>
      <c r="F391" s="20" t="str">
        <f>Catalog!$AD$416</f>
        <v>Can you do all the missions?</v>
      </c>
    </row>
    <row r="392" spans="1:7" ht="15" x14ac:dyDescent="0.15">
      <c r="A392" s="11" t="s">
        <v>5484</v>
      </c>
      <c r="B392" s="12" t="str">
        <f>Catalog!$E$416</f>
        <v>achievementMissionAll</v>
      </c>
      <c r="C392" s="19" t="e">
        <f t="shared" ref="C392:D392" si="159">#REF!</f>
        <v>#REF!</v>
      </c>
      <c r="D392" s="19" t="e">
        <f t="shared" si="159"/>
        <v>#REF!</v>
      </c>
      <c r="E392" s="19" t="s">
        <v>23</v>
      </c>
      <c r="F392" s="19" t="e">
        <f t="shared" ref="F392:F393" si="160">#REF!</f>
        <v>#REF!</v>
      </c>
    </row>
    <row r="393" spans="1:7" ht="15" x14ac:dyDescent="0.15">
      <c r="A393" s="11" t="s">
        <v>5484</v>
      </c>
      <c r="B393" s="12" t="str">
        <f>Catalog!$E$416</f>
        <v>achievementMissionAll</v>
      </c>
      <c r="C393" s="19" t="e">
        <f t="shared" ref="C393:D393" si="161">#REF!</f>
        <v>#REF!</v>
      </c>
      <c r="D393" s="19" t="e">
        <f t="shared" si="161"/>
        <v>#REF!</v>
      </c>
      <c r="E393" s="19" t="s">
        <v>25</v>
      </c>
      <c r="F393" s="19" t="e">
        <f t="shared" si="160"/>
        <v>#REF!</v>
      </c>
    </row>
    <row r="394" spans="1:7" ht="15" x14ac:dyDescent="0.15">
      <c r="A394" s="11" t="s">
        <v>5484</v>
      </c>
      <c r="B394" s="12" t="str">
        <f>Catalog!E207</f>
        <v>achievementPlayObject1Destroy</v>
      </c>
      <c r="C394" s="20">
        <f>Catalog!W207</f>
        <v>0</v>
      </c>
      <c r="D394" s="20" t="str">
        <f>Catalog!X207</f>
        <v>unearned</v>
      </c>
      <c r="E394" s="19" t="s">
        <v>25</v>
      </c>
      <c r="F394" s="19" t="str">
        <f>Catalog!AD207</f>
        <v>Destroy 20 objects using any blaster type to get the Bronze trophy</v>
      </c>
      <c r="G394" s="18" t="s">
        <v>5483</v>
      </c>
    </row>
    <row r="395" spans="1:7" ht="15" x14ac:dyDescent="0.15">
      <c r="A395" s="11" t="s">
        <v>5484</v>
      </c>
      <c r="B395" s="12" t="str">
        <f>Catalog!E207</f>
        <v>achievementPlayObject1Destroy</v>
      </c>
      <c r="C395" s="19" t="e">
        <f t="shared" ref="C395:D395" si="162">#REF!</f>
        <v>#REF!</v>
      </c>
      <c r="D395" s="19" t="e">
        <f t="shared" si="162"/>
        <v>#REF!</v>
      </c>
      <c r="E395" s="19" t="s">
        <v>23</v>
      </c>
      <c r="F395" s="19" t="e">
        <f t="shared" ref="F395:F396" si="163">#REF!</f>
        <v>#REF!</v>
      </c>
      <c r="G395" s="18" t="s">
        <v>5483</v>
      </c>
    </row>
    <row r="396" spans="1:7" ht="15" x14ac:dyDescent="0.15">
      <c r="A396" s="11" t="s">
        <v>5484</v>
      </c>
      <c r="B396" s="12" t="str">
        <f>Catalog!E207</f>
        <v>achievementPlayObject1Destroy</v>
      </c>
      <c r="C396" s="19" t="e">
        <f t="shared" ref="C396:D396" si="164">#REF!</f>
        <v>#REF!</v>
      </c>
      <c r="D396" s="19" t="e">
        <f t="shared" si="164"/>
        <v>#REF!</v>
      </c>
      <c r="E396" s="19" t="s">
        <v>25</v>
      </c>
      <c r="F396" s="19" t="e">
        <f t="shared" si="163"/>
        <v>#REF!</v>
      </c>
      <c r="G396" s="18" t="s">
        <v>5483</v>
      </c>
    </row>
    <row r="397" spans="1:7" ht="15" x14ac:dyDescent="0.15">
      <c r="A397" s="11" t="s">
        <v>5484</v>
      </c>
      <c r="B397" s="12" t="str">
        <f>Catalog!E208</f>
        <v>achievementPlayObject2Destroy</v>
      </c>
      <c r="C397" s="20">
        <f>Catalog!W208</f>
        <v>0</v>
      </c>
      <c r="D397" s="20" t="str">
        <f>Catalog!X208</f>
        <v>unearned</v>
      </c>
      <c r="E397" s="19" t="s">
        <v>25</v>
      </c>
      <c r="F397" s="19" t="str">
        <f>Catalog!AD208</f>
        <v>Destroy 20 objects using any blaster type to get the Bronze trophy</v>
      </c>
      <c r="G397" s="18" t="s">
        <v>5483</v>
      </c>
    </row>
    <row r="398" spans="1:7" ht="15" x14ac:dyDescent="0.15">
      <c r="A398" s="11" t="s">
        <v>5484</v>
      </c>
      <c r="B398" s="12" t="str">
        <f>Catalog!E208</f>
        <v>achievementPlayObject2Destroy</v>
      </c>
      <c r="C398" s="20">
        <f>Catalog!BD208</f>
        <v>2</v>
      </c>
      <c r="D398" s="19" t="str">
        <f>Catalog!BE208</f>
        <v>bronze</v>
      </c>
      <c r="E398" s="19" t="s">
        <v>23</v>
      </c>
      <c r="F398" s="20" t="str">
        <f>Catalog!BI208</f>
        <v>Destroy 100 Objects</v>
      </c>
      <c r="G398" s="18" t="s">
        <v>5483</v>
      </c>
    </row>
    <row r="399" spans="1:7" ht="28" x14ac:dyDescent="0.15">
      <c r="A399" s="11" t="s">
        <v>5484</v>
      </c>
      <c r="B399" s="12" t="str">
        <f>Catalog!E208</f>
        <v>achievementPlayObject2Destroy</v>
      </c>
      <c r="C399" s="20">
        <f>Catalog!BD208</f>
        <v>2</v>
      </c>
      <c r="D399" s="19" t="str">
        <f>Catalog!BE208</f>
        <v>bronze</v>
      </c>
      <c r="E399" s="19" t="s">
        <v>25</v>
      </c>
      <c r="F399" s="19" t="str">
        <f>Catalog!BL208</f>
        <v>Great job destroying 20 objects! Destroy 100 objects using any blaster type to get the Silver trophy.</v>
      </c>
      <c r="G399" s="18" t="s">
        <v>5483</v>
      </c>
    </row>
    <row r="400" spans="1:7" ht="15" x14ac:dyDescent="0.15">
      <c r="A400" s="11" t="s">
        <v>5484</v>
      </c>
      <c r="B400" s="12" t="str">
        <f>Catalog!E208</f>
        <v>achievementPlayObject2Destroy</v>
      </c>
      <c r="C400" s="19" t="e">
        <f t="shared" ref="C400:D400" si="165">#REF!</f>
        <v>#REF!</v>
      </c>
      <c r="D400" s="19" t="e">
        <f t="shared" si="165"/>
        <v>#REF!</v>
      </c>
      <c r="E400" s="19" t="s">
        <v>25</v>
      </c>
      <c r="F400" s="19" t="e">
        <f t="shared" ref="F400:F401" si="166">#REF!</f>
        <v>#REF!</v>
      </c>
      <c r="G400" s="18" t="s">
        <v>5483</v>
      </c>
    </row>
    <row r="401" spans="1:7" ht="15" x14ac:dyDescent="0.15">
      <c r="A401" s="11" t="s">
        <v>5484</v>
      </c>
      <c r="B401" s="12" t="str">
        <f>Catalog!E208</f>
        <v>achievementPlayObject2Destroy</v>
      </c>
      <c r="C401" s="19" t="e">
        <f t="shared" ref="C401:D401" si="167">#REF!</f>
        <v>#REF!</v>
      </c>
      <c r="D401" s="19" t="e">
        <f t="shared" si="167"/>
        <v>#REF!</v>
      </c>
      <c r="E401" s="19" t="s">
        <v>25</v>
      </c>
      <c r="F401" s="19" t="e">
        <f t="shared" si="166"/>
        <v>#REF!</v>
      </c>
      <c r="G401" s="18" t="s">
        <v>5483</v>
      </c>
    </row>
    <row r="402" spans="1:7" ht="15" x14ac:dyDescent="0.15">
      <c r="A402" s="11" t="s">
        <v>5484</v>
      </c>
      <c r="B402" s="12" t="str">
        <f>Catalog!E209</f>
        <v>achievementPlayObject3Destroy</v>
      </c>
      <c r="C402" s="20">
        <f>Catalog!W209</f>
        <v>0</v>
      </c>
      <c r="D402" s="20" t="str">
        <f>Catalog!X209</f>
        <v>unearned</v>
      </c>
      <c r="E402" s="19" t="s">
        <v>25</v>
      </c>
      <c r="F402" s="19" t="str">
        <f>Catalog!AD209</f>
        <v>Destroy 20 objects using any blaster type to get the Bronze trophy</v>
      </c>
      <c r="G402" s="18" t="s">
        <v>5483</v>
      </c>
    </row>
    <row r="403" spans="1:7" ht="15" x14ac:dyDescent="0.15">
      <c r="A403" s="11" t="s">
        <v>5484</v>
      </c>
      <c r="B403" s="12" t="str">
        <f>Catalog!E209</f>
        <v>achievementPlayObject3Destroy</v>
      </c>
      <c r="C403" s="20">
        <f>Catalog!BD209</f>
        <v>2</v>
      </c>
      <c r="D403" s="19" t="str">
        <f>Catalog!BE209</f>
        <v>bronze</v>
      </c>
      <c r="E403" s="19" t="s">
        <v>23</v>
      </c>
      <c r="F403" s="20" t="str">
        <f>Catalog!BI209</f>
        <v>Destroy 100 Objects</v>
      </c>
      <c r="G403" s="18" t="s">
        <v>5483</v>
      </c>
    </row>
    <row r="404" spans="1:7" ht="28" x14ac:dyDescent="0.15">
      <c r="A404" s="11" t="s">
        <v>5484</v>
      </c>
      <c r="B404" s="12" t="str">
        <f>Catalog!E209</f>
        <v>achievementPlayObject3Destroy</v>
      </c>
      <c r="C404" s="20">
        <f>Catalog!BD209</f>
        <v>2</v>
      </c>
      <c r="D404" s="19" t="str">
        <f>Catalog!BE209</f>
        <v>bronze</v>
      </c>
      <c r="E404" s="19" t="s">
        <v>25</v>
      </c>
      <c r="F404" s="19" t="str">
        <f>Catalog!BL209</f>
        <v>Great job destroying 20 objects! Destroy 100 objects using any blaster type to get the Silver trophy.</v>
      </c>
      <c r="G404" s="18" t="s">
        <v>5483</v>
      </c>
    </row>
    <row r="405" spans="1:7" ht="15" x14ac:dyDescent="0.15">
      <c r="A405" s="11" t="s">
        <v>5484</v>
      </c>
      <c r="B405" s="12" t="str">
        <f>Catalog!E209</f>
        <v>achievementPlayObject3Destroy</v>
      </c>
      <c r="C405" s="19" t="e">
        <f t="shared" ref="C405:D405" si="168">#REF!</f>
        <v>#REF!</v>
      </c>
      <c r="D405" s="19" t="e">
        <f t="shared" si="168"/>
        <v>#REF!</v>
      </c>
      <c r="E405" s="19" t="s">
        <v>25</v>
      </c>
      <c r="F405" s="19" t="e">
        <f t="shared" ref="F405:F406" si="169">#REF!</f>
        <v>#REF!</v>
      </c>
      <c r="G405" s="18" t="s">
        <v>5483</v>
      </c>
    </row>
    <row r="406" spans="1:7" ht="15" x14ac:dyDescent="0.15">
      <c r="A406" s="11" t="s">
        <v>5484</v>
      </c>
      <c r="B406" s="12" t="str">
        <f>Catalog!E209</f>
        <v>achievementPlayObject3Destroy</v>
      </c>
      <c r="C406" s="19" t="e">
        <f t="shared" ref="C406:D406" si="170">#REF!</f>
        <v>#REF!</v>
      </c>
      <c r="D406" s="19" t="e">
        <f t="shared" si="170"/>
        <v>#REF!</v>
      </c>
      <c r="E406" s="19" t="s">
        <v>25</v>
      </c>
      <c r="F406" s="19" t="e">
        <f t="shared" si="169"/>
        <v>#REF!</v>
      </c>
      <c r="G406" s="18" t="s">
        <v>5483</v>
      </c>
    </row>
    <row r="407" spans="1:7" ht="15" x14ac:dyDescent="0.15">
      <c r="A407" s="11" t="s">
        <v>5484</v>
      </c>
      <c r="B407" s="12" t="str">
        <f>Catalog!E210</f>
        <v>achievementPlayBoostPickup</v>
      </c>
      <c r="C407" s="20">
        <f>Catalog!W210</f>
        <v>0</v>
      </c>
      <c r="D407" s="20" t="str">
        <f>Catalog!X210</f>
        <v>unearned</v>
      </c>
      <c r="E407" s="19" t="s">
        <v>25</v>
      </c>
      <c r="F407" s="19" t="str">
        <f>Catalog!AD210</f>
        <v>Pick up 20 blaster boosts to reach Bronze</v>
      </c>
      <c r="G407" s="18" t="s">
        <v>5483</v>
      </c>
    </row>
    <row r="408" spans="1:7" ht="15" x14ac:dyDescent="0.15">
      <c r="A408" s="11" t="s">
        <v>5484</v>
      </c>
      <c r="B408" s="12" t="str">
        <f>Catalog!E210</f>
        <v>achievementPlayBoostPickup</v>
      </c>
      <c r="C408" s="20">
        <f>Catalog!BD210</f>
        <v>2</v>
      </c>
      <c r="D408" s="19" t="str">
        <f>Catalog!BE210</f>
        <v>bronze</v>
      </c>
      <c r="E408" s="19" t="s">
        <v>23</v>
      </c>
      <c r="F408" s="20" t="str">
        <f>Catalog!BI210</f>
        <v>Blaster Booster</v>
      </c>
      <c r="G408" s="18" t="s">
        <v>5483</v>
      </c>
    </row>
    <row r="409" spans="1:7" ht="15" x14ac:dyDescent="0.15">
      <c r="A409" s="11" t="s">
        <v>5484</v>
      </c>
      <c r="B409" s="12" t="str">
        <f>Catalog!E210</f>
        <v>achievementPlayBoostPickup</v>
      </c>
      <c r="C409" s="20">
        <f>Catalog!BD210</f>
        <v>2</v>
      </c>
      <c r="D409" s="19" t="str">
        <f>Catalog!BE210</f>
        <v>bronze</v>
      </c>
      <c r="E409" s="19" t="s">
        <v>25</v>
      </c>
      <c r="F409" s="19" t="str">
        <f>Catalog!BL210</f>
        <v>You picked up 20 blaster boosts! Now pick up 50 to reach Silver.</v>
      </c>
      <c r="G409" s="18" t="s">
        <v>5483</v>
      </c>
    </row>
    <row r="410" spans="1:7" ht="15" x14ac:dyDescent="0.15">
      <c r="A410" s="11" t="s">
        <v>5484</v>
      </c>
      <c r="B410" s="12" t="str">
        <f>Catalog!E210</f>
        <v>achievementPlayBoostPickup</v>
      </c>
      <c r="C410" s="19" t="e">
        <f t="shared" ref="C410:D410" si="171">#REF!</f>
        <v>#REF!</v>
      </c>
      <c r="D410" s="19" t="e">
        <f t="shared" si="171"/>
        <v>#REF!</v>
      </c>
      <c r="E410" s="19" t="s">
        <v>25</v>
      </c>
      <c r="F410" s="19" t="e">
        <f t="shared" ref="F410:F411" si="172">#REF!</f>
        <v>#REF!</v>
      </c>
      <c r="G410" s="18" t="s">
        <v>5483</v>
      </c>
    </row>
    <row r="411" spans="1:7" ht="15" x14ac:dyDescent="0.15">
      <c r="A411" s="11" t="s">
        <v>5484</v>
      </c>
      <c r="B411" s="12" t="str">
        <f>Catalog!E210</f>
        <v>achievementPlayBoostPickup</v>
      </c>
      <c r="C411" s="19" t="e">
        <f t="shared" ref="C411:D411" si="173">#REF!</f>
        <v>#REF!</v>
      </c>
      <c r="D411" s="19" t="e">
        <f t="shared" si="173"/>
        <v>#REF!</v>
      </c>
      <c r="E411" s="19" t="s">
        <v>25</v>
      </c>
      <c r="F411" s="19" t="e">
        <f t="shared" si="172"/>
        <v>#REF!</v>
      </c>
      <c r="G411" s="18" t="s">
        <v>5483</v>
      </c>
    </row>
    <row r="412" spans="1:7" ht="15" x14ac:dyDescent="0.15">
      <c r="A412" s="11" t="s">
        <v>5484</v>
      </c>
      <c r="B412" s="12" t="str">
        <f>Catalog!E269</f>
        <v>achievementPlayBlasterAccuracy</v>
      </c>
      <c r="C412" s="20">
        <f>Catalog!W269</f>
        <v>0</v>
      </c>
      <c r="D412" s="20" t="str">
        <f>Catalog!X269</f>
        <v>unearned</v>
      </c>
      <c r="E412" s="19" t="s">
        <v>25</v>
      </c>
      <c r="F412" s="19" t="str">
        <f>Catalog!AD269</f>
        <v>Description of how to earn this achievement.</v>
      </c>
      <c r="G412" s="18" t="s">
        <v>5483</v>
      </c>
    </row>
    <row r="413" spans="1:7" ht="15" x14ac:dyDescent="0.15">
      <c r="A413" s="11" t="s">
        <v>5484</v>
      </c>
      <c r="B413" s="12" t="str">
        <f>Catalog!E269</f>
        <v>achievementPlayBlasterAccuracy</v>
      </c>
      <c r="C413" s="19" t="e">
        <f t="shared" ref="C413:D413" si="174">#REF!</f>
        <v>#REF!</v>
      </c>
      <c r="D413" s="19" t="e">
        <f t="shared" si="174"/>
        <v>#REF!</v>
      </c>
      <c r="E413" s="19" t="s">
        <v>23</v>
      </c>
      <c r="F413" s="19" t="e">
        <f t="shared" ref="F413:F414" si="175">#REF!</f>
        <v>#REF!</v>
      </c>
      <c r="G413" s="18" t="s">
        <v>5483</v>
      </c>
    </row>
    <row r="414" spans="1:7" ht="15" x14ac:dyDescent="0.15">
      <c r="A414" s="11" t="s">
        <v>5484</v>
      </c>
      <c r="B414" s="12" t="str">
        <f>Catalog!E269</f>
        <v>achievementPlayBlasterAccuracy</v>
      </c>
      <c r="C414" s="19" t="e">
        <f t="shared" ref="C414:D414" si="176">#REF!</f>
        <v>#REF!</v>
      </c>
      <c r="D414" s="19" t="e">
        <f t="shared" si="176"/>
        <v>#REF!</v>
      </c>
      <c r="E414" s="19" t="s">
        <v>25</v>
      </c>
      <c r="F414" s="19" t="e">
        <f t="shared" si="175"/>
        <v>#REF!</v>
      </c>
      <c r="G414" s="18" t="s">
        <v>5483</v>
      </c>
    </row>
    <row r="415" spans="1:7" ht="15" x14ac:dyDescent="0.15">
      <c r="A415" s="11" t="s">
        <v>5484</v>
      </c>
      <c r="B415" s="18" t="str">
        <f>Catalog!E401</f>
        <v>achievementPlayBlastPaintings</v>
      </c>
      <c r="C415" s="20">
        <f>Catalog!W401</f>
        <v>0</v>
      </c>
      <c r="D415" s="20" t="str">
        <f>Catalog!X401</f>
        <v>unearned</v>
      </c>
      <c r="E415" s="19" t="s">
        <v>25</v>
      </c>
      <c r="F415" s="19" t="str">
        <f>Catalog!AD401</f>
        <v>Destroy 5 paintings in Stronghold's Rage Room for Bronze!</v>
      </c>
      <c r="G415" s="18" t="s">
        <v>5483</v>
      </c>
    </row>
    <row r="416" spans="1:7" ht="15" x14ac:dyDescent="0.15">
      <c r="A416" s="11" t="s">
        <v>5484</v>
      </c>
      <c r="B416" s="18" t="str">
        <f>Catalog!E401</f>
        <v>achievementPlayBlastPaintings</v>
      </c>
      <c r="C416" s="19">
        <f>Catalog!BD401</f>
        <v>2</v>
      </c>
      <c r="D416" s="19" t="str">
        <f>Catalog!BE401</f>
        <v>bronze</v>
      </c>
      <c r="E416" s="19" t="s">
        <v>23</v>
      </c>
      <c r="F416" s="19" t="str">
        <f>Catalog!BI401</f>
        <v>Art Critic</v>
      </c>
      <c r="G416" s="18" t="s">
        <v>5483</v>
      </c>
    </row>
    <row r="417" spans="1:7" ht="28" x14ac:dyDescent="0.15">
      <c r="A417" s="11" t="s">
        <v>5484</v>
      </c>
      <c r="B417" s="18" t="str">
        <f>Catalog!E401</f>
        <v>achievementPlayBlastPaintings</v>
      </c>
      <c r="C417" s="19">
        <f>Catalog!BD401</f>
        <v>2</v>
      </c>
      <c r="D417" s="19" t="str">
        <f>Catalog!BE401</f>
        <v>bronze</v>
      </c>
      <c r="E417" s="19" t="s">
        <v>25</v>
      </c>
      <c r="F417" s="19" t="str">
        <f>Catalog!BL401</f>
        <v>You destroyed 5 paintings in Stronghold's Rage Room! Now destroy 10 for Silver.</v>
      </c>
      <c r="G417" s="18" t="s">
        <v>5483</v>
      </c>
    </row>
    <row r="418" spans="1:7" ht="15" x14ac:dyDescent="0.15">
      <c r="A418" s="11" t="s">
        <v>5484</v>
      </c>
      <c r="B418" s="18" t="str">
        <f>Catalog!E401</f>
        <v>achievementPlayBlastPaintings</v>
      </c>
      <c r="C418" s="19" t="e">
        <f t="shared" ref="C418:D418" si="177">#REF!</f>
        <v>#REF!</v>
      </c>
      <c r="D418" s="19" t="e">
        <f t="shared" si="177"/>
        <v>#REF!</v>
      </c>
      <c r="E418" s="19" t="s">
        <v>25</v>
      </c>
      <c r="F418" s="19" t="e">
        <f t="shared" ref="F418:F419" si="178">#REF!</f>
        <v>#REF!</v>
      </c>
      <c r="G418" s="18" t="s">
        <v>5483</v>
      </c>
    </row>
    <row r="419" spans="1:7" ht="15" x14ac:dyDescent="0.15">
      <c r="A419" s="11" t="s">
        <v>5484</v>
      </c>
      <c r="B419" s="18" t="str">
        <f>Catalog!E401</f>
        <v>achievementPlayBlastPaintings</v>
      </c>
      <c r="C419" s="19" t="e">
        <f t="shared" ref="C419:D419" si="179">#REF!</f>
        <v>#REF!</v>
      </c>
      <c r="D419" s="19" t="e">
        <f t="shared" si="179"/>
        <v>#REF!</v>
      </c>
      <c r="E419" s="19" t="s">
        <v>25</v>
      </c>
      <c r="F419" s="19" t="e">
        <f t="shared" si="178"/>
        <v>#REF!</v>
      </c>
      <c r="G419" s="18" t="s">
        <v>5483</v>
      </c>
    </row>
    <row r="420" spans="1:7" ht="15" x14ac:dyDescent="0.15">
      <c r="A420" s="11" t="s">
        <v>5484</v>
      </c>
      <c r="B420" s="12" t="str">
        <f>Catalog!E179</f>
        <v>achievementPlayJeanClawedBathtub</v>
      </c>
      <c r="C420" s="20">
        <f>Catalog!W179</f>
        <v>0</v>
      </c>
      <c r="D420" s="20" t="str">
        <f>Catalog!X179</f>
        <v>unearned</v>
      </c>
      <c r="E420" s="19" t="s">
        <v>25</v>
      </c>
      <c r="F420" s="19" t="str">
        <f>Catalog!AD179</f>
        <v>Free Jean Clawed's shark!</v>
      </c>
    </row>
    <row r="421" spans="1:7" ht="15" x14ac:dyDescent="0.15">
      <c r="A421" s="11" t="s">
        <v>5484</v>
      </c>
      <c r="B421" s="12" t="str">
        <f>Catalog!E179</f>
        <v>achievementPlayJeanClawedBathtub</v>
      </c>
      <c r="C421" s="20">
        <f>Catalog!BD179</f>
        <v>2</v>
      </c>
      <c r="D421" s="20" t="str">
        <f>Catalog!BE179</f>
        <v>earned</v>
      </c>
      <c r="E421" s="19" t="s">
        <v>23</v>
      </c>
      <c r="F421" s="19" t="str">
        <f>Catalog!BI179</f>
        <v>Unplugged</v>
      </c>
    </row>
    <row r="422" spans="1:7" ht="15" x14ac:dyDescent="0.15">
      <c r="A422" s="11" t="s">
        <v>5484</v>
      </c>
      <c r="B422" s="12" t="str">
        <f>Catalog!E179</f>
        <v>achievementPlayJeanClawedBathtub</v>
      </c>
      <c r="C422" s="20">
        <f>Catalog!BD179</f>
        <v>2</v>
      </c>
      <c r="D422" s="20" t="str">
        <f>Catalog!BE179</f>
        <v>earned</v>
      </c>
      <c r="E422" s="19" t="s">
        <v>25</v>
      </c>
      <c r="F422" s="19" t="str">
        <f>Catalog!BL179</f>
        <v>You freed Jean Clawed's shark! Wowza!</v>
      </c>
    </row>
    <row r="423" spans="1:7" ht="15" x14ac:dyDescent="0.15">
      <c r="A423" s="11" t="s">
        <v>5484</v>
      </c>
      <c r="B423" s="12" t="str">
        <f>Catalog!E179</f>
        <v>achievementPlayJeanClawedBathtub</v>
      </c>
      <c r="C423" s="19" t="e">
        <f t="shared" ref="C423:D423" si="180">#REF!</f>
        <v>#REF!</v>
      </c>
      <c r="D423" s="19" t="e">
        <f t="shared" si="180"/>
        <v>#REF!</v>
      </c>
      <c r="E423" s="19" t="s">
        <v>25</v>
      </c>
      <c r="F423" s="19" t="e">
        <f t="shared" ref="F423:F424" si="181">#REF!</f>
        <v>#REF!</v>
      </c>
      <c r="G423" s="18" t="s">
        <v>5483</v>
      </c>
    </row>
    <row r="424" spans="1:7" ht="15" x14ac:dyDescent="0.15">
      <c r="A424" s="11" t="s">
        <v>5484</v>
      </c>
      <c r="B424" s="12" t="str">
        <f>Catalog!E179</f>
        <v>achievementPlayJeanClawedBathtub</v>
      </c>
      <c r="C424" s="19" t="e">
        <f t="shared" ref="C424:D424" si="182">#REF!</f>
        <v>#REF!</v>
      </c>
      <c r="D424" s="19" t="e">
        <f t="shared" si="182"/>
        <v>#REF!</v>
      </c>
      <c r="E424" s="19" t="s">
        <v>25</v>
      </c>
      <c r="F424" s="19" t="e">
        <f t="shared" si="181"/>
        <v>#REF!</v>
      </c>
      <c r="G424" s="18" t="s">
        <v>5483</v>
      </c>
    </row>
    <row r="425" spans="1:7" ht="15" x14ac:dyDescent="0.15">
      <c r="A425" s="11" t="s">
        <v>5484</v>
      </c>
      <c r="B425" s="12" t="str">
        <f>Catalog!E275</f>
        <v>achievementPlayOneMinionPerScene</v>
      </c>
      <c r="C425" s="20">
        <f>Catalog!W275</f>
        <v>0</v>
      </c>
      <c r="D425" s="20" t="str">
        <f>Catalog!X275</f>
        <v>unearned</v>
      </c>
      <c r="E425" s="19" t="s">
        <v>25</v>
      </c>
      <c r="F425" s="19" t="str">
        <f>Catalog!AD275</f>
        <v>Blast at least one Minion per scene!</v>
      </c>
      <c r="G425" s="18" t="s">
        <v>5483</v>
      </c>
    </row>
    <row r="426" spans="1:7" ht="15" x14ac:dyDescent="0.15">
      <c r="A426" s="11" t="s">
        <v>5484</v>
      </c>
      <c r="B426" s="12" t="str">
        <f>Catalog!E275</f>
        <v>achievementPlayOneMinionPerScene</v>
      </c>
      <c r="C426" s="20">
        <f>Catalog!BD275</f>
        <v>2</v>
      </c>
      <c r="D426" s="19" t="str">
        <f>Catalog!BE275</f>
        <v>bronze</v>
      </c>
      <c r="E426" s="19" t="s">
        <v>23</v>
      </c>
      <c r="F426" s="20" t="str">
        <f>Catalog!BI275</f>
        <v>Blasting Boss</v>
      </c>
      <c r="G426" s="18" t="s">
        <v>5483</v>
      </c>
    </row>
    <row r="427" spans="1:7" ht="15" x14ac:dyDescent="0.15">
      <c r="A427" s="11" t="s">
        <v>5484</v>
      </c>
      <c r="B427" s="12" t="str">
        <f>Catalog!E275</f>
        <v>achievementPlayOneMinionPerScene</v>
      </c>
      <c r="C427" s="20">
        <f>Catalog!BD275</f>
        <v>2</v>
      </c>
      <c r="D427" s="19" t="str">
        <f>Catalog!BE275</f>
        <v>bronze</v>
      </c>
      <c r="E427" s="19" t="s">
        <v>25</v>
      </c>
      <c r="F427" s="19" t="str">
        <f>Catalog!BL275</f>
        <v>You blasted at least one Minion per scene. Now blast 10 for Silver!</v>
      </c>
      <c r="G427" s="18" t="s">
        <v>5483</v>
      </c>
    </row>
    <row r="428" spans="1:7" ht="15" x14ac:dyDescent="0.15">
      <c r="A428" s="11" t="s">
        <v>5484</v>
      </c>
      <c r="B428" s="12" t="str">
        <f>Catalog!E275</f>
        <v>achievementPlayOneMinionPerScene</v>
      </c>
      <c r="C428" s="19" t="e">
        <f t="shared" ref="C428:D428" si="183">#REF!</f>
        <v>#REF!</v>
      </c>
      <c r="D428" s="19" t="e">
        <f t="shared" si="183"/>
        <v>#REF!</v>
      </c>
      <c r="E428" s="19" t="s">
        <v>25</v>
      </c>
      <c r="F428" s="19" t="e">
        <f t="shared" ref="F428:F429" si="184">#REF!</f>
        <v>#REF!</v>
      </c>
      <c r="G428" s="18" t="s">
        <v>5483</v>
      </c>
    </row>
    <row r="429" spans="1:7" ht="15" x14ac:dyDescent="0.15">
      <c r="A429" s="11" t="s">
        <v>5484</v>
      </c>
      <c r="B429" s="12" t="str">
        <f>Catalog!E275</f>
        <v>achievementPlayOneMinionPerScene</v>
      </c>
      <c r="C429" s="19" t="e">
        <f t="shared" ref="C429:D429" si="185">#REF!</f>
        <v>#REF!</v>
      </c>
      <c r="D429" s="19" t="e">
        <f t="shared" si="185"/>
        <v>#REF!</v>
      </c>
      <c r="E429" s="19" t="s">
        <v>25</v>
      </c>
      <c r="F429" s="19" t="e">
        <f t="shared" si="184"/>
        <v>#REF!</v>
      </c>
      <c r="G429" s="18" t="s">
        <v>5483</v>
      </c>
    </row>
    <row r="430" spans="1:7" ht="15" x14ac:dyDescent="0.15">
      <c r="A430" s="11" t="s">
        <v>5484</v>
      </c>
      <c r="B430" s="12" t="str">
        <f>Catalog!E169</f>
        <v>achievementPlaySameDay</v>
      </c>
      <c r="C430" s="20">
        <f>Catalog!W169</f>
        <v>0</v>
      </c>
      <c r="D430" s="20" t="str">
        <f>Catalog!X169</f>
        <v>unearned</v>
      </c>
      <c r="E430" s="19" t="s">
        <v>25</v>
      </c>
      <c r="F430" s="19" t="str">
        <f>Catalog!AD169</f>
        <v>Take the challenge 3 times in one day!</v>
      </c>
    </row>
    <row r="431" spans="1:7" ht="15" x14ac:dyDescent="0.15">
      <c r="A431" s="11" t="s">
        <v>5484</v>
      </c>
      <c r="B431" s="12" t="str">
        <f>Catalog!E169</f>
        <v>achievementPlaySameDay</v>
      </c>
      <c r="C431" s="20">
        <f>Catalog!BD169</f>
        <v>2</v>
      </c>
      <c r="D431" s="20" t="str">
        <f>Catalog!BE169</f>
        <v>earned</v>
      </c>
      <c r="E431" s="19" t="s">
        <v>23</v>
      </c>
      <c r="F431" s="19" t="str">
        <f>Catalog!BI169</f>
        <v>Vicious VIP</v>
      </c>
    </row>
    <row r="432" spans="1:7" ht="28" x14ac:dyDescent="0.15">
      <c r="A432" s="11" t="s">
        <v>5484</v>
      </c>
      <c r="B432" s="12" t="str">
        <f>Catalog!E169</f>
        <v>achievementPlaySameDay</v>
      </c>
      <c r="C432" s="20">
        <f>Catalog!BD169</f>
        <v>2</v>
      </c>
      <c r="D432" s="20" t="str">
        <f>Catalog!BE169</f>
        <v>earned</v>
      </c>
      <c r="E432" s="19" t="s">
        <v>25</v>
      </c>
      <c r="F432" s="19" t="str">
        <f>Catalog!BL169</f>
        <v xml:space="preserve">You took the challenge 3 times in one day! Third time's the charm for harm. </v>
      </c>
    </row>
    <row r="433" spans="1:7" ht="15" x14ac:dyDescent="0.15">
      <c r="A433" s="11" t="s">
        <v>5484</v>
      </c>
      <c r="B433" s="12" t="str">
        <f>Catalog!E169</f>
        <v>achievementPlaySameDay</v>
      </c>
      <c r="C433" s="19" t="e">
        <f t="shared" ref="C433:D433" si="186">#REF!</f>
        <v>#REF!</v>
      </c>
      <c r="D433" s="19" t="e">
        <f t="shared" si="186"/>
        <v>#REF!</v>
      </c>
      <c r="E433" s="19" t="s">
        <v>25</v>
      </c>
      <c r="F433" s="19" t="e">
        <f t="shared" ref="F433:F434" si="187">#REF!</f>
        <v>#REF!</v>
      </c>
      <c r="G433" s="18" t="s">
        <v>5483</v>
      </c>
    </row>
    <row r="434" spans="1:7" ht="15" x14ac:dyDescent="0.15">
      <c r="A434" s="11" t="s">
        <v>5484</v>
      </c>
      <c r="B434" s="12" t="str">
        <f>Catalog!E169</f>
        <v>achievementPlaySameDay</v>
      </c>
      <c r="C434" s="19" t="e">
        <f t="shared" ref="C434:D434" si="188">#REF!</f>
        <v>#REF!</v>
      </c>
      <c r="D434" s="19" t="e">
        <f t="shared" si="188"/>
        <v>#REF!</v>
      </c>
      <c r="E434" s="19" t="s">
        <v>25</v>
      </c>
      <c r="F434" s="19" t="e">
        <f t="shared" si="187"/>
        <v>#REF!</v>
      </c>
      <c r="G434" s="18" t="s">
        <v>5483</v>
      </c>
    </row>
    <row r="435" spans="1:7" ht="15" x14ac:dyDescent="0.15">
      <c r="A435" s="11" t="s">
        <v>5484</v>
      </c>
      <c r="B435" s="12" t="str">
        <f>Catalog!E292</f>
        <v>achievementCollectIceCream</v>
      </c>
      <c r="C435" s="20">
        <f>Catalog!W292</f>
        <v>0</v>
      </c>
      <c r="D435" s="20" t="str">
        <f>Catalog!X292</f>
        <v>unearned</v>
      </c>
      <c r="E435" s="19" t="s">
        <v>25</v>
      </c>
      <c r="F435" s="19" t="str">
        <f>Catalog!AD292</f>
        <v>Collect 25 Ice Cream Sundaes!</v>
      </c>
      <c r="G435" s="18" t="s">
        <v>5483</v>
      </c>
    </row>
    <row r="436" spans="1:7" ht="15" x14ac:dyDescent="0.15">
      <c r="A436" s="11" t="s">
        <v>5484</v>
      </c>
      <c r="B436" s="12" t="str">
        <f>Catalog!E292</f>
        <v>achievementCollectIceCream</v>
      </c>
      <c r="C436" s="20">
        <f>Catalog!BD292</f>
        <v>2</v>
      </c>
      <c r="D436" s="19" t="str">
        <f>Catalog!BE292</f>
        <v>Bronze</v>
      </c>
      <c r="E436" s="19" t="s">
        <v>23</v>
      </c>
      <c r="F436" s="20" t="str">
        <f>Catalog!BI292</f>
        <v>Ice Cream Forever!</v>
      </c>
      <c r="G436" s="18" t="s">
        <v>5483</v>
      </c>
    </row>
    <row r="437" spans="1:7" ht="28" x14ac:dyDescent="0.15">
      <c r="A437" s="11" t="s">
        <v>5484</v>
      </c>
      <c r="B437" s="12" t="str">
        <f>Catalog!E292</f>
        <v>achievementCollectIceCream</v>
      </c>
      <c r="C437" s="20">
        <f>Catalog!BD292</f>
        <v>2</v>
      </c>
      <c r="D437" s="19" t="str">
        <f>Catalog!BE292</f>
        <v>Bronze</v>
      </c>
      <c r="E437" s="19" t="s">
        <v>25</v>
      </c>
      <c r="F437" s="19" t="str">
        <f>Catalog!BL292</f>
        <v>Congrats on collecting 25 Ice Cream Sundaes! Now collect 100 to reach Silver!</v>
      </c>
      <c r="G437" s="18" t="s">
        <v>5483</v>
      </c>
    </row>
    <row r="438" spans="1:7" ht="15" x14ac:dyDescent="0.15">
      <c r="A438" s="11" t="s">
        <v>5484</v>
      </c>
      <c r="B438" s="12" t="str">
        <f>Catalog!E292</f>
        <v>achievementCollectIceCream</v>
      </c>
      <c r="C438" s="19" t="e">
        <f t="shared" ref="C438:D438" si="189">#REF!</f>
        <v>#REF!</v>
      </c>
      <c r="D438" s="19" t="e">
        <f t="shared" si="189"/>
        <v>#REF!</v>
      </c>
      <c r="E438" s="19" t="s">
        <v>25</v>
      </c>
      <c r="F438" s="19" t="e">
        <f t="shared" ref="F438:F439" si="190">#REF!</f>
        <v>#REF!</v>
      </c>
      <c r="G438" s="18" t="s">
        <v>5483</v>
      </c>
    </row>
    <row r="439" spans="1:7" ht="15" x14ac:dyDescent="0.15">
      <c r="A439" s="11" t="s">
        <v>5484</v>
      </c>
      <c r="B439" s="12" t="str">
        <f>Catalog!E292</f>
        <v>achievementCollectIceCream</v>
      </c>
      <c r="C439" s="19" t="e">
        <f t="shared" ref="C439:D439" si="191">#REF!</f>
        <v>#REF!</v>
      </c>
      <c r="D439" s="19" t="e">
        <f t="shared" si="191"/>
        <v>#REF!</v>
      </c>
      <c r="E439" s="19" t="s">
        <v>25</v>
      </c>
      <c r="F439" s="19" t="e">
        <f t="shared" si="190"/>
        <v>#REF!</v>
      </c>
      <c r="G439" s="18" t="s">
        <v>5483</v>
      </c>
    </row>
    <row r="440" spans="1:7" ht="15" x14ac:dyDescent="0.15">
      <c r="A440" s="11" t="s">
        <v>5484</v>
      </c>
      <c r="B440" s="12" t="str">
        <f>Catalog!E293</f>
        <v>achievementCollectGrusJelly</v>
      </c>
      <c r="C440" s="20">
        <f>Catalog!W293</f>
        <v>0</v>
      </c>
      <c r="D440" s="20" t="str">
        <f>Catalog!X293</f>
        <v>unearned</v>
      </c>
      <c r="E440" s="19" t="s">
        <v>25</v>
      </c>
      <c r="F440" s="19" t="str">
        <f>Catalog!AD293</f>
        <v>Collect 25 jars of Gru's jelly!</v>
      </c>
      <c r="G440" s="18" t="s">
        <v>5483</v>
      </c>
    </row>
    <row r="441" spans="1:7" ht="15" x14ac:dyDescent="0.15">
      <c r="A441" s="11" t="s">
        <v>5484</v>
      </c>
      <c r="B441" s="12" t="str">
        <f>Catalog!E293</f>
        <v>achievementCollectGrusJelly</v>
      </c>
      <c r="C441" s="20">
        <f>Catalog!BD293</f>
        <v>2</v>
      </c>
      <c r="D441" s="19" t="str">
        <f>Catalog!BE293</f>
        <v>Bronze</v>
      </c>
      <c r="E441" s="19" t="s">
        <v>23</v>
      </c>
      <c r="F441" s="20" t="str">
        <f>Catalog!BI293</f>
        <v>Loyal Customer</v>
      </c>
      <c r="G441" s="18" t="s">
        <v>5483</v>
      </c>
    </row>
    <row r="442" spans="1:7" ht="28" x14ac:dyDescent="0.15">
      <c r="A442" s="11" t="s">
        <v>5484</v>
      </c>
      <c r="B442" s="12" t="str">
        <f>Catalog!E293</f>
        <v>achievementCollectGrusJelly</v>
      </c>
      <c r="C442" s="20">
        <f>Catalog!BD293</f>
        <v>2</v>
      </c>
      <c r="D442" s="19" t="str">
        <f>Catalog!BE293</f>
        <v>Bronze</v>
      </c>
      <c r="E442" s="19" t="s">
        <v>25</v>
      </c>
      <c r="F442" s="19" t="str">
        <f>Catalog!BL293</f>
        <v>Congrats on collecting 25 jars of Gru's jelly! Now collect 100 to reach Silver!</v>
      </c>
      <c r="G442" s="18" t="s">
        <v>5483</v>
      </c>
    </row>
    <row r="443" spans="1:7" ht="15" x14ac:dyDescent="0.15">
      <c r="A443" s="11" t="s">
        <v>5484</v>
      </c>
      <c r="B443" s="12" t="str">
        <f>Catalog!E293</f>
        <v>achievementCollectGrusJelly</v>
      </c>
      <c r="C443" s="19" t="e">
        <f t="shared" ref="C443:D443" si="192">#REF!</f>
        <v>#REF!</v>
      </c>
      <c r="D443" s="19" t="e">
        <f t="shared" si="192"/>
        <v>#REF!</v>
      </c>
      <c r="E443" s="19" t="s">
        <v>25</v>
      </c>
      <c r="F443" s="19" t="e">
        <f t="shared" ref="F443:F444" si="193">#REF!</f>
        <v>#REF!</v>
      </c>
      <c r="G443" s="18" t="s">
        <v>5483</v>
      </c>
    </row>
    <row r="444" spans="1:7" ht="15" x14ac:dyDescent="0.15">
      <c r="A444" s="11" t="s">
        <v>5484</v>
      </c>
      <c r="B444" s="12" t="str">
        <f>Catalog!E293</f>
        <v>achievementCollectGrusJelly</v>
      </c>
      <c r="C444" s="19" t="e">
        <f t="shared" ref="C444:D444" si="194">#REF!</f>
        <v>#REF!</v>
      </c>
      <c r="D444" s="19" t="e">
        <f t="shared" si="194"/>
        <v>#REF!</v>
      </c>
      <c r="E444" s="19" t="s">
        <v>25</v>
      </c>
      <c r="F444" s="19" t="e">
        <f t="shared" si="193"/>
        <v>#REF!</v>
      </c>
      <c r="G444" s="18" t="s">
        <v>5483</v>
      </c>
    </row>
    <row r="445" spans="1:7" ht="15" x14ac:dyDescent="0.15">
      <c r="A445" s="11" t="s">
        <v>5484</v>
      </c>
      <c r="B445" s="12" t="str">
        <f>Catalog!E404</f>
        <v>achievementVisitFebruary</v>
      </c>
      <c r="C445" s="20">
        <f>Catalog!W404</f>
        <v>0</v>
      </c>
      <c r="D445" s="20" t="str">
        <f>Catalog!X404</f>
        <v>unearned</v>
      </c>
      <c r="E445" s="19" t="s">
        <v>25</v>
      </c>
      <c r="F445" s="20" t="str">
        <f>Catalog!AD404</f>
        <v>Visit Villain-Con in February to unlock!</v>
      </c>
      <c r="G445" s="18" t="s">
        <v>5483</v>
      </c>
    </row>
    <row r="446" spans="1:7" ht="15" x14ac:dyDescent="0.15">
      <c r="A446" s="11" t="s">
        <v>5484</v>
      </c>
      <c r="B446" s="12" t="str">
        <f>Catalog!E404</f>
        <v>achievementVisitFebruary</v>
      </c>
      <c r="C446" s="20">
        <f>Catalog!BD404</f>
        <v>0</v>
      </c>
      <c r="D446" s="20">
        <f>Catalog!BE404</f>
        <v>0</v>
      </c>
      <c r="E446" s="19" t="s">
        <v>23</v>
      </c>
      <c r="F446" s="20">
        <f>Catalog!BI404</f>
        <v>0</v>
      </c>
      <c r="G446" s="18" t="s">
        <v>5483</v>
      </c>
    </row>
    <row r="447" spans="1:7" ht="15" x14ac:dyDescent="0.15">
      <c r="A447" s="11" t="s">
        <v>5484</v>
      </c>
      <c r="B447" s="12" t="str">
        <f>Catalog!E404</f>
        <v>achievementVisitFebruary</v>
      </c>
      <c r="C447" s="20">
        <f>Catalog!BD404</f>
        <v>0</v>
      </c>
      <c r="D447" s="20">
        <f>Catalog!BE404</f>
        <v>0</v>
      </c>
      <c r="E447" s="19" t="s">
        <v>25</v>
      </c>
      <c r="F447" s="20">
        <f>Catalog!BL404</f>
        <v>0</v>
      </c>
      <c r="G447" s="18" t="s">
        <v>5483</v>
      </c>
    </row>
    <row r="448" spans="1:7" ht="15" x14ac:dyDescent="0.15">
      <c r="A448" s="11" t="s">
        <v>5484</v>
      </c>
      <c r="B448" s="12" t="str">
        <f>Catalog!E404</f>
        <v>achievementVisitFebruary</v>
      </c>
      <c r="C448" s="19" t="e">
        <f t="shared" ref="C448:D448" si="195">#REF!</f>
        <v>#REF!</v>
      </c>
      <c r="D448" s="19" t="e">
        <f t="shared" si="195"/>
        <v>#REF!</v>
      </c>
      <c r="E448" s="19" t="s">
        <v>25</v>
      </c>
      <c r="F448" s="19" t="e">
        <f t="shared" ref="F448:F449" si="196">#REF!</f>
        <v>#REF!</v>
      </c>
      <c r="G448" s="18" t="s">
        <v>5483</v>
      </c>
    </row>
    <row r="449" spans="1:7" ht="15" x14ac:dyDescent="0.15">
      <c r="A449" s="11" t="s">
        <v>5484</v>
      </c>
      <c r="B449" s="12" t="str">
        <f>Catalog!E404</f>
        <v>achievementVisitFebruary</v>
      </c>
      <c r="C449" s="19" t="e">
        <f t="shared" ref="C449:D449" si="197">#REF!</f>
        <v>#REF!</v>
      </c>
      <c r="D449" s="19" t="e">
        <f t="shared" si="197"/>
        <v>#REF!</v>
      </c>
      <c r="E449" s="19" t="s">
        <v>25</v>
      </c>
      <c r="F449" s="19" t="e">
        <f t="shared" si="196"/>
        <v>#REF!</v>
      </c>
      <c r="G449" s="18" t="s">
        <v>5483</v>
      </c>
    </row>
    <row r="450" spans="1:7" ht="15" x14ac:dyDescent="0.15">
      <c r="A450" s="11" t="s">
        <v>5484</v>
      </c>
      <c r="B450" s="12" t="str">
        <f>Catalog!E411</f>
        <v>achievementVisitSeptember</v>
      </c>
      <c r="C450" s="20">
        <f>Catalog!W411</f>
        <v>0</v>
      </c>
      <c r="D450" s="20" t="str">
        <f>Catalog!X411</f>
        <v>unearned</v>
      </c>
      <c r="E450" s="19" t="s">
        <v>25</v>
      </c>
      <c r="F450" s="20" t="str">
        <f>Catalog!AD411</f>
        <v>Visit Villain-Con in September to unlock!</v>
      </c>
      <c r="G450" s="18" t="s">
        <v>5483</v>
      </c>
    </row>
    <row r="451" spans="1:7" ht="15" x14ac:dyDescent="0.15">
      <c r="A451" s="11" t="s">
        <v>5484</v>
      </c>
      <c r="B451" s="12" t="str">
        <f>Catalog!E411</f>
        <v>achievementVisitSeptember</v>
      </c>
      <c r="C451" s="19" t="e">
        <f t="shared" ref="C451:D451" si="198">#REF!</f>
        <v>#REF!</v>
      </c>
      <c r="D451" s="19" t="e">
        <f t="shared" si="198"/>
        <v>#REF!</v>
      </c>
      <c r="E451" s="19" t="s">
        <v>23</v>
      </c>
      <c r="F451" s="19" t="e">
        <f t="shared" ref="F451:F452" si="199">#REF!</f>
        <v>#REF!</v>
      </c>
      <c r="G451" s="18" t="s">
        <v>5483</v>
      </c>
    </row>
    <row r="452" spans="1:7" ht="15" x14ac:dyDescent="0.15">
      <c r="A452" s="11" t="s">
        <v>5484</v>
      </c>
      <c r="B452" s="12" t="str">
        <f>Catalog!E411</f>
        <v>achievementVisitSeptember</v>
      </c>
      <c r="C452" s="19" t="e">
        <f t="shared" ref="C452:D452" si="200">#REF!</f>
        <v>#REF!</v>
      </c>
      <c r="D452" s="19" t="e">
        <f t="shared" si="200"/>
        <v>#REF!</v>
      </c>
      <c r="E452" s="19" t="s">
        <v>25</v>
      </c>
      <c r="F452" s="19" t="e">
        <f t="shared" si="199"/>
        <v>#REF!</v>
      </c>
      <c r="G452" s="18" t="s">
        <v>5483</v>
      </c>
    </row>
    <row r="453" spans="1:7" ht="15" x14ac:dyDescent="0.15">
      <c r="A453" s="11" t="s">
        <v>5484</v>
      </c>
      <c r="B453" s="12" t="str">
        <f>Catalog!E412</f>
        <v>achievementVisitOctober</v>
      </c>
      <c r="C453" s="20">
        <f>Catalog!W412</f>
        <v>0</v>
      </c>
      <c r="D453" s="20" t="str">
        <f>Catalog!X412</f>
        <v>unearned</v>
      </c>
      <c r="E453" s="19" t="s">
        <v>25</v>
      </c>
      <c r="F453" s="20" t="str">
        <f>Catalog!AD412</f>
        <v>Visit Villain-Con in October to unlock!</v>
      </c>
      <c r="G453" s="18" t="s">
        <v>5483</v>
      </c>
    </row>
    <row r="454" spans="1:7" ht="15" x14ac:dyDescent="0.15">
      <c r="A454" s="11" t="s">
        <v>5484</v>
      </c>
      <c r="B454" s="12" t="str">
        <f>Catalog!E412</f>
        <v>achievementVisitOctober</v>
      </c>
      <c r="C454" s="20">
        <f>Catalog!BD412</f>
        <v>0</v>
      </c>
      <c r="D454" s="20">
        <f>Catalog!BE412</f>
        <v>0</v>
      </c>
      <c r="E454" s="19" t="s">
        <v>23</v>
      </c>
      <c r="F454" s="20">
        <f>Catalog!BI412</f>
        <v>0</v>
      </c>
      <c r="G454" s="18" t="s">
        <v>5483</v>
      </c>
    </row>
    <row r="455" spans="1:7" ht="15" x14ac:dyDescent="0.15">
      <c r="A455" s="11" t="s">
        <v>5484</v>
      </c>
      <c r="B455" s="12" t="str">
        <f>Catalog!E412</f>
        <v>achievementVisitOctober</v>
      </c>
      <c r="C455" s="20">
        <f>Catalog!BD412</f>
        <v>0</v>
      </c>
      <c r="D455" s="20">
        <f>Catalog!BE412</f>
        <v>0</v>
      </c>
      <c r="E455" s="19" t="s">
        <v>25</v>
      </c>
      <c r="F455" s="20">
        <f>Catalog!BL412</f>
        <v>0</v>
      </c>
      <c r="G455" s="18" t="s">
        <v>5483</v>
      </c>
    </row>
    <row r="456" spans="1:7" ht="15" x14ac:dyDescent="0.15">
      <c r="A456" s="11" t="s">
        <v>5484</v>
      </c>
      <c r="B456" s="12" t="str">
        <f>Catalog!E412</f>
        <v>achievementVisitOctober</v>
      </c>
      <c r="C456" s="19" t="e">
        <f t="shared" ref="C456:D456" si="201">#REF!</f>
        <v>#REF!</v>
      </c>
      <c r="D456" s="19" t="e">
        <f t="shared" si="201"/>
        <v>#REF!</v>
      </c>
      <c r="E456" s="19" t="s">
        <v>25</v>
      </c>
      <c r="F456" s="19" t="e">
        <f t="shared" ref="F456:F465" si="202">#REF!</f>
        <v>#REF!</v>
      </c>
      <c r="G456" s="18" t="s">
        <v>5483</v>
      </c>
    </row>
    <row r="457" spans="1:7" ht="15" x14ac:dyDescent="0.15">
      <c r="A457" s="11" t="s">
        <v>5484</v>
      </c>
      <c r="B457" s="12" t="str">
        <f>Catalog!E412</f>
        <v>achievementVisitOctober</v>
      </c>
      <c r="C457" s="19" t="e">
        <f t="shared" ref="C457:D457" si="203">#REF!</f>
        <v>#REF!</v>
      </c>
      <c r="D457" s="19" t="e">
        <f t="shared" si="203"/>
        <v>#REF!</v>
      </c>
      <c r="E457" s="19" t="s">
        <v>25</v>
      </c>
      <c r="F457" s="19" t="e">
        <f t="shared" si="202"/>
        <v>#REF!</v>
      </c>
      <c r="G457" s="18" t="s">
        <v>5483</v>
      </c>
    </row>
    <row r="458" spans="1:7" ht="15" x14ac:dyDescent="0.15">
      <c r="A458" s="11" t="s">
        <v>22</v>
      </c>
      <c r="B458" s="12" t="str">
        <f>Catalog!$E$8</f>
        <v>elementalLightning</v>
      </c>
      <c r="C458" s="13" t="e">
        <f t="shared" ref="C458:D458" si="204">#REF!</f>
        <v>#REF!</v>
      </c>
      <c r="D458" s="13" t="e">
        <f t="shared" si="204"/>
        <v>#REF!</v>
      </c>
      <c r="E458" s="14" t="s">
        <v>23</v>
      </c>
      <c r="F458" s="13" t="e">
        <f t="shared" si="202"/>
        <v>#REF!</v>
      </c>
      <c r="G458" s="13" t="s">
        <v>5483</v>
      </c>
    </row>
    <row r="459" spans="1:7" ht="15" x14ac:dyDescent="0.15">
      <c r="A459" s="11" t="s">
        <v>22</v>
      </c>
      <c r="B459" s="12" t="str">
        <f>Catalog!$E$8</f>
        <v>elementalLightning</v>
      </c>
      <c r="C459" s="13" t="e">
        <f t="shared" ref="C459:D459" si="205">#REF!</f>
        <v>#REF!</v>
      </c>
      <c r="D459" s="13" t="e">
        <f t="shared" si="205"/>
        <v>#REF!</v>
      </c>
      <c r="E459" s="561" t="s">
        <v>5482</v>
      </c>
      <c r="F459" s="13" t="e">
        <f t="shared" si="202"/>
        <v>#REF!</v>
      </c>
      <c r="G459" s="13" t="s">
        <v>5483</v>
      </c>
    </row>
    <row r="460" spans="1:7" ht="15" x14ac:dyDescent="0.15">
      <c r="A460" s="11" t="s">
        <v>22</v>
      </c>
      <c r="B460" s="12" t="str">
        <f>Catalog!$E$8</f>
        <v>elementalLightning</v>
      </c>
      <c r="C460" s="13" t="e">
        <f t="shared" ref="C460:D460" si="206">#REF!</f>
        <v>#REF!</v>
      </c>
      <c r="D460" s="13" t="e">
        <f t="shared" si="206"/>
        <v>#REF!</v>
      </c>
      <c r="E460" s="14" t="s">
        <v>24</v>
      </c>
      <c r="F460" s="13" t="e">
        <f t="shared" si="202"/>
        <v>#REF!</v>
      </c>
      <c r="G460" s="13" t="s">
        <v>5483</v>
      </c>
    </row>
    <row r="461" spans="1:7" ht="15" x14ac:dyDescent="0.15">
      <c r="A461" s="11" t="s">
        <v>22</v>
      </c>
      <c r="B461" s="12" t="str">
        <f>Catalog!$E$8</f>
        <v>elementalLightning</v>
      </c>
      <c r="C461" s="13" t="e">
        <f t="shared" ref="C461:D461" si="207">#REF!</f>
        <v>#REF!</v>
      </c>
      <c r="D461" s="13" t="e">
        <f t="shared" si="207"/>
        <v>#REF!</v>
      </c>
      <c r="E461" s="14" t="s">
        <v>25</v>
      </c>
      <c r="F461" s="13" t="e">
        <f t="shared" si="202"/>
        <v>#REF!</v>
      </c>
      <c r="G461" s="13" t="s">
        <v>5483</v>
      </c>
    </row>
    <row r="462" spans="1:7" ht="15" x14ac:dyDescent="0.15">
      <c r="A462" s="11" t="s">
        <v>22</v>
      </c>
      <c r="B462" s="12" t="str">
        <f>Catalog!$E$8</f>
        <v>elementalLightning</v>
      </c>
      <c r="C462" s="13" t="e">
        <f t="shared" ref="C462:D462" si="208">#REF!</f>
        <v>#REF!</v>
      </c>
      <c r="D462" s="13" t="e">
        <f t="shared" si="208"/>
        <v>#REF!</v>
      </c>
      <c r="E462" s="14" t="s">
        <v>23</v>
      </c>
      <c r="F462" s="13" t="e">
        <f t="shared" si="202"/>
        <v>#REF!</v>
      </c>
      <c r="G462" s="13" t="s">
        <v>5483</v>
      </c>
    </row>
    <row r="463" spans="1:7" ht="15" x14ac:dyDescent="0.15">
      <c r="A463" s="11" t="s">
        <v>22</v>
      </c>
      <c r="B463" s="12" t="str">
        <f>Catalog!$E$8</f>
        <v>elementalLightning</v>
      </c>
      <c r="C463" s="13" t="e">
        <f t="shared" ref="C463:D463" si="209">#REF!</f>
        <v>#REF!</v>
      </c>
      <c r="D463" s="13" t="e">
        <f t="shared" si="209"/>
        <v>#REF!</v>
      </c>
      <c r="E463" s="561" t="s">
        <v>5482</v>
      </c>
      <c r="F463" s="13" t="e">
        <f t="shared" si="202"/>
        <v>#REF!</v>
      </c>
      <c r="G463" s="13" t="s">
        <v>5483</v>
      </c>
    </row>
    <row r="464" spans="1:7" ht="15" x14ac:dyDescent="0.15">
      <c r="A464" s="11" t="s">
        <v>22</v>
      </c>
      <c r="B464" s="12" t="str">
        <f>Catalog!$E$8</f>
        <v>elementalLightning</v>
      </c>
      <c r="C464" s="13" t="e">
        <f t="shared" ref="C464:D464" si="210">#REF!</f>
        <v>#REF!</v>
      </c>
      <c r="D464" s="13" t="e">
        <f t="shared" si="210"/>
        <v>#REF!</v>
      </c>
      <c r="E464" s="14" t="s">
        <v>24</v>
      </c>
      <c r="F464" s="13" t="e">
        <f t="shared" si="202"/>
        <v>#REF!</v>
      </c>
      <c r="G464" s="13" t="s">
        <v>5483</v>
      </c>
    </row>
    <row r="465" spans="1:7" ht="15" x14ac:dyDescent="0.15">
      <c r="A465" s="11" t="s">
        <v>22</v>
      </c>
      <c r="B465" s="12" t="str">
        <f>Catalog!$E$8</f>
        <v>elementalLightning</v>
      </c>
      <c r="C465" s="13" t="e">
        <f t="shared" ref="C465:D465" si="211">#REF!</f>
        <v>#REF!</v>
      </c>
      <c r="D465" s="13" t="e">
        <f t="shared" si="211"/>
        <v>#REF!</v>
      </c>
      <c r="E465" s="14" t="s">
        <v>25</v>
      </c>
      <c r="F465" s="13" t="e">
        <f t="shared" si="202"/>
        <v>#REF!</v>
      </c>
      <c r="G465" s="13" t="s">
        <v>5483</v>
      </c>
    </row>
    <row r="466" spans="1:7" ht="15" x14ac:dyDescent="0.15">
      <c r="A466" s="11" t="s">
        <v>27</v>
      </c>
      <c r="B466" s="12" t="str">
        <f>Catalog!$E$9</f>
        <v>skinForce1</v>
      </c>
      <c r="C466" s="17">
        <f>Catalog!$W$9</f>
        <v>0</v>
      </c>
      <c r="D466" s="17" t="str">
        <f>Catalog!$X$9</f>
        <v>locked</v>
      </c>
      <c r="E466" s="14" t="s">
        <v>23</v>
      </c>
      <c r="F466" s="17" t="str">
        <f>Catalog!$AB$9</f>
        <v>Unicorn</v>
      </c>
      <c r="G466" s="13" t="s">
        <v>5483</v>
      </c>
    </row>
    <row r="467" spans="1:7" ht="15" x14ac:dyDescent="0.15">
      <c r="A467" s="11" t="s">
        <v>27</v>
      </c>
      <c r="B467" s="12" t="str">
        <f>Catalog!$E$9</f>
        <v>skinForce1</v>
      </c>
      <c r="C467" s="17">
        <f>Catalog!$BD$9</f>
        <v>2</v>
      </c>
      <c r="D467" s="17" t="str">
        <f>Catalog!$BE$9</f>
        <v>unlocked</v>
      </c>
      <c r="E467" s="14" t="s">
        <v>23</v>
      </c>
      <c r="F467" s="17" t="str">
        <f>Catalog!$BI$9</f>
        <v>Unicorn</v>
      </c>
      <c r="G467" s="13" t="s">
        <v>5483</v>
      </c>
    </row>
    <row r="468" spans="1:7" ht="15" x14ac:dyDescent="0.15">
      <c r="A468" s="11" t="s">
        <v>27</v>
      </c>
      <c r="B468" s="12" t="str">
        <f>Catalog!$E$10</f>
        <v>skinForce2</v>
      </c>
      <c r="C468" s="17">
        <f>Catalog!$W$10</f>
        <v>0</v>
      </c>
      <c r="D468" s="17" t="str">
        <f>Catalog!$X$10</f>
        <v>locked</v>
      </c>
      <c r="E468" s="14" t="s">
        <v>23</v>
      </c>
      <c r="F468" s="17" t="str">
        <f>Catalog!$AB$10</f>
        <v>Skin 2</v>
      </c>
      <c r="G468" s="13" t="s">
        <v>5483</v>
      </c>
    </row>
    <row r="469" spans="1:7" ht="15" x14ac:dyDescent="0.15">
      <c r="A469" s="11" t="s">
        <v>27</v>
      </c>
      <c r="B469" s="12" t="str">
        <f>Catalog!$E$10</f>
        <v>skinForce2</v>
      </c>
      <c r="C469" s="17">
        <f>Catalog!$BD$10</f>
        <v>2</v>
      </c>
      <c r="D469" s="17" t="str">
        <f>Catalog!$BE$10</f>
        <v>unlocked</v>
      </c>
      <c r="E469" s="14" t="s">
        <v>23</v>
      </c>
      <c r="F469" s="17" t="str">
        <f>Catalog!$BI$10</f>
        <v>Skin 2</v>
      </c>
      <c r="G469" s="13" t="s">
        <v>5483</v>
      </c>
    </row>
    <row r="470" spans="1:7" ht="15" x14ac:dyDescent="0.15">
      <c r="A470" s="11" t="s">
        <v>27</v>
      </c>
      <c r="B470" s="12" t="str">
        <f>Catalog!$E$11</f>
        <v>skinFire1</v>
      </c>
      <c r="C470" s="17">
        <f>Catalog!$W$11</f>
        <v>0</v>
      </c>
      <c r="D470" s="17" t="str">
        <f>Catalog!$X$11</f>
        <v>locked</v>
      </c>
      <c r="E470" s="14" t="s">
        <v>23</v>
      </c>
      <c r="F470" s="17" t="str">
        <f>Catalog!$AB$11</f>
        <v>Skin 1</v>
      </c>
      <c r="G470" s="13" t="s">
        <v>5483</v>
      </c>
    </row>
    <row r="471" spans="1:7" ht="15" x14ac:dyDescent="0.15">
      <c r="A471" s="11" t="s">
        <v>27</v>
      </c>
      <c r="B471" s="12" t="str">
        <f>Catalog!$E$11</f>
        <v>skinFire1</v>
      </c>
      <c r="C471" s="17">
        <f>Catalog!$BD$11</f>
        <v>2</v>
      </c>
      <c r="D471" s="17" t="str">
        <f>Catalog!$BE$11</f>
        <v>unlocked</v>
      </c>
      <c r="E471" s="14" t="s">
        <v>23</v>
      </c>
      <c r="F471" s="17" t="str">
        <f>Catalog!$BI$11</f>
        <v>Skin 1</v>
      </c>
      <c r="G471" s="13" t="s">
        <v>5483</v>
      </c>
    </row>
    <row r="472" spans="1:7" ht="15" x14ac:dyDescent="0.15">
      <c r="A472" s="11" t="s">
        <v>27</v>
      </c>
      <c r="B472" s="12" t="str">
        <f>Catalog!$E$12</f>
        <v>skinFire2</v>
      </c>
      <c r="C472" s="17">
        <f>Catalog!$W$12</f>
        <v>0</v>
      </c>
      <c r="D472" s="17" t="str">
        <f>Catalog!$X$12</f>
        <v>locked</v>
      </c>
      <c r="E472" s="14" t="s">
        <v>23</v>
      </c>
      <c r="F472" s="17" t="str">
        <f>Catalog!$AB$12</f>
        <v>Skin 2</v>
      </c>
      <c r="G472" s="13" t="s">
        <v>5483</v>
      </c>
    </row>
    <row r="473" spans="1:7" ht="15" x14ac:dyDescent="0.15">
      <c r="A473" s="11" t="s">
        <v>27</v>
      </c>
      <c r="B473" s="12" t="str">
        <f>Catalog!$E$12</f>
        <v>skinFire2</v>
      </c>
      <c r="C473" s="17">
        <f>Catalog!$BD$12</f>
        <v>2</v>
      </c>
      <c r="D473" s="17" t="str">
        <f>Catalog!$BE$12</f>
        <v>unlocked</v>
      </c>
      <c r="E473" s="14" t="s">
        <v>23</v>
      </c>
      <c r="F473" s="17" t="str">
        <f>Catalog!$BI$12</f>
        <v>Skin 2</v>
      </c>
      <c r="G473" s="13" t="s">
        <v>5483</v>
      </c>
    </row>
    <row r="474" spans="1:7" ht="15" x14ac:dyDescent="0.15">
      <c r="A474" s="11" t="s">
        <v>27</v>
      </c>
      <c r="B474" s="12" t="str">
        <f>Catalog!$E$13</f>
        <v>skinFreeze1</v>
      </c>
      <c r="C474" s="17">
        <f>Catalog!$W$13</f>
        <v>0</v>
      </c>
      <c r="D474" s="17" t="str">
        <f>Catalog!$X$13</f>
        <v>locked</v>
      </c>
      <c r="E474" s="14" t="s">
        <v>23</v>
      </c>
      <c r="F474" s="17" t="str">
        <f>Catalog!$AB$13</f>
        <v>Skin 1</v>
      </c>
      <c r="G474" s="13" t="s">
        <v>5483</v>
      </c>
    </row>
    <row r="475" spans="1:7" ht="15" x14ac:dyDescent="0.15">
      <c r="A475" s="11" t="s">
        <v>27</v>
      </c>
      <c r="B475" s="12" t="str">
        <f>Catalog!$E$13</f>
        <v>skinFreeze1</v>
      </c>
      <c r="C475" s="17">
        <f>Catalog!$BD$13</f>
        <v>2</v>
      </c>
      <c r="D475" s="17" t="str">
        <f>Catalog!$BE$13</f>
        <v>unlocked</v>
      </c>
      <c r="E475" s="14" t="s">
        <v>23</v>
      </c>
      <c r="F475" s="17" t="str">
        <f>Catalog!$BI$13</f>
        <v>Skin 1</v>
      </c>
      <c r="G475" s="13" t="s">
        <v>5483</v>
      </c>
    </row>
    <row r="476" spans="1:7" ht="15" x14ac:dyDescent="0.15">
      <c r="A476" s="11" t="s">
        <v>27</v>
      </c>
      <c r="B476" s="12" t="str">
        <f>Catalog!$E$14</f>
        <v>skinFreeze2</v>
      </c>
      <c r="C476" s="17">
        <f>Catalog!$W$14</f>
        <v>0</v>
      </c>
      <c r="D476" s="17" t="str">
        <f>Catalog!$X$14</f>
        <v>locked</v>
      </c>
      <c r="E476" s="14" t="s">
        <v>23</v>
      </c>
      <c r="F476" s="17" t="str">
        <f>Catalog!$AB$14</f>
        <v>Skin 2</v>
      </c>
      <c r="G476" s="13" t="s">
        <v>5483</v>
      </c>
    </row>
    <row r="477" spans="1:7" ht="15" x14ac:dyDescent="0.15">
      <c r="A477" s="11" t="s">
        <v>27</v>
      </c>
      <c r="B477" s="12" t="str">
        <f>Catalog!$E$14</f>
        <v>skinFreeze2</v>
      </c>
      <c r="C477" s="17">
        <f>Catalog!$BD$14</f>
        <v>2</v>
      </c>
      <c r="D477" s="17" t="str">
        <f>Catalog!$BE$14</f>
        <v>unlocked</v>
      </c>
      <c r="E477" s="14" t="s">
        <v>23</v>
      </c>
      <c r="F477" s="17" t="str">
        <f>Catalog!$BI$14</f>
        <v>Skin 2</v>
      </c>
      <c r="G477" s="13" t="s">
        <v>5483</v>
      </c>
    </row>
    <row r="478" spans="1:7" ht="15" x14ac:dyDescent="0.15">
      <c r="A478" s="11" t="s">
        <v>27</v>
      </c>
      <c r="B478" s="12" t="str">
        <f>Catalog!$E$15</f>
        <v>skinLightning1</v>
      </c>
      <c r="C478" s="17">
        <f>Catalog!$W$15</f>
        <v>0</v>
      </c>
      <c r="D478" s="17" t="str">
        <f>Catalog!$X$15</f>
        <v>locked</v>
      </c>
      <c r="E478" s="14" t="s">
        <v>23</v>
      </c>
      <c r="F478" s="17" t="str">
        <f>Catalog!$AB$15</f>
        <v>Lipstick</v>
      </c>
      <c r="G478" s="13" t="s">
        <v>5483</v>
      </c>
    </row>
    <row r="479" spans="1:7" ht="15" x14ac:dyDescent="0.15">
      <c r="A479" s="11" t="s">
        <v>27</v>
      </c>
      <c r="B479" s="12" t="str">
        <f>Catalog!$E$15</f>
        <v>skinLightning1</v>
      </c>
      <c r="C479" s="17">
        <f>Catalog!$BD$15</f>
        <v>2</v>
      </c>
      <c r="D479" s="17" t="str">
        <f>Catalog!$BE$15</f>
        <v>unlocked</v>
      </c>
      <c r="E479" s="14" t="s">
        <v>23</v>
      </c>
      <c r="F479" s="17" t="str">
        <f>Catalog!$BI$15</f>
        <v>Lipstick</v>
      </c>
      <c r="G479" s="13" t="s">
        <v>5483</v>
      </c>
    </row>
    <row r="480" spans="1:7" ht="15" x14ac:dyDescent="0.15">
      <c r="A480" s="11" t="s">
        <v>27</v>
      </c>
      <c r="B480" s="12" t="str">
        <f>Catalog!$E$16</f>
        <v>skinLightning2</v>
      </c>
      <c r="C480" s="17">
        <f>Catalog!$W$16</f>
        <v>0</v>
      </c>
      <c r="D480" s="17" t="str">
        <f>Catalog!$X$16</f>
        <v>locked</v>
      </c>
      <c r="E480" s="14" t="s">
        <v>23</v>
      </c>
      <c r="F480" s="17" t="str">
        <f>Catalog!$AB$16</f>
        <v>Skin 2</v>
      </c>
      <c r="G480" s="13" t="s">
        <v>5483</v>
      </c>
    </row>
    <row r="481" spans="1:7" ht="15" x14ac:dyDescent="0.15">
      <c r="A481" s="11" t="s">
        <v>27</v>
      </c>
      <c r="B481" s="12" t="str">
        <f>Catalog!$E$16</f>
        <v>skinLightning2</v>
      </c>
      <c r="C481" s="17">
        <f>Catalog!$BD$16</f>
        <v>2</v>
      </c>
      <c r="D481" s="17" t="str">
        <f>Catalog!$BE$16</f>
        <v>unlocked</v>
      </c>
      <c r="E481" s="14" t="s">
        <v>23</v>
      </c>
      <c r="F481" s="17" t="str">
        <f>Catalog!$BI$16</f>
        <v>Skin 2</v>
      </c>
      <c r="G481" s="13" t="s">
        <v>5483</v>
      </c>
    </row>
    <row r="482" spans="1:7" ht="15" x14ac:dyDescent="0.15">
      <c r="A482" s="11" t="s">
        <v>27</v>
      </c>
      <c r="B482" s="12" t="str">
        <f>Catalog!$E$17</f>
        <v>skinJanuary</v>
      </c>
      <c r="C482" s="17">
        <f>Catalog!$W$17</f>
        <v>0</v>
      </c>
      <c r="D482" s="17" t="str">
        <f>Catalog!$X$17</f>
        <v>locked</v>
      </c>
      <c r="E482" s="14" t="s">
        <v>23</v>
      </c>
      <c r="F482" s="17" t="str">
        <f>Catalog!$AB$17</f>
        <v>January Skin</v>
      </c>
      <c r="G482" s="13"/>
    </row>
    <row r="483" spans="1:7" ht="15" x14ac:dyDescent="0.15">
      <c r="A483" s="11" t="s">
        <v>27</v>
      </c>
      <c r="B483" s="12" t="str">
        <f>Catalog!$E$17</f>
        <v>skinJanuary</v>
      </c>
      <c r="C483" s="17">
        <f>Catalog!$BD$17</f>
        <v>2</v>
      </c>
      <c r="D483" s="17" t="str">
        <f>Catalog!$BE$17</f>
        <v>unlocked</v>
      </c>
      <c r="E483" s="14" t="s">
        <v>23</v>
      </c>
      <c r="F483" s="17" t="str">
        <f>Catalog!$BI$17</f>
        <v>New Years Ball</v>
      </c>
      <c r="G483" s="13"/>
    </row>
    <row r="484" spans="1:7" ht="15" x14ac:dyDescent="0.15">
      <c r="A484" s="11" t="s">
        <v>27</v>
      </c>
      <c r="B484" s="12" t="str">
        <f>Catalog!$E$18</f>
        <v>skinFebruary</v>
      </c>
      <c r="C484" s="17">
        <f>Catalog!$W$18</f>
        <v>0</v>
      </c>
      <c r="D484" s="17" t="str">
        <f>Catalog!$X$18</f>
        <v>locked</v>
      </c>
      <c r="E484" s="14" t="s">
        <v>23</v>
      </c>
      <c r="F484" s="17" t="str">
        <f>Catalog!$AB$18</f>
        <v>February Skin</v>
      </c>
      <c r="G484" s="13"/>
    </row>
    <row r="485" spans="1:7" ht="15" x14ac:dyDescent="0.15">
      <c r="A485" s="11" t="s">
        <v>27</v>
      </c>
      <c r="B485" s="12" t="str">
        <f>Catalog!$E$18</f>
        <v>skinFebruary</v>
      </c>
      <c r="C485" s="17">
        <f>Catalog!$BD$18</f>
        <v>2</v>
      </c>
      <c r="D485" s="17" t="str">
        <f>Catalog!$BE$18</f>
        <v>unlocked</v>
      </c>
      <c r="E485" s="14" t="s">
        <v>23</v>
      </c>
      <c r="F485" s="17" t="str">
        <f>Catalog!$BI$18</f>
        <v>Mardi Gras Beads</v>
      </c>
      <c r="G485" s="13"/>
    </row>
    <row r="486" spans="1:7" ht="15" x14ac:dyDescent="0.15">
      <c r="A486" s="11" t="s">
        <v>27</v>
      </c>
      <c r="B486" s="12" t="str">
        <f>Catalog!$E$19</f>
        <v>skinMarch</v>
      </c>
      <c r="C486" s="17">
        <f>Catalog!$W$19</f>
        <v>0</v>
      </c>
      <c r="D486" s="17" t="str">
        <f>Catalog!$X$19</f>
        <v>locked</v>
      </c>
      <c r="E486" s="14" t="s">
        <v>23</v>
      </c>
      <c r="F486" s="17" t="str">
        <f>Catalog!$AB$19</f>
        <v>March Skin</v>
      </c>
      <c r="G486" s="13"/>
    </row>
    <row r="487" spans="1:7" ht="15" x14ac:dyDescent="0.15">
      <c r="A487" s="11" t="s">
        <v>27</v>
      </c>
      <c r="B487" s="12" t="str">
        <f>Catalog!$E$19</f>
        <v>skinMarch</v>
      </c>
      <c r="C487" s="17">
        <f>Catalog!$BD$19</f>
        <v>2</v>
      </c>
      <c r="D487" s="17" t="str">
        <f>Catalog!$BE$19</f>
        <v>unlocked</v>
      </c>
      <c r="E487" s="14" t="s">
        <v>23</v>
      </c>
      <c r="F487" s="17" t="str">
        <f>Catalog!$BI$19</f>
        <v>Shamrock Stars</v>
      </c>
      <c r="G487" s="13"/>
    </row>
    <row r="488" spans="1:7" ht="15" x14ac:dyDescent="0.15">
      <c r="A488" s="11" t="s">
        <v>27</v>
      </c>
      <c r="B488" s="12" t="str">
        <f>Catalog!$E$20</f>
        <v>skinApril</v>
      </c>
      <c r="C488" s="17">
        <f>Catalog!$W$20</f>
        <v>0</v>
      </c>
      <c r="D488" s="17" t="str">
        <f>Catalog!$X$20</f>
        <v>locked</v>
      </c>
      <c r="E488" s="14" t="s">
        <v>23</v>
      </c>
      <c r="F488" s="17" t="str">
        <f>Catalog!$AB$20</f>
        <v>April Skin</v>
      </c>
      <c r="G488" s="13"/>
    </row>
    <row r="489" spans="1:7" ht="15" x14ac:dyDescent="0.15">
      <c r="A489" s="11" t="s">
        <v>27</v>
      </c>
      <c r="B489" s="12" t="str">
        <f>Catalog!$E$20</f>
        <v>skinApril</v>
      </c>
      <c r="C489" s="17">
        <f>Catalog!$BD$20</f>
        <v>2</v>
      </c>
      <c r="D489" s="17" t="str">
        <f>Catalog!$BE$20</f>
        <v>unlocked</v>
      </c>
      <c r="E489" s="14" t="s">
        <v>23</v>
      </c>
      <c r="F489" s="17" t="str">
        <f>Catalog!$BI$20</f>
        <v>Easter Eggs</v>
      </c>
      <c r="G489" s="13"/>
    </row>
    <row r="490" spans="1:7" ht="15" x14ac:dyDescent="0.15">
      <c r="A490" s="11" t="s">
        <v>27</v>
      </c>
      <c r="B490" s="12" t="str">
        <f>Catalog!$E$21</f>
        <v>skinMay</v>
      </c>
      <c r="C490" s="17">
        <f>Catalog!$W$21</f>
        <v>0</v>
      </c>
      <c r="D490" s="17" t="str">
        <f>Catalog!$X$21</f>
        <v>locked</v>
      </c>
      <c r="E490" s="14" t="s">
        <v>23</v>
      </c>
      <c r="F490" s="17" t="str">
        <f>Catalog!$AB$21</f>
        <v>May Skin</v>
      </c>
      <c r="G490" s="13"/>
    </row>
    <row r="491" spans="1:7" ht="15" x14ac:dyDescent="0.15">
      <c r="A491" s="11" t="s">
        <v>27</v>
      </c>
      <c r="B491" s="12" t="str">
        <f>Catalog!$E$21</f>
        <v>skinMay</v>
      </c>
      <c r="C491" s="17">
        <f>Catalog!$BD$21</f>
        <v>2</v>
      </c>
      <c r="D491" s="17" t="str">
        <f>Catalog!$BE$21</f>
        <v>unlocked</v>
      </c>
      <c r="E491" s="14" t="s">
        <v>23</v>
      </c>
      <c r="F491" s="17" t="str">
        <f>Catalog!$BI$21</f>
        <v>Pollito Piñata</v>
      </c>
      <c r="G491" s="13"/>
    </row>
    <row r="492" spans="1:7" ht="15" x14ac:dyDescent="0.15">
      <c r="A492" s="11" t="s">
        <v>27</v>
      </c>
      <c r="B492" s="12" t="str">
        <f>Catalog!$E$22</f>
        <v>skinJune</v>
      </c>
      <c r="C492" s="17">
        <f>Catalog!$W$22</f>
        <v>0</v>
      </c>
      <c r="D492" s="17" t="str">
        <f>Catalog!$X$22</f>
        <v>locked</v>
      </c>
      <c r="E492" s="14" t="s">
        <v>23</v>
      </c>
      <c r="F492" s="17" t="str">
        <f>Catalog!$AB$22</f>
        <v>June Skin</v>
      </c>
      <c r="G492" s="13"/>
    </row>
    <row r="493" spans="1:7" ht="15" x14ac:dyDescent="0.15">
      <c r="A493" s="11" t="s">
        <v>27</v>
      </c>
      <c r="B493" s="12" t="str">
        <f>Catalog!$E$22</f>
        <v>skinJune</v>
      </c>
      <c r="C493" s="17">
        <f>Catalog!$BD$22</f>
        <v>2</v>
      </c>
      <c r="D493" s="17" t="str">
        <f>Catalog!$BE$22</f>
        <v>unlocked</v>
      </c>
      <c r="E493" s="14" t="s">
        <v>23</v>
      </c>
      <c r="F493" s="17" t="str">
        <f>Catalog!$BI$22</f>
        <v>Red-Hot Sausage</v>
      </c>
      <c r="G493" s="13"/>
    </row>
    <row r="494" spans="1:7" ht="15" x14ac:dyDescent="0.15">
      <c r="A494" s="11" t="s">
        <v>27</v>
      </c>
      <c r="B494" s="12" t="str">
        <f>Catalog!$E$23</f>
        <v>skinJuly</v>
      </c>
      <c r="C494" s="17">
        <f>Catalog!$W$23</f>
        <v>0</v>
      </c>
      <c r="D494" s="17" t="str">
        <f>Catalog!$X$23</f>
        <v>locked</v>
      </c>
      <c r="E494" s="14" t="s">
        <v>23</v>
      </c>
      <c r="F494" s="17" t="str">
        <f>Catalog!$AB$23</f>
        <v>July Skin</v>
      </c>
      <c r="G494" s="13"/>
    </row>
    <row r="495" spans="1:7" ht="15" x14ac:dyDescent="0.15">
      <c r="A495" s="11" t="s">
        <v>27</v>
      </c>
      <c r="B495" s="12" t="str">
        <f>Catalog!$E$23</f>
        <v>skinJuly</v>
      </c>
      <c r="C495" s="17">
        <f>Catalog!$BD$23</f>
        <v>2</v>
      </c>
      <c r="D495" s="17" t="str">
        <f>Catalog!$BE$23</f>
        <v>unlocked</v>
      </c>
      <c r="E495" s="14" t="s">
        <v>23</v>
      </c>
      <c r="F495" s="17" t="str">
        <f>Catalog!$BI$23</f>
        <v>Fireworks</v>
      </c>
      <c r="G495" s="13"/>
    </row>
    <row r="496" spans="1:7" ht="15" x14ac:dyDescent="0.15">
      <c r="A496" s="11" t="s">
        <v>27</v>
      </c>
      <c r="B496" s="12" t="str">
        <f>Catalog!$E$24</f>
        <v>skinAugust</v>
      </c>
      <c r="C496" s="17">
        <f>Catalog!$W$24</f>
        <v>0</v>
      </c>
      <c r="D496" s="17" t="str">
        <f>Catalog!$X$24</f>
        <v>locked</v>
      </c>
      <c r="E496" s="14" t="s">
        <v>23</v>
      </c>
      <c r="F496" s="17" t="str">
        <f>Catalog!$AB$24</f>
        <v>August Skin</v>
      </c>
      <c r="G496" s="13"/>
    </row>
    <row r="497" spans="1:7" ht="15" x14ac:dyDescent="0.15">
      <c r="A497" s="11" t="s">
        <v>27</v>
      </c>
      <c r="B497" s="12" t="str">
        <f>Catalog!$E$24</f>
        <v>skinAugust</v>
      </c>
      <c r="C497" s="17">
        <f>Catalog!$BD$24</f>
        <v>2</v>
      </c>
      <c r="D497" s="17" t="str">
        <f>Catalog!$BE$24</f>
        <v>unlocked</v>
      </c>
      <c r="E497" s="14" t="s">
        <v>23</v>
      </c>
      <c r="F497" s="17" t="str">
        <f>Catalog!$BI$24</f>
        <v>Gelato Grenade</v>
      </c>
      <c r="G497" s="13"/>
    </row>
    <row r="498" spans="1:7" ht="15" x14ac:dyDescent="0.15">
      <c r="A498" s="11" t="s">
        <v>27</v>
      </c>
      <c r="B498" s="12" t="str">
        <f>Catalog!$E$25</f>
        <v>skinSeptember</v>
      </c>
      <c r="C498" s="17">
        <f>Catalog!$W$25</f>
        <v>0</v>
      </c>
      <c r="D498" s="17" t="str">
        <f>Catalog!$X$25</f>
        <v>locked</v>
      </c>
      <c r="E498" s="14" t="s">
        <v>23</v>
      </c>
      <c r="F498" s="17" t="str">
        <f>Catalog!$AB$25</f>
        <v>September Skin</v>
      </c>
      <c r="G498" s="13"/>
    </row>
    <row r="499" spans="1:7" ht="15" x14ac:dyDescent="0.15">
      <c r="A499" s="11" t="s">
        <v>27</v>
      </c>
      <c r="B499" s="12" t="str">
        <f>Catalog!$E$25</f>
        <v>skinSeptember</v>
      </c>
      <c r="C499" s="17">
        <f>Catalog!$BD$25</f>
        <v>2</v>
      </c>
      <c r="D499" s="17" t="str">
        <f>Catalog!$BE$25</f>
        <v>unlocked</v>
      </c>
      <c r="E499" s="14" t="s">
        <v>23</v>
      </c>
      <c r="F499" s="17" t="str">
        <f>Catalog!$BI$25</f>
        <v>Bratt's Lunchbox</v>
      </c>
      <c r="G499" s="13"/>
    </row>
    <row r="500" spans="1:7" ht="15" x14ac:dyDescent="0.15">
      <c r="A500" s="11" t="s">
        <v>27</v>
      </c>
      <c r="B500" s="12" t="str">
        <f>Catalog!$E$26</f>
        <v>skinOctober</v>
      </c>
      <c r="C500" s="17">
        <f>Catalog!$W$26</f>
        <v>0</v>
      </c>
      <c r="D500" s="17" t="str">
        <f>Catalog!$X$26</f>
        <v>locked</v>
      </c>
      <c r="E500" s="14" t="s">
        <v>23</v>
      </c>
      <c r="F500" s="17" t="str">
        <f>Catalog!$AB$26</f>
        <v>October Skin</v>
      </c>
      <c r="G500" s="13"/>
    </row>
    <row r="501" spans="1:7" ht="15" x14ac:dyDescent="0.15">
      <c r="A501" s="11" t="s">
        <v>27</v>
      </c>
      <c r="B501" s="12" t="str">
        <f>Catalog!$E$26</f>
        <v>skinOctober</v>
      </c>
      <c r="C501" s="17">
        <f>Catalog!$BD$26</f>
        <v>2</v>
      </c>
      <c r="D501" s="17" t="str">
        <f>Catalog!$BE$26</f>
        <v>unlocked</v>
      </c>
      <c r="E501" s="14" t="s">
        <v>23</v>
      </c>
      <c r="F501" s="17" t="str">
        <f>Catalog!$BI$26</f>
        <v>Jack O'Launcher</v>
      </c>
      <c r="G501" s="13"/>
    </row>
    <row r="502" spans="1:7" ht="15" x14ac:dyDescent="0.15">
      <c r="A502" s="11" t="s">
        <v>27</v>
      </c>
      <c r="B502" s="12" t="str">
        <f>Catalog!$E$27</f>
        <v>skinNovember</v>
      </c>
      <c r="C502" s="17">
        <f>Catalog!$W$27</f>
        <v>0</v>
      </c>
      <c r="D502" s="17" t="str">
        <f>Catalog!$X$27</f>
        <v>locked</v>
      </c>
      <c r="E502" s="14" t="s">
        <v>23</v>
      </c>
      <c r="F502" s="17" t="str">
        <f>Catalog!$AB$27</f>
        <v>November Skin</v>
      </c>
      <c r="G502" s="13"/>
    </row>
    <row r="503" spans="1:7" ht="15" x14ac:dyDescent="0.15">
      <c r="A503" s="11" t="s">
        <v>27</v>
      </c>
      <c r="B503" s="12" t="str">
        <f>Catalog!$E$27</f>
        <v>skinNovember</v>
      </c>
      <c r="C503" s="17">
        <f>Catalog!$BD$27</f>
        <v>2</v>
      </c>
      <c r="D503" s="17" t="str">
        <f>Catalog!$BE$27</f>
        <v>unlocked</v>
      </c>
      <c r="E503" s="14" t="s">
        <v>23</v>
      </c>
      <c r="F503" s="17" t="str">
        <f>Catalog!$BI$27</f>
        <v>Flaming Turkey</v>
      </c>
      <c r="G503" s="13"/>
    </row>
    <row r="504" spans="1:7" ht="15" x14ac:dyDescent="0.15">
      <c r="A504" s="11" t="s">
        <v>27</v>
      </c>
      <c r="B504" s="12" t="str">
        <f>Catalog!$E$28</f>
        <v>skinDecember</v>
      </c>
      <c r="C504" s="17">
        <f>Catalog!$W$28</f>
        <v>0</v>
      </c>
      <c r="D504" s="17" t="str">
        <f>Catalog!$X$28</f>
        <v>locked</v>
      </c>
      <c r="E504" s="14" t="s">
        <v>23</v>
      </c>
      <c r="F504" s="17" t="str">
        <f>Catalog!$AB$28</f>
        <v>December Skin</v>
      </c>
      <c r="G504" s="13"/>
    </row>
    <row r="505" spans="1:7" ht="15" x14ac:dyDescent="0.15">
      <c r="A505" s="11" t="s">
        <v>27</v>
      </c>
      <c r="B505" s="12" t="str">
        <f>Catalog!$E$28</f>
        <v>skinDecember</v>
      </c>
      <c r="C505" s="17">
        <f>Catalog!$BD$28</f>
        <v>2</v>
      </c>
      <c r="D505" s="17" t="str">
        <f>Catalog!$BE$28</f>
        <v>unlocked</v>
      </c>
      <c r="E505" s="14" t="s">
        <v>23</v>
      </c>
      <c r="F505" s="17" t="str">
        <f>Catalog!$BI$28</f>
        <v>Secret Santa</v>
      </c>
      <c r="G505" s="13"/>
    </row>
    <row r="506" spans="1:7" ht="15" x14ac:dyDescent="0.15">
      <c r="A506" s="11" t="s">
        <v>26</v>
      </c>
      <c r="B506" s="12" t="str">
        <f>Catalog!$E$29</f>
        <v>launcherGeneral</v>
      </c>
      <c r="C506" s="17">
        <f>Catalog!$BD$29</f>
        <v>2</v>
      </c>
      <c r="D506" s="17" t="str">
        <f>Catalog!$BE$29</f>
        <v>unlocked</v>
      </c>
      <c r="E506" s="14" t="s">
        <v>23</v>
      </c>
      <c r="F506" s="17" t="str">
        <f>Catalog!$BI$29</f>
        <v>Banana Bomb</v>
      </c>
      <c r="G506" s="13"/>
    </row>
    <row r="507" spans="1:7" ht="15" x14ac:dyDescent="0.15">
      <c r="A507" s="11" t="s">
        <v>26</v>
      </c>
      <c r="B507" s="12" t="str">
        <f>Catalog!$E$29</f>
        <v>launcherGeneral</v>
      </c>
      <c r="C507" s="17">
        <f>Catalog!$BD$29</f>
        <v>2</v>
      </c>
      <c r="D507" s="17" t="str">
        <f>Catalog!$BE$29</f>
        <v>unlocked</v>
      </c>
      <c r="E507" s="14" t="s">
        <v>24</v>
      </c>
      <c r="F507" s="17" t="str">
        <f>Catalog!$BK$29</f>
        <v>An exploding banana</v>
      </c>
      <c r="G507" s="13"/>
    </row>
    <row r="508" spans="1:7" ht="15" x14ac:dyDescent="0.15">
      <c r="A508" s="11" t="s">
        <v>26</v>
      </c>
      <c r="B508" s="12" t="str">
        <f>Catalog!$E$29</f>
        <v>launcherGeneral</v>
      </c>
      <c r="C508" s="17">
        <f>Catalog!$BD$29</f>
        <v>2</v>
      </c>
      <c r="D508" s="17" t="str">
        <f>Catalog!$BE$29</f>
        <v>unlocked</v>
      </c>
      <c r="E508" s="14" t="s">
        <v>25</v>
      </c>
      <c r="F508" s="17" t="str">
        <f>Catalog!$BL$29</f>
        <v>Fires a banana that explodes!</v>
      </c>
      <c r="G508" s="13"/>
    </row>
    <row r="509" spans="1:7" ht="15" x14ac:dyDescent="0.15">
      <c r="A509" s="11" t="s">
        <v>26</v>
      </c>
      <c r="B509" s="12" t="str">
        <f>Catalog!$E$31</f>
        <v>launcherFart</v>
      </c>
      <c r="C509" s="17">
        <f>Catalog!$BD$31</f>
        <v>2</v>
      </c>
      <c r="D509" s="17" t="str">
        <f>Catalog!$BE$31</f>
        <v>unlocked</v>
      </c>
      <c r="E509" s="14" t="s">
        <v>23</v>
      </c>
      <c r="F509" s="17" t="str">
        <f>Catalog!$BI$31</f>
        <v>Fart Bomb</v>
      </c>
      <c r="G509" s="13"/>
    </row>
    <row r="510" spans="1:7" ht="15" x14ac:dyDescent="0.15">
      <c r="A510" s="11" t="s">
        <v>26</v>
      </c>
      <c r="B510" s="12" t="str">
        <f>Catalog!$E$31</f>
        <v>launcherFart</v>
      </c>
      <c r="C510" s="17">
        <f>Catalog!$BD$31</f>
        <v>2</v>
      </c>
      <c r="D510" s="17" t="str">
        <f>Catalog!$BE$31</f>
        <v>unlocked</v>
      </c>
      <c r="E510" s="14" t="s">
        <v>24</v>
      </c>
      <c r="F510" s="17" t="str">
        <f>Catalog!$BK$31</f>
        <v>Releases a toxic fart cloud</v>
      </c>
      <c r="G510" s="13"/>
    </row>
    <row r="511" spans="1:7" ht="15" x14ac:dyDescent="0.15">
      <c r="A511" s="11" t="s">
        <v>26</v>
      </c>
      <c r="B511" s="12" t="str">
        <f>Catalog!$E$31</f>
        <v>launcherFart</v>
      </c>
      <c r="C511" s="17">
        <f>Catalog!$BD$31</f>
        <v>2</v>
      </c>
      <c r="D511" s="17" t="str">
        <f>Catalog!$BE$31</f>
        <v>unlocked</v>
      </c>
      <c r="E511" s="14" t="s">
        <v>25</v>
      </c>
      <c r="F511" s="17" t="str">
        <f>Catalog!$BL$31</f>
        <v>Lobs a toxic fart bomb that destroys everything around it!</v>
      </c>
      <c r="G511" s="13"/>
    </row>
    <row r="512" spans="1:7" ht="15" x14ac:dyDescent="0.15">
      <c r="A512" s="11" t="s">
        <v>26</v>
      </c>
      <c r="B512" s="12" t="str">
        <f>Catalog!$E$32</f>
        <v>launcherPinball</v>
      </c>
      <c r="C512" s="17">
        <f>Catalog!$W$32</f>
        <v>0</v>
      </c>
      <c r="D512" s="17">
        <f>Catalog!$X$32</f>
        <v>0</v>
      </c>
      <c r="E512" s="14" t="s">
        <v>23</v>
      </c>
      <c r="F512" s="17">
        <f>Catalog!$AB$32</f>
        <v>0</v>
      </c>
      <c r="G512" s="13" t="s">
        <v>5483</v>
      </c>
    </row>
    <row r="513" spans="1:7" ht="15" x14ac:dyDescent="0.15">
      <c r="A513" s="11" t="s">
        <v>26</v>
      </c>
      <c r="B513" s="12" t="str">
        <f>Catalog!$E$32</f>
        <v>launcherPinball</v>
      </c>
      <c r="C513" s="17">
        <f>Catalog!$W$32</f>
        <v>0</v>
      </c>
      <c r="D513" s="17">
        <f>Catalog!$X$32</f>
        <v>0</v>
      </c>
      <c r="E513" s="14" t="s">
        <v>24</v>
      </c>
      <c r="F513" s="17">
        <f>Catalog!$AC$32</f>
        <v>0</v>
      </c>
      <c r="G513" s="13" t="s">
        <v>5483</v>
      </c>
    </row>
    <row r="514" spans="1:7" ht="15" x14ac:dyDescent="0.15">
      <c r="A514" s="11" t="s">
        <v>26</v>
      </c>
      <c r="B514" s="12" t="str">
        <f>Catalog!$E$32</f>
        <v>launcherPinball</v>
      </c>
      <c r="C514" s="17">
        <f>Catalog!$BD$32</f>
        <v>2</v>
      </c>
      <c r="D514" s="17" t="str">
        <f>Catalog!$BE$32</f>
        <v>unlocked</v>
      </c>
      <c r="E514" s="14" t="s">
        <v>23</v>
      </c>
      <c r="F514" s="17" t="str">
        <f>Catalog!$BI$32</f>
        <v>Pulverizing Pinballer</v>
      </c>
      <c r="G514" s="13"/>
    </row>
    <row r="515" spans="1:7" ht="15" x14ac:dyDescent="0.15">
      <c r="A515" s="11" t="s">
        <v>26</v>
      </c>
      <c r="B515" s="12" t="str">
        <f>Catalog!$E$32</f>
        <v>launcherPinball</v>
      </c>
      <c r="C515" s="17">
        <f>Catalog!$BD$32</f>
        <v>2</v>
      </c>
      <c r="D515" s="17" t="str">
        <f>Catalog!$BE$32</f>
        <v>unlocked</v>
      </c>
      <c r="E515" s="14" t="s">
        <v>24</v>
      </c>
      <c r="F515" s="17" t="str">
        <f>Catalog!$BK$32</f>
        <v>Ricocheting steel balls</v>
      </c>
      <c r="G515" s="13"/>
    </row>
    <row r="516" spans="1:7" ht="15" x14ac:dyDescent="0.15">
      <c r="A516" s="11" t="s">
        <v>26</v>
      </c>
      <c r="B516" s="12" t="str">
        <f>Catalog!$E$32</f>
        <v>launcherPinball</v>
      </c>
      <c r="C516" s="17">
        <f>Catalog!$BD$32</f>
        <v>2</v>
      </c>
      <c r="D516" s="17" t="str">
        <f>Catalog!$BE$32</f>
        <v>unlocked</v>
      </c>
      <c r="E516" s="14" t="s">
        <v>25</v>
      </c>
      <c r="F516" s="17" t="str">
        <f>Catalog!$BL$32</f>
        <v>These ricocheting steel balls bounce around creating chaos!</v>
      </c>
      <c r="G516" s="13"/>
    </row>
    <row r="517" spans="1:7" ht="15" x14ac:dyDescent="0.15">
      <c r="A517" s="11" t="s">
        <v>26</v>
      </c>
      <c r="B517" s="12" t="str">
        <f>Catalog!$E$33</f>
        <v>launcher4</v>
      </c>
      <c r="C517" s="17">
        <f>Catalog!$W$33</f>
        <v>0</v>
      </c>
      <c r="D517" s="17" t="str">
        <f>Catalog!$X$33</f>
        <v>locked</v>
      </c>
      <c r="E517" s="14" t="s">
        <v>23</v>
      </c>
      <c r="F517" s="17" t="str">
        <f>Catalog!$AB$33</f>
        <v>Piranha Launcher</v>
      </c>
      <c r="G517" s="13" t="s">
        <v>5483</v>
      </c>
    </row>
    <row r="518" spans="1:7" ht="15" x14ac:dyDescent="0.15">
      <c r="A518" s="11" t="s">
        <v>26</v>
      </c>
      <c r="B518" s="12" t="str">
        <f>Catalog!$E$33</f>
        <v>launcher4</v>
      </c>
      <c r="C518" s="17">
        <f>Catalog!$W$33</f>
        <v>0</v>
      </c>
      <c r="D518" s="17" t="str">
        <f>Catalog!$X$33</f>
        <v>locked</v>
      </c>
      <c r="E518" s="14" t="s">
        <v>24</v>
      </c>
      <c r="F518" s="17" t="str">
        <f>Catalog!$AC$33</f>
        <v>Fires a piranha fish</v>
      </c>
      <c r="G518" s="13" t="s">
        <v>5483</v>
      </c>
    </row>
    <row r="519" spans="1:7" ht="15" x14ac:dyDescent="0.15">
      <c r="A519" s="11" t="s">
        <v>26</v>
      </c>
      <c r="B519" s="12" t="str">
        <f>Catalog!$E$33</f>
        <v>launcher4</v>
      </c>
      <c r="C519" s="17">
        <f>Catalog!$BD$33</f>
        <v>2</v>
      </c>
      <c r="D519" s="17" t="str">
        <f>Catalog!$BE$33</f>
        <v>unlocked</v>
      </c>
      <c r="E519" s="14" t="s">
        <v>23</v>
      </c>
      <c r="F519" s="17" t="str">
        <f>Catalog!$BI$33</f>
        <v>Piranha Launcher</v>
      </c>
      <c r="G519" s="13" t="s">
        <v>5483</v>
      </c>
    </row>
    <row r="520" spans="1:7" ht="15" x14ac:dyDescent="0.15">
      <c r="A520" s="11" t="s">
        <v>26</v>
      </c>
      <c r="B520" s="12" t="str">
        <f>Catalog!$E$33</f>
        <v>launcher4</v>
      </c>
      <c r="C520" s="17">
        <f>Catalog!$BD$33</f>
        <v>2</v>
      </c>
      <c r="D520" s="17" t="str">
        <f>Catalog!$BE$33</f>
        <v>unlocked</v>
      </c>
      <c r="E520" s="14" t="s">
        <v>24</v>
      </c>
      <c r="F520" s="17" t="str">
        <f>Catalog!$BK$33</f>
        <v>Fires a piranha fish</v>
      </c>
      <c r="G520" s="13" t="s">
        <v>5483</v>
      </c>
    </row>
    <row r="521" spans="1:7" ht="15" x14ac:dyDescent="0.15">
      <c r="A521" s="11" t="s">
        <v>26</v>
      </c>
      <c r="B521" s="12" t="str">
        <f>Catalog!$E$33</f>
        <v>launcher4</v>
      </c>
      <c r="C521" s="17">
        <f>Catalog!$BD$33</f>
        <v>2</v>
      </c>
      <c r="D521" s="17" t="str">
        <f>Catalog!$BE$33</f>
        <v>unlocked</v>
      </c>
      <c r="E521" s="14" t="s">
        <v>25</v>
      </c>
      <c r="F521" s="17" t="str">
        <f>Catalog!$BL$33</f>
        <v>These chomp-happy fish will devour whatever is in their path.</v>
      </c>
      <c r="G521" s="13" t="s">
        <v>5483</v>
      </c>
    </row>
    <row r="522" spans="1:7" ht="15" x14ac:dyDescent="0.15">
      <c r="A522" s="11" t="s">
        <v>26</v>
      </c>
      <c r="B522" s="12" t="str">
        <f>Catalog!$E$34</f>
        <v>launcher5</v>
      </c>
      <c r="C522" s="17">
        <f>Catalog!$W$34</f>
        <v>0</v>
      </c>
      <c r="D522" s="17" t="str">
        <f>Catalog!$X$34</f>
        <v>locked</v>
      </c>
      <c r="E522" s="14" t="s">
        <v>23</v>
      </c>
      <c r="F522" s="17" t="str">
        <f>Catalog!$AB$34</f>
        <v>Salsa Launcher</v>
      </c>
      <c r="G522" s="13" t="s">
        <v>5483</v>
      </c>
    </row>
    <row r="523" spans="1:7" ht="15" x14ac:dyDescent="0.15">
      <c r="A523" s="11" t="s">
        <v>26</v>
      </c>
      <c r="B523" s="12" t="str">
        <f>Catalog!$E$34</f>
        <v>launcher5</v>
      </c>
      <c r="C523" s="17">
        <f>Catalog!$W$34</f>
        <v>0</v>
      </c>
      <c r="D523" s="17" t="str">
        <f>Catalog!$X$34</f>
        <v>locked</v>
      </c>
      <c r="E523" s="14" t="s">
        <v>24</v>
      </c>
      <c r="F523" s="17" t="str">
        <f>Catalog!$AC$34</f>
        <v>Fires a splat of salsa</v>
      </c>
      <c r="G523" s="13" t="s">
        <v>5483</v>
      </c>
    </row>
    <row r="524" spans="1:7" ht="15" x14ac:dyDescent="0.15">
      <c r="A524" s="11" t="s">
        <v>26</v>
      </c>
      <c r="B524" s="12" t="str">
        <f>Catalog!$E$34</f>
        <v>launcher5</v>
      </c>
      <c r="C524" s="17">
        <f>Catalog!$BD$34</f>
        <v>2</v>
      </c>
      <c r="D524" s="17" t="str">
        <f>Catalog!$BE$34</f>
        <v>unlocked</v>
      </c>
      <c r="E524" s="14" t="s">
        <v>23</v>
      </c>
      <c r="F524" s="17" t="str">
        <f>Catalog!$BI$34</f>
        <v>Salsa Launcher</v>
      </c>
      <c r="G524" s="13" t="s">
        <v>5483</v>
      </c>
    </row>
    <row r="525" spans="1:7" ht="15" x14ac:dyDescent="0.15">
      <c r="A525" s="11" t="s">
        <v>26</v>
      </c>
      <c r="B525" s="12" t="str">
        <f>Catalog!$E$34</f>
        <v>launcher5</v>
      </c>
      <c r="C525" s="17">
        <f>Catalog!$BD$34</f>
        <v>2</v>
      </c>
      <c r="D525" s="17" t="str">
        <f>Catalog!$BE$34</f>
        <v>unlocked</v>
      </c>
      <c r="E525" s="14" t="s">
        <v>24</v>
      </c>
      <c r="F525" s="17" t="str">
        <f>Catalog!$BK$34</f>
        <v>Fires a splat of salsa</v>
      </c>
      <c r="G525" s="13" t="s">
        <v>5483</v>
      </c>
    </row>
    <row r="526" spans="1:7" ht="15" x14ac:dyDescent="0.15">
      <c r="A526" s="11" t="s">
        <v>26</v>
      </c>
      <c r="B526" s="12" t="str">
        <f>Catalog!$E$34</f>
        <v>launcher5</v>
      </c>
      <c r="C526" s="17">
        <f>Catalog!$BD$34</f>
        <v>2</v>
      </c>
      <c r="D526" s="17" t="str">
        <f>Catalog!$BE$34</f>
        <v>unlocked</v>
      </c>
      <c r="E526" s="14" t="s">
        <v>25</v>
      </c>
      <c r="F526" s="17" t="str">
        <f>Catalog!$BL$34</f>
        <v>This spicy projectile will ooze onto your enemies and stain their clothes!</v>
      </c>
      <c r="G526" s="13" t="s">
        <v>5483</v>
      </c>
    </row>
    <row r="527" spans="1:7" ht="15" x14ac:dyDescent="0.15">
      <c r="A527" s="11" t="s">
        <v>26</v>
      </c>
      <c r="B527" s="12" t="str">
        <f>Catalog!$E$35</f>
        <v>launcher6</v>
      </c>
      <c r="C527" s="17">
        <f>Catalog!$W$35</f>
        <v>0</v>
      </c>
      <c r="D527" s="17" t="str">
        <f>Catalog!$X$35</f>
        <v>locked</v>
      </c>
      <c r="E527" s="14" t="s">
        <v>23</v>
      </c>
      <c r="F527" s="17" t="str">
        <f>Catalog!$AB$35</f>
        <v>Bubblegum Launcher</v>
      </c>
      <c r="G527" s="13" t="s">
        <v>5483</v>
      </c>
    </row>
    <row r="528" spans="1:7" ht="15" x14ac:dyDescent="0.15">
      <c r="A528" s="11" t="s">
        <v>26</v>
      </c>
      <c r="B528" s="12" t="str">
        <f>Catalog!$E$35</f>
        <v>launcher6</v>
      </c>
      <c r="C528" s="17">
        <f>Catalog!$W$35</f>
        <v>0</v>
      </c>
      <c r="D528" s="17" t="str">
        <f>Catalog!$X$35</f>
        <v>locked</v>
      </c>
      <c r="E528" s="14" t="s">
        <v>24</v>
      </c>
      <c r="F528" s="17" t="str">
        <f>Catalog!$AC$35</f>
        <v>Fires a splat of bubblegum</v>
      </c>
      <c r="G528" s="13" t="s">
        <v>5483</v>
      </c>
    </row>
    <row r="529" spans="1:7" ht="15" x14ac:dyDescent="0.15">
      <c r="A529" s="11" t="s">
        <v>26</v>
      </c>
      <c r="B529" s="12" t="str">
        <f>Catalog!$E$35</f>
        <v>launcher6</v>
      </c>
      <c r="C529" s="17">
        <f>Catalog!$BD$35</f>
        <v>2</v>
      </c>
      <c r="D529" s="17" t="str">
        <f>Catalog!$BE$35</f>
        <v>unlocked</v>
      </c>
      <c r="E529" s="14" t="s">
        <v>23</v>
      </c>
      <c r="F529" s="17" t="str">
        <f>Catalog!$BI$35</f>
        <v>Bubblegum Launcher</v>
      </c>
      <c r="G529" s="13" t="s">
        <v>5483</v>
      </c>
    </row>
    <row r="530" spans="1:7" ht="15" x14ac:dyDescent="0.15">
      <c r="A530" s="11" t="s">
        <v>26</v>
      </c>
      <c r="B530" s="12" t="str">
        <f>Catalog!$E$35</f>
        <v>launcher6</v>
      </c>
      <c r="C530" s="17">
        <f>Catalog!$BD$35</f>
        <v>2</v>
      </c>
      <c r="D530" s="17" t="str">
        <f>Catalog!$BE$35</f>
        <v>unlocked</v>
      </c>
      <c r="E530" s="14" t="s">
        <v>24</v>
      </c>
      <c r="F530" s="17" t="str">
        <f>Catalog!$BK$35</f>
        <v>Fires a splat of bubblegum</v>
      </c>
      <c r="G530" s="13" t="s">
        <v>5483</v>
      </c>
    </row>
    <row r="531" spans="1:7" ht="15" x14ac:dyDescent="0.15">
      <c r="A531" s="11" t="s">
        <v>26</v>
      </c>
      <c r="B531" s="12" t="str">
        <f>Catalog!$E$35</f>
        <v>launcher6</v>
      </c>
      <c r="C531" s="17">
        <f>Catalog!$BD$35</f>
        <v>2</v>
      </c>
      <c r="D531" s="17" t="str">
        <f>Catalog!$BE$35</f>
        <v>unlocked</v>
      </c>
      <c r="E531" s="14" t="s">
        <v>25</v>
      </c>
      <c r="F531" s="17" t="str">
        <f>Catalog!$BL$35</f>
        <v>This sticky projectile will trap your enemies and ruin their furniture!</v>
      </c>
      <c r="G531" s="13" t="s">
        <v>5483</v>
      </c>
    </row>
    <row r="532" spans="1:7" ht="15" x14ac:dyDescent="0.15">
      <c r="A532" s="11" t="s">
        <v>26</v>
      </c>
      <c r="B532" s="12" t="str">
        <f>Catalog!$E$36</f>
        <v>launcher7</v>
      </c>
      <c r="C532" s="17">
        <f>Catalog!$W$36</f>
        <v>0</v>
      </c>
      <c r="D532" s="17" t="str">
        <f>Catalog!$X$36</f>
        <v>locked</v>
      </c>
      <c r="E532" s="14" t="s">
        <v>23</v>
      </c>
      <c r="F532" s="17" t="str">
        <f>Catalog!$AB$36</f>
        <v>Jelly Launcher</v>
      </c>
      <c r="G532" s="13" t="s">
        <v>5483</v>
      </c>
    </row>
    <row r="533" spans="1:7" ht="15" x14ac:dyDescent="0.15">
      <c r="A533" s="11" t="s">
        <v>26</v>
      </c>
      <c r="B533" s="12" t="str">
        <f>Catalog!$E$36</f>
        <v>launcher7</v>
      </c>
      <c r="C533" s="17">
        <f>Catalog!$W$36</f>
        <v>0</v>
      </c>
      <c r="D533" s="17" t="str">
        <f>Catalog!$X$36</f>
        <v>locked</v>
      </c>
      <c r="E533" s="14" t="s">
        <v>24</v>
      </c>
      <c r="F533" s="17" t="str">
        <f>Catalog!$AC$36</f>
        <v>Fires a splat of purple jelly</v>
      </c>
      <c r="G533" s="13" t="s">
        <v>5483</v>
      </c>
    </row>
    <row r="534" spans="1:7" ht="15" x14ac:dyDescent="0.15">
      <c r="A534" s="11" t="s">
        <v>26</v>
      </c>
      <c r="B534" s="12" t="str">
        <f>Catalog!$E$36</f>
        <v>launcher7</v>
      </c>
      <c r="C534" s="17">
        <f>Catalog!$BD$36</f>
        <v>2</v>
      </c>
      <c r="D534" s="17" t="str">
        <f>Catalog!$BE$36</f>
        <v>unlocked</v>
      </c>
      <c r="E534" s="14" t="s">
        <v>23</v>
      </c>
      <c r="F534" s="17" t="str">
        <f>Catalog!$BI$36</f>
        <v>Jelly Launcher</v>
      </c>
      <c r="G534" s="13" t="s">
        <v>5483</v>
      </c>
    </row>
    <row r="535" spans="1:7" ht="15" x14ac:dyDescent="0.15">
      <c r="A535" s="11" t="s">
        <v>26</v>
      </c>
      <c r="B535" s="12" t="str">
        <f>Catalog!$E$36</f>
        <v>launcher7</v>
      </c>
      <c r="C535" s="17">
        <f>Catalog!$BD$36</f>
        <v>2</v>
      </c>
      <c r="D535" s="17" t="str">
        <f>Catalog!$BE$36</f>
        <v>unlocked</v>
      </c>
      <c r="E535" s="14" t="s">
        <v>24</v>
      </c>
      <c r="F535" s="17" t="str">
        <f>Catalog!$BK$36</f>
        <v>Fires a splat of Gru's homemade jelly</v>
      </c>
      <c r="G535" s="13" t="s">
        <v>5483</v>
      </c>
    </row>
    <row r="536" spans="1:7" ht="28" x14ac:dyDescent="0.15">
      <c r="A536" s="11" t="s">
        <v>26</v>
      </c>
      <c r="B536" s="12" t="str">
        <f>Catalog!$E$36</f>
        <v>launcher7</v>
      </c>
      <c r="C536" s="17">
        <f>Catalog!$BD$36</f>
        <v>2</v>
      </c>
      <c r="D536" s="17" t="str">
        <f>Catalog!$BE$36</f>
        <v>unlocked</v>
      </c>
      <c r="E536" s="14" t="s">
        <v>25</v>
      </c>
      <c r="F536" s="17" t="str">
        <f>Catalog!$BL$36</f>
        <v>Fires a splat of Gru's homemade jelly – so delicious it paralyzes enemies!</v>
      </c>
      <c r="G536" s="13" t="s">
        <v>5483</v>
      </c>
    </row>
    <row r="537" spans="1:7" ht="15" x14ac:dyDescent="0.15">
      <c r="A537" s="11" t="s">
        <v>26</v>
      </c>
      <c r="B537" s="12" t="str">
        <f>Catalog!$E$37</f>
        <v>launcherMagma</v>
      </c>
      <c r="C537" s="17">
        <f>Catalog!$W$37</f>
        <v>0</v>
      </c>
      <c r="D537" s="17" t="str">
        <f>Catalog!$X$37</f>
        <v>locked</v>
      </c>
      <c r="E537" s="14" t="s">
        <v>23</v>
      </c>
      <c r="F537" s="17" t="str">
        <f>Catalog!$AB$37</f>
        <v>Magma Launcher</v>
      </c>
      <c r="G537" s="13" t="s">
        <v>5483</v>
      </c>
    </row>
    <row r="538" spans="1:7" ht="15" x14ac:dyDescent="0.15">
      <c r="A538" s="11" t="s">
        <v>26</v>
      </c>
      <c r="B538" s="12" t="str">
        <f>Catalog!$E$37</f>
        <v>launcherMagma</v>
      </c>
      <c r="C538" s="17">
        <f>Catalog!$W$37</f>
        <v>0</v>
      </c>
      <c r="D538" s="17" t="str">
        <f>Catalog!$X$37</f>
        <v>locked</v>
      </c>
      <c r="E538" s="14" t="s">
        <v>24</v>
      </c>
      <c r="F538" s="17" t="str">
        <f>Catalog!$AC$37</f>
        <v>An explosive splat of magma</v>
      </c>
      <c r="G538" s="13" t="s">
        <v>5483</v>
      </c>
    </row>
    <row r="539" spans="1:7" ht="15" x14ac:dyDescent="0.15">
      <c r="A539" s="11" t="s">
        <v>26</v>
      </c>
      <c r="B539" s="12" t="str">
        <f>Catalog!$E$37</f>
        <v>launcherMagma</v>
      </c>
      <c r="C539" s="17">
        <f>Catalog!$BD$37</f>
        <v>2</v>
      </c>
      <c r="D539" s="17" t="str">
        <f>Catalog!$BE$37</f>
        <v>unlocked</v>
      </c>
      <c r="E539" s="14" t="s">
        <v>23</v>
      </c>
      <c r="F539" s="17" t="str">
        <f>Catalog!$BI$37</f>
        <v>Magma Launcher</v>
      </c>
      <c r="G539" s="13" t="s">
        <v>5483</v>
      </c>
    </row>
    <row r="540" spans="1:7" ht="15" x14ac:dyDescent="0.15">
      <c r="A540" s="11" t="s">
        <v>26</v>
      </c>
      <c r="B540" s="12" t="str">
        <f>Catalog!$E$37</f>
        <v>launcherMagma</v>
      </c>
      <c r="C540" s="17">
        <f>Catalog!$BD$37</f>
        <v>2</v>
      </c>
      <c r="D540" s="17" t="str">
        <f>Catalog!$BE$37</f>
        <v>unlocked</v>
      </c>
      <c r="E540" s="14" t="s">
        <v>24</v>
      </c>
      <c r="F540" s="17" t="str">
        <f>Catalog!$BK$37</f>
        <v>An explosive splat of magma</v>
      </c>
      <c r="G540" s="13" t="s">
        <v>5483</v>
      </c>
    </row>
    <row r="541" spans="1:7" ht="28" x14ac:dyDescent="0.15">
      <c r="A541" s="11" t="s">
        <v>26</v>
      </c>
      <c r="B541" s="12" t="str">
        <f>Catalog!$E$37</f>
        <v>launcherMagma</v>
      </c>
      <c r="C541" s="17">
        <f>Catalog!$BD$37</f>
        <v>2</v>
      </c>
      <c r="D541" s="17" t="str">
        <f>Catalog!$BE$37</f>
        <v>unlocked</v>
      </c>
      <c r="E541" s="14" t="s">
        <v>25</v>
      </c>
      <c r="F541" s="17" t="str">
        <f>Catalog!$BL$37</f>
        <v>The magma will splatter everywhere, causing high fire damage to whatever it touches!</v>
      </c>
      <c r="G541" s="13" t="s">
        <v>5483</v>
      </c>
    </row>
    <row r="542" spans="1:7" ht="15" x14ac:dyDescent="0.15">
      <c r="A542" s="11" t="s">
        <v>26</v>
      </c>
      <c r="B542" s="12" t="str">
        <f>Catalog!$E$38</f>
        <v>launcherStronghold</v>
      </c>
      <c r="C542" s="17">
        <f>Catalog!$W$38</f>
        <v>0</v>
      </c>
      <c r="D542" s="17" t="str">
        <f>Catalog!$X$38</f>
        <v>locked</v>
      </c>
      <c r="E542" s="14" t="s">
        <v>23</v>
      </c>
      <c r="F542" s="17" t="str">
        <f>Catalog!$AB$38</f>
        <v>Cannonball Launcher</v>
      </c>
      <c r="G542" s="13" t="s">
        <v>5483</v>
      </c>
    </row>
    <row r="543" spans="1:7" ht="15" x14ac:dyDescent="0.15">
      <c r="A543" s="11" t="s">
        <v>26</v>
      </c>
      <c r="B543" s="12" t="str">
        <f>Catalog!$E$38</f>
        <v>launcherStronghold</v>
      </c>
      <c r="C543" s="17">
        <f>Catalog!$W$38</f>
        <v>0</v>
      </c>
      <c r="D543" s="17" t="str">
        <f>Catalog!$X$38</f>
        <v>locked</v>
      </c>
      <c r="E543" s="14" t="s">
        <v>24</v>
      </c>
      <c r="F543" s="17" t="str">
        <f>Catalog!$AC$38</f>
        <v>A massive steel ball</v>
      </c>
      <c r="G543" s="13" t="s">
        <v>5483</v>
      </c>
    </row>
    <row r="544" spans="1:7" ht="15" x14ac:dyDescent="0.15">
      <c r="A544" s="11" t="s">
        <v>26</v>
      </c>
      <c r="B544" s="12" t="str">
        <f>Catalog!$E$38</f>
        <v>launcherStronghold</v>
      </c>
      <c r="C544" s="17">
        <f>Catalog!$BD$38</f>
        <v>2</v>
      </c>
      <c r="D544" s="17" t="str">
        <f>Catalog!$BE$38</f>
        <v>unlocked</v>
      </c>
      <c r="E544" s="14" t="s">
        <v>23</v>
      </c>
      <c r="F544" s="17" t="str">
        <f>Catalog!$BI$38</f>
        <v>Cannonball Launcher</v>
      </c>
      <c r="G544" s="13" t="s">
        <v>5483</v>
      </c>
    </row>
    <row r="545" spans="1:7" ht="15" x14ac:dyDescent="0.15">
      <c r="A545" s="11" t="s">
        <v>26</v>
      </c>
      <c r="B545" s="12" t="str">
        <f>Catalog!$E$38</f>
        <v>launcherStronghold</v>
      </c>
      <c r="C545" s="17">
        <f>Catalog!$BD$38</f>
        <v>2</v>
      </c>
      <c r="D545" s="17" t="str">
        <f>Catalog!$BE$38</f>
        <v>unlocked</v>
      </c>
      <c r="E545" s="14" t="s">
        <v>24</v>
      </c>
      <c r="F545" s="17" t="str">
        <f>Catalog!$BK$38</f>
        <v>A massive steel ball</v>
      </c>
      <c r="G545" s="13" t="s">
        <v>5483</v>
      </c>
    </row>
    <row r="546" spans="1:7" ht="15" x14ac:dyDescent="0.15">
      <c r="A546" s="11" t="s">
        <v>26</v>
      </c>
      <c r="B546" s="12" t="str">
        <f>Catalog!$E$38</f>
        <v>launcherStronghold</v>
      </c>
      <c r="C546" s="17">
        <f>Catalog!$BD$38</f>
        <v>2</v>
      </c>
      <c r="D546" s="17" t="str">
        <f>Catalog!$BE$38</f>
        <v>unlocked</v>
      </c>
      <c r="E546" s="14" t="s">
        <v>25</v>
      </c>
      <c r="F546" s="17" t="str">
        <f>Catalog!$BL$38</f>
        <v>Cannonballs do damage to multiple targets in a straight line.</v>
      </c>
      <c r="G546" s="13" t="s">
        <v>5483</v>
      </c>
    </row>
    <row r="547" spans="1:7" ht="15" x14ac:dyDescent="0.15">
      <c r="A547" s="11" t="s">
        <v>26</v>
      </c>
      <c r="B547" s="12" t="str">
        <f>Catalog!$E$39</f>
        <v>launcherStronghold</v>
      </c>
      <c r="C547" s="17">
        <f>Catalog!$W$39</f>
        <v>0</v>
      </c>
      <c r="D547" s="17" t="str">
        <f>Catalog!$X$39</f>
        <v>locked</v>
      </c>
      <c r="E547" s="14" t="s">
        <v>23</v>
      </c>
      <c r="F547" s="17" t="str">
        <f>Catalog!$AB$39</f>
        <v>Iron Fists</v>
      </c>
      <c r="G547" s="13"/>
    </row>
    <row r="548" spans="1:7" ht="15" x14ac:dyDescent="0.15">
      <c r="A548" s="11" t="s">
        <v>26</v>
      </c>
      <c r="B548" s="12" t="str">
        <f>Catalog!$E$39</f>
        <v>launcherStronghold</v>
      </c>
      <c r="C548" s="17">
        <f>Catalog!$W$39</f>
        <v>0</v>
      </c>
      <c r="D548" s="17" t="str">
        <f>Catalog!$X$39</f>
        <v>locked</v>
      </c>
      <c r="E548" s="14" t="s">
        <v>24</v>
      </c>
      <c r="F548" s="17" t="str">
        <f>Catalog!$AC$39</f>
        <v>Stronghold's exploding Iron Fists</v>
      </c>
      <c r="G548" s="13"/>
    </row>
    <row r="549" spans="1:7" ht="15" x14ac:dyDescent="0.15">
      <c r="A549" s="11" t="s">
        <v>26</v>
      </c>
      <c r="B549" s="12" t="str">
        <f>Catalog!$E$39</f>
        <v>launcherStronghold</v>
      </c>
      <c r="C549" s="17">
        <f>Catalog!$BD$39</f>
        <v>2</v>
      </c>
      <c r="D549" s="17" t="str">
        <f>Catalog!$BE$39</f>
        <v>unlocked</v>
      </c>
      <c r="E549" s="14" t="s">
        <v>23</v>
      </c>
      <c r="F549" s="17" t="str">
        <f>Catalog!$BI$39</f>
        <v>Iron Fists</v>
      </c>
      <c r="G549" s="13"/>
    </row>
    <row r="550" spans="1:7" ht="15" x14ac:dyDescent="0.15">
      <c r="A550" s="11" t="s">
        <v>26</v>
      </c>
      <c r="B550" s="12" t="str">
        <f>Catalog!$E$39</f>
        <v>launcherStronghold</v>
      </c>
      <c r="C550" s="17">
        <f>Catalog!$BD$39</f>
        <v>2</v>
      </c>
      <c r="D550" s="17" t="str">
        <f>Catalog!$BE$39</f>
        <v>unlocked</v>
      </c>
      <c r="E550" s="14" t="s">
        <v>24</v>
      </c>
      <c r="F550" s="17" t="str">
        <f>Catalog!$BK$39</f>
        <v>Stronghold's exploding Iron Fists</v>
      </c>
      <c r="G550" s="13"/>
    </row>
    <row r="551" spans="1:7" ht="15" x14ac:dyDescent="0.15">
      <c r="A551" s="11" t="s">
        <v>26</v>
      </c>
      <c r="B551" s="12" t="str">
        <f>Catalog!$E$39</f>
        <v>launcherStronghold</v>
      </c>
      <c r="C551" s="17">
        <f>Catalog!$BD$39</f>
        <v>2</v>
      </c>
      <c r="D551" s="17" t="str">
        <f>Catalog!$BE$39</f>
        <v>unlocked</v>
      </c>
      <c r="E551" s="14" t="s">
        <v>25</v>
      </c>
      <c r="F551" s="17" t="str">
        <f>Catalog!$BL$39</f>
        <v>Iron Fists crash through multiple targets before exploding!</v>
      </c>
      <c r="G551" s="13"/>
    </row>
    <row r="552" spans="1:7" ht="15" x14ac:dyDescent="0.15">
      <c r="A552" s="11" t="s">
        <v>26</v>
      </c>
      <c r="B552" s="12" t="str">
        <f>Catalog!$E$40</f>
        <v>launcherNunchuck</v>
      </c>
      <c r="C552" s="17">
        <f>Catalog!$W$40</f>
        <v>0</v>
      </c>
      <c r="D552" s="17" t="str">
        <f>Catalog!$X$40</f>
        <v>locked</v>
      </c>
      <c r="E552" s="14" t="s">
        <v>23</v>
      </c>
      <c r="F552" s="17" t="str">
        <f>Catalog!$AB$40</f>
        <v>Nunchuck Launcher</v>
      </c>
      <c r="G552" s="13" t="s">
        <v>5483</v>
      </c>
    </row>
    <row r="553" spans="1:7" ht="15" x14ac:dyDescent="0.15">
      <c r="A553" s="11" t="s">
        <v>26</v>
      </c>
      <c r="B553" s="12" t="str">
        <f>Catalog!$E$40</f>
        <v>launcherNunchuck</v>
      </c>
      <c r="C553" s="17">
        <f>Catalog!$W$40</f>
        <v>0</v>
      </c>
      <c r="D553" s="17" t="str">
        <f>Catalog!$X$40</f>
        <v>locked</v>
      </c>
      <c r="E553" s="14" t="s">
        <v>24</v>
      </c>
      <c r="F553" s="17" t="str">
        <f>Catalog!$AC$40</f>
        <v>A fast-moving guided projectile</v>
      </c>
      <c r="G553" s="13" t="s">
        <v>5483</v>
      </c>
    </row>
    <row r="554" spans="1:7" ht="15" x14ac:dyDescent="0.15">
      <c r="A554" s="11" t="s">
        <v>26</v>
      </c>
      <c r="B554" s="12" t="str">
        <f>Catalog!$E$40</f>
        <v>launcherNunchuck</v>
      </c>
      <c r="C554" s="17">
        <f>Catalog!$BD$40</f>
        <v>2</v>
      </c>
      <c r="D554" s="17" t="str">
        <f>Catalog!$BE$40</f>
        <v>unlocked</v>
      </c>
      <c r="E554" s="14" t="s">
        <v>23</v>
      </c>
      <c r="F554" s="17" t="str">
        <f>Catalog!$BI$40</f>
        <v>Nunchuck Launcher</v>
      </c>
      <c r="G554" s="13" t="s">
        <v>5483</v>
      </c>
    </row>
    <row r="555" spans="1:7" ht="15" x14ac:dyDescent="0.15">
      <c r="A555" s="11" t="s">
        <v>26</v>
      </c>
      <c r="B555" s="12" t="str">
        <f>Catalog!$E$40</f>
        <v>launcherNunchuck</v>
      </c>
      <c r="C555" s="17">
        <f>Catalog!$BD$40</f>
        <v>2</v>
      </c>
      <c r="D555" s="17" t="str">
        <f>Catalog!$BE$40</f>
        <v>unlocked</v>
      </c>
      <c r="E555" s="14" t="s">
        <v>24</v>
      </c>
      <c r="F555" s="17" t="str">
        <f>Catalog!$BK$40</f>
        <v>A fast-moving guided projectile</v>
      </c>
      <c r="G555" s="13" t="s">
        <v>5483</v>
      </c>
    </row>
    <row r="556" spans="1:7" ht="15" x14ac:dyDescent="0.15">
      <c r="A556" s="11" t="s">
        <v>26</v>
      </c>
      <c r="B556" s="12" t="str">
        <f>Catalog!$E$40</f>
        <v>launcherNunchuck</v>
      </c>
      <c r="C556" s="17">
        <f>Catalog!$BD$40</f>
        <v>2</v>
      </c>
      <c r="D556" s="17" t="str">
        <f>Catalog!$BE$40</f>
        <v>unlocked</v>
      </c>
      <c r="E556" s="14" t="s">
        <v>25</v>
      </c>
      <c r="F556" s="17" t="str">
        <f>Catalog!$BL$40</f>
        <v>Nunchucks can hone in on their targets mid-air!</v>
      </c>
      <c r="G556" s="13" t="s">
        <v>5483</v>
      </c>
    </row>
    <row r="557" spans="1:7" ht="15" x14ac:dyDescent="0.15">
      <c r="A557" s="11" t="s">
        <v>26</v>
      </c>
      <c r="B557" s="12" t="str">
        <f>Catalog!$E$41</f>
        <v>launcherNunchuck</v>
      </c>
      <c r="C557" s="17">
        <f>Catalog!$W$41</f>
        <v>0</v>
      </c>
      <c r="D557" s="17" t="str">
        <f>Catalog!$X$41</f>
        <v>locked</v>
      </c>
      <c r="E557" s="14" t="s">
        <v>23</v>
      </c>
      <c r="F557" s="17" t="str">
        <f>Catalog!$AB$41</f>
        <v>Bomb Chucks</v>
      </c>
      <c r="G557" s="13"/>
    </row>
    <row r="558" spans="1:7" ht="15" x14ac:dyDescent="0.15">
      <c r="A558" s="11" t="s">
        <v>26</v>
      </c>
      <c r="B558" s="12" t="str">
        <f>Catalog!$E$41</f>
        <v>launcherNunchuck</v>
      </c>
      <c r="C558" s="17">
        <f>Catalog!$W$41</f>
        <v>0</v>
      </c>
      <c r="D558" s="17" t="str">
        <f>Catalog!$X$41</f>
        <v>locked</v>
      </c>
      <c r="E558" s="14" t="s">
        <v>24</v>
      </c>
      <c r="F558" s="17" t="str">
        <f>Catalog!$AC$41</f>
        <v>Exploding Nunchucks of TNT</v>
      </c>
      <c r="G558" s="13"/>
    </row>
    <row r="559" spans="1:7" ht="15" x14ac:dyDescent="0.15">
      <c r="A559" s="11" t="s">
        <v>26</v>
      </c>
      <c r="B559" s="12" t="str">
        <f>Catalog!$E$41</f>
        <v>launcherNunchuck</v>
      </c>
      <c r="C559" s="17">
        <f>Catalog!$BD$41</f>
        <v>2</v>
      </c>
      <c r="D559" s="17" t="str">
        <f>Catalog!$BE$41</f>
        <v>unlocked</v>
      </c>
      <c r="E559" s="14" t="s">
        <v>23</v>
      </c>
      <c r="F559" s="17" t="str">
        <f>Catalog!$BI$41</f>
        <v>Bomb Chucks</v>
      </c>
      <c r="G559" s="13"/>
    </row>
    <row r="560" spans="1:7" ht="15" x14ac:dyDescent="0.15">
      <c r="A560" s="11" t="s">
        <v>26</v>
      </c>
      <c r="B560" s="12" t="str">
        <f>Catalog!$E$41</f>
        <v>launcherNunchuck</v>
      </c>
      <c r="C560" s="17">
        <f>Catalog!$BD$41</f>
        <v>2</v>
      </c>
      <c r="D560" s="17" t="str">
        <f>Catalog!$BE$41</f>
        <v>unlocked</v>
      </c>
      <c r="E560" s="14" t="s">
        <v>24</v>
      </c>
      <c r="F560" s="17" t="str">
        <f>Catalog!$BK$41</f>
        <v>Exploding Nunchucks of TNT</v>
      </c>
      <c r="G560" s="13"/>
    </row>
    <row r="561" spans="1:7" ht="15" x14ac:dyDescent="0.15">
      <c r="A561" s="11" t="s">
        <v>26</v>
      </c>
      <c r="B561" s="12" t="str">
        <f>Catalog!$E$41</f>
        <v>launcherNunchuck</v>
      </c>
      <c r="C561" s="17">
        <f>Catalog!$BD$41</f>
        <v>2</v>
      </c>
      <c r="D561" s="17" t="str">
        <f>Catalog!$BE$41</f>
        <v>unlocked</v>
      </c>
      <c r="E561" s="14" t="s">
        <v>25</v>
      </c>
      <c r="F561" s="17" t="str">
        <f>Catalog!$BL$41</f>
        <v>Bomb Chucks will make targets go bang!</v>
      </c>
      <c r="G561" s="13"/>
    </row>
    <row r="562" spans="1:7" ht="15" x14ac:dyDescent="0.15">
      <c r="A562" s="11" t="s">
        <v>26</v>
      </c>
      <c r="B562" s="12" t="str">
        <f>Catalog!$E$42</f>
        <v>launcherJeanClawed</v>
      </c>
      <c r="C562" s="17">
        <f>Catalog!$W$42</f>
        <v>0</v>
      </c>
      <c r="D562" s="17" t="str">
        <f>Catalog!$X$42</f>
        <v>locked</v>
      </c>
      <c r="E562" s="14" t="s">
        <v>23</v>
      </c>
      <c r="F562" s="17" t="str">
        <f>Catalog!$AB$42</f>
        <v>Sonar Launcher</v>
      </c>
      <c r="G562" s="13" t="s">
        <v>5483</v>
      </c>
    </row>
    <row r="563" spans="1:7" ht="15" x14ac:dyDescent="0.15">
      <c r="A563" s="11" t="s">
        <v>26</v>
      </c>
      <c r="B563" s="12" t="str">
        <f>Catalog!$E$42</f>
        <v>launcherJeanClawed</v>
      </c>
      <c r="C563" s="17">
        <f>Catalog!$W$42</f>
        <v>0</v>
      </c>
      <c r="D563" s="17" t="str">
        <f>Catalog!$X$42</f>
        <v>locked</v>
      </c>
      <c r="E563" s="14" t="s">
        <v>24</v>
      </c>
      <c r="F563" s="17" t="str">
        <f>Catalog!$AC$42</f>
        <v>A shock wave of sound</v>
      </c>
      <c r="G563" s="13" t="s">
        <v>5483</v>
      </c>
    </row>
    <row r="564" spans="1:7" ht="15" x14ac:dyDescent="0.15">
      <c r="A564" s="11" t="s">
        <v>26</v>
      </c>
      <c r="B564" s="12" t="str">
        <f>Catalog!$E$42</f>
        <v>launcherJeanClawed</v>
      </c>
      <c r="C564" s="17">
        <f>Catalog!$BD$42</f>
        <v>2</v>
      </c>
      <c r="D564" s="17" t="str">
        <f>Catalog!$BE$42</f>
        <v>unlocked</v>
      </c>
      <c r="E564" s="14" t="s">
        <v>23</v>
      </c>
      <c r="F564" s="17" t="str">
        <f>Catalog!$BI$42</f>
        <v>Sonar Launcher</v>
      </c>
      <c r="G564" s="13" t="s">
        <v>5483</v>
      </c>
    </row>
    <row r="565" spans="1:7" ht="15" x14ac:dyDescent="0.15">
      <c r="A565" s="11" t="s">
        <v>26</v>
      </c>
      <c r="B565" s="12" t="str">
        <f>Catalog!$E$42</f>
        <v>launcherJeanClawed</v>
      </c>
      <c r="C565" s="17">
        <f>Catalog!$BD$42</f>
        <v>2</v>
      </c>
      <c r="D565" s="17" t="str">
        <f>Catalog!$BE$42</f>
        <v>unlocked</v>
      </c>
      <c r="E565" s="14" t="s">
        <v>24</v>
      </c>
      <c r="F565" s="17" t="str">
        <f>Catalog!$BK$42</f>
        <v>A shock wave of sound</v>
      </c>
      <c r="G565" s="13" t="s">
        <v>5483</v>
      </c>
    </row>
    <row r="566" spans="1:7" ht="15" x14ac:dyDescent="0.15">
      <c r="A566" s="11" t="s">
        <v>26</v>
      </c>
      <c r="B566" s="12" t="str">
        <f>Catalog!$E$42</f>
        <v>launcherJeanClawed</v>
      </c>
      <c r="C566" s="17">
        <f>Catalog!$BD$42</f>
        <v>2</v>
      </c>
      <c r="D566" s="17" t="str">
        <f>Catalog!$BE$42</f>
        <v>unlocked</v>
      </c>
      <c r="E566" s="14" t="s">
        <v>25</v>
      </c>
      <c r="F566" s="17" t="str">
        <f>Catalog!$BL$42</f>
        <v>A wave of sound will stun your targets and shake their socks off.</v>
      </c>
      <c r="G566" s="13" t="s">
        <v>5483</v>
      </c>
    </row>
    <row r="567" spans="1:7" ht="15" x14ac:dyDescent="0.15">
      <c r="A567" s="11" t="s">
        <v>26</v>
      </c>
      <c r="B567" s="12" t="str">
        <f>Catalog!$E$43</f>
        <v>launcherJeanClawed</v>
      </c>
      <c r="C567" s="17">
        <f>Catalog!$W$43</f>
        <v>0</v>
      </c>
      <c r="D567" s="17" t="str">
        <f>Catalog!$X$43</f>
        <v>locked</v>
      </c>
      <c r="E567" s="14" t="s">
        <v>23</v>
      </c>
      <c r="F567" s="17" t="str">
        <f>Catalog!$AB$43</f>
        <v>Sonique Blast</v>
      </c>
      <c r="G567" s="13"/>
    </row>
    <row r="568" spans="1:7" ht="15" x14ac:dyDescent="0.15">
      <c r="A568" s="11" t="s">
        <v>26</v>
      </c>
      <c r="B568" s="12" t="str">
        <f>Catalog!$E$43</f>
        <v>launcherJeanClawed</v>
      </c>
      <c r="C568" s="17">
        <f>Catalog!$W$43</f>
        <v>0</v>
      </c>
      <c r="D568" s="17" t="str">
        <f>Catalog!$X$43</f>
        <v>locked</v>
      </c>
      <c r="E568" s="14" t="s">
        <v>24</v>
      </c>
      <c r="F568" s="17" t="str">
        <f>Catalog!$AC$43</f>
        <v>An explosive wave of sound</v>
      </c>
      <c r="G568" s="13"/>
    </row>
    <row r="569" spans="1:7" ht="15" x14ac:dyDescent="0.15">
      <c r="A569" s="11" t="s">
        <v>26</v>
      </c>
      <c r="B569" s="12" t="str">
        <f>Catalog!$E$43</f>
        <v>launcherJeanClawed</v>
      </c>
      <c r="C569" s="17">
        <f>Catalog!$BD$43</f>
        <v>2</v>
      </c>
      <c r="D569" s="17" t="str">
        <f>Catalog!$BE$43</f>
        <v>unlocked</v>
      </c>
      <c r="E569" s="14" t="s">
        <v>23</v>
      </c>
      <c r="F569" s="17" t="str">
        <f>Catalog!$BI$43</f>
        <v>Sonique Blast</v>
      </c>
      <c r="G569" s="13"/>
    </row>
    <row r="570" spans="1:7" ht="15" x14ac:dyDescent="0.15">
      <c r="A570" s="11" t="s">
        <v>26</v>
      </c>
      <c r="B570" s="12" t="str">
        <f>Catalog!$E$43</f>
        <v>launcherJeanClawed</v>
      </c>
      <c r="C570" s="17">
        <f>Catalog!$BD$43</f>
        <v>2</v>
      </c>
      <c r="D570" s="17" t="str">
        <f>Catalog!$BE$43</f>
        <v>unlocked</v>
      </c>
      <c r="E570" s="14" t="s">
        <v>24</v>
      </c>
      <c r="F570" s="17" t="str">
        <f>Catalog!$BK$43</f>
        <v>An explosive wave of sound</v>
      </c>
      <c r="G570" s="13"/>
    </row>
    <row r="571" spans="1:7" ht="15" x14ac:dyDescent="0.15">
      <c r="A571" s="11" t="s">
        <v>26</v>
      </c>
      <c r="B571" s="12" t="str">
        <f>Catalog!$E$43</f>
        <v>launcherJeanClawed</v>
      </c>
      <c r="C571" s="17">
        <f>Catalog!$BD$43</f>
        <v>2</v>
      </c>
      <c r="D571" s="17" t="str">
        <f>Catalog!$BE$43</f>
        <v>unlocked</v>
      </c>
      <c r="E571" s="14" t="s">
        <v>25</v>
      </c>
      <c r="F571" s="17" t="str">
        <f>Catalog!$BL$43</f>
        <v>Pulverize targets with a shockwave of sound!</v>
      </c>
      <c r="G571" s="13"/>
    </row>
    <row r="572" spans="1:7" ht="15" x14ac:dyDescent="0.15">
      <c r="A572" s="11" t="s">
        <v>26</v>
      </c>
      <c r="B572" s="12" t="str">
        <f>Catalog!$E$44</f>
        <v>launcherSvengeance</v>
      </c>
      <c r="C572" s="17">
        <f>Catalog!$W$44</f>
        <v>0</v>
      </c>
      <c r="D572" s="17" t="str">
        <f>Catalog!$X$44</f>
        <v>locked</v>
      </c>
      <c r="E572" s="14" t="s">
        <v>23</v>
      </c>
      <c r="F572" s="17" t="str">
        <f>Catalog!$AB$44</f>
        <v>Spiked Vengeance</v>
      </c>
      <c r="G572" s="13"/>
    </row>
    <row r="573" spans="1:7" ht="15" x14ac:dyDescent="0.15">
      <c r="A573" s="11" t="s">
        <v>26</v>
      </c>
      <c r="B573" s="12" t="str">
        <f>Catalog!$E$44</f>
        <v>launcherSvengeance</v>
      </c>
      <c r="C573" s="17">
        <f>Catalog!$W$44</f>
        <v>0</v>
      </c>
      <c r="D573" s="17" t="str">
        <f>Catalog!$X$44</f>
        <v>locked</v>
      </c>
      <c r="E573" s="14" t="s">
        <v>24</v>
      </c>
      <c r="F573" s="17" t="str">
        <f>Catalog!$AC$44</f>
        <v>Sticky spiked ball</v>
      </c>
      <c r="G573" s="13"/>
    </row>
    <row r="574" spans="1:7" ht="15" x14ac:dyDescent="0.15">
      <c r="A574" s="11" t="s">
        <v>26</v>
      </c>
      <c r="B574" s="12" t="str">
        <f>Catalog!$E$44</f>
        <v>launcherSvengeance</v>
      </c>
      <c r="C574" s="17">
        <f>Catalog!$BD$44</f>
        <v>2</v>
      </c>
      <c r="D574" s="17" t="str">
        <f>Catalog!$BE$44</f>
        <v>unlocked</v>
      </c>
      <c r="E574" s="14" t="s">
        <v>23</v>
      </c>
      <c r="F574" s="17" t="str">
        <f>Catalog!$BI$44</f>
        <v>Spiked Vengeance</v>
      </c>
      <c r="G574" s="13"/>
    </row>
    <row r="575" spans="1:7" ht="15" x14ac:dyDescent="0.15">
      <c r="A575" s="11" t="s">
        <v>26</v>
      </c>
      <c r="B575" s="12" t="str">
        <f>Catalog!$E$44</f>
        <v>launcherSvengeance</v>
      </c>
      <c r="C575" s="17">
        <f>Catalog!$BD$44</f>
        <v>2</v>
      </c>
      <c r="D575" s="17" t="str">
        <f>Catalog!$BE$44</f>
        <v>unlocked</v>
      </c>
      <c r="E575" s="14" t="s">
        <v>24</v>
      </c>
      <c r="F575" s="17" t="str">
        <f>Catalog!$BK$44</f>
        <v>Sticky spiked ball</v>
      </c>
      <c r="G575" s="13"/>
    </row>
    <row r="576" spans="1:7" ht="15" x14ac:dyDescent="0.15">
      <c r="A576" s="11" t="s">
        <v>26</v>
      </c>
      <c r="B576" s="12" t="str">
        <f>Catalog!$E$44</f>
        <v>launcherSvengeance</v>
      </c>
      <c r="C576" s="17">
        <f>Catalog!$BD$44</f>
        <v>2</v>
      </c>
      <c r="D576" s="17" t="str">
        <f>Catalog!$BE$44</f>
        <v>unlocked</v>
      </c>
      <c r="E576" s="14" t="s">
        <v>25</v>
      </c>
      <c r="F576" s="17" t="str">
        <f>Catalog!$BL$44</f>
        <v>A sticky spiked ball that explodes!</v>
      </c>
      <c r="G576" s="13"/>
    </row>
    <row r="577" spans="1:7" ht="15" x14ac:dyDescent="0.15">
      <c r="A577" s="11" t="s">
        <v>26</v>
      </c>
      <c r="B577" s="12" t="str">
        <f>Catalog!$E$45</f>
        <v>launcherSvengeanceLegendary</v>
      </c>
      <c r="C577" s="17">
        <f>Catalog!$W$45</f>
        <v>0</v>
      </c>
      <c r="D577" s="17" t="str">
        <f>Catalog!$X$45</f>
        <v>locked</v>
      </c>
      <c r="E577" s="14" t="s">
        <v>23</v>
      </c>
      <c r="F577" s="17" t="str">
        <f>Catalog!$AB$45</f>
        <v>Great Ball of Fire Launcher</v>
      </c>
      <c r="G577" s="13" t="s">
        <v>5483</v>
      </c>
    </row>
    <row r="578" spans="1:7" ht="15" x14ac:dyDescent="0.15">
      <c r="A578" s="11" t="s">
        <v>26</v>
      </c>
      <c r="B578" s="12" t="str">
        <f>Catalog!$E$45</f>
        <v>launcherSvengeanceLegendary</v>
      </c>
      <c r="C578" s="17">
        <f>Catalog!$W$45</f>
        <v>0</v>
      </c>
      <c r="D578" s="17" t="str">
        <f>Catalog!$X$45</f>
        <v>locked</v>
      </c>
      <c r="E578" s="14" t="s">
        <v>24</v>
      </c>
      <c r="F578" s="17" t="str">
        <f>Catalog!$AC$45</f>
        <v>A spiked ball that trails flames</v>
      </c>
      <c r="G578" s="13" t="s">
        <v>5483</v>
      </c>
    </row>
    <row r="579" spans="1:7" ht="15" x14ac:dyDescent="0.15">
      <c r="A579" s="11" t="s">
        <v>26</v>
      </c>
      <c r="B579" s="12" t="str">
        <f>Catalog!$E$45</f>
        <v>launcherSvengeanceLegendary</v>
      </c>
      <c r="C579" s="17">
        <f>Catalog!$BD$45</f>
        <v>2</v>
      </c>
      <c r="D579" s="17" t="str">
        <f>Catalog!$BE$45</f>
        <v>unlocked</v>
      </c>
      <c r="E579" s="14" t="s">
        <v>23</v>
      </c>
      <c r="F579" s="17" t="str">
        <f>Catalog!$BI$45</f>
        <v>Great Ball of Fire Launcher</v>
      </c>
      <c r="G579" s="13" t="s">
        <v>5483</v>
      </c>
    </row>
    <row r="580" spans="1:7" ht="15" x14ac:dyDescent="0.15">
      <c r="A580" s="11" t="s">
        <v>26</v>
      </c>
      <c r="B580" s="12" t="str">
        <f>Catalog!$E$45</f>
        <v>launcherSvengeanceLegendary</v>
      </c>
      <c r="C580" s="17">
        <f>Catalog!$BD$45</f>
        <v>2</v>
      </c>
      <c r="D580" s="17" t="str">
        <f>Catalog!$BE$45</f>
        <v>unlocked</v>
      </c>
      <c r="E580" s="14" t="s">
        <v>24</v>
      </c>
      <c r="F580" s="17" t="str">
        <f>Catalog!$BK$45</f>
        <v>A spiked ball that trails flames</v>
      </c>
      <c r="G580" s="13" t="s">
        <v>5483</v>
      </c>
    </row>
    <row r="581" spans="1:7" ht="28" x14ac:dyDescent="0.15">
      <c r="A581" s="11" t="s">
        <v>26</v>
      </c>
      <c r="B581" s="12" t="str">
        <f>Catalog!$E$45</f>
        <v>launcherSvengeanceLegendary</v>
      </c>
      <c r="C581" s="17">
        <f>Catalog!$BD$45</f>
        <v>2</v>
      </c>
      <c r="D581" s="17" t="str">
        <f>Catalog!$BE$45</f>
        <v>unlocked</v>
      </c>
      <c r="E581" s="14" t="s">
        <v>25</v>
      </c>
      <c r="F581" s="17" t="str">
        <f>Catalog!$BL$45</f>
        <v>This spiked ball is so fast that it literally creates trails of flame behind it! So rad.</v>
      </c>
      <c r="G581" s="13" t="s">
        <v>5483</v>
      </c>
    </row>
    <row r="582" spans="1:7" ht="15" x14ac:dyDescent="0.15">
      <c r="A582" s="11" t="s">
        <v>26</v>
      </c>
      <c r="B582" s="12" t="str">
        <f>Catalog!$E$46</f>
        <v>launcherBelle</v>
      </c>
      <c r="C582" s="17">
        <f>Catalog!$W$46</f>
        <v>0</v>
      </c>
      <c r="D582" s="17" t="str">
        <f>Catalog!$X$46</f>
        <v>locked</v>
      </c>
      <c r="E582" s="14" t="s">
        <v>23</v>
      </c>
      <c r="F582" s="17" t="str">
        <f>Catalog!$AB$46</f>
        <v>Laser Party Ball</v>
      </c>
      <c r="G582" s="13"/>
    </row>
    <row r="583" spans="1:7" ht="15" x14ac:dyDescent="0.15">
      <c r="A583" s="11" t="s">
        <v>26</v>
      </c>
      <c r="B583" s="12" t="str">
        <f>Catalog!$E$46</f>
        <v>launcherBelle</v>
      </c>
      <c r="C583" s="17">
        <f>Catalog!$W$46</f>
        <v>0</v>
      </c>
      <c r="D583" s="17" t="str">
        <f>Catalog!$X$46</f>
        <v>locked</v>
      </c>
      <c r="E583" s="14" t="s">
        <v>24</v>
      </c>
      <c r="F583" s="17" t="str">
        <f>Catalog!$AC$46</f>
        <v>Spinning laser ball</v>
      </c>
      <c r="G583" s="13"/>
    </row>
    <row r="584" spans="1:7" ht="15" x14ac:dyDescent="0.15">
      <c r="A584" s="11" t="s">
        <v>26</v>
      </c>
      <c r="B584" s="12" t="str">
        <f>Catalog!$E$46</f>
        <v>launcherBelle</v>
      </c>
      <c r="C584" s="17">
        <f>Catalog!$BD$46</f>
        <v>2</v>
      </c>
      <c r="D584" s="17" t="str">
        <f>Catalog!$BE$46</f>
        <v>unlocked</v>
      </c>
      <c r="E584" s="14" t="s">
        <v>23</v>
      </c>
      <c r="F584" s="17" t="str">
        <f>Catalog!$BI$46</f>
        <v>Laser Party Ball</v>
      </c>
      <c r="G584" s="13"/>
    </row>
    <row r="585" spans="1:7" ht="15" x14ac:dyDescent="0.15">
      <c r="A585" s="11" t="s">
        <v>26</v>
      </c>
      <c r="B585" s="12" t="str">
        <f>Catalog!$E$46</f>
        <v>launcherBelle</v>
      </c>
      <c r="C585" s="17">
        <f>Catalog!$BD$46</f>
        <v>2</v>
      </c>
      <c r="D585" s="17" t="str">
        <f>Catalog!$BE$46</f>
        <v>unlocked</v>
      </c>
      <c r="E585" s="14" t="s">
        <v>24</v>
      </c>
      <c r="F585" s="17" t="str">
        <f>Catalog!$BK$46</f>
        <v>Spinning laser ball</v>
      </c>
      <c r="G585" s="13"/>
    </row>
    <row r="586" spans="1:7" ht="15" x14ac:dyDescent="0.15">
      <c r="A586" s="11" t="s">
        <v>26</v>
      </c>
      <c r="B586" s="12" t="str">
        <f>Catalog!$E$46</f>
        <v>launcherBelle</v>
      </c>
      <c r="C586" s="17">
        <f>Catalog!$BD$46</f>
        <v>2</v>
      </c>
      <c r="D586" s="17" t="str">
        <f>Catalog!$BE$46</f>
        <v>unlocked</v>
      </c>
      <c r="E586" s="14" t="s">
        <v>25</v>
      </c>
      <c r="F586" s="17" t="str">
        <f>Catalog!$BL$46</f>
        <v>Cause disco destruction with this laser party ball!</v>
      </c>
      <c r="G586" s="13"/>
    </row>
    <row r="587" spans="1:7" ht="15" x14ac:dyDescent="0.15">
      <c r="A587" s="11" t="s">
        <v>26</v>
      </c>
      <c r="B587" s="12" t="str">
        <f>Catalog!$E$47</f>
        <v>launcherBelleLegendary</v>
      </c>
      <c r="C587" s="17">
        <f>Catalog!$W$47</f>
        <v>0</v>
      </c>
      <c r="D587" s="17" t="str">
        <f>Catalog!$X$47</f>
        <v>locked</v>
      </c>
      <c r="E587" s="14" t="s">
        <v>23</v>
      </c>
      <c r="F587" s="17" t="str">
        <f>Catalog!$AB$47</f>
        <v>Plasma Disco Launcher</v>
      </c>
      <c r="G587" s="13" t="s">
        <v>5483</v>
      </c>
    </row>
    <row r="588" spans="1:7" ht="15" x14ac:dyDescent="0.15">
      <c r="A588" s="11" t="s">
        <v>26</v>
      </c>
      <c r="B588" s="12" t="str">
        <f>Catalog!$E$47</f>
        <v>launcherBelleLegendary</v>
      </c>
      <c r="C588" s="17">
        <f>Catalog!$W$47</f>
        <v>0</v>
      </c>
      <c r="D588" s="17" t="str">
        <f>Catalog!$X$47</f>
        <v>locked</v>
      </c>
      <c r="E588" s="14" t="s">
        <v>24</v>
      </c>
      <c r="F588" s="17" t="str">
        <f>Catalog!$AC$47</f>
        <v>Groovy plasma projectiles</v>
      </c>
      <c r="G588" s="13" t="s">
        <v>5483</v>
      </c>
    </row>
    <row r="589" spans="1:7" ht="15" x14ac:dyDescent="0.15">
      <c r="A589" s="11" t="s">
        <v>26</v>
      </c>
      <c r="B589" s="12" t="str">
        <f>Catalog!$E$47</f>
        <v>launcherBelleLegendary</v>
      </c>
      <c r="C589" s="17">
        <f>Catalog!$BD$47</f>
        <v>2</v>
      </c>
      <c r="D589" s="17" t="str">
        <f>Catalog!$BE$47</f>
        <v>unlocked</v>
      </c>
      <c r="E589" s="14" t="s">
        <v>23</v>
      </c>
      <c r="F589" s="17" t="str">
        <f>Catalog!$BI$47</f>
        <v>Plasma Disco Launcher</v>
      </c>
      <c r="G589" s="13" t="s">
        <v>5483</v>
      </c>
    </row>
    <row r="590" spans="1:7" ht="15" x14ac:dyDescent="0.15">
      <c r="A590" s="11" t="s">
        <v>26</v>
      </c>
      <c r="B590" s="12" t="str">
        <f>Catalog!$E$47</f>
        <v>launcherBelleLegendary</v>
      </c>
      <c r="C590" s="17">
        <f>Catalog!$BD$47</f>
        <v>2</v>
      </c>
      <c r="D590" s="17" t="str">
        <f>Catalog!$BE$47</f>
        <v>unlocked</v>
      </c>
      <c r="E590" s="14" t="s">
        <v>24</v>
      </c>
      <c r="F590" s="17" t="str">
        <f>Catalog!$BK$47</f>
        <v>Groovy plasma projectiles</v>
      </c>
      <c r="G590" s="13" t="s">
        <v>5483</v>
      </c>
    </row>
    <row r="591" spans="1:7" ht="15" x14ac:dyDescent="0.15">
      <c r="A591" s="11" t="s">
        <v>26</v>
      </c>
      <c r="B591" s="12" t="str">
        <f>Catalog!$E$47</f>
        <v>launcherBelleLegendary</v>
      </c>
      <c r="C591" s="17">
        <f>Catalog!$BD$47</f>
        <v>2</v>
      </c>
      <c r="D591" s="17" t="str">
        <f>Catalog!$BE$47</f>
        <v>unlocked</v>
      </c>
      <c r="E591" s="14" t="s">
        <v>25</v>
      </c>
      <c r="F591" s="17" t="str">
        <f>Catalog!$BL$47</f>
        <v>Fires projectiles like Belle Bottom's plasma ball!</v>
      </c>
      <c r="G591" s="13" t="s">
        <v>5483</v>
      </c>
    </row>
    <row r="592" spans="1:7" ht="15" x14ac:dyDescent="0.15">
      <c r="A592" s="11" t="s">
        <v>29</v>
      </c>
      <c r="B592" s="12" t="str">
        <f>Catalog!$E$48</f>
        <v>ultimateGeneral</v>
      </c>
      <c r="C592" s="20">
        <f>Catalog!BD48</f>
        <v>2</v>
      </c>
      <c r="D592" s="20" t="str">
        <f>Catalog!$BE$48</f>
        <v>unlocked</v>
      </c>
      <c r="E592" s="19" t="s">
        <v>23</v>
      </c>
      <c r="F592" s="20" t="str">
        <f>Catalog!$BI$48</f>
        <v>Omniblaster</v>
      </c>
    </row>
    <row r="593" spans="1:7" ht="15" x14ac:dyDescent="0.15">
      <c r="A593" s="11" t="s">
        <v>29</v>
      </c>
      <c r="B593" s="12" t="str">
        <f>Catalog!$E$48</f>
        <v>ultimateGeneral</v>
      </c>
      <c r="C593" s="20">
        <f>Catalog!BD48</f>
        <v>2</v>
      </c>
      <c r="D593" s="20" t="str">
        <f>Catalog!$BE$48</f>
        <v>unlocked</v>
      </c>
      <c r="E593" s="19" t="s">
        <v>24</v>
      </c>
      <c r="F593" s="20" t="str">
        <f>Catalog!$BK$48</f>
        <v>A blast of each super-charged elemental!</v>
      </c>
    </row>
    <row r="594" spans="1:7" ht="15" x14ac:dyDescent="0.15">
      <c r="A594" s="11" t="s">
        <v>29</v>
      </c>
      <c r="B594" s="12" t="str">
        <f>Catalog!$E$48</f>
        <v>ultimateGeneral</v>
      </c>
      <c r="C594" s="20">
        <f>Catalog!BD48</f>
        <v>2</v>
      </c>
      <c r="D594" s="20" t="str">
        <f>Catalog!$BE$48</f>
        <v>unlocked</v>
      </c>
      <c r="E594" s="19" t="s">
        <v>25</v>
      </c>
      <c r="F594" s="20" t="str">
        <f>Catalog!$BL$48</f>
        <v>Cycles through a powerful blast of each elemental!</v>
      </c>
    </row>
    <row r="595" spans="1:7" ht="15" x14ac:dyDescent="0.15">
      <c r="A595" s="11" t="s">
        <v>29</v>
      </c>
      <c r="B595" s="12" t="str">
        <f>Catalog!$E$49</f>
        <v>ultimateForce</v>
      </c>
      <c r="C595" s="20">
        <f>Catalog!W49</f>
        <v>0</v>
      </c>
      <c r="D595" s="20" t="str">
        <f>Catalog!$X$49</f>
        <v>locked</v>
      </c>
      <c r="E595" s="19" t="s">
        <v>23</v>
      </c>
      <c r="F595" s="20" t="str">
        <f>Catalog!$AB$49</f>
        <v>Unholy Guacamole</v>
      </c>
    </row>
    <row r="596" spans="1:7" ht="15" x14ac:dyDescent="0.15">
      <c r="A596" s="11" t="s">
        <v>29</v>
      </c>
      <c r="B596" s="12" t="str">
        <f>Catalog!$E$49</f>
        <v>ultimateForce</v>
      </c>
      <c r="C596" s="20">
        <f>Catalog!W49</f>
        <v>0</v>
      </c>
      <c r="D596" s="20" t="str">
        <f>Catalog!$X$49</f>
        <v>locked</v>
      </c>
      <c r="E596" s="19" t="s">
        <v>24</v>
      </c>
      <c r="F596" s="20" t="str">
        <f>Catalog!AC49</f>
        <v>El Macho's Unholy Guacamole</v>
      </c>
    </row>
    <row r="597" spans="1:7" ht="15" x14ac:dyDescent="0.15">
      <c r="A597" s="11" t="s">
        <v>29</v>
      </c>
      <c r="B597" s="12" t="str">
        <f>Catalog!$E$49</f>
        <v>ultimateForce</v>
      </c>
      <c r="C597" s="20">
        <f>Catalog!BD49</f>
        <v>2</v>
      </c>
      <c r="D597" s="20" t="str">
        <f>Catalog!$BE$49</f>
        <v>unlocked</v>
      </c>
      <c r="E597" s="19" t="s">
        <v>24</v>
      </c>
      <c r="F597" s="20" t="str">
        <f>Catalog!BK49</f>
        <v>El Macho's Unholy Guacamole</v>
      </c>
    </row>
    <row r="598" spans="1:7" ht="15" x14ac:dyDescent="0.15">
      <c r="A598" s="11" t="s">
        <v>29</v>
      </c>
      <c r="B598" s="12" t="str">
        <f>Catalog!$E$49</f>
        <v>ultimateForce</v>
      </c>
      <c r="C598" s="20">
        <f>Catalog!BD49</f>
        <v>2</v>
      </c>
      <c r="D598" s="20" t="str">
        <f>Catalog!$BE$49</f>
        <v>unlocked</v>
      </c>
      <c r="E598" s="19" t="s">
        <v>25</v>
      </c>
      <c r="F598" s="20" t="str">
        <f>Catalog!BL49</f>
        <v>Chunks of deadly guacamole explode and splatter everywhere!</v>
      </c>
    </row>
    <row r="599" spans="1:7" ht="15" x14ac:dyDescent="0.15">
      <c r="A599" s="11" t="s">
        <v>29</v>
      </c>
      <c r="B599" s="12" t="str">
        <f>Catalog!E50</f>
        <v>ultimateFire</v>
      </c>
      <c r="C599" s="20">
        <f>Catalog!W50</f>
        <v>0</v>
      </c>
      <c r="D599" s="20" t="str">
        <f>Catalog!X50</f>
        <v>locked</v>
      </c>
      <c r="E599" s="19" t="s">
        <v>23</v>
      </c>
      <c r="F599" s="20" t="str">
        <f>Catalog!AB50</f>
        <v>Lethal Lava Lamp</v>
      </c>
    </row>
    <row r="600" spans="1:7" ht="15" x14ac:dyDescent="0.15">
      <c r="A600" s="11" t="s">
        <v>29</v>
      </c>
      <c r="B600" s="12" t="str">
        <f>Catalog!E50</f>
        <v>ultimateFire</v>
      </c>
      <c r="C600" s="20">
        <f>Catalog!W50</f>
        <v>0</v>
      </c>
      <c r="D600" s="20" t="str">
        <f>Catalog!X50</f>
        <v>locked</v>
      </c>
      <c r="E600" s="19" t="s">
        <v>24</v>
      </c>
      <c r="F600" s="20" t="str">
        <f>Catalog!AC50</f>
        <v>Scarlet's Lethal Lava Lamp</v>
      </c>
    </row>
    <row r="601" spans="1:7" ht="15" x14ac:dyDescent="0.15">
      <c r="A601" s="11" t="s">
        <v>29</v>
      </c>
      <c r="B601" s="12" t="str">
        <f>Catalog!E50</f>
        <v>ultimateFire</v>
      </c>
      <c r="C601" s="20">
        <f>Catalog!BD50</f>
        <v>2</v>
      </c>
      <c r="D601" s="20" t="str">
        <f>Catalog!BE50</f>
        <v>unlocked</v>
      </c>
      <c r="E601" s="19" t="s">
        <v>24</v>
      </c>
      <c r="F601" s="20" t="str">
        <f>Catalog!BK50</f>
        <v>Scarlet's Lethal Lava Lamp</v>
      </c>
    </row>
    <row r="602" spans="1:7" ht="15" x14ac:dyDescent="0.15">
      <c r="A602" s="11" t="s">
        <v>29</v>
      </c>
      <c r="B602" s="12" t="str">
        <f>Catalog!E50</f>
        <v>ultimateFire</v>
      </c>
      <c r="C602" s="20">
        <f>Catalog!BD50</f>
        <v>2</v>
      </c>
      <c r="D602" s="20" t="str">
        <f>Catalog!BE50</f>
        <v>unlocked</v>
      </c>
      <c r="E602" s="19" t="s">
        <v>25</v>
      </c>
      <c r="F602" s="20" t="str">
        <f>Catalog!BL50</f>
        <v>Lava Lamps rain blazing magma down on your targets!</v>
      </c>
    </row>
    <row r="603" spans="1:7" ht="15" x14ac:dyDescent="0.15">
      <c r="A603" s="11" t="s">
        <v>29</v>
      </c>
      <c r="B603" s="12" t="str">
        <f>Catalog!E51</f>
        <v>ultimateFreeze</v>
      </c>
      <c r="C603" s="20">
        <f>Catalog!W51</f>
        <v>0</v>
      </c>
      <c r="D603" s="20" t="str">
        <f>Catalog!X51</f>
        <v>locked</v>
      </c>
      <c r="E603" s="19" t="s">
        <v>23</v>
      </c>
      <c r="F603" s="20" t="str">
        <f>Catalog!AB51</f>
        <v>Piranha-sicle</v>
      </c>
    </row>
    <row r="604" spans="1:7" ht="15" x14ac:dyDescent="0.15">
      <c r="A604" s="11" t="s">
        <v>29</v>
      </c>
      <c r="B604" s="12" t="str">
        <f>Catalog!E51</f>
        <v>ultimateFreeze</v>
      </c>
      <c r="C604" s="20">
        <f>Catalog!W51</f>
        <v>0</v>
      </c>
      <c r="D604" s="20" t="str">
        <f>Catalog!X51</f>
        <v>locked</v>
      </c>
      <c r="E604" s="19" t="s">
        <v>24</v>
      </c>
      <c r="F604" s="20" t="str">
        <f>Catalog!AC51</f>
        <v>Vector's Piranha-sicle</v>
      </c>
      <c r="G604" s="612"/>
    </row>
    <row r="605" spans="1:7" ht="15" x14ac:dyDescent="0.15">
      <c r="A605" s="11" t="s">
        <v>29</v>
      </c>
      <c r="B605" s="12" t="str">
        <f>Catalog!E51</f>
        <v>ultimateFreeze</v>
      </c>
      <c r="C605" s="20">
        <f>Catalog!BD51</f>
        <v>2</v>
      </c>
      <c r="D605" s="20" t="str">
        <f>Catalog!BE51</f>
        <v>unlocked</v>
      </c>
      <c r="E605" s="19" t="s">
        <v>24</v>
      </c>
      <c r="F605" s="20" t="str">
        <f>Catalog!BK51</f>
        <v>Vector's Piranha-sicle</v>
      </c>
      <c r="G605" s="612"/>
    </row>
    <row r="606" spans="1:7" ht="15" x14ac:dyDescent="0.15">
      <c r="A606" s="11" t="s">
        <v>29</v>
      </c>
      <c r="B606" s="12" t="str">
        <f>Catalog!E51</f>
        <v>ultimateFreeze</v>
      </c>
      <c r="C606" s="20">
        <f>Catalog!BD51</f>
        <v>2</v>
      </c>
      <c r="D606" s="20" t="str">
        <f>Catalog!BE51</f>
        <v>unlocked</v>
      </c>
      <c r="E606" s="19" t="s">
        <v>25</v>
      </c>
      <c r="F606" s="20" t="str">
        <f>Catalog!BL51</f>
        <v>A frozen Piranha-sicle latches onto targets before shattering!</v>
      </c>
      <c r="G606" s="612"/>
    </row>
    <row r="607" spans="1:7" ht="15" x14ac:dyDescent="0.15">
      <c r="A607" s="11" t="s">
        <v>29</v>
      </c>
      <c r="B607" s="12" t="str">
        <f>Catalog!E52</f>
        <v>ultimateLightning</v>
      </c>
      <c r="C607" s="20">
        <f>Catalog!W52</f>
        <v>0</v>
      </c>
      <c r="D607" s="20" t="str">
        <f>Catalog!X52</f>
        <v>locked</v>
      </c>
      <c r="E607" s="19" t="s">
        <v>23</v>
      </c>
      <c r="F607" s="20" t="str">
        <f>Catalog!AB52</f>
        <v>BOOM! (TM) Box</v>
      </c>
    </row>
    <row r="608" spans="1:7" ht="15" x14ac:dyDescent="0.15">
      <c r="A608" s="11" t="s">
        <v>29</v>
      </c>
      <c r="B608" s="12" t="str">
        <f>Catalog!E52</f>
        <v>ultimateLightning</v>
      </c>
      <c r="C608" s="20">
        <f>Catalog!W52</f>
        <v>0</v>
      </c>
      <c r="D608" s="20" t="str">
        <f>Catalog!X52</f>
        <v>locked</v>
      </c>
      <c r="E608" s="19" t="s">
        <v>24</v>
      </c>
      <c r="F608" s="20" t="str">
        <f>Catalog!AC52</f>
        <v>Bratt's BOOM! (TM) Box</v>
      </c>
      <c r="G608" s="612"/>
    </row>
    <row r="609" spans="1:7" ht="15" x14ac:dyDescent="0.15">
      <c r="A609" s="11" t="s">
        <v>29</v>
      </c>
      <c r="B609" s="12" t="str">
        <f>Catalog!E52</f>
        <v>ultimateLightning</v>
      </c>
      <c r="C609" s="20">
        <f>Catalog!BD52</f>
        <v>2</v>
      </c>
      <c r="D609" s="20" t="str">
        <f>Catalog!BE52</f>
        <v>unlocked</v>
      </c>
      <c r="E609" s="19" t="s">
        <v>24</v>
      </c>
      <c r="F609" s="20" t="str">
        <f>Catalog!BK52</f>
        <v>Bratt's BOOM! (TM) Box</v>
      </c>
      <c r="G609" s="612"/>
    </row>
    <row r="610" spans="1:7" ht="15" x14ac:dyDescent="0.15">
      <c r="A610" s="11" t="s">
        <v>29</v>
      </c>
      <c r="B610" s="12" t="str">
        <f>Catalog!E52</f>
        <v>ultimateLightning</v>
      </c>
      <c r="C610" s="20">
        <f>Catalog!BD52</f>
        <v>2</v>
      </c>
      <c r="D610" s="20" t="str">
        <f>Catalog!BE52</f>
        <v>unlocked</v>
      </c>
      <c r="E610" s="19" t="s">
        <v>25</v>
      </c>
      <c r="F610" s="20" t="str">
        <f>Catalog!BL52</f>
        <v>A storm of exploding musical notes!</v>
      </c>
      <c r="G610" s="612"/>
    </row>
    <row r="611" spans="1:7" ht="15" x14ac:dyDescent="0.15">
      <c r="A611" s="11" t="s">
        <v>30</v>
      </c>
      <c r="B611" s="12" t="str">
        <f>Catalog!E61</f>
        <v>perkMultiLightning</v>
      </c>
      <c r="C611" s="20">
        <f>Catalog!W61</f>
        <v>0</v>
      </c>
      <c r="D611" s="20" t="str">
        <f>Catalog!X61</f>
        <v>locked</v>
      </c>
      <c r="E611" s="19" t="s">
        <v>23</v>
      </c>
      <c r="F611" s="19" t="str">
        <f>Catalog!AB61</f>
        <v>Lightning Multiburst</v>
      </c>
      <c r="G611" s="612"/>
    </row>
    <row r="612" spans="1:7" ht="15" x14ac:dyDescent="0.15">
      <c r="A612" s="11" t="s">
        <v>30</v>
      </c>
      <c r="B612" s="12" t="str">
        <f>Catalog!E61</f>
        <v>perkMultiLightning</v>
      </c>
      <c r="C612" s="20">
        <f>Catalog!W61</f>
        <v>0</v>
      </c>
      <c r="D612" s="20" t="str">
        <f>Catalog!X61</f>
        <v>locked</v>
      </c>
      <c r="E612" s="19" t="s">
        <v>24</v>
      </c>
      <c r="F612" s="19" t="str">
        <f>Catalog!AC61</f>
        <v>Activate a multiburst of Lightning!</v>
      </c>
      <c r="G612" s="612"/>
    </row>
    <row r="613" spans="1:7" ht="15" x14ac:dyDescent="0.15">
      <c r="A613" s="11" t="s">
        <v>30</v>
      </c>
      <c r="B613" s="12" t="str">
        <f>Catalog!E61</f>
        <v>perkMultiLightning</v>
      </c>
      <c r="C613" s="20">
        <f>Catalog!W61</f>
        <v>0</v>
      </c>
      <c r="D613" s="20" t="str">
        <f>Catalog!X61</f>
        <v>locked</v>
      </c>
      <c r="E613" s="19" t="s">
        <v>25</v>
      </c>
      <c r="F613" s="19" t="str">
        <f>Catalog!AD61</f>
        <v>Get multiple consecutive blasts for the Lightning elemental</v>
      </c>
      <c r="G613" s="612"/>
    </row>
    <row r="614" spans="1:7" ht="15" x14ac:dyDescent="0.15">
      <c r="A614" s="11" t="s">
        <v>30</v>
      </c>
      <c r="B614" s="12" t="str">
        <f>Catalog!E61</f>
        <v>perkMultiLightning</v>
      </c>
      <c r="C614" s="19">
        <f>Catalog!BD61</f>
        <v>2</v>
      </c>
      <c r="D614" s="20" t="str">
        <f>Catalog!BE61</f>
        <v>unlocked</v>
      </c>
      <c r="E614" s="19" t="s">
        <v>25</v>
      </c>
      <c r="F614" s="19" t="str">
        <f>Catalog!BL61</f>
        <v>Get multiple consecutive blasts for the Lightning elemental</v>
      </c>
      <c r="G614" s="612"/>
    </row>
    <row r="615" spans="1:7" ht="15" x14ac:dyDescent="0.15">
      <c r="A615" s="11" t="s">
        <v>30</v>
      </c>
      <c r="B615" s="12" t="str">
        <f>Catalog!E61</f>
        <v>perkMultiLightning</v>
      </c>
      <c r="C615" s="19" t="e">
        <f t="shared" ref="C615:D615" si="212">#REF!</f>
        <v>#REF!</v>
      </c>
      <c r="D615" s="19" t="e">
        <f t="shared" si="212"/>
        <v>#REF!</v>
      </c>
      <c r="E615" s="19" t="s">
        <v>25</v>
      </c>
      <c r="F615" s="19" t="e">
        <f t="shared" ref="F615:F616" si="213">#REF!</f>
        <v>#REF!</v>
      </c>
      <c r="G615" s="612" t="s">
        <v>5483</v>
      </c>
    </row>
    <row r="616" spans="1:7" ht="15" x14ac:dyDescent="0.15">
      <c r="A616" s="11" t="s">
        <v>30</v>
      </c>
      <c r="B616" s="12" t="str">
        <f>Catalog!E61</f>
        <v>perkMultiLightning</v>
      </c>
      <c r="C616" s="19" t="e">
        <f t="shared" ref="C616:D616" si="214">#REF!</f>
        <v>#REF!</v>
      </c>
      <c r="D616" s="19" t="e">
        <f t="shared" si="214"/>
        <v>#REF!</v>
      </c>
      <c r="E616" s="19" t="s">
        <v>25</v>
      </c>
      <c r="F616" s="19" t="e">
        <f t="shared" si="213"/>
        <v>#REF!</v>
      </c>
      <c r="G616" s="612" t="s">
        <v>5483</v>
      </c>
    </row>
    <row r="617" spans="1:7" ht="15" x14ac:dyDescent="0.15">
      <c r="A617" s="21" t="s">
        <v>30</v>
      </c>
      <c r="B617" s="22" t="str">
        <f>Catalog!E63</f>
        <v>perkMultiForce</v>
      </c>
      <c r="C617" s="23">
        <f>Catalog!W63</f>
        <v>0</v>
      </c>
      <c r="D617" s="24" t="str">
        <f>Catalog!X63</f>
        <v>locked</v>
      </c>
      <c r="E617" s="25" t="s">
        <v>23</v>
      </c>
      <c r="F617" s="25" t="str">
        <f>Catalog!AB63</f>
        <v>Force Multiburst</v>
      </c>
      <c r="G617" s="612"/>
    </row>
    <row r="618" spans="1:7" ht="15" x14ac:dyDescent="0.15">
      <c r="A618" s="21" t="s">
        <v>30</v>
      </c>
      <c r="B618" s="22" t="str">
        <f>Catalog!E63</f>
        <v>perkMultiForce</v>
      </c>
      <c r="C618" s="23">
        <f>Catalog!W63</f>
        <v>0</v>
      </c>
      <c r="D618" s="24" t="str">
        <f>Catalog!X63</f>
        <v>locked</v>
      </c>
      <c r="E618" s="25" t="s">
        <v>24</v>
      </c>
      <c r="F618" s="25" t="str">
        <f>Catalog!AC63</f>
        <v>Activate a multiburst of Force!</v>
      </c>
      <c r="G618" s="612"/>
    </row>
    <row r="619" spans="1:7" ht="15" x14ac:dyDescent="0.15">
      <c r="A619" s="21" t="s">
        <v>30</v>
      </c>
      <c r="B619" s="22" t="str">
        <f>Catalog!E63</f>
        <v>perkMultiForce</v>
      </c>
      <c r="C619" s="23">
        <f>Catalog!W63</f>
        <v>0</v>
      </c>
      <c r="D619" s="24" t="str">
        <f>Catalog!X63</f>
        <v>locked</v>
      </c>
      <c r="E619" s="25" t="s">
        <v>25</v>
      </c>
      <c r="F619" s="25" t="str">
        <f>Catalog!AD63</f>
        <v>Get multiple consecutive blasts for the Force elemental</v>
      </c>
      <c r="G619" s="612"/>
    </row>
    <row r="620" spans="1:7" ht="15" x14ac:dyDescent="0.15">
      <c r="A620" s="21" t="s">
        <v>30</v>
      </c>
      <c r="B620" s="22" t="str">
        <f>Catalog!E63</f>
        <v>perkMultiForce</v>
      </c>
      <c r="C620" s="23">
        <f>Catalog!BD63</f>
        <v>2</v>
      </c>
      <c r="D620" s="24" t="str">
        <f>Catalog!BE63</f>
        <v>unlocked</v>
      </c>
      <c r="E620" s="25" t="s">
        <v>25</v>
      </c>
      <c r="F620" s="25" t="str">
        <f>Catalog!BL63</f>
        <v>Get multiple consecutive blasts for the Force elemental</v>
      </c>
      <c r="G620" s="612"/>
    </row>
    <row r="621" spans="1:7" ht="15" x14ac:dyDescent="0.15">
      <c r="A621" s="21" t="s">
        <v>30</v>
      </c>
      <c r="B621" s="22" t="str">
        <f>Catalog!E63</f>
        <v>perkMultiForce</v>
      </c>
      <c r="C621" s="23" t="e">
        <f t="shared" ref="C621:D621" si="215">#REF!</f>
        <v>#REF!</v>
      </c>
      <c r="D621" s="24" t="e">
        <f t="shared" si="215"/>
        <v>#REF!</v>
      </c>
      <c r="E621" s="25" t="s">
        <v>25</v>
      </c>
      <c r="F621" s="25" t="e">
        <f t="shared" ref="F621:F622" si="216">#REF!</f>
        <v>#REF!</v>
      </c>
      <c r="G621" s="612" t="s">
        <v>5483</v>
      </c>
    </row>
    <row r="622" spans="1:7" ht="15" x14ac:dyDescent="0.15">
      <c r="A622" s="21" t="s">
        <v>30</v>
      </c>
      <c r="B622" s="22" t="str">
        <f>Catalog!E63</f>
        <v>perkMultiForce</v>
      </c>
      <c r="C622" s="23" t="e">
        <f t="shared" ref="C622:D622" si="217">#REF!</f>
        <v>#REF!</v>
      </c>
      <c r="D622" s="24" t="e">
        <f t="shared" si="217"/>
        <v>#REF!</v>
      </c>
      <c r="E622" s="25" t="s">
        <v>25</v>
      </c>
      <c r="F622" s="25" t="e">
        <f t="shared" si="216"/>
        <v>#REF!</v>
      </c>
      <c r="G622" s="612" t="s">
        <v>5483</v>
      </c>
    </row>
    <row r="623" spans="1:7" ht="15" x14ac:dyDescent="0.15">
      <c r="A623" s="21" t="s">
        <v>30</v>
      </c>
      <c r="B623" s="22" t="str">
        <f>Catalog!E64</f>
        <v>perkMultiFreeze</v>
      </c>
      <c r="C623" s="23">
        <f>Catalog!W64</f>
        <v>0</v>
      </c>
      <c r="D623" s="24" t="str">
        <f>Catalog!X64</f>
        <v>locked</v>
      </c>
      <c r="E623" s="25" t="s">
        <v>23</v>
      </c>
      <c r="F623" s="25" t="str">
        <f>Catalog!AB64</f>
        <v>Freeze Ray Multiburst</v>
      </c>
      <c r="G623" s="612"/>
    </row>
    <row r="624" spans="1:7" ht="15" x14ac:dyDescent="0.15">
      <c r="A624" s="21" t="s">
        <v>30</v>
      </c>
      <c r="B624" s="22" t="str">
        <f>Catalog!E64</f>
        <v>perkMultiFreeze</v>
      </c>
      <c r="C624" s="23">
        <f>Catalog!W64</f>
        <v>0</v>
      </c>
      <c r="D624" s="24" t="str">
        <f>Catalog!X64</f>
        <v>locked</v>
      </c>
      <c r="E624" s="25" t="s">
        <v>24</v>
      </c>
      <c r="F624" s="25" t="str">
        <f>Catalog!AC64</f>
        <v>Activate a multiburst of Freeze!</v>
      </c>
      <c r="G624" s="612"/>
    </row>
    <row r="625" spans="1:7" ht="15" x14ac:dyDescent="0.15">
      <c r="A625" s="21" t="s">
        <v>30</v>
      </c>
      <c r="B625" s="22" t="str">
        <f>Catalog!E64</f>
        <v>perkMultiFreeze</v>
      </c>
      <c r="C625" s="23">
        <f>Catalog!W64</f>
        <v>0</v>
      </c>
      <c r="D625" s="24" t="str">
        <f>Catalog!X64</f>
        <v>locked</v>
      </c>
      <c r="E625" s="25" t="s">
        <v>25</v>
      </c>
      <c r="F625" s="25" t="str">
        <f>Catalog!AD64</f>
        <v>Get multiple consecutive blasts for the Freeze elemental</v>
      </c>
      <c r="G625" s="612"/>
    </row>
    <row r="626" spans="1:7" ht="15" x14ac:dyDescent="0.15">
      <c r="A626" s="21" t="s">
        <v>30</v>
      </c>
      <c r="B626" s="22" t="str">
        <f>Catalog!E64</f>
        <v>perkMultiFreeze</v>
      </c>
      <c r="C626" s="23">
        <f>Catalog!BD64</f>
        <v>2</v>
      </c>
      <c r="D626" s="24" t="str">
        <f>Catalog!BE64</f>
        <v>unlocked</v>
      </c>
      <c r="E626" s="25" t="s">
        <v>25</v>
      </c>
      <c r="F626" s="25" t="str">
        <f>Catalog!BL64</f>
        <v>Get multiple consecutive blasts for the Freeze elemental</v>
      </c>
      <c r="G626" s="612"/>
    </row>
    <row r="627" spans="1:7" ht="15" x14ac:dyDescent="0.15">
      <c r="A627" s="21" t="s">
        <v>30</v>
      </c>
      <c r="B627" s="22" t="str">
        <f>Catalog!E64</f>
        <v>perkMultiFreeze</v>
      </c>
      <c r="C627" s="23" t="e">
        <f t="shared" ref="C627:D627" si="218">#REF!</f>
        <v>#REF!</v>
      </c>
      <c r="D627" s="24" t="e">
        <f t="shared" si="218"/>
        <v>#REF!</v>
      </c>
      <c r="E627" s="25" t="s">
        <v>25</v>
      </c>
      <c r="F627" s="25" t="e">
        <f t="shared" ref="F627:F628" si="219">#REF!</f>
        <v>#REF!</v>
      </c>
      <c r="G627" s="612" t="s">
        <v>5483</v>
      </c>
    </row>
    <row r="628" spans="1:7" ht="15" x14ac:dyDescent="0.15">
      <c r="A628" s="21" t="s">
        <v>30</v>
      </c>
      <c r="B628" s="22" t="str">
        <f>Catalog!E64</f>
        <v>perkMultiFreeze</v>
      </c>
      <c r="C628" s="23" t="e">
        <f t="shared" ref="C628:D628" si="220">#REF!</f>
        <v>#REF!</v>
      </c>
      <c r="D628" s="24" t="e">
        <f t="shared" si="220"/>
        <v>#REF!</v>
      </c>
      <c r="E628" s="25" t="s">
        <v>25</v>
      </c>
      <c r="F628" s="25" t="e">
        <f t="shared" si="219"/>
        <v>#REF!</v>
      </c>
      <c r="G628" s="612" t="s">
        <v>5483</v>
      </c>
    </row>
    <row r="629" spans="1:7" ht="15" x14ac:dyDescent="0.15">
      <c r="A629" s="21" t="s">
        <v>30</v>
      </c>
      <c r="B629" s="22" t="str">
        <f>Catalog!E65</f>
        <v>perkMultiFire</v>
      </c>
      <c r="C629" s="23">
        <f>Catalog!W65</f>
        <v>0</v>
      </c>
      <c r="D629" s="24" t="str">
        <f>Catalog!X65</f>
        <v>locked</v>
      </c>
      <c r="E629" s="25" t="s">
        <v>23</v>
      </c>
      <c r="F629" s="25" t="str">
        <f>Catalog!AB65</f>
        <v>Fire Ball Multiburst</v>
      </c>
      <c r="G629" s="612"/>
    </row>
    <row r="630" spans="1:7" ht="15" x14ac:dyDescent="0.15">
      <c r="A630" s="21" t="s">
        <v>30</v>
      </c>
      <c r="B630" s="22" t="str">
        <f>Catalog!E65</f>
        <v>perkMultiFire</v>
      </c>
      <c r="C630" s="23">
        <f>Catalog!W65</f>
        <v>0</v>
      </c>
      <c r="D630" s="24" t="str">
        <f>Catalog!X65</f>
        <v>locked</v>
      </c>
      <c r="E630" s="25" t="s">
        <v>24</v>
      </c>
      <c r="F630" s="25" t="str">
        <f>Catalog!AC65</f>
        <v>Activate a multiburst of Fire!</v>
      </c>
      <c r="G630" s="612"/>
    </row>
    <row r="631" spans="1:7" ht="15" x14ac:dyDescent="0.15">
      <c r="A631" s="21" t="s">
        <v>30</v>
      </c>
      <c r="B631" s="22" t="str">
        <f>Catalog!E65</f>
        <v>perkMultiFire</v>
      </c>
      <c r="C631" s="23">
        <f>Catalog!W65</f>
        <v>0</v>
      </c>
      <c r="D631" s="24" t="str">
        <f>Catalog!X65</f>
        <v>locked</v>
      </c>
      <c r="E631" s="25" t="s">
        <v>25</v>
      </c>
      <c r="F631" s="25" t="str">
        <f>Catalog!AD65</f>
        <v>Get multiple consecutive blasts for the Fire elemental</v>
      </c>
      <c r="G631" s="612"/>
    </row>
    <row r="632" spans="1:7" ht="15" x14ac:dyDescent="0.15">
      <c r="A632" s="21" t="s">
        <v>30</v>
      </c>
      <c r="B632" s="22" t="str">
        <f>Catalog!E65</f>
        <v>perkMultiFire</v>
      </c>
      <c r="C632" s="23">
        <f>Catalog!BD65</f>
        <v>2</v>
      </c>
      <c r="D632" s="24" t="str">
        <f>Catalog!BE65</f>
        <v>unlocked</v>
      </c>
      <c r="E632" s="25" t="s">
        <v>25</v>
      </c>
      <c r="F632" s="25" t="str">
        <f>Catalog!BL65</f>
        <v>Get multiple consecutive blasts for the Fire elemental</v>
      </c>
      <c r="G632" s="612"/>
    </row>
    <row r="633" spans="1:7" ht="15" x14ac:dyDescent="0.15">
      <c r="A633" s="21" t="s">
        <v>30</v>
      </c>
      <c r="B633" s="22" t="str">
        <f>Catalog!E65</f>
        <v>perkMultiFire</v>
      </c>
      <c r="C633" s="23" t="e">
        <f t="shared" ref="C633:D633" si="221">#REF!</f>
        <v>#REF!</v>
      </c>
      <c r="D633" s="24" t="e">
        <f t="shared" si="221"/>
        <v>#REF!</v>
      </c>
      <c r="E633" s="25" t="s">
        <v>25</v>
      </c>
      <c r="F633" s="25" t="e">
        <f t="shared" ref="F633:F634" si="222">#REF!</f>
        <v>#REF!</v>
      </c>
      <c r="G633" s="612" t="s">
        <v>5483</v>
      </c>
    </row>
    <row r="634" spans="1:7" ht="15" x14ac:dyDescent="0.15">
      <c r="A634" s="21" t="s">
        <v>30</v>
      </c>
      <c r="B634" s="22" t="str">
        <f>Catalog!E65</f>
        <v>perkMultiFire</v>
      </c>
      <c r="C634" s="23" t="e">
        <f t="shared" ref="C634:D634" si="223">#REF!</f>
        <v>#REF!</v>
      </c>
      <c r="D634" s="24" t="e">
        <f t="shared" si="223"/>
        <v>#REF!</v>
      </c>
      <c r="E634" s="25" t="s">
        <v>25</v>
      </c>
      <c r="F634" s="25" t="e">
        <f t="shared" si="222"/>
        <v>#REF!</v>
      </c>
      <c r="G634" s="612" t="s">
        <v>5483</v>
      </c>
    </row>
    <row r="635" spans="1:7" ht="15" x14ac:dyDescent="0.15">
      <c r="A635" s="21" t="s">
        <v>30</v>
      </c>
      <c r="B635" s="22" t="str">
        <f>Catalog!E66</f>
        <v>perkDamageForce</v>
      </c>
      <c r="C635" s="23">
        <f>Catalog!W66</f>
        <v>0</v>
      </c>
      <c r="D635" s="24" t="str">
        <f>Catalog!X66</f>
        <v>locked</v>
      </c>
      <c r="E635" s="25" t="s">
        <v>23</v>
      </c>
      <c r="F635" s="25" t="str">
        <f>Catalog!AB66</f>
        <v>Force Supercharge</v>
      </c>
      <c r="G635" s="612"/>
    </row>
    <row r="636" spans="1:7" ht="15" x14ac:dyDescent="0.15">
      <c r="A636" s="21" t="s">
        <v>30</v>
      </c>
      <c r="B636" s="22" t="str">
        <f>Catalog!E66</f>
        <v>perkDamageForce</v>
      </c>
      <c r="C636" s="23">
        <f>Catalog!W66</f>
        <v>0</v>
      </c>
      <c r="D636" s="24" t="str">
        <f>Catalog!X66</f>
        <v>locked</v>
      </c>
      <c r="E636" s="25" t="s">
        <v>24</v>
      </c>
      <c r="F636" s="25" t="str">
        <f>Catalog!AC66</f>
        <v>Bigger Force blasts deal extra damage!</v>
      </c>
      <c r="G636" s="612"/>
    </row>
    <row r="637" spans="1:7" ht="15" x14ac:dyDescent="0.15">
      <c r="A637" s="21" t="s">
        <v>30</v>
      </c>
      <c r="B637" s="22" t="str">
        <f>Catalog!E66</f>
        <v>perkDamageForce</v>
      </c>
      <c r="C637" s="23">
        <f>Catalog!W66</f>
        <v>0</v>
      </c>
      <c r="D637" s="24" t="str">
        <f>Catalog!X66</f>
        <v>locked</v>
      </c>
      <c r="E637" s="25" t="s">
        <v>25</v>
      </c>
      <c r="F637" s="25" t="str">
        <f>Catalog!AD66</f>
        <v>Your Force elemental is bigger and badder!</v>
      </c>
      <c r="G637" s="612"/>
    </row>
    <row r="638" spans="1:7" ht="15" x14ac:dyDescent="0.15">
      <c r="A638" s="21" t="s">
        <v>30</v>
      </c>
      <c r="B638" s="22" t="str">
        <f>Catalog!E66</f>
        <v>perkDamageForce</v>
      </c>
      <c r="C638" s="23">
        <f>Catalog!BD66</f>
        <v>2</v>
      </c>
      <c r="D638" s="24" t="str">
        <f>Catalog!BE66</f>
        <v>unlocked</v>
      </c>
      <c r="E638" s="25" t="s">
        <v>25</v>
      </c>
      <c r="F638" s="25" t="str">
        <f>Catalog!BL66</f>
        <v>Your Force elemental is bigger and badder!</v>
      </c>
      <c r="G638" s="612"/>
    </row>
    <row r="639" spans="1:7" ht="15" x14ac:dyDescent="0.15">
      <c r="A639" s="21" t="s">
        <v>30</v>
      </c>
      <c r="B639" s="22" t="str">
        <f>Catalog!E66</f>
        <v>perkDamageForce</v>
      </c>
      <c r="C639" s="23" t="e">
        <f t="shared" ref="C639:D639" si="224">#REF!</f>
        <v>#REF!</v>
      </c>
      <c r="D639" s="24" t="e">
        <f t="shared" si="224"/>
        <v>#REF!</v>
      </c>
      <c r="E639" s="25" t="s">
        <v>25</v>
      </c>
      <c r="F639" s="25" t="e">
        <f t="shared" ref="F639:F640" si="225">#REF!</f>
        <v>#REF!</v>
      </c>
      <c r="G639" s="612" t="s">
        <v>5483</v>
      </c>
    </row>
    <row r="640" spans="1:7" ht="15" x14ac:dyDescent="0.15">
      <c r="A640" s="21" t="s">
        <v>30</v>
      </c>
      <c r="B640" s="22" t="str">
        <f>Catalog!E66</f>
        <v>perkDamageForce</v>
      </c>
      <c r="C640" s="23" t="e">
        <f t="shared" ref="C640:D640" si="226">#REF!</f>
        <v>#REF!</v>
      </c>
      <c r="D640" s="24" t="e">
        <f t="shared" si="226"/>
        <v>#REF!</v>
      </c>
      <c r="E640" s="25" t="s">
        <v>25</v>
      </c>
      <c r="F640" s="25" t="e">
        <f t="shared" si="225"/>
        <v>#REF!</v>
      </c>
      <c r="G640" s="612" t="s">
        <v>5483</v>
      </c>
    </row>
    <row r="641" spans="1:7" ht="15" x14ac:dyDescent="0.15">
      <c r="A641" s="21" t="s">
        <v>30</v>
      </c>
      <c r="B641" s="22" t="str">
        <f>Catalog!E67</f>
        <v>perkDamageFire</v>
      </c>
      <c r="C641" s="23">
        <f>Catalog!W67</f>
        <v>0</v>
      </c>
      <c r="D641" s="24" t="str">
        <f>Catalog!X67</f>
        <v>locked</v>
      </c>
      <c r="E641" s="25" t="s">
        <v>23</v>
      </c>
      <c r="F641" s="25" t="str">
        <f>Catalog!AB67</f>
        <v>Fire Ball Supercharge</v>
      </c>
      <c r="G641" s="612"/>
    </row>
    <row r="642" spans="1:7" ht="15" x14ac:dyDescent="0.15">
      <c r="A642" s="21" t="s">
        <v>30</v>
      </c>
      <c r="B642" s="22" t="str">
        <f>Catalog!E67</f>
        <v>perkDamageFire</v>
      </c>
      <c r="C642" s="23">
        <f>Catalog!W67</f>
        <v>0</v>
      </c>
      <c r="D642" s="24" t="str">
        <f>Catalog!X67</f>
        <v>locked</v>
      </c>
      <c r="E642" s="25" t="s">
        <v>24</v>
      </c>
      <c r="F642" s="25" t="str">
        <f>Catalog!AC67</f>
        <v>Bigger Fire blasts deal extra damage!</v>
      </c>
      <c r="G642" s="612"/>
    </row>
    <row r="643" spans="1:7" ht="15" x14ac:dyDescent="0.15">
      <c r="A643" s="21" t="s">
        <v>30</v>
      </c>
      <c r="B643" s="22" t="str">
        <f>Catalog!E67</f>
        <v>perkDamageFire</v>
      </c>
      <c r="C643" s="23">
        <f>Catalog!W67</f>
        <v>0</v>
      </c>
      <c r="D643" s="24" t="str">
        <f>Catalog!X67</f>
        <v>locked</v>
      </c>
      <c r="E643" s="25" t="s">
        <v>25</v>
      </c>
      <c r="F643" s="25" t="str">
        <f>Catalog!AD67</f>
        <v>Your Fire elemental is bigger and badder!</v>
      </c>
      <c r="G643" s="612"/>
    </row>
    <row r="644" spans="1:7" ht="15" x14ac:dyDescent="0.15">
      <c r="A644" s="21" t="s">
        <v>30</v>
      </c>
      <c r="B644" s="22" t="str">
        <f>Catalog!E67</f>
        <v>perkDamageFire</v>
      </c>
      <c r="C644" s="23">
        <f>Catalog!BD67</f>
        <v>2</v>
      </c>
      <c r="D644" s="24" t="str">
        <f>Catalog!BE67</f>
        <v>unlocked</v>
      </c>
      <c r="E644" s="25" t="s">
        <v>25</v>
      </c>
      <c r="F644" s="25" t="str">
        <f>Catalog!BL67</f>
        <v>Your Fire elemental is bigger and badder!</v>
      </c>
      <c r="G644" s="612"/>
    </row>
    <row r="645" spans="1:7" ht="15" x14ac:dyDescent="0.15">
      <c r="A645" s="21" t="s">
        <v>30</v>
      </c>
      <c r="B645" s="22" t="str">
        <f>Catalog!E67</f>
        <v>perkDamageFire</v>
      </c>
      <c r="C645" s="23" t="e">
        <f t="shared" ref="C645:D645" si="227">#REF!</f>
        <v>#REF!</v>
      </c>
      <c r="D645" s="24" t="e">
        <f t="shared" si="227"/>
        <v>#REF!</v>
      </c>
      <c r="E645" s="25" t="s">
        <v>25</v>
      </c>
      <c r="F645" s="25" t="e">
        <f t="shared" ref="F645:F646" si="228">#REF!</f>
        <v>#REF!</v>
      </c>
      <c r="G645" s="612" t="s">
        <v>5483</v>
      </c>
    </row>
    <row r="646" spans="1:7" ht="15" x14ac:dyDescent="0.15">
      <c r="A646" s="21" t="s">
        <v>30</v>
      </c>
      <c r="B646" s="22" t="str">
        <f>Catalog!E67</f>
        <v>perkDamageFire</v>
      </c>
      <c r="C646" s="23" t="e">
        <f t="shared" ref="C646:D646" si="229">#REF!</f>
        <v>#REF!</v>
      </c>
      <c r="D646" s="24" t="e">
        <f t="shared" si="229"/>
        <v>#REF!</v>
      </c>
      <c r="E646" s="25" t="s">
        <v>25</v>
      </c>
      <c r="F646" s="25" t="e">
        <f t="shared" si="228"/>
        <v>#REF!</v>
      </c>
      <c r="G646" s="612" t="s">
        <v>5483</v>
      </c>
    </row>
    <row r="647" spans="1:7" ht="15" x14ac:dyDescent="0.15">
      <c r="A647" s="21" t="s">
        <v>30</v>
      </c>
      <c r="B647" s="22" t="str">
        <f>Catalog!E68</f>
        <v>perkDamageFreeze</v>
      </c>
      <c r="C647" s="23">
        <f>Catalog!W68</f>
        <v>0</v>
      </c>
      <c r="D647" s="24" t="str">
        <f>Catalog!X68</f>
        <v>locked</v>
      </c>
      <c r="E647" s="25" t="s">
        <v>23</v>
      </c>
      <c r="F647" s="25" t="str">
        <f>Catalog!AB68</f>
        <v>Freeze Ray Supercharge</v>
      </c>
      <c r="G647" s="612"/>
    </row>
    <row r="648" spans="1:7" ht="15" x14ac:dyDescent="0.15">
      <c r="A648" s="21" t="s">
        <v>30</v>
      </c>
      <c r="B648" s="22" t="str">
        <f>Catalog!E68</f>
        <v>perkDamageFreeze</v>
      </c>
      <c r="C648" s="23">
        <f>Catalog!W68</f>
        <v>0</v>
      </c>
      <c r="D648" s="24" t="str">
        <f>Catalog!X68</f>
        <v>locked</v>
      </c>
      <c r="E648" s="25" t="s">
        <v>24</v>
      </c>
      <c r="F648" s="25" t="str">
        <f>Catalog!AC68</f>
        <v>Bigger Freeze blasts deal extra damage!</v>
      </c>
      <c r="G648" s="612"/>
    </row>
    <row r="649" spans="1:7" ht="15" x14ac:dyDescent="0.15">
      <c r="A649" s="21" t="s">
        <v>30</v>
      </c>
      <c r="B649" s="22" t="str">
        <f>Catalog!E68</f>
        <v>perkDamageFreeze</v>
      </c>
      <c r="C649" s="23">
        <f>Catalog!W68</f>
        <v>0</v>
      </c>
      <c r="D649" s="24" t="str">
        <f>Catalog!X68</f>
        <v>locked</v>
      </c>
      <c r="E649" s="25" t="s">
        <v>25</v>
      </c>
      <c r="F649" s="25" t="str">
        <f>Catalog!AD68</f>
        <v>Your Freeze elemental is bigger and badder!</v>
      </c>
      <c r="G649" s="612"/>
    </row>
    <row r="650" spans="1:7" ht="15" x14ac:dyDescent="0.15">
      <c r="A650" s="21" t="s">
        <v>30</v>
      </c>
      <c r="B650" s="22" t="str">
        <f>Catalog!E68</f>
        <v>perkDamageFreeze</v>
      </c>
      <c r="C650" s="23">
        <f>Catalog!BD68</f>
        <v>2</v>
      </c>
      <c r="D650" s="24" t="str">
        <f>Catalog!BE68</f>
        <v>unlocked</v>
      </c>
      <c r="E650" s="25" t="s">
        <v>25</v>
      </c>
      <c r="F650" s="25" t="str">
        <f>Catalog!BL68</f>
        <v>Your Freeze elemental is bigger and badder!</v>
      </c>
      <c r="G650" s="612"/>
    </row>
    <row r="651" spans="1:7" ht="15" x14ac:dyDescent="0.15">
      <c r="A651" s="21" t="s">
        <v>30</v>
      </c>
      <c r="B651" s="22" t="str">
        <f>Catalog!E68</f>
        <v>perkDamageFreeze</v>
      </c>
      <c r="C651" s="23" t="e">
        <f t="shared" ref="C651:D651" si="230">#REF!</f>
        <v>#REF!</v>
      </c>
      <c r="D651" s="24" t="e">
        <f t="shared" si="230"/>
        <v>#REF!</v>
      </c>
      <c r="E651" s="25" t="s">
        <v>25</v>
      </c>
      <c r="F651" s="25" t="e">
        <f t="shared" ref="F651:F652" si="231">#REF!</f>
        <v>#REF!</v>
      </c>
      <c r="G651" s="612" t="s">
        <v>5483</v>
      </c>
    </row>
    <row r="652" spans="1:7" ht="15" x14ac:dyDescent="0.15">
      <c r="A652" s="21" t="s">
        <v>30</v>
      </c>
      <c r="B652" s="22" t="str">
        <f>Catalog!E68</f>
        <v>perkDamageFreeze</v>
      </c>
      <c r="C652" s="23" t="e">
        <f t="shared" ref="C652:D652" si="232">#REF!</f>
        <v>#REF!</v>
      </c>
      <c r="D652" s="24" t="e">
        <f t="shared" si="232"/>
        <v>#REF!</v>
      </c>
      <c r="E652" s="25" t="s">
        <v>25</v>
      </c>
      <c r="F652" s="25" t="e">
        <f t="shared" si="231"/>
        <v>#REF!</v>
      </c>
      <c r="G652" s="612" t="s">
        <v>5483</v>
      </c>
    </row>
    <row r="653" spans="1:7" ht="15" x14ac:dyDescent="0.15">
      <c r="A653" s="21" t="s">
        <v>30</v>
      </c>
      <c r="B653" s="22" t="str">
        <f>Catalog!E70</f>
        <v>perkDamageLightning</v>
      </c>
      <c r="C653" s="23">
        <f>Catalog!W70</f>
        <v>0</v>
      </c>
      <c r="D653" s="24" t="str">
        <f>Catalog!X70</f>
        <v>locked</v>
      </c>
      <c r="E653" s="25" t="s">
        <v>23</v>
      </c>
      <c r="F653" s="25" t="str">
        <f>Catalog!AB70</f>
        <v>Lightning Supercharge</v>
      </c>
      <c r="G653" s="612"/>
    </row>
    <row r="654" spans="1:7" ht="15" x14ac:dyDescent="0.15">
      <c r="A654" s="21" t="s">
        <v>30</v>
      </c>
      <c r="B654" s="22" t="str">
        <f>Catalog!E70</f>
        <v>perkDamageLightning</v>
      </c>
      <c r="C654" s="23">
        <f>Catalog!W70</f>
        <v>0</v>
      </c>
      <c r="D654" s="24" t="str">
        <f>Catalog!X70</f>
        <v>locked</v>
      </c>
      <c r="E654" s="25" t="s">
        <v>24</v>
      </c>
      <c r="F654" s="25" t="str">
        <f>Catalog!AC70</f>
        <v>Bigger Lightning blasts deal extra damage!</v>
      </c>
      <c r="G654" s="612"/>
    </row>
    <row r="655" spans="1:7" ht="15" x14ac:dyDescent="0.15">
      <c r="A655" s="21" t="s">
        <v>30</v>
      </c>
      <c r="B655" s="22" t="str">
        <f>Catalog!E70</f>
        <v>perkDamageLightning</v>
      </c>
      <c r="C655" s="23">
        <f>Catalog!W70</f>
        <v>0</v>
      </c>
      <c r="D655" s="24" t="str">
        <f>Catalog!X70</f>
        <v>locked</v>
      </c>
      <c r="E655" s="25" t="s">
        <v>25</v>
      </c>
      <c r="F655" s="25" t="str">
        <f>Catalog!AD70</f>
        <v>Your Lightning elemental is bigger and badder!</v>
      </c>
      <c r="G655" s="612"/>
    </row>
    <row r="656" spans="1:7" ht="15" x14ac:dyDescent="0.15">
      <c r="A656" s="21" t="s">
        <v>30</v>
      </c>
      <c r="B656" s="22" t="str">
        <f>Catalog!E70</f>
        <v>perkDamageLightning</v>
      </c>
      <c r="C656" s="23">
        <f>Catalog!BD70</f>
        <v>2</v>
      </c>
      <c r="D656" s="24" t="str">
        <f>Catalog!BE70</f>
        <v>unlocked</v>
      </c>
      <c r="E656" s="25" t="s">
        <v>25</v>
      </c>
      <c r="F656" s="25" t="str">
        <f>Catalog!BL70</f>
        <v>Your Lightning elemental is bigger and badder!</v>
      </c>
      <c r="G656" s="612"/>
    </row>
    <row r="657" spans="1:7" ht="15" x14ac:dyDescent="0.15">
      <c r="A657" s="21" t="s">
        <v>30</v>
      </c>
      <c r="B657" s="22" t="str">
        <f>Catalog!E70</f>
        <v>perkDamageLightning</v>
      </c>
      <c r="C657" s="23" t="e">
        <f t="shared" ref="C657:D657" si="233">#REF!</f>
        <v>#REF!</v>
      </c>
      <c r="D657" s="24" t="e">
        <f t="shared" si="233"/>
        <v>#REF!</v>
      </c>
      <c r="E657" s="25" t="s">
        <v>25</v>
      </c>
      <c r="F657" s="25" t="e">
        <f t="shared" ref="F657:F658" si="234">#REF!</f>
        <v>#REF!</v>
      </c>
      <c r="G657" s="612" t="s">
        <v>5483</v>
      </c>
    </row>
    <row r="658" spans="1:7" ht="15" x14ac:dyDescent="0.15">
      <c r="A658" s="21" t="s">
        <v>30</v>
      </c>
      <c r="B658" s="22" t="str">
        <f>Catalog!E70</f>
        <v>perkDamageLightning</v>
      </c>
      <c r="C658" s="23" t="e">
        <f t="shared" ref="C658:D658" si="235">#REF!</f>
        <v>#REF!</v>
      </c>
      <c r="D658" s="24" t="e">
        <f t="shared" si="235"/>
        <v>#REF!</v>
      </c>
      <c r="E658" s="25" t="s">
        <v>25</v>
      </c>
      <c r="F658" s="25" t="e">
        <f t="shared" si="234"/>
        <v>#REF!</v>
      </c>
      <c r="G658" s="612" t="s">
        <v>5483</v>
      </c>
    </row>
    <row r="659" spans="1:7" ht="15" x14ac:dyDescent="0.15">
      <c r="A659" s="21" t="s">
        <v>30</v>
      </c>
      <c r="B659" s="22" t="str">
        <f>Catalog!E71</f>
        <v>perkSpreadForce</v>
      </c>
      <c r="C659" s="23">
        <f>Catalog!W71</f>
        <v>0</v>
      </c>
      <c r="D659" s="24" t="str">
        <f>Catalog!X71</f>
        <v>locked</v>
      </c>
      <c r="E659" s="25" t="s">
        <v>23</v>
      </c>
      <c r="F659" s="25" t="str">
        <f>Catalog!AB71</f>
        <v>Force Spread Blast</v>
      </c>
      <c r="G659" s="612"/>
    </row>
    <row r="660" spans="1:7" ht="15" x14ac:dyDescent="0.15">
      <c r="A660" s="21" t="s">
        <v>30</v>
      </c>
      <c r="B660" s="22" t="str">
        <f>Catalog!E71</f>
        <v>perkSpreadForce</v>
      </c>
      <c r="C660" s="23">
        <f>Catalog!W71</f>
        <v>0</v>
      </c>
      <c r="D660" s="24" t="str">
        <f>Catalog!X71</f>
        <v>locked</v>
      </c>
      <c r="E660" s="25" t="s">
        <v>24</v>
      </c>
      <c r="F660" s="25" t="str">
        <f>Catalog!AC71</f>
        <v>Send out a wide spread-blast of Force!</v>
      </c>
      <c r="G660" s="612"/>
    </row>
    <row r="661" spans="1:7" ht="15" x14ac:dyDescent="0.15">
      <c r="A661" s="21" t="s">
        <v>30</v>
      </c>
      <c r="B661" s="22" t="str">
        <f>Catalog!E71</f>
        <v>perkSpreadForce</v>
      </c>
      <c r="C661" s="23">
        <f>Catalog!W71</f>
        <v>0</v>
      </c>
      <c r="D661" s="24" t="str">
        <f>Catalog!X71</f>
        <v>locked</v>
      </c>
      <c r="E661" s="25" t="s">
        <v>25</v>
      </c>
      <c r="F661" s="25" t="str">
        <f>Catalog!AD71</f>
        <v>Your blaster sends out 3 spreading blasts of Force!</v>
      </c>
      <c r="G661" s="612"/>
    </row>
    <row r="662" spans="1:7" ht="15" x14ac:dyDescent="0.15">
      <c r="A662" s="21" t="s">
        <v>30</v>
      </c>
      <c r="B662" s="22" t="str">
        <f>Catalog!E71</f>
        <v>perkSpreadForce</v>
      </c>
      <c r="C662" s="23">
        <f>Catalog!BD71</f>
        <v>2</v>
      </c>
      <c r="D662" s="24" t="str">
        <f>Catalog!BE71</f>
        <v>unlocked</v>
      </c>
      <c r="E662" s="25" t="s">
        <v>25</v>
      </c>
      <c r="F662" s="25" t="str">
        <f>Catalog!BL71</f>
        <v>Your blaster sends out 3 spreading blasts of Force!</v>
      </c>
      <c r="G662" s="612"/>
    </row>
    <row r="663" spans="1:7" ht="15" x14ac:dyDescent="0.15">
      <c r="A663" s="21" t="s">
        <v>30</v>
      </c>
      <c r="B663" s="22" t="str">
        <f>Catalog!E71</f>
        <v>perkSpreadForce</v>
      </c>
      <c r="C663" s="23" t="e">
        <f t="shared" ref="C663:D663" si="236">#REF!</f>
        <v>#REF!</v>
      </c>
      <c r="D663" s="24" t="e">
        <f t="shared" si="236"/>
        <v>#REF!</v>
      </c>
      <c r="E663" s="25" t="s">
        <v>25</v>
      </c>
      <c r="F663" s="25" t="e">
        <f t="shared" ref="F663:F664" si="237">#REF!</f>
        <v>#REF!</v>
      </c>
      <c r="G663" s="612" t="s">
        <v>5483</v>
      </c>
    </row>
    <row r="664" spans="1:7" ht="15" x14ac:dyDescent="0.15">
      <c r="A664" s="21" t="s">
        <v>30</v>
      </c>
      <c r="B664" s="22" t="str">
        <f>Catalog!E71</f>
        <v>perkSpreadForce</v>
      </c>
      <c r="C664" s="23" t="e">
        <f t="shared" ref="C664:D664" si="238">#REF!</f>
        <v>#REF!</v>
      </c>
      <c r="D664" s="24" t="e">
        <f t="shared" si="238"/>
        <v>#REF!</v>
      </c>
      <c r="E664" s="25" t="s">
        <v>25</v>
      </c>
      <c r="F664" s="25" t="e">
        <f t="shared" si="237"/>
        <v>#REF!</v>
      </c>
      <c r="G664" s="612" t="s">
        <v>5483</v>
      </c>
    </row>
    <row r="665" spans="1:7" ht="15" x14ac:dyDescent="0.15">
      <c r="A665" s="21" t="s">
        <v>30</v>
      </c>
      <c r="B665" s="22" t="str">
        <f>Catalog!E72</f>
        <v>perkSpreadFire</v>
      </c>
      <c r="C665" s="23">
        <f>Catalog!W72</f>
        <v>0</v>
      </c>
      <c r="D665" s="24" t="str">
        <f>Catalog!X72</f>
        <v>locked</v>
      </c>
      <c r="E665" s="25" t="s">
        <v>23</v>
      </c>
      <c r="F665" s="25" t="str">
        <f>Catalog!AB72</f>
        <v>Fire Ball Spread Blast</v>
      </c>
      <c r="G665" s="612"/>
    </row>
    <row r="666" spans="1:7" ht="15" x14ac:dyDescent="0.15">
      <c r="A666" s="21" t="s">
        <v>30</v>
      </c>
      <c r="B666" s="22" t="str">
        <f>Catalog!E72</f>
        <v>perkSpreadFire</v>
      </c>
      <c r="C666" s="23">
        <f>Catalog!W72</f>
        <v>0</v>
      </c>
      <c r="D666" s="24" t="str">
        <f>Catalog!X72</f>
        <v>locked</v>
      </c>
      <c r="E666" s="25" t="s">
        <v>24</v>
      </c>
      <c r="F666" s="25" t="str">
        <f>Catalog!AC72</f>
        <v>Send out a wide spread-blast of Fire!</v>
      </c>
      <c r="G666" s="612"/>
    </row>
    <row r="667" spans="1:7" ht="15" x14ac:dyDescent="0.15">
      <c r="A667" s="21" t="s">
        <v>30</v>
      </c>
      <c r="B667" s="22" t="str">
        <f>Catalog!E72</f>
        <v>perkSpreadFire</v>
      </c>
      <c r="C667" s="23">
        <f>Catalog!W72</f>
        <v>0</v>
      </c>
      <c r="D667" s="24" t="str">
        <f>Catalog!X72</f>
        <v>locked</v>
      </c>
      <c r="E667" s="25" t="s">
        <v>25</v>
      </c>
      <c r="F667" s="25" t="str">
        <f>Catalog!AD72</f>
        <v>Your blaster sends out 3 spreading blasts of Fire!</v>
      </c>
      <c r="G667" s="612"/>
    </row>
    <row r="668" spans="1:7" ht="15" x14ac:dyDescent="0.15">
      <c r="A668" s="21" t="s">
        <v>30</v>
      </c>
      <c r="B668" s="22" t="str">
        <f>Catalog!E72</f>
        <v>perkSpreadFire</v>
      </c>
      <c r="C668" s="23">
        <f>Catalog!BD72</f>
        <v>2</v>
      </c>
      <c r="D668" s="24" t="str">
        <f>Catalog!BE72</f>
        <v>unlocked</v>
      </c>
      <c r="E668" s="25" t="s">
        <v>25</v>
      </c>
      <c r="F668" s="25" t="str">
        <f>Catalog!BL72</f>
        <v>Your blaster sends out 3 spreading blasts of Fire!</v>
      </c>
      <c r="G668" s="612"/>
    </row>
    <row r="669" spans="1:7" ht="15" x14ac:dyDescent="0.15">
      <c r="A669" s="21" t="s">
        <v>30</v>
      </c>
      <c r="B669" s="22" t="str">
        <f>Catalog!E72</f>
        <v>perkSpreadFire</v>
      </c>
      <c r="C669" s="23" t="e">
        <f t="shared" ref="C669:D669" si="239">#REF!</f>
        <v>#REF!</v>
      </c>
      <c r="D669" s="24" t="e">
        <f t="shared" si="239"/>
        <v>#REF!</v>
      </c>
      <c r="E669" s="25" t="s">
        <v>25</v>
      </c>
      <c r="F669" s="25" t="e">
        <f t="shared" ref="F669:F670" si="240">#REF!</f>
        <v>#REF!</v>
      </c>
      <c r="G669" s="612" t="s">
        <v>5483</v>
      </c>
    </row>
    <row r="670" spans="1:7" ht="15" x14ac:dyDescent="0.15">
      <c r="A670" s="21" t="s">
        <v>30</v>
      </c>
      <c r="B670" s="22" t="str">
        <f>Catalog!E72</f>
        <v>perkSpreadFire</v>
      </c>
      <c r="C670" s="23" t="e">
        <f t="shared" ref="C670:D670" si="241">#REF!</f>
        <v>#REF!</v>
      </c>
      <c r="D670" s="24" t="e">
        <f t="shared" si="241"/>
        <v>#REF!</v>
      </c>
      <c r="E670" s="25" t="s">
        <v>25</v>
      </c>
      <c r="F670" s="25" t="e">
        <f t="shared" si="240"/>
        <v>#REF!</v>
      </c>
      <c r="G670" s="612" t="s">
        <v>5483</v>
      </c>
    </row>
    <row r="671" spans="1:7" ht="15" x14ac:dyDescent="0.15">
      <c r="A671" s="21" t="s">
        <v>30</v>
      </c>
      <c r="B671" s="22" t="str">
        <f>Catalog!E73</f>
        <v>perkSpreadFreeze</v>
      </c>
      <c r="C671" s="23">
        <f>Catalog!W73</f>
        <v>0</v>
      </c>
      <c r="D671" s="24" t="str">
        <f>Catalog!X73</f>
        <v>locked</v>
      </c>
      <c r="E671" s="25" t="s">
        <v>23</v>
      </c>
      <c r="F671" s="25" t="str">
        <f>Catalog!AB73</f>
        <v>Freeze Ray Spread Blast</v>
      </c>
      <c r="G671" s="612"/>
    </row>
    <row r="672" spans="1:7" ht="15" x14ac:dyDescent="0.15">
      <c r="A672" s="21" t="s">
        <v>30</v>
      </c>
      <c r="B672" s="22" t="str">
        <f>Catalog!E73</f>
        <v>perkSpreadFreeze</v>
      </c>
      <c r="C672" s="23">
        <f>Catalog!W73</f>
        <v>0</v>
      </c>
      <c r="D672" s="24" t="str">
        <f>Catalog!X73</f>
        <v>locked</v>
      </c>
      <c r="E672" s="25" t="s">
        <v>24</v>
      </c>
      <c r="F672" s="25" t="str">
        <f>Catalog!AC73</f>
        <v>Send out a wide spread-blast of Freeze!</v>
      </c>
      <c r="G672" s="612"/>
    </row>
    <row r="673" spans="1:7" ht="15" x14ac:dyDescent="0.15">
      <c r="A673" s="21" t="s">
        <v>30</v>
      </c>
      <c r="B673" s="22" t="str">
        <f>Catalog!E73</f>
        <v>perkSpreadFreeze</v>
      </c>
      <c r="C673" s="23">
        <f>Catalog!W73</f>
        <v>0</v>
      </c>
      <c r="D673" s="24" t="str">
        <f>Catalog!X73</f>
        <v>locked</v>
      </c>
      <c r="E673" s="25" t="s">
        <v>25</v>
      </c>
      <c r="F673" s="25" t="str">
        <f>Catalog!AD73</f>
        <v>Your blaster sends out 3 spreading blasts of Freeze!</v>
      </c>
      <c r="G673" s="612"/>
    </row>
    <row r="674" spans="1:7" ht="15" x14ac:dyDescent="0.15">
      <c r="A674" s="21" t="s">
        <v>30</v>
      </c>
      <c r="B674" s="22" t="str">
        <f>Catalog!E73</f>
        <v>perkSpreadFreeze</v>
      </c>
      <c r="C674" s="26">
        <f>Catalog!BD73</f>
        <v>2</v>
      </c>
      <c r="D674" s="24" t="str">
        <f>Catalog!BE73</f>
        <v>unlocked</v>
      </c>
      <c r="E674" s="25" t="s">
        <v>25</v>
      </c>
      <c r="F674" s="25" t="str">
        <f>Catalog!BL73</f>
        <v>Your blaster sends out 3 spreading blasts of Freeze!</v>
      </c>
      <c r="G674" s="612"/>
    </row>
    <row r="675" spans="1:7" ht="15" x14ac:dyDescent="0.15">
      <c r="A675" s="21" t="s">
        <v>30</v>
      </c>
      <c r="B675" s="22" t="str">
        <f>Catalog!E73</f>
        <v>perkSpreadFreeze</v>
      </c>
      <c r="C675" s="26" t="e">
        <f t="shared" ref="C675:D675" si="242">#REF!</f>
        <v>#REF!</v>
      </c>
      <c r="D675" s="25" t="e">
        <f t="shared" si="242"/>
        <v>#REF!</v>
      </c>
      <c r="E675" s="25" t="s">
        <v>25</v>
      </c>
      <c r="F675" s="25" t="e">
        <f t="shared" ref="F675:F676" si="243">#REF!</f>
        <v>#REF!</v>
      </c>
      <c r="G675" s="612" t="s">
        <v>5483</v>
      </c>
    </row>
    <row r="676" spans="1:7" ht="15" x14ac:dyDescent="0.15">
      <c r="A676" s="21" t="s">
        <v>30</v>
      </c>
      <c r="B676" s="22" t="str">
        <f>Catalog!E73</f>
        <v>perkSpreadFreeze</v>
      </c>
      <c r="C676" s="26" t="e">
        <f t="shared" ref="C676:D676" si="244">#REF!</f>
        <v>#REF!</v>
      </c>
      <c r="D676" s="25" t="e">
        <f t="shared" si="244"/>
        <v>#REF!</v>
      </c>
      <c r="E676" s="25" t="s">
        <v>25</v>
      </c>
      <c r="F676" s="25" t="e">
        <f t="shared" si="243"/>
        <v>#REF!</v>
      </c>
      <c r="G676" s="612" t="s">
        <v>5483</v>
      </c>
    </row>
    <row r="677" spans="1:7" ht="15" x14ac:dyDescent="0.15">
      <c r="A677" s="21" t="s">
        <v>30</v>
      </c>
      <c r="B677" s="22" t="str">
        <f>Catalog!E74</f>
        <v>perkSpreadLightning</v>
      </c>
      <c r="C677" s="23">
        <f>Catalog!W74</f>
        <v>0</v>
      </c>
      <c r="D677" s="24" t="str">
        <f>Catalog!X74</f>
        <v>locked</v>
      </c>
      <c r="E677" s="25" t="s">
        <v>23</v>
      </c>
      <c r="F677" s="25" t="str">
        <f>Catalog!AB74</f>
        <v>Lightning Spread Blast</v>
      </c>
      <c r="G677" s="612"/>
    </row>
    <row r="678" spans="1:7" ht="15" x14ac:dyDescent="0.15">
      <c r="A678" s="21" t="s">
        <v>30</v>
      </c>
      <c r="B678" s="22" t="str">
        <f>Catalog!E74</f>
        <v>perkSpreadLightning</v>
      </c>
      <c r="C678" s="23">
        <f>Catalog!W74</f>
        <v>0</v>
      </c>
      <c r="D678" s="24" t="str">
        <f>Catalog!X74</f>
        <v>locked</v>
      </c>
      <c r="E678" s="25" t="s">
        <v>24</v>
      </c>
      <c r="F678" s="25" t="str">
        <f>Catalog!AC74</f>
        <v>Send out a wide spread-blast of Lightning!</v>
      </c>
      <c r="G678" s="612"/>
    </row>
    <row r="679" spans="1:7" ht="15" x14ac:dyDescent="0.15">
      <c r="A679" s="21" t="s">
        <v>30</v>
      </c>
      <c r="B679" s="22" t="str">
        <f>Catalog!E74</f>
        <v>perkSpreadLightning</v>
      </c>
      <c r="C679" s="23">
        <f>Catalog!W74</f>
        <v>0</v>
      </c>
      <c r="D679" s="24" t="str">
        <f>Catalog!X74</f>
        <v>locked</v>
      </c>
      <c r="E679" s="25" t="s">
        <v>25</v>
      </c>
      <c r="F679" s="25" t="str">
        <f>Catalog!AD74</f>
        <v>Your blaster sends out 3 spreading blasts of Lightning!</v>
      </c>
      <c r="G679" s="612"/>
    </row>
    <row r="680" spans="1:7" ht="15" x14ac:dyDescent="0.15">
      <c r="A680" s="21" t="s">
        <v>30</v>
      </c>
      <c r="B680" s="22" t="str">
        <f>Catalog!E74</f>
        <v>perkSpreadLightning</v>
      </c>
      <c r="C680" s="26">
        <f>Catalog!BD74</f>
        <v>2</v>
      </c>
      <c r="D680" s="24" t="str">
        <f>Catalog!BE74</f>
        <v>unlocked</v>
      </c>
      <c r="E680" s="25" t="s">
        <v>25</v>
      </c>
      <c r="F680" s="25" t="str">
        <f>Catalog!BL74</f>
        <v>Your blaster sends out 3 spreading blasts of Lightning!</v>
      </c>
      <c r="G680" s="612"/>
    </row>
    <row r="681" spans="1:7" ht="15" x14ac:dyDescent="0.15">
      <c r="A681" s="21" t="s">
        <v>30</v>
      </c>
      <c r="B681" s="22" t="str">
        <f>Catalog!E74</f>
        <v>perkSpreadLightning</v>
      </c>
      <c r="C681" s="26" t="e">
        <f t="shared" ref="C681:D681" si="245">#REF!</f>
        <v>#REF!</v>
      </c>
      <c r="D681" s="25" t="e">
        <f t="shared" si="245"/>
        <v>#REF!</v>
      </c>
      <c r="E681" s="25" t="s">
        <v>25</v>
      </c>
      <c r="F681" s="25" t="e">
        <f t="shared" ref="F681:F682" si="246">#REF!</f>
        <v>#REF!</v>
      </c>
      <c r="G681" s="612" t="s">
        <v>5483</v>
      </c>
    </row>
    <row r="682" spans="1:7" ht="15" x14ac:dyDescent="0.15">
      <c r="A682" s="21" t="s">
        <v>30</v>
      </c>
      <c r="B682" s="22" t="str">
        <f>Catalog!E74</f>
        <v>perkSpreadLightning</v>
      </c>
      <c r="C682" s="26" t="e">
        <f t="shared" ref="C682:D682" si="247">#REF!</f>
        <v>#REF!</v>
      </c>
      <c r="D682" s="25" t="e">
        <f t="shared" si="247"/>
        <v>#REF!</v>
      </c>
      <c r="E682" s="25" t="s">
        <v>25</v>
      </c>
      <c r="F682" s="25" t="e">
        <f t="shared" si="246"/>
        <v>#REF!</v>
      </c>
      <c r="G682" s="612" t="s">
        <v>5483</v>
      </c>
    </row>
    <row r="683" spans="1:7" ht="15" x14ac:dyDescent="0.15">
      <c r="A683" s="21" t="s">
        <v>30</v>
      </c>
      <c r="B683" s="22" t="str">
        <f>Catalog!E75</f>
        <v>perkLauncherDamage</v>
      </c>
      <c r="C683" s="23">
        <f>Catalog!W75</f>
        <v>0</v>
      </c>
      <c r="D683" s="24" t="str">
        <f>Catalog!X75</f>
        <v>locked</v>
      </c>
      <c r="E683" s="25" t="s">
        <v>23</v>
      </c>
      <c r="F683" s="25" t="str">
        <f>Catalog!AB75</f>
        <v>Launcher Supercharge</v>
      </c>
      <c r="G683" s="612"/>
    </row>
    <row r="684" spans="1:7" ht="15" x14ac:dyDescent="0.15">
      <c r="A684" s="21" t="s">
        <v>30</v>
      </c>
      <c r="B684" s="22" t="str">
        <f>Catalog!E75</f>
        <v>perkLauncherDamage</v>
      </c>
      <c r="C684" s="23">
        <f>Catalog!W75</f>
        <v>0</v>
      </c>
      <c r="D684" s="24" t="str">
        <f>Catalog!X75</f>
        <v>locked</v>
      </c>
      <c r="E684" s="25" t="s">
        <v>24</v>
      </c>
      <c r="F684" s="24" t="str">
        <f>Catalog!AC75</f>
        <v>Bigger Launchers deal extra damage!</v>
      </c>
      <c r="G684" s="612"/>
    </row>
    <row r="685" spans="1:7" ht="15" x14ac:dyDescent="0.15">
      <c r="A685" s="21" t="s">
        <v>30</v>
      </c>
      <c r="B685" s="22" t="str">
        <f>Catalog!E75</f>
        <v>perkLauncherDamage</v>
      </c>
      <c r="C685" s="23">
        <f>Catalog!W75</f>
        <v>0</v>
      </c>
      <c r="D685" s="24" t="str">
        <f>Catalog!X75</f>
        <v>locked</v>
      </c>
      <c r="E685" s="25" t="s">
        <v>25</v>
      </c>
      <c r="F685" s="25" t="str">
        <f>Catalog!AD75</f>
        <v>Your Launchers are bigger and badder!</v>
      </c>
      <c r="G685" s="612"/>
    </row>
    <row r="686" spans="1:7" ht="15" x14ac:dyDescent="0.15">
      <c r="A686" s="21" t="s">
        <v>30</v>
      </c>
      <c r="B686" s="22" t="str">
        <f>Catalog!E75</f>
        <v>perkLauncherDamage</v>
      </c>
      <c r="C686" s="26">
        <f>Catalog!BD75</f>
        <v>2</v>
      </c>
      <c r="D686" s="24" t="str">
        <f>Catalog!BE75</f>
        <v>unlocked</v>
      </c>
      <c r="E686" s="25" t="s">
        <v>25</v>
      </c>
      <c r="F686" s="25" t="str">
        <f>Catalog!BL75</f>
        <v>Your Launchers are bigger and badder!</v>
      </c>
      <c r="G686" s="612"/>
    </row>
    <row r="687" spans="1:7" ht="15" x14ac:dyDescent="0.15">
      <c r="A687" s="21" t="s">
        <v>30</v>
      </c>
      <c r="B687" s="22" t="str">
        <f>Catalog!E75</f>
        <v>perkLauncherDamage</v>
      </c>
      <c r="C687" s="26" t="e">
        <f t="shared" ref="C687:D687" si="248">#REF!</f>
        <v>#REF!</v>
      </c>
      <c r="D687" s="25" t="e">
        <f t="shared" si="248"/>
        <v>#REF!</v>
      </c>
      <c r="E687" s="25" t="s">
        <v>25</v>
      </c>
      <c r="F687" s="25" t="e">
        <f t="shared" ref="F687:F688" si="249">#REF!</f>
        <v>#REF!</v>
      </c>
      <c r="G687" s="612" t="s">
        <v>5483</v>
      </c>
    </row>
    <row r="688" spans="1:7" ht="15" x14ac:dyDescent="0.15">
      <c r="A688" s="21" t="s">
        <v>30</v>
      </c>
      <c r="B688" s="22" t="str">
        <f>Catalog!E75</f>
        <v>perkLauncherDamage</v>
      </c>
      <c r="C688" s="26" t="e">
        <f t="shared" ref="C688:D688" si="250">#REF!</f>
        <v>#REF!</v>
      </c>
      <c r="D688" s="25" t="e">
        <f t="shared" si="250"/>
        <v>#REF!</v>
      </c>
      <c r="E688" s="25" t="s">
        <v>25</v>
      </c>
      <c r="F688" s="25" t="e">
        <f t="shared" si="249"/>
        <v>#REF!</v>
      </c>
      <c r="G688" s="612" t="s">
        <v>5483</v>
      </c>
    </row>
    <row r="689" spans="1:7" ht="15" x14ac:dyDescent="0.15">
      <c r="A689" s="21" t="s">
        <v>30</v>
      </c>
      <c r="B689" s="22" t="str">
        <f>Catalog!E76</f>
        <v>perkOverchargeBoost</v>
      </c>
      <c r="C689" s="23">
        <f>Catalog!W76</f>
        <v>0</v>
      </c>
      <c r="D689" s="24" t="str">
        <f>Catalog!X76</f>
        <v>locked</v>
      </c>
      <c r="E689" s="25" t="s">
        <v>23</v>
      </c>
      <c r="F689" s="25" t="str">
        <f>Catalog!AB76</f>
        <v>Overcharge Boost</v>
      </c>
      <c r="G689" s="612"/>
    </row>
    <row r="690" spans="1:7" ht="15" x14ac:dyDescent="0.15">
      <c r="A690" s="21" t="s">
        <v>30</v>
      </c>
      <c r="B690" s="22" t="str">
        <f>Catalog!E76</f>
        <v>perkOverchargeBoost</v>
      </c>
      <c r="C690" s="23">
        <f>Catalog!W76</f>
        <v>0</v>
      </c>
      <c r="D690" s="24" t="str">
        <f>Catalog!X76</f>
        <v>locked</v>
      </c>
      <c r="E690" s="25" t="s">
        <v>24</v>
      </c>
      <c r="F690" s="25" t="str">
        <f>Catalog!AC76</f>
        <v>Elemental overcharges last longer.</v>
      </c>
      <c r="G690" s="612"/>
    </row>
    <row r="691" spans="1:7" ht="28" x14ac:dyDescent="0.15">
      <c r="A691" s="21" t="s">
        <v>30</v>
      </c>
      <c r="B691" s="22" t="str">
        <f>Catalog!E76</f>
        <v>perkOverchargeBoost</v>
      </c>
      <c r="C691" s="23">
        <f>Catalog!W76</f>
        <v>0</v>
      </c>
      <c r="D691" s="24" t="str">
        <f>Catalog!X76</f>
        <v>locked</v>
      </c>
      <c r="E691" s="25" t="s">
        <v>25</v>
      </c>
      <c r="F691" s="25" t="str">
        <f>Catalog!AD76</f>
        <v>Elemental overcharges apply in less time holding down the trigger.
Affects: All Elementals</v>
      </c>
      <c r="G691" s="612"/>
    </row>
    <row r="692" spans="1:7" ht="28" x14ac:dyDescent="0.15">
      <c r="A692" s="21" t="s">
        <v>30</v>
      </c>
      <c r="B692" s="22" t="str">
        <f>Catalog!E76</f>
        <v>perkOverchargeBoost</v>
      </c>
      <c r="C692" s="26">
        <f>Catalog!BD76</f>
        <v>2</v>
      </c>
      <c r="D692" s="24" t="str">
        <f>Catalog!BE76</f>
        <v>grade1</v>
      </c>
      <c r="E692" s="25" t="s">
        <v>25</v>
      </c>
      <c r="F692" s="25" t="str">
        <f>Catalog!BL76</f>
        <v>Elemental overcharges apply in 10% less time holding down the trigger.
Affects: All Elementals</v>
      </c>
      <c r="G692" s="612"/>
    </row>
    <row r="693" spans="1:7" ht="15" x14ac:dyDescent="0.15">
      <c r="A693" s="21" t="s">
        <v>30</v>
      </c>
      <c r="B693" s="22" t="str">
        <f>Catalog!E76</f>
        <v>perkOverchargeBoost</v>
      </c>
      <c r="C693" s="26" t="e">
        <f t="shared" ref="C693:D693" si="251">#REF!</f>
        <v>#REF!</v>
      </c>
      <c r="D693" s="25" t="e">
        <f t="shared" si="251"/>
        <v>#REF!</v>
      </c>
      <c r="E693" s="25" t="s">
        <v>25</v>
      </c>
      <c r="F693" s="25" t="e">
        <f t="shared" ref="F693:F694" si="252">#REF!</f>
        <v>#REF!</v>
      </c>
      <c r="G693" s="612" t="s">
        <v>5483</v>
      </c>
    </row>
    <row r="694" spans="1:7" ht="15" x14ac:dyDescent="0.15">
      <c r="A694" s="21" t="s">
        <v>30</v>
      </c>
      <c r="B694" s="22" t="str">
        <f>Catalog!E76</f>
        <v>perkOverchargeBoost</v>
      </c>
      <c r="C694" s="26" t="e">
        <f t="shared" ref="C694:D694" si="253">#REF!</f>
        <v>#REF!</v>
      </c>
      <c r="D694" s="25" t="e">
        <f t="shared" si="253"/>
        <v>#REF!</v>
      </c>
      <c r="E694" s="25" t="s">
        <v>25</v>
      </c>
      <c r="F694" s="25" t="e">
        <f t="shared" si="252"/>
        <v>#REF!</v>
      </c>
      <c r="G694" s="612" t="s">
        <v>5483</v>
      </c>
    </row>
    <row r="695" spans="1:7" ht="15" x14ac:dyDescent="0.15">
      <c r="A695" s="21" t="s">
        <v>30</v>
      </c>
      <c r="B695" s="22" t="str">
        <f>Catalog!E77</f>
        <v>perkLauncherAmmo</v>
      </c>
      <c r="C695" s="23">
        <f>Catalog!W77</f>
        <v>0</v>
      </c>
      <c r="D695" s="24" t="str">
        <f>Catalog!X77</f>
        <v>locked</v>
      </c>
      <c r="E695" s="25" t="s">
        <v>23</v>
      </c>
      <c r="F695" s="25" t="str">
        <f>Catalog!AB77</f>
        <v>Increase Launcher Ammo</v>
      </c>
      <c r="G695" s="612"/>
    </row>
    <row r="696" spans="1:7" ht="15" x14ac:dyDescent="0.15">
      <c r="A696" s="21" t="s">
        <v>30</v>
      </c>
      <c r="B696" s="22" t="str">
        <f>Catalog!E77</f>
        <v>perkLauncherAmmo</v>
      </c>
      <c r="C696" s="23">
        <f>Catalog!W77</f>
        <v>0</v>
      </c>
      <c r="D696" s="24" t="str">
        <f>Catalog!X77</f>
        <v>locked</v>
      </c>
      <c r="E696" s="25" t="s">
        <v>24</v>
      </c>
      <c r="F696" s="24" t="str">
        <f>Catalog!AC77</f>
        <v>Get four extra Launcher blasts!</v>
      </c>
      <c r="G696" s="612"/>
    </row>
    <row r="697" spans="1:7" ht="15" x14ac:dyDescent="0.15">
      <c r="A697" s="21" t="s">
        <v>30</v>
      </c>
      <c r="B697" s="22" t="str">
        <f>Catalog!E77</f>
        <v>perkLauncherAmmo</v>
      </c>
      <c r="C697" s="23">
        <f>Catalog!W77</f>
        <v>0</v>
      </c>
      <c r="D697" s="24" t="str">
        <f>Catalog!X77</f>
        <v>locked</v>
      </c>
      <c r="E697" s="25" t="s">
        <v>25</v>
      </c>
      <c r="F697" s="25" t="str">
        <f>Catalog!AD77</f>
        <v>When you load or reload a Launcher, you get 4 extra blasts!</v>
      </c>
      <c r="G697" s="612"/>
    </row>
    <row r="698" spans="1:7" ht="15" x14ac:dyDescent="0.15">
      <c r="A698" s="21" t="s">
        <v>30</v>
      </c>
      <c r="B698" s="22" t="str">
        <f>Catalog!E77</f>
        <v>perkLauncherAmmo</v>
      </c>
      <c r="C698" s="26">
        <f>Catalog!BD77</f>
        <v>2</v>
      </c>
      <c r="D698" s="24" t="str">
        <f>Catalog!BE77</f>
        <v>unlocked</v>
      </c>
      <c r="E698" s="25" t="s">
        <v>25</v>
      </c>
      <c r="F698" s="25" t="str">
        <f>Catalog!BL77</f>
        <v>When you load or reload a Launcher, you get 4 extra blasts!</v>
      </c>
      <c r="G698" s="612"/>
    </row>
    <row r="699" spans="1:7" ht="15" x14ac:dyDescent="0.15">
      <c r="A699" s="21" t="s">
        <v>30</v>
      </c>
      <c r="B699" s="22" t="str">
        <f>Catalog!E77</f>
        <v>perkLauncherAmmo</v>
      </c>
      <c r="C699" s="26" t="e">
        <f t="shared" ref="C699:D699" si="254">#REF!</f>
        <v>#REF!</v>
      </c>
      <c r="D699" s="25" t="e">
        <f t="shared" si="254"/>
        <v>#REF!</v>
      </c>
      <c r="E699" s="25" t="s">
        <v>25</v>
      </c>
      <c r="F699" s="25" t="e">
        <f t="shared" ref="F699:F700" si="255">#REF!</f>
        <v>#REF!</v>
      </c>
      <c r="G699" s="612" t="s">
        <v>5483</v>
      </c>
    </row>
    <row r="700" spans="1:7" ht="15" x14ac:dyDescent="0.15">
      <c r="A700" s="21" t="s">
        <v>30</v>
      </c>
      <c r="B700" s="22" t="str">
        <f>Catalog!E77</f>
        <v>perkLauncherAmmo</v>
      </c>
      <c r="C700" s="26" t="e">
        <f t="shared" ref="C700:D700" si="256">#REF!</f>
        <v>#REF!</v>
      </c>
      <c r="D700" s="25" t="e">
        <f t="shared" si="256"/>
        <v>#REF!</v>
      </c>
      <c r="E700" s="25" t="s">
        <v>25</v>
      </c>
      <c r="F700" s="25" t="e">
        <f t="shared" si="255"/>
        <v>#REF!</v>
      </c>
      <c r="G700" s="612" t="s">
        <v>5483</v>
      </c>
    </row>
    <row r="701" spans="1:7" ht="15" x14ac:dyDescent="0.15">
      <c r="A701" s="21" t="s">
        <v>30</v>
      </c>
      <c r="B701" s="22" t="str">
        <f>Catalog!E78</f>
        <v>perkUltimateAmmo</v>
      </c>
      <c r="C701" s="23">
        <f>Catalog!W78</f>
        <v>0</v>
      </c>
      <c r="D701" s="24" t="str">
        <f>Catalog!X78</f>
        <v>locked</v>
      </c>
      <c r="E701" s="25" t="s">
        <v>23</v>
      </c>
      <c r="F701" s="25" t="str">
        <f>Catalog!AB78</f>
        <v>Increase Ultimate Ammo</v>
      </c>
      <c r="G701" s="612"/>
    </row>
    <row r="702" spans="1:7" ht="15" x14ac:dyDescent="0.15">
      <c r="A702" s="21" t="s">
        <v>30</v>
      </c>
      <c r="B702" s="22" t="str">
        <f>Catalog!E78</f>
        <v>perkUltimateAmmo</v>
      </c>
      <c r="C702" s="23">
        <f>Catalog!W78</f>
        <v>0</v>
      </c>
      <c r="D702" s="24" t="str">
        <f>Catalog!X78</f>
        <v>locked</v>
      </c>
      <c r="E702" s="25" t="s">
        <v>24</v>
      </c>
      <c r="F702" s="24" t="str">
        <f>Catalog!AC78</f>
        <v>Get three extra Ultimate blasts!</v>
      </c>
      <c r="G702" s="612"/>
    </row>
    <row r="703" spans="1:7" ht="15" x14ac:dyDescent="0.15">
      <c r="A703" s="21" t="s">
        <v>30</v>
      </c>
      <c r="B703" s="22" t="str">
        <f>Catalog!E78</f>
        <v>perkUltimateAmmo</v>
      </c>
      <c r="C703" s="23">
        <f>Catalog!W78</f>
        <v>0</v>
      </c>
      <c r="D703" s="24" t="str">
        <f>Catalog!X78</f>
        <v>locked</v>
      </c>
      <c r="E703" s="25" t="s">
        <v>25</v>
      </c>
      <c r="F703" s="25" t="str">
        <f>Catalog!AD78</f>
        <v>You get 3 extra blasts when you recharge your Ultimate!</v>
      </c>
      <c r="G703" s="612"/>
    </row>
    <row r="704" spans="1:7" ht="15" x14ac:dyDescent="0.15">
      <c r="A704" s="21" t="s">
        <v>30</v>
      </c>
      <c r="B704" s="22" t="str">
        <f>Catalog!E78</f>
        <v>perkUltimateAmmo</v>
      </c>
      <c r="C704" s="26">
        <f>Catalog!BD78</f>
        <v>2</v>
      </c>
      <c r="D704" s="24" t="str">
        <f>Catalog!BE78</f>
        <v>unlocked</v>
      </c>
      <c r="E704" s="25" t="s">
        <v>25</v>
      </c>
      <c r="F704" s="25" t="str">
        <f>Catalog!BL78</f>
        <v>You get 3 extra blasts when you recharge your Ultimate!</v>
      </c>
      <c r="G704" s="612"/>
    </row>
    <row r="705" spans="1:7" ht="15" x14ac:dyDescent="0.15">
      <c r="A705" s="21" t="s">
        <v>30</v>
      </c>
      <c r="B705" s="22" t="str">
        <f>Catalog!E78</f>
        <v>perkUltimateAmmo</v>
      </c>
      <c r="C705" s="26" t="e">
        <f t="shared" ref="C705:D705" si="257">#REF!</f>
        <v>#REF!</v>
      </c>
      <c r="D705" s="25" t="e">
        <f t="shared" si="257"/>
        <v>#REF!</v>
      </c>
      <c r="E705" s="25" t="s">
        <v>25</v>
      </c>
      <c r="F705" s="25" t="e">
        <f t="shared" ref="F705:F706" si="258">#REF!</f>
        <v>#REF!</v>
      </c>
      <c r="G705" s="612" t="s">
        <v>5483</v>
      </c>
    </row>
    <row r="706" spans="1:7" ht="15" x14ac:dyDescent="0.15">
      <c r="A706" s="21" t="s">
        <v>30</v>
      </c>
      <c r="B706" s="22" t="str">
        <f>Catalog!E78</f>
        <v>perkUltimateAmmo</v>
      </c>
      <c r="C706" s="26" t="e">
        <f t="shared" ref="C706:D706" si="259">#REF!</f>
        <v>#REF!</v>
      </c>
      <c r="D706" s="25" t="e">
        <f t="shared" si="259"/>
        <v>#REF!</v>
      </c>
      <c r="E706" s="25" t="s">
        <v>25</v>
      </c>
      <c r="F706" s="25" t="e">
        <f t="shared" si="258"/>
        <v>#REF!</v>
      </c>
      <c r="G706" s="612" t="s">
        <v>5483</v>
      </c>
    </row>
    <row r="707" spans="1:7" ht="15" x14ac:dyDescent="0.15">
      <c r="A707" s="21" t="s">
        <v>30</v>
      </c>
      <c r="B707" s="22" t="str">
        <f>Catalog!E79</f>
        <v>perkUltimateCharger</v>
      </c>
      <c r="C707" s="23">
        <f>Catalog!W79</f>
        <v>0</v>
      </c>
      <c r="D707" s="24" t="str">
        <f>Catalog!X79</f>
        <v>locked</v>
      </c>
      <c r="E707" s="25" t="s">
        <v>23</v>
      </c>
      <c r="F707" s="25" t="str">
        <f>Catalog!AB79</f>
        <v>Ultimate Rapid Charge</v>
      </c>
      <c r="G707" s="612"/>
    </row>
    <row r="708" spans="1:7" ht="15" x14ac:dyDescent="0.15">
      <c r="A708" s="21" t="s">
        <v>30</v>
      </c>
      <c r="B708" s="22" t="str">
        <f>Catalog!E79</f>
        <v>perkUltimateCharger</v>
      </c>
      <c r="C708" s="23">
        <f>Catalog!W79</f>
        <v>0</v>
      </c>
      <c r="D708" s="24" t="str">
        <f>Catalog!X79</f>
        <v>locked</v>
      </c>
      <c r="E708" s="25" t="s">
        <v>24</v>
      </c>
      <c r="F708" s="25" t="str">
        <f>Catalog!AC79</f>
        <v>Recharge your Ultimate faster!</v>
      </c>
      <c r="G708" s="612"/>
    </row>
    <row r="709" spans="1:7" ht="15" x14ac:dyDescent="0.15">
      <c r="A709" s="21" t="s">
        <v>30</v>
      </c>
      <c r="B709" s="22" t="str">
        <f>Catalog!E79</f>
        <v>perkUltimateCharger</v>
      </c>
      <c r="C709" s="23">
        <f>Catalog!W79</f>
        <v>0</v>
      </c>
      <c r="D709" s="24" t="str">
        <f>Catalog!X79</f>
        <v>locked</v>
      </c>
      <c r="E709" s="25" t="s">
        <v>25</v>
      </c>
      <c r="F709" s="25" t="str">
        <f>Catalog!AD79</f>
        <v>Your Ultimate recharges 10% faster!</v>
      </c>
      <c r="G709" s="612"/>
    </row>
    <row r="710" spans="1:7" ht="15" x14ac:dyDescent="0.15">
      <c r="A710" s="21" t="s">
        <v>30</v>
      </c>
      <c r="B710" s="22" t="str">
        <f>Catalog!E79</f>
        <v>perkUltimateCharger</v>
      </c>
      <c r="C710" s="23">
        <f>Catalog!BD79</f>
        <v>2</v>
      </c>
      <c r="D710" s="24" t="str">
        <f>Catalog!BE79</f>
        <v>unlocked</v>
      </c>
      <c r="E710" s="25" t="s">
        <v>25</v>
      </c>
      <c r="F710" s="25" t="str">
        <f>Catalog!BL79</f>
        <v>Your Ultimate recharges 10% faster!</v>
      </c>
      <c r="G710" s="612"/>
    </row>
    <row r="711" spans="1:7" ht="15" x14ac:dyDescent="0.15">
      <c r="A711" s="11" t="s">
        <v>40</v>
      </c>
      <c r="B711" s="12" t="str">
        <f>Catalog!E245</f>
        <v>lootTap1</v>
      </c>
      <c r="C711" s="20">
        <f>Catalog!W245</f>
        <v>0</v>
      </c>
      <c r="D711" s="20" t="str">
        <f>Catalog!X245</f>
        <v>unearned</v>
      </c>
      <c r="E711" s="19" t="s">
        <v>23</v>
      </c>
      <c r="F711" s="20" t="str">
        <f>Catalog!AB245</f>
        <v>Villain Network Channel Mug</v>
      </c>
      <c r="G711" s="13"/>
    </row>
    <row r="712" spans="1:7" ht="15" x14ac:dyDescent="0.15">
      <c r="A712" s="11" t="s">
        <v>40</v>
      </c>
      <c r="B712" s="12" t="str">
        <f>Catalog!E245</f>
        <v>lootTap1</v>
      </c>
      <c r="C712" s="20">
        <f>Catalog!W245</f>
        <v>0</v>
      </c>
      <c r="D712" s="20" t="str">
        <f>Catalog!X245</f>
        <v>unearned</v>
      </c>
      <c r="E712" s="19" t="s">
        <v>25</v>
      </c>
      <c r="F712" s="20" t="str">
        <f>Catalog!AD245</f>
        <v>Find the tap point in the Villain-Con queue!</v>
      </c>
      <c r="G712" s="13"/>
    </row>
    <row r="713" spans="1:7" ht="15" x14ac:dyDescent="0.15">
      <c r="A713" s="11" t="s">
        <v>40</v>
      </c>
      <c r="B713" s="12" t="str">
        <f>Catalog!E245</f>
        <v>lootTap1</v>
      </c>
      <c r="C713" s="20">
        <f>Catalog!W245</f>
        <v>0</v>
      </c>
      <c r="D713" s="20" t="str">
        <f>Catalog!X245</f>
        <v>unearned</v>
      </c>
      <c r="E713" s="19" t="s">
        <v>34</v>
      </c>
      <c r="F713" s="20" t="str">
        <f>Catalog!AE245</f>
        <v>2,000 points</v>
      </c>
      <c r="G713" s="13"/>
    </row>
    <row r="714" spans="1:7" ht="15" x14ac:dyDescent="0.15">
      <c r="A714" s="11" t="s">
        <v>40</v>
      </c>
      <c r="B714" s="12" t="str">
        <f>Catalog!E245</f>
        <v>lootTap1</v>
      </c>
      <c r="C714" s="20">
        <f>Catalog!BD245</f>
        <v>2</v>
      </c>
      <c r="D714" s="20" t="str">
        <f>Catalog!BE245</f>
        <v>earned</v>
      </c>
      <c r="E714" s="19" t="s">
        <v>25</v>
      </c>
      <c r="F714" s="20" t="str">
        <f>Catalog!BL245</f>
        <v>You found a Villain Network Channel Mug in the Villain-Con queue!</v>
      </c>
      <c r="G714" s="13"/>
    </row>
    <row r="715" spans="1:7" ht="15" x14ac:dyDescent="0.15">
      <c r="A715" s="11" t="s">
        <v>40</v>
      </c>
      <c r="B715" s="12" t="str">
        <f>Catalog!E247</f>
        <v>lootTap2</v>
      </c>
      <c r="C715" s="20">
        <f>Catalog!W247</f>
        <v>0</v>
      </c>
      <c r="D715" s="20" t="str">
        <f>Catalog!X247</f>
        <v>unearned</v>
      </c>
      <c r="E715" s="19" t="s">
        <v>23</v>
      </c>
      <c r="F715" s="20" t="str">
        <f>Catalog!AB247</f>
        <v>Binky Nelson's Pacifier</v>
      </c>
      <c r="G715" s="82"/>
    </row>
    <row r="716" spans="1:7" ht="15" x14ac:dyDescent="0.15">
      <c r="A716" s="11" t="s">
        <v>40</v>
      </c>
      <c r="B716" s="12" t="str">
        <f>Catalog!E247</f>
        <v>lootTap2</v>
      </c>
      <c r="C716" s="20">
        <f>Catalog!W247</f>
        <v>0</v>
      </c>
      <c r="D716" s="20" t="str">
        <f>Catalog!X247</f>
        <v>unearned</v>
      </c>
      <c r="E716" s="19" t="s">
        <v>25</v>
      </c>
      <c r="F716" s="20" t="str">
        <f>Catalog!AD247</f>
        <v>Find the tap point in the Villain-Con queue!</v>
      </c>
      <c r="G716" s="82"/>
    </row>
    <row r="717" spans="1:7" ht="15" x14ac:dyDescent="0.15">
      <c r="A717" s="11" t="s">
        <v>40</v>
      </c>
      <c r="B717" s="12" t="str">
        <f>Catalog!E247</f>
        <v>lootTap2</v>
      </c>
      <c r="C717" s="20">
        <f>Catalog!W247</f>
        <v>0</v>
      </c>
      <c r="D717" s="20" t="str">
        <f>Catalog!X247</f>
        <v>unearned</v>
      </c>
      <c r="E717" s="19" t="s">
        <v>34</v>
      </c>
      <c r="F717" s="20" t="str">
        <f>Catalog!AE247</f>
        <v>2,000 points</v>
      </c>
      <c r="G717" s="82"/>
    </row>
    <row r="718" spans="1:7" ht="15" x14ac:dyDescent="0.15">
      <c r="A718" s="11" t="s">
        <v>40</v>
      </c>
      <c r="B718" s="12" t="str">
        <f>Catalog!E247</f>
        <v>lootTap2</v>
      </c>
      <c r="C718" s="20">
        <f>Catalog!BD247</f>
        <v>2</v>
      </c>
      <c r="D718" s="20" t="str">
        <f>Catalog!BE247</f>
        <v>earned</v>
      </c>
      <c r="E718" s="19" t="s">
        <v>25</v>
      </c>
      <c r="F718" s="20" t="str">
        <f>Catalog!BL247</f>
        <v>You found Binky's Pacifier! You may want to wash it.</v>
      </c>
      <c r="G718" s="82"/>
    </row>
    <row r="719" spans="1:7" ht="15" x14ac:dyDescent="0.15">
      <c r="A719" s="11" t="s">
        <v>40</v>
      </c>
      <c r="B719" s="12" t="str">
        <f>Catalog!E249</f>
        <v>lootTap3</v>
      </c>
      <c r="C719" s="20">
        <f>Catalog!$W$249</f>
        <v>0</v>
      </c>
      <c r="D719" s="20" t="str">
        <f>Catalog!X249</f>
        <v>unearned</v>
      </c>
      <c r="E719" s="19" t="s">
        <v>23</v>
      </c>
      <c r="F719" s="20" t="str">
        <f>Catalog!AB249</f>
        <v>Gru's Vicious 6 Underwear</v>
      </c>
    </row>
    <row r="720" spans="1:7" ht="15" x14ac:dyDescent="0.15">
      <c r="A720" s="11" t="s">
        <v>40</v>
      </c>
      <c r="B720" s="12" t="str">
        <f>Catalog!E249</f>
        <v>lootTap3</v>
      </c>
      <c r="C720" s="20">
        <f>Catalog!$W$249</f>
        <v>0</v>
      </c>
      <c r="D720" s="20" t="str">
        <f>Catalog!X249</f>
        <v>unearned</v>
      </c>
      <c r="E720" s="19" t="s">
        <v>25</v>
      </c>
      <c r="F720" s="20" t="str">
        <f>Catalog!AD249</f>
        <v>Find the tap point at Villain-Con Retail!</v>
      </c>
    </row>
    <row r="721" spans="1:6" ht="15" x14ac:dyDescent="0.15">
      <c r="A721" s="11" t="s">
        <v>40</v>
      </c>
      <c r="B721" s="12" t="str">
        <f>Catalog!E249</f>
        <v>lootTap3</v>
      </c>
      <c r="C721" s="20">
        <f>Catalog!$W$249</f>
        <v>0</v>
      </c>
      <c r="D721" s="20" t="str">
        <f>Catalog!X249</f>
        <v>unearned</v>
      </c>
      <c r="E721" s="19" t="s">
        <v>34</v>
      </c>
      <c r="F721" s="20" t="str">
        <f>Catalog!AE249</f>
        <v>2,000 points</v>
      </c>
    </row>
    <row r="722" spans="1:6" ht="15" x14ac:dyDescent="0.15">
      <c r="A722" s="11" t="s">
        <v>40</v>
      </c>
      <c r="B722" s="12" t="str">
        <f>Catalog!E249</f>
        <v>lootTap3</v>
      </c>
      <c r="C722" s="20">
        <f>Catalog!$BD$249</f>
        <v>2</v>
      </c>
      <c r="D722" s="20" t="str">
        <f>Catalog!BE249</f>
        <v>earned</v>
      </c>
      <c r="E722" s="19" t="s">
        <v>25</v>
      </c>
      <c r="F722" s="20" t="str">
        <f>Catalog!BL249</f>
        <v>You found Gru's Vicious 6 Underwear at Villain-Con retail!</v>
      </c>
    </row>
    <row r="723" spans="1:6" ht="15" x14ac:dyDescent="0.15">
      <c r="A723" s="11" t="s">
        <v>40</v>
      </c>
      <c r="B723" s="12" t="str">
        <f>Catalog!$E$251</f>
        <v>lootTap4</v>
      </c>
      <c r="C723" s="20">
        <f>Catalog!$W$251</f>
        <v>0</v>
      </c>
      <c r="D723" s="20" t="str">
        <f>Catalog!$X$251</f>
        <v>unearned</v>
      </c>
      <c r="E723" s="19" t="s">
        <v>23</v>
      </c>
      <c r="F723" s="20" t="str">
        <f>Catalog!$AB$251</f>
        <v>Gru's Moon Heist Plans</v>
      </c>
    </row>
    <row r="724" spans="1:6" ht="15" x14ac:dyDescent="0.15">
      <c r="A724" s="11" t="s">
        <v>40</v>
      </c>
      <c r="B724" s="12" t="str">
        <f>Catalog!$E$251</f>
        <v>lootTap4</v>
      </c>
      <c r="C724" s="20">
        <f>Catalog!$W$251</f>
        <v>0</v>
      </c>
      <c r="D724" s="20" t="str">
        <f>Catalog!$X$251</f>
        <v>unearned</v>
      </c>
      <c r="E724" s="19" t="s">
        <v>25</v>
      </c>
      <c r="F724" s="20" t="str">
        <f>Catalog!$AD$251</f>
        <v>Find the tap point in the Minion Mayhem queue!</v>
      </c>
    </row>
    <row r="725" spans="1:6" ht="15" x14ac:dyDescent="0.15">
      <c r="A725" s="11" t="s">
        <v>40</v>
      </c>
      <c r="B725" s="12" t="str">
        <f>Catalog!$E$251</f>
        <v>lootTap4</v>
      </c>
      <c r="C725" s="20">
        <f>Catalog!$W$251</f>
        <v>0</v>
      </c>
      <c r="D725" s="20" t="str">
        <f>Catalog!$X$251</f>
        <v>unearned</v>
      </c>
      <c r="E725" s="19" t="s">
        <v>34</v>
      </c>
      <c r="F725" s="20" t="str">
        <f>Catalog!$AE$251</f>
        <v>2,000 points</v>
      </c>
    </row>
    <row r="726" spans="1:6" ht="15" x14ac:dyDescent="0.15">
      <c r="A726" s="11" t="s">
        <v>40</v>
      </c>
      <c r="B726" s="12" t="str">
        <f>Catalog!$E$251</f>
        <v>lootTap4</v>
      </c>
      <c r="C726" s="20">
        <f>Catalog!$BD$251</f>
        <v>2</v>
      </c>
      <c r="D726" s="20" t="str">
        <f>Catalog!$BE$251</f>
        <v>earned</v>
      </c>
      <c r="E726" s="19" t="s">
        <v>25</v>
      </c>
      <c r="F726" s="20" t="str">
        <f>Catalog!$BL$251</f>
        <v>You found Gru's Plans to Steal the Moon in the Minion Mayhem queue!</v>
      </c>
    </row>
    <row r="727" spans="1:6" ht="15" x14ac:dyDescent="0.15">
      <c r="A727" s="11" t="s">
        <v>40</v>
      </c>
      <c r="B727" s="12" t="str">
        <f>Catalog!$E$253</f>
        <v>lootTap5</v>
      </c>
      <c r="C727" s="20">
        <f>Catalog!$W$253</f>
        <v>0</v>
      </c>
      <c r="D727" s="20" t="str">
        <f>Catalog!$X$253</f>
        <v>unearned</v>
      </c>
      <c r="E727" s="19" t="s">
        <v>23</v>
      </c>
      <c r="F727" s="20" t="str">
        <f>Catalog!$AB$253</f>
        <v>Space Killer Ship</v>
      </c>
    </row>
    <row r="728" spans="1:6" ht="15" x14ac:dyDescent="0.15">
      <c r="A728" s="11" t="s">
        <v>40</v>
      </c>
      <c r="B728" s="12" t="str">
        <f>Catalog!$E$253</f>
        <v>lootTap5</v>
      </c>
      <c r="C728" s="20">
        <f>Catalog!$W$253</f>
        <v>0</v>
      </c>
      <c r="D728" s="20" t="str">
        <f>Catalog!$X$253</f>
        <v>unearned</v>
      </c>
      <c r="E728" s="19" t="s">
        <v>25</v>
      </c>
      <c r="F728" s="20" t="str">
        <f>Catalog!$AD$253</f>
        <v>Find the tap point at Minion Mayhem Retail!</v>
      </c>
    </row>
    <row r="729" spans="1:6" ht="15" x14ac:dyDescent="0.15">
      <c r="A729" s="11" t="s">
        <v>40</v>
      </c>
      <c r="B729" s="12" t="str">
        <f>Catalog!$E$253</f>
        <v>lootTap5</v>
      </c>
      <c r="C729" s="20">
        <f>Catalog!$W$253</f>
        <v>0</v>
      </c>
      <c r="D729" s="20" t="str">
        <f>Catalog!$X$253</f>
        <v>unearned</v>
      </c>
      <c r="E729" s="19" t="s">
        <v>34</v>
      </c>
      <c r="F729" s="20" t="str">
        <f>Catalog!$AE$253</f>
        <v>2,000 points</v>
      </c>
    </row>
    <row r="730" spans="1:6" ht="15" x14ac:dyDescent="0.15">
      <c r="A730" s="11" t="s">
        <v>40</v>
      </c>
      <c r="B730" s="12" t="str">
        <f>Catalog!$E$253</f>
        <v>lootTap5</v>
      </c>
      <c r="C730" s="20">
        <f>Catalog!$BD$253</f>
        <v>2</v>
      </c>
      <c r="D730" s="20" t="str">
        <f>Catalog!$BE$253</f>
        <v>earned</v>
      </c>
      <c r="E730" s="19" t="s">
        <v>25</v>
      </c>
      <c r="F730" s="20" t="str">
        <f>Catalog!$BL$253</f>
        <v>You found the Space Killer Ship at Minion Mayhem Retail!</v>
      </c>
    </row>
    <row r="731" spans="1:6" ht="15" x14ac:dyDescent="0.15">
      <c r="A731" s="11" t="s">
        <v>40</v>
      </c>
      <c r="B731" s="12" t="str">
        <f>Catalog!$E$255</f>
        <v>lootTap6</v>
      </c>
      <c r="C731" s="20">
        <f>Catalog!$W$255</f>
        <v>0</v>
      </c>
      <c r="D731" s="20" t="str">
        <f>Catalog!$X$255</f>
        <v>unearned</v>
      </c>
      <c r="E731" s="19" t="s">
        <v>23</v>
      </c>
      <c r="F731" s="20" t="str">
        <f>Catalog!$AB$255</f>
        <v>Pop-A-Nana</v>
      </c>
    </row>
    <row r="732" spans="1:6" ht="15" x14ac:dyDescent="0.15">
      <c r="A732" s="11" t="s">
        <v>40</v>
      </c>
      <c r="B732" s="12" t="str">
        <f>Catalog!$E$255</f>
        <v>lootTap6</v>
      </c>
      <c r="C732" s="20">
        <f>Catalog!$W$255</f>
        <v>0</v>
      </c>
      <c r="D732" s="20" t="str">
        <f>Catalog!$X$255</f>
        <v>unearned</v>
      </c>
      <c r="E732" s="19" t="s">
        <v>25</v>
      </c>
      <c r="F732" s="20" t="str">
        <f>Catalog!$AD$255</f>
        <v>Find the tap point at the entrance to the Minion Cafe!</v>
      </c>
    </row>
    <row r="733" spans="1:6" ht="15" x14ac:dyDescent="0.15">
      <c r="A733" s="11" t="s">
        <v>40</v>
      </c>
      <c r="B733" s="12" t="str">
        <f>Catalog!$E$255</f>
        <v>lootTap6</v>
      </c>
      <c r="C733" s="20">
        <f>Catalog!$W$255</f>
        <v>0</v>
      </c>
      <c r="D733" s="20" t="str">
        <f>Catalog!$X$255</f>
        <v>unearned</v>
      </c>
      <c r="E733" s="19" t="s">
        <v>34</v>
      </c>
      <c r="F733" s="20" t="str">
        <f>Catalog!$AE$255</f>
        <v>2,000 points</v>
      </c>
    </row>
    <row r="734" spans="1:6" ht="15" x14ac:dyDescent="0.15">
      <c r="A734" s="11" t="s">
        <v>40</v>
      </c>
      <c r="B734" s="12" t="str">
        <f>Catalog!$E$255</f>
        <v>lootTap6</v>
      </c>
      <c r="C734" s="20">
        <f>Catalog!$BD$255</f>
        <v>2</v>
      </c>
      <c r="D734" s="20" t="str">
        <f>Catalog!$BE$255</f>
        <v>earned</v>
      </c>
      <c r="E734" s="19" t="s">
        <v>25</v>
      </c>
      <c r="F734" s="20" t="str">
        <f>Catalog!$BL$255</f>
        <v>You found the Banana-Flavored Popcorn in front of the Minion Cafe!</v>
      </c>
    </row>
    <row r="735" spans="1:6" ht="15" x14ac:dyDescent="0.15">
      <c r="A735" s="11" t="s">
        <v>40</v>
      </c>
      <c r="B735" s="12" t="str">
        <f>Catalog!$E$257</f>
        <v>lootTap7</v>
      </c>
      <c r="C735" s="20">
        <f>Catalog!$W$257</f>
        <v>0</v>
      </c>
      <c r="D735" s="20" t="str">
        <f>Catalog!$X$257</f>
        <v>unearned</v>
      </c>
      <c r="E735" s="19" t="s">
        <v>23</v>
      </c>
      <c r="F735" s="20" t="str">
        <f>Catalog!$AB$257</f>
        <v>Minion Cupcake</v>
      </c>
    </row>
    <row r="736" spans="1:6" ht="15" x14ac:dyDescent="0.15">
      <c r="A736" s="11" t="s">
        <v>40</v>
      </c>
      <c r="B736" s="12" t="str">
        <f>Catalog!$E$257</f>
        <v>lootTap7</v>
      </c>
      <c r="C736" s="20">
        <f>Catalog!$W$257</f>
        <v>0</v>
      </c>
      <c r="D736" s="20" t="str">
        <f>Catalog!$X$257</f>
        <v>unearned</v>
      </c>
      <c r="E736" s="19" t="s">
        <v>25</v>
      </c>
      <c r="F736" s="20" t="str">
        <f>Catalog!$AD$257</f>
        <v>Find the cupcake tap point inside the Minion Cafe!</v>
      </c>
    </row>
    <row r="737" spans="1:6" ht="15" x14ac:dyDescent="0.15">
      <c r="A737" s="11" t="s">
        <v>40</v>
      </c>
      <c r="B737" s="12" t="str">
        <f>Catalog!$E$257</f>
        <v>lootTap7</v>
      </c>
      <c r="C737" s="20">
        <f>Catalog!$W$257</f>
        <v>0</v>
      </c>
      <c r="D737" s="20" t="str">
        <f>Catalog!$X$257</f>
        <v>unearned</v>
      </c>
      <c r="E737" s="19" t="s">
        <v>34</v>
      </c>
      <c r="F737" s="20" t="str">
        <f>Catalog!$AE$257</f>
        <v>2,000 points</v>
      </c>
    </row>
    <row r="738" spans="1:6" ht="28" x14ac:dyDescent="0.15">
      <c r="A738" s="11" t="s">
        <v>40</v>
      </c>
      <c r="B738" s="12" t="str">
        <f>Catalog!$E$257</f>
        <v>lootTap7</v>
      </c>
      <c r="C738" s="20">
        <f>Catalog!$BD$257</f>
        <v>2</v>
      </c>
      <c r="D738" s="20" t="str">
        <f>Catalog!$BE$257</f>
        <v>earned</v>
      </c>
      <c r="E738" s="19" t="s">
        <v>25</v>
      </c>
      <c r="F738" s="20" t="str">
        <f>Catalog!$BL$257</f>
        <v>You found the Minion Cupcake inside the Minion Cafe! Bake My Day, indeed.</v>
      </c>
    </row>
    <row r="739" spans="1:6" ht="15" x14ac:dyDescent="0.15">
      <c r="A739" s="11" t="s">
        <v>40</v>
      </c>
      <c r="B739" s="12" t="str">
        <f>Catalog!$E$259</f>
        <v>lootTap8</v>
      </c>
      <c r="C739" s="20">
        <f>Catalog!$W$259</f>
        <v>0</v>
      </c>
      <c r="D739" s="20" t="str">
        <f>Catalog!$X$259</f>
        <v>unearned</v>
      </c>
      <c r="E739" s="19" t="s">
        <v>23</v>
      </c>
      <c r="F739" s="20" t="str">
        <f>Catalog!$AB$259</f>
        <v>Big Ben Snowglobe</v>
      </c>
    </row>
    <row r="740" spans="1:6" ht="15" x14ac:dyDescent="0.15">
      <c r="A740" s="11" t="s">
        <v>40</v>
      </c>
      <c r="B740" s="12" t="str">
        <f>Catalog!$E$259</f>
        <v>lootTap8</v>
      </c>
      <c r="C740" s="20">
        <f>Catalog!$W$259</f>
        <v>0</v>
      </c>
      <c r="D740" s="20" t="str">
        <f>Catalog!$X$259</f>
        <v>unearned</v>
      </c>
      <c r="E740" s="19" t="s">
        <v>25</v>
      </c>
      <c r="F740" s="20" t="str">
        <f>Catalog!$AD$259</f>
        <v>Find the tap point inside the Minion Cafe!</v>
      </c>
    </row>
    <row r="741" spans="1:6" ht="15" x14ac:dyDescent="0.15">
      <c r="A741" s="11" t="s">
        <v>40</v>
      </c>
      <c r="B741" s="12" t="str">
        <f>Catalog!$E$259</f>
        <v>lootTap8</v>
      </c>
      <c r="C741" s="20">
        <f>Catalog!$W$259</f>
        <v>0</v>
      </c>
      <c r="D741" s="20" t="str">
        <f>Catalog!$X$259</f>
        <v>unearned</v>
      </c>
      <c r="E741" s="19" t="s">
        <v>34</v>
      </c>
      <c r="F741" s="20" t="str">
        <f>Catalog!$AE$259</f>
        <v>2,000 points</v>
      </c>
    </row>
    <row r="742" spans="1:6" ht="15" x14ac:dyDescent="0.15">
      <c r="A742" s="11" t="s">
        <v>40</v>
      </c>
      <c r="B742" s="12" t="str">
        <f>Catalog!$E$259</f>
        <v>lootTap8</v>
      </c>
      <c r="C742" s="20">
        <f>Catalog!$BD$259</f>
        <v>2</v>
      </c>
      <c r="D742" s="20" t="str">
        <f>Catalog!$BE$259</f>
        <v>earned</v>
      </c>
      <c r="E742" s="19" t="s">
        <v>25</v>
      </c>
      <c r="F742" s="20" t="str">
        <f>Catalog!$BL$259</f>
        <v>You found the Big Ben Snowglobe inside the Minion Cafe!</v>
      </c>
    </row>
    <row r="743" spans="1:6" ht="15" x14ac:dyDescent="0.15">
      <c r="A743" s="11" t="s">
        <v>40</v>
      </c>
      <c r="B743" s="12" t="str">
        <f>Catalog!$E$261</f>
        <v>lootTap9</v>
      </c>
      <c r="C743" s="20">
        <f>Catalog!$W$261</f>
        <v>0</v>
      </c>
      <c r="D743" s="20" t="str">
        <f>Catalog!$X$261</f>
        <v>unearned</v>
      </c>
      <c r="E743" s="19" t="s">
        <v>23</v>
      </c>
      <c r="F743" s="20" t="str">
        <f>Catalog!$AB$261</f>
        <v>Papagena</v>
      </c>
    </row>
    <row r="744" spans="1:6" ht="15" x14ac:dyDescent="0.15">
      <c r="A744" s="11" t="s">
        <v>40</v>
      </c>
      <c r="B744" s="12" t="str">
        <f>Catalog!$E$261</f>
        <v>lootTap9</v>
      </c>
      <c r="C744" s="20">
        <f>Catalog!$W$261</f>
        <v>0</v>
      </c>
      <c r="D744" s="20" t="str">
        <f>Catalog!$X$261</f>
        <v>unearned</v>
      </c>
      <c r="E744" s="19" t="s">
        <v>25</v>
      </c>
      <c r="F744" s="20" t="str">
        <f>Catalog!$AD$261</f>
        <v>Find the tap point at the Illumination Land Marquee!</v>
      </c>
    </row>
    <row r="745" spans="1:6" ht="15" x14ac:dyDescent="0.15">
      <c r="A745" s="11" t="s">
        <v>40</v>
      </c>
      <c r="B745" s="12" t="str">
        <f>Catalog!$E$261</f>
        <v>lootTap9</v>
      </c>
      <c r="C745" s="20">
        <f>Catalog!$W$261</f>
        <v>0</v>
      </c>
      <c r="D745" s="20" t="str">
        <f>Catalog!$X$261</f>
        <v>unearned</v>
      </c>
      <c r="E745" s="19" t="s">
        <v>34</v>
      </c>
      <c r="F745" s="20" t="str">
        <f>Catalog!$AE$261</f>
        <v>2,000 points</v>
      </c>
    </row>
    <row r="746" spans="1:6" ht="15" x14ac:dyDescent="0.15">
      <c r="A746" s="11" t="s">
        <v>40</v>
      </c>
      <c r="B746" s="12" t="str">
        <f>Catalog!$E$261</f>
        <v>lootTap9</v>
      </c>
      <c r="C746" s="20">
        <f>Catalog!$BD$261</f>
        <v>2</v>
      </c>
      <c r="D746" s="20" t="str">
        <f>Catalog!$BE$261</f>
        <v>earned</v>
      </c>
      <c r="E746" s="19" t="s">
        <v>25</v>
      </c>
      <c r="F746" s="20" t="str">
        <f>Catalog!$BL$261</f>
        <v>You found Papagena by the Illumination Land Marquee!</v>
      </c>
    </row>
    <row r="747" spans="1:6" ht="15" x14ac:dyDescent="0.15">
      <c r="A747" s="11" t="s">
        <v>40</v>
      </c>
      <c r="B747" s="12" t="str">
        <f>Catalog!$E$263</f>
        <v>lootTap10</v>
      </c>
      <c r="C747" s="20">
        <f>Catalog!$W$263</f>
        <v>0</v>
      </c>
      <c r="D747" s="20" t="str">
        <f>Catalog!$X$263</f>
        <v>unearned</v>
      </c>
      <c r="E747" s="19" t="s">
        <v>23</v>
      </c>
      <c r="F747" s="20" t="str">
        <f>Catalog!$AB$263</f>
        <v>Stuart's Ukelele</v>
      </c>
    </row>
    <row r="748" spans="1:6" ht="15" x14ac:dyDescent="0.15">
      <c r="A748" s="11" t="s">
        <v>40</v>
      </c>
      <c r="B748" s="12" t="str">
        <f>Catalog!$E$263</f>
        <v>lootTap10</v>
      </c>
      <c r="C748" s="20">
        <f>Catalog!$W$263</f>
        <v>0</v>
      </c>
      <c r="D748" s="20" t="str">
        <f>Catalog!$X$263</f>
        <v>unearned</v>
      </c>
      <c r="E748" s="19" t="s">
        <v>25</v>
      </c>
      <c r="F748" s="20" t="str">
        <f>Catalog!$AD$263</f>
        <v>Find the tap point by a certain Hollywood rockit!</v>
      </c>
    </row>
    <row r="749" spans="1:6" ht="15" x14ac:dyDescent="0.15">
      <c r="A749" s="11" t="s">
        <v>40</v>
      </c>
      <c r="B749" s="12" t="str">
        <f>Catalog!$E$263</f>
        <v>lootTap10</v>
      </c>
      <c r="C749" s="20">
        <f>Catalog!$W$263</f>
        <v>0</v>
      </c>
      <c r="D749" s="20" t="str">
        <f>Catalog!$X$263</f>
        <v>unearned</v>
      </c>
      <c r="E749" s="19" t="s">
        <v>34</v>
      </c>
      <c r="F749" s="20" t="str">
        <f>Catalog!$AE$263</f>
        <v>2,000 points</v>
      </c>
    </row>
    <row r="750" spans="1:6" ht="15" x14ac:dyDescent="0.15">
      <c r="A750" s="11" t="s">
        <v>40</v>
      </c>
      <c r="B750" s="12" t="str">
        <f>Catalog!$E$263</f>
        <v>lootTap10</v>
      </c>
      <c r="C750" s="20">
        <f>Catalog!$BD$263</f>
        <v>2</v>
      </c>
      <c r="D750" s="20" t="str">
        <f>Catalog!$BE$263</f>
        <v>earned</v>
      </c>
      <c r="E750" s="19" t="s">
        <v>25</v>
      </c>
      <c r="F750" s="20" t="str">
        <f>Catalog!$BL$263</f>
        <v>You found Stuart's Ukulele. Get ready to rock!</v>
      </c>
    </row>
    <row r="751" spans="1:6" ht="15" x14ac:dyDescent="0.15">
      <c r="A751" s="11" t="s">
        <v>40</v>
      </c>
      <c r="B751" s="12" t="str">
        <f>Catalog!$E$265</f>
        <v>lootTap11</v>
      </c>
      <c r="C751" s="20">
        <f>Catalog!$W$265</f>
        <v>0</v>
      </c>
      <c r="D751" s="20" t="str">
        <f>Catalog!$X$265</f>
        <v>unearned</v>
      </c>
      <c r="E751" s="19" t="s">
        <v>23</v>
      </c>
      <c r="F751" s="20" t="str">
        <f>Catalog!$AB$265</f>
        <v>Junior Kung-Fu Badge</v>
      </c>
    </row>
    <row r="752" spans="1:6" ht="15" x14ac:dyDescent="0.15">
      <c r="A752" s="11" t="s">
        <v>40</v>
      </c>
      <c r="B752" s="12" t="str">
        <f>Catalog!$E$265</f>
        <v>lootTap11</v>
      </c>
      <c r="C752" s="20">
        <f>Catalog!$W$265</f>
        <v>0</v>
      </c>
      <c r="D752" s="20" t="str">
        <f>Catalog!$X$265</f>
        <v>unearned</v>
      </c>
      <c r="E752" s="19" t="s">
        <v>25</v>
      </c>
      <c r="F752" s="20" t="str">
        <f>Catalog!$AD$265</f>
        <v>You might need to come across a certain character TBD</v>
      </c>
    </row>
    <row r="753" spans="1:6" ht="15" x14ac:dyDescent="0.15">
      <c r="A753" s="11" t="s">
        <v>40</v>
      </c>
      <c r="B753" s="12" t="str">
        <f>Catalog!$E$265</f>
        <v>lootTap11</v>
      </c>
      <c r="C753" s="20">
        <f>Catalog!$W$265</f>
        <v>0</v>
      </c>
      <c r="D753" s="20" t="str">
        <f>Catalog!$X$265</f>
        <v>unearned</v>
      </c>
      <c r="E753" s="19" t="s">
        <v>34</v>
      </c>
      <c r="F753" s="20" t="str">
        <f>Catalog!$AE$265</f>
        <v>2,000 points</v>
      </c>
    </row>
    <row r="754" spans="1:6" ht="15" x14ac:dyDescent="0.15">
      <c r="A754" s="11" t="s">
        <v>40</v>
      </c>
      <c r="B754" s="12" t="str">
        <f>Catalog!$E$265</f>
        <v>lootTap11</v>
      </c>
      <c r="C754" s="20">
        <f>Catalog!$BD$265</f>
        <v>2</v>
      </c>
      <c r="D754" s="20" t="str">
        <f>Catalog!$BE$265</f>
        <v>earned</v>
      </c>
      <c r="E754" s="19" t="s">
        <v>25</v>
      </c>
      <c r="F754" s="20" t="str">
        <f>Catalog!$BL$265</f>
        <v>You found the Junior Kung Fu Badge from CHARACTER TBD</v>
      </c>
    </row>
    <row r="755" spans="1:6" ht="15" x14ac:dyDescent="0.15">
      <c r="A755" s="11" t="s">
        <v>40</v>
      </c>
      <c r="B755" s="12" t="str">
        <f>Catalog!$E$267</f>
        <v>lootTap12</v>
      </c>
      <c r="C755" s="20">
        <f>Catalog!$W$267</f>
        <v>0</v>
      </c>
      <c r="D755" s="20" t="str">
        <f>Catalog!$X$267</f>
        <v>unearned</v>
      </c>
      <c r="E755" s="19" t="s">
        <v>23</v>
      </c>
      <c r="F755" s="20" t="str">
        <f>Catalog!$AB$267</f>
        <v>Gru's Wig</v>
      </c>
    </row>
    <row r="756" spans="1:6" ht="15" x14ac:dyDescent="0.15">
      <c r="A756" s="11" t="s">
        <v>40</v>
      </c>
      <c r="B756" s="12" t="str">
        <f>Catalog!$E$267</f>
        <v>lootTap12</v>
      </c>
      <c r="C756" s="20">
        <f>Catalog!$W$267</f>
        <v>0</v>
      </c>
      <c r="D756" s="20" t="str">
        <f>Catalog!$X$267</f>
        <v>unearned</v>
      </c>
      <c r="E756" s="19" t="s">
        <v>25</v>
      </c>
      <c r="F756" s="20" t="str">
        <f>Catalog!$AD$267</f>
        <v>I heard (character TBD) knows where to find this.</v>
      </c>
    </row>
    <row r="757" spans="1:6" ht="15" x14ac:dyDescent="0.15">
      <c r="A757" s="11" t="s">
        <v>40</v>
      </c>
      <c r="B757" s="12" t="str">
        <f>Catalog!$E$267</f>
        <v>lootTap12</v>
      </c>
      <c r="C757" s="20">
        <f>Catalog!$W$267</f>
        <v>0</v>
      </c>
      <c r="D757" s="20" t="str">
        <f>Catalog!$X$267</f>
        <v>unearned</v>
      </c>
      <c r="E757" s="19" t="s">
        <v>34</v>
      </c>
      <c r="F757" s="20" t="str">
        <f>Catalog!$AE$267</f>
        <v>2,000 points</v>
      </c>
    </row>
    <row r="758" spans="1:6" ht="15" x14ac:dyDescent="0.15">
      <c r="A758" s="11" t="s">
        <v>40</v>
      </c>
      <c r="B758" s="12" t="str">
        <f>Catalog!$E$267</f>
        <v>lootTap12</v>
      </c>
      <c r="C758" s="20">
        <f>Catalog!$BD$267</f>
        <v>2</v>
      </c>
      <c r="D758" s="20" t="str">
        <f>Catalog!$BE$267</f>
        <v>earned</v>
      </c>
      <c r="E758" s="19" t="s">
        <v>25</v>
      </c>
      <c r="F758" s="20" t="str">
        <f>Catalog!$BL$267</f>
        <v>You found Gru's Wig from Eagle San! Very stylish, not at all fake.</v>
      </c>
    </row>
    <row r="759" spans="1:6" ht="15" x14ac:dyDescent="0.15">
      <c r="A759" s="11" t="s">
        <v>41</v>
      </c>
      <c r="B759" s="12" t="str">
        <f>Catalog!$E$318</f>
        <v>lootUnicornReplacement</v>
      </c>
      <c r="C759" s="20">
        <f>Catalog!$W$318</f>
        <v>0</v>
      </c>
      <c r="D759" s="20" t="str">
        <f>Catalog!$X$318</f>
        <v>unearned</v>
      </c>
      <c r="E759" s="19" t="s">
        <v>23</v>
      </c>
      <c r="F759" s="20" t="str">
        <f>Catalog!$AB$318</f>
        <v>Replacement Unicorn</v>
      </c>
    </row>
    <row r="760" spans="1:6" ht="15" x14ac:dyDescent="0.15">
      <c r="A760" s="11" t="s">
        <v>41</v>
      </c>
      <c r="B760" s="12" t="str">
        <f>Catalog!$E$318</f>
        <v>lootUnicornReplacement</v>
      </c>
      <c r="C760" s="20">
        <f>Catalog!$W$318</f>
        <v>0</v>
      </c>
      <c r="D760" s="20" t="str">
        <f>Catalog!$X$318</f>
        <v>unearned</v>
      </c>
      <c r="E760" s="19" t="s">
        <v>25</v>
      </c>
      <c r="F760" s="20" t="str">
        <f>Catalog!$AD$318</f>
        <v>This unicorn toilet brush may be shy, but it's coming out of its shell.</v>
      </c>
    </row>
    <row r="761" spans="1:6" ht="15" x14ac:dyDescent="0.15">
      <c r="A761" s="11" t="s">
        <v>41</v>
      </c>
      <c r="B761" s="12" t="str">
        <f>Catalog!$E$318</f>
        <v>lootUnicornReplacement</v>
      </c>
      <c r="C761" s="20">
        <f>Catalog!$W$318</f>
        <v>0</v>
      </c>
      <c r="D761" s="20" t="str">
        <f>Catalog!$X$318</f>
        <v>unearned</v>
      </c>
      <c r="E761" s="19" t="s">
        <v>34</v>
      </c>
      <c r="F761" s="20" t="str">
        <f>Catalog!$AE$318</f>
        <v>1,000 points</v>
      </c>
    </row>
    <row r="762" spans="1:6" ht="28" x14ac:dyDescent="0.15">
      <c r="A762" s="11" t="s">
        <v>41</v>
      </c>
      <c r="B762" s="12" t="str">
        <f>Catalog!$E$318</f>
        <v>lootUnicornReplacement</v>
      </c>
      <c r="C762" s="20">
        <f>Catalog!$BD$318</f>
        <v>2</v>
      </c>
      <c r="D762" s="20" t="str">
        <f>Catalog!$BE$318</f>
        <v>earned</v>
      </c>
      <c r="E762" s="19" t="s">
        <v>25</v>
      </c>
      <c r="F762" s="20" t="str">
        <f>Catalog!$BL$318</f>
        <v>You found Agnes's Toilet Brush Unicorn. So much more magical than a normal toilet brush.</v>
      </c>
    </row>
    <row r="763" spans="1:6" ht="15" x14ac:dyDescent="0.15">
      <c r="A763" s="11" t="s">
        <v>41</v>
      </c>
      <c r="B763" s="12" t="str">
        <f>Catalog!$E$303</f>
        <v>lootPinkSpacesuit</v>
      </c>
      <c r="C763" s="20">
        <f>Catalog!$W$303</f>
        <v>0</v>
      </c>
      <c r="D763" s="20" t="str">
        <f>Catalog!$X$303</f>
        <v>unearned</v>
      </c>
      <c r="E763" s="19" t="s">
        <v>23</v>
      </c>
      <c r="F763" s="20" t="str">
        <f>Catalog!$AB$303</f>
        <v>Gru's Pink Spacesuit</v>
      </c>
    </row>
    <row r="764" spans="1:6" ht="28" x14ac:dyDescent="0.15">
      <c r="A764" s="11" t="s">
        <v>41</v>
      </c>
      <c r="B764" s="12" t="str">
        <f>Catalog!$E$303</f>
        <v>lootPinkSpacesuit</v>
      </c>
      <c r="C764" s="20">
        <f>Catalog!$W$303</f>
        <v>0</v>
      </c>
      <c r="D764" s="20" t="str">
        <f>Catalog!$X$303</f>
        <v>unearned</v>
      </c>
      <c r="E764" s="19" t="s">
        <v>25</v>
      </c>
      <c r="F764" s="20" t="str">
        <f>Catalog!$AD$303</f>
        <v xml:space="preserve">Gru's pink spacesuit isn't on a shooting star, maybe try another spinning light.  </v>
      </c>
    </row>
    <row r="765" spans="1:6" ht="15" x14ac:dyDescent="0.15">
      <c r="A765" s="11" t="s">
        <v>41</v>
      </c>
      <c r="B765" s="12" t="str">
        <f>Catalog!$E$303</f>
        <v>lootPinkSpacesuit</v>
      </c>
      <c r="C765" s="20">
        <f>Catalog!$W$303</f>
        <v>0</v>
      </c>
      <c r="D765" s="20" t="str">
        <f>Catalog!$X$303</f>
        <v>unearned</v>
      </c>
      <c r="E765" s="19" t="s">
        <v>34</v>
      </c>
      <c r="F765" s="20" t="str">
        <f>Catalog!$AE$303</f>
        <v>1,000 points</v>
      </c>
    </row>
    <row r="766" spans="1:6" ht="15" x14ac:dyDescent="0.15">
      <c r="A766" s="11" t="s">
        <v>41</v>
      </c>
      <c r="B766" s="12" t="str">
        <f>Catalog!$E$303</f>
        <v>lootPinkSpacesuit</v>
      </c>
      <c r="C766" s="20">
        <f>Catalog!$BD$303</f>
        <v>2</v>
      </c>
      <c r="D766" s="20" t="str">
        <f>Catalog!$BE$303</f>
        <v>earned</v>
      </c>
      <c r="E766" s="19" t="s">
        <v>25</v>
      </c>
      <c r="F766" s="20" t="str">
        <f>Catalog!$BL$303</f>
        <v>You found Gru's Pink Spacesuit! Functional AND fashionable.</v>
      </c>
    </row>
    <row r="767" spans="1:6" ht="15" x14ac:dyDescent="0.15">
      <c r="A767" s="11" t="s">
        <v>41</v>
      </c>
      <c r="B767" s="12" t="str">
        <f>Catalog!$E$301</f>
        <v>lootBubbleGum</v>
      </c>
      <c r="C767" s="20">
        <f>Catalog!$W$301</f>
        <v>0</v>
      </c>
      <c r="D767" s="20" t="str">
        <f>Catalog!$X$301</f>
        <v>unearned</v>
      </c>
      <c r="E767" s="19" t="s">
        <v>23</v>
      </c>
      <c r="F767" s="20" t="str">
        <f>Catalog!$AB$301</f>
        <v>Bratt’s TroubleGum</v>
      </c>
    </row>
    <row r="768" spans="1:6" ht="28" x14ac:dyDescent="0.15">
      <c r="A768" s="11" t="s">
        <v>41</v>
      </c>
      <c r="B768" s="12" t="str">
        <f>Catalog!$E$301</f>
        <v>lootBubbleGum</v>
      </c>
      <c r="C768" s="20">
        <f>Catalog!$W$301</f>
        <v>0</v>
      </c>
      <c r="D768" s="20" t="str">
        <f>Catalog!$X$301</f>
        <v>unearned</v>
      </c>
      <c r="E768" s="19" t="s">
        <v>25</v>
      </c>
      <c r="F768" s="20" t="str">
        <f>Catalog!$AD$301</f>
        <v xml:space="preserve">Bratt's Trouble Gum is hidden in plain sight…. with a bunch of other sweet treats! </v>
      </c>
    </row>
    <row r="769" spans="1:7" ht="15" x14ac:dyDescent="0.15">
      <c r="A769" s="11" t="s">
        <v>41</v>
      </c>
      <c r="B769" s="12" t="str">
        <f>Catalog!$E$301</f>
        <v>lootBubbleGum</v>
      </c>
      <c r="C769" s="20">
        <f>Catalog!$W$301</f>
        <v>0</v>
      </c>
      <c r="D769" s="20" t="str">
        <f>Catalog!$X$301</f>
        <v>unearned</v>
      </c>
      <c r="E769" s="19" t="s">
        <v>34</v>
      </c>
      <c r="F769" s="20" t="str">
        <f>Catalog!$AE$301</f>
        <v>100 points</v>
      </c>
    </row>
    <row r="770" spans="1:7" ht="15" x14ac:dyDescent="0.15">
      <c r="A770" s="11" t="s">
        <v>41</v>
      </c>
      <c r="B770" s="12" t="str">
        <f>Catalog!$E$301</f>
        <v>lootBubbleGum</v>
      </c>
      <c r="C770" s="20">
        <f>Catalog!$BD$301</f>
        <v>2</v>
      </c>
      <c r="D770" s="20" t="str">
        <f>Catalog!$BE$301</f>
        <v>earned</v>
      </c>
      <c r="E770" s="19" t="s">
        <v>25</v>
      </c>
      <c r="F770" s="20" t="str">
        <f>Catalog!$BL$301</f>
        <v>You found Bratt's TroubleGum! Way to not blow it!</v>
      </c>
    </row>
    <row r="771" spans="1:7" ht="15" x14ac:dyDescent="0.15">
      <c r="A771" s="11" t="s">
        <v>41</v>
      </c>
      <c r="B771" s="12" t="str">
        <f>Catalog!$E$304</f>
        <v>lootStickyFingers</v>
      </c>
      <c r="C771" s="20">
        <f>Catalog!$W$304</f>
        <v>0</v>
      </c>
      <c r="D771" s="20" t="str">
        <f>Catalog!$X$304</f>
        <v>unearned</v>
      </c>
      <c r="E771" s="19" t="s">
        <v>23</v>
      </c>
      <c r="F771" s="20" t="str">
        <f>Catalog!$AB$304</f>
        <v>Sticky Fingers</v>
      </c>
    </row>
    <row r="772" spans="1:7" ht="15" x14ac:dyDescent="0.15">
      <c r="A772" s="11" t="s">
        <v>41</v>
      </c>
      <c r="B772" s="12" t="str">
        <f>Catalog!$E$304</f>
        <v>lootStickyFingers</v>
      </c>
      <c r="C772" s="20">
        <f>Catalog!$W$304</f>
        <v>0</v>
      </c>
      <c r="D772" s="20" t="str">
        <f>Catalog!$X$304</f>
        <v>unearned</v>
      </c>
      <c r="E772" s="19" t="s">
        <v>25</v>
      </c>
      <c r="F772" s="20" t="str">
        <f>Catalog!$AD$304</f>
        <v>This hasn't been used in ages. Maybe it's in storage.</v>
      </c>
    </row>
    <row r="773" spans="1:7" ht="15" x14ac:dyDescent="0.15">
      <c r="A773" s="11" t="s">
        <v>41</v>
      </c>
      <c r="B773" s="12" t="str">
        <f>Catalog!$E$304</f>
        <v>lootStickyFingers</v>
      </c>
      <c r="C773" s="20">
        <f>Catalog!$W$304</f>
        <v>0</v>
      </c>
      <c r="D773" s="20" t="str">
        <f>Catalog!$X$304</f>
        <v>unearned</v>
      </c>
      <c r="E773" s="19" t="s">
        <v>34</v>
      </c>
      <c r="F773" s="20" t="str">
        <f>Catalog!$AE$304</f>
        <v>100 points</v>
      </c>
    </row>
    <row r="774" spans="1:7" ht="28" x14ac:dyDescent="0.15">
      <c r="A774" s="11" t="s">
        <v>41</v>
      </c>
      <c r="B774" s="12" t="str">
        <f>Catalog!$E$304</f>
        <v>lootStickyFingers</v>
      </c>
      <c r="C774" s="20">
        <f>Catalog!$BD$304</f>
        <v>2</v>
      </c>
      <c r="D774" s="20" t="str">
        <f>Catalog!$BE$304</f>
        <v>earned</v>
      </c>
      <c r="E774" s="19" t="s">
        <v>25</v>
      </c>
      <c r="F774" s="20" t="str">
        <f>Catalog!$BL$304</f>
        <v>An early invention of Dr. Nefario that was used to steal the Zodiac Stone!</v>
      </c>
    </row>
    <row r="775" spans="1:7" ht="15" x14ac:dyDescent="0.15">
      <c r="A775" s="11" t="s">
        <v>41</v>
      </c>
      <c r="B775" s="12" t="str">
        <f>Catalog!$E$281</f>
        <v>lootGrusJelly</v>
      </c>
      <c r="C775" s="20">
        <f>Catalog!$W$281</f>
        <v>0</v>
      </c>
      <c r="D775" s="20" t="str">
        <f>Catalog!$X$281</f>
        <v>unearned</v>
      </c>
      <c r="E775" s="19" t="s">
        <v>23</v>
      </c>
      <c r="F775" s="20" t="str">
        <f>Catalog!$AB$281</f>
        <v>Mr. Gru’s Jelly</v>
      </c>
      <c r="G775" s="18" t="s">
        <v>5483</v>
      </c>
    </row>
    <row r="776" spans="1:7" ht="15" x14ac:dyDescent="0.15">
      <c r="A776" s="11" t="s">
        <v>41</v>
      </c>
      <c r="B776" s="12" t="str">
        <f>Catalog!$E$281</f>
        <v>lootGrusJelly</v>
      </c>
      <c r="C776" s="20">
        <f>Catalog!$W$281</f>
        <v>0</v>
      </c>
      <c r="D776" s="20" t="str">
        <f>Catalog!$X$281</f>
        <v>unearned</v>
      </c>
      <c r="E776" s="19" t="s">
        <v>25</v>
      </c>
      <c r="F776" s="20" t="str">
        <f>Catalog!$AD$281</f>
        <v>The jars are waterproof - can't let anything spoil the taste!</v>
      </c>
      <c r="G776" s="18" t="s">
        <v>5483</v>
      </c>
    </row>
    <row r="777" spans="1:7" ht="15" x14ac:dyDescent="0.15">
      <c r="A777" s="11" t="s">
        <v>41</v>
      </c>
      <c r="B777" s="12" t="str">
        <f>Catalog!$E$281</f>
        <v>lootGrusJelly</v>
      </c>
      <c r="C777" s="20">
        <f>Catalog!$W$281</f>
        <v>0</v>
      </c>
      <c r="D777" s="20" t="str">
        <f>Catalog!$X$281</f>
        <v>unearned</v>
      </c>
      <c r="E777" s="19" t="s">
        <v>34</v>
      </c>
      <c r="F777" s="20" t="str">
        <f>Catalog!$AE$281</f>
        <v>100 points</v>
      </c>
      <c r="G777" s="18" t="s">
        <v>5483</v>
      </c>
    </row>
    <row r="778" spans="1:7" ht="15" x14ac:dyDescent="0.15">
      <c r="A778" s="11" t="s">
        <v>41</v>
      </c>
      <c r="B778" s="12" t="str">
        <f>Catalog!$E$281</f>
        <v>lootGrusJelly</v>
      </c>
      <c r="C778" s="20">
        <f>Catalog!$BD$281</f>
        <v>2</v>
      </c>
      <c r="D778" s="20" t="str">
        <f>Catalog!$BE$281</f>
        <v>earned</v>
      </c>
      <c r="E778" s="19" t="s">
        <v>25</v>
      </c>
      <c r="F778" s="20" t="str">
        <f>Catalog!$BL$281</f>
        <v>A jar of Gru's homemade jelly – like a berry punch to your tongue!</v>
      </c>
      <c r="G778" s="18" t="s">
        <v>5483</v>
      </c>
    </row>
    <row r="779" spans="1:7" ht="15" x14ac:dyDescent="0.15">
      <c r="A779" s="11" t="s">
        <v>41</v>
      </c>
      <c r="B779" s="12" t="str">
        <f>Catalog!$E$316</f>
        <v>lootBeeDoh</v>
      </c>
      <c r="C779" s="20">
        <f>Catalog!$W$316</f>
        <v>0</v>
      </c>
      <c r="D779" s="20" t="str">
        <f>Catalog!$X$316</f>
        <v>unearned</v>
      </c>
      <c r="E779" s="19" t="s">
        <v>23</v>
      </c>
      <c r="F779" s="20" t="str">
        <f>Catalog!$AB$316</f>
        <v>Bee-Doh Megaphone</v>
      </c>
    </row>
    <row r="780" spans="1:7" ht="15" x14ac:dyDescent="0.15">
      <c r="A780" s="11" t="s">
        <v>41</v>
      </c>
      <c r="B780" s="12" t="str">
        <f>Catalog!$E$316</f>
        <v>lootBeeDoh</v>
      </c>
      <c r="C780" s="20">
        <f>Catalog!$W$316</f>
        <v>0</v>
      </c>
      <c r="D780" s="20" t="str">
        <f>Catalog!$X$316</f>
        <v>unearned</v>
      </c>
      <c r="E780" s="19" t="s">
        <v>25</v>
      </c>
      <c r="F780" s="20" t="str">
        <f>Catalog!$AD$316</f>
        <v>A megaphone is useful when you're flying above the competition!</v>
      </c>
    </row>
    <row r="781" spans="1:7" ht="15" x14ac:dyDescent="0.15">
      <c r="A781" s="11" t="s">
        <v>41</v>
      </c>
      <c r="B781" s="12" t="str">
        <f>Catalog!$E$316</f>
        <v>lootBeeDoh</v>
      </c>
      <c r="C781" s="20">
        <f>Catalog!$W$316</f>
        <v>0</v>
      </c>
      <c r="D781" s="20" t="str">
        <f>Catalog!$X$316</f>
        <v>unearned</v>
      </c>
      <c r="E781" s="19" t="s">
        <v>34</v>
      </c>
      <c r="F781" s="20" t="str">
        <f>Catalog!$AE$316</f>
        <v>100 points</v>
      </c>
    </row>
    <row r="782" spans="1:7" ht="15" x14ac:dyDescent="0.15">
      <c r="A782" s="11" t="s">
        <v>41</v>
      </c>
      <c r="B782" s="12" t="str">
        <f>Catalog!$E$316</f>
        <v>lootBeeDoh</v>
      </c>
      <c r="C782" s="20">
        <f>Catalog!$BD$316</f>
        <v>2</v>
      </c>
      <c r="D782" s="20" t="str">
        <f>Catalog!$BE$316</f>
        <v>earned</v>
      </c>
      <c r="E782" s="19" t="s">
        <v>25</v>
      </c>
      <c r="F782" s="20" t="str">
        <f>Catalog!$BL$316</f>
        <v>BEE DOH BEE DOH BEE DOH</v>
      </c>
    </row>
    <row r="783" spans="1:7" ht="15" x14ac:dyDescent="0.15">
      <c r="A783" s="11" t="s">
        <v>41</v>
      </c>
      <c r="B783" s="12" t="str">
        <f>Catalog!$E$279</f>
        <v>lootLipstickTaser</v>
      </c>
      <c r="C783" s="20">
        <f>Catalog!$W$279</f>
        <v>0</v>
      </c>
      <c r="D783" s="20" t="str">
        <f>Catalog!$X$279</f>
        <v>unearned</v>
      </c>
      <c r="E783" s="19" t="s">
        <v>23</v>
      </c>
      <c r="F783" s="20" t="str">
        <f>Catalog!$AB$279</f>
        <v>Lipstick Taser</v>
      </c>
    </row>
    <row r="784" spans="1:7" ht="15" x14ac:dyDescent="0.15">
      <c r="A784" s="11" t="s">
        <v>41</v>
      </c>
      <c r="B784" s="12" t="str">
        <f>Catalog!$E$279</f>
        <v>lootLipstickTaser</v>
      </c>
      <c r="C784" s="20">
        <f>Catalog!$W$279</f>
        <v>0</v>
      </c>
      <c r="D784" s="20" t="str">
        <f>Catalog!$X$279</f>
        <v>unearned</v>
      </c>
      <c r="E784" s="19" t="s">
        <v>25</v>
      </c>
      <c r="F784" s="19" t="str">
        <f>Catalog!$AD$279</f>
        <v>A lightning round of synth music might reveal a lipstick taser.</v>
      </c>
    </row>
    <row r="785" spans="1:6" ht="15" x14ac:dyDescent="0.15">
      <c r="A785" s="11" t="s">
        <v>41</v>
      </c>
      <c r="B785" s="12" t="str">
        <f>Catalog!$E$279</f>
        <v>lootLipstickTaser</v>
      </c>
      <c r="C785" s="20">
        <f>Catalog!$W$279</f>
        <v>0</v>
      </c>
      <c r="D785" s="20" t="str">
        <f>Catalog!$X$279</f>
        <v>unearned</v>
      </c>
      <c r="E785" s="19" t="s">
        <v>34</v>
      </c>
      <c r="F785" s="20" t="str">
        <f>Catalog!$AE$279</f>
        <v>1,000 points</v>
      </c>
    </row>
    <row r="786" spans="1:6" ht="15" x14ac:dyDescent="0.15">
      <c r="A786" s="11" t="s">
        <v>41</v>
      </c>
      <c r="B786" s="12" t="str">
        <f>Catalog!$E$279</f>
        <v>lootLipstickTaser</v>
      </c>
      <c r="C786" s="20">
        <f>Catalog!$BD$279</f>
        <v>2</v>
      </c>
      <c r="D786" s="20" t="str">
        <f>Catalog!$BE$279</f>
        <v>earned</v>
      </c>
      <c r="E786" s="19" t="s">
        <v>25</v>
      </c>
      <c r="F786" s="20" t="str">
        <f>Catalog!$BL$279</f>
        <v>You found the...Lipstick Taserrrrrr!</v>
      </c>
    </row>
    <row r="787" spans="1:6" ht="15" x14ac:dyDescent="0.15">
      <c r="A787" s="11" t="s">
        <v>41</v>
      </c>
      <c r="B787" s="12" t="str">
        <f>Catalog!$E$309</f>
        <v>lootVCHat</v>
      </c>
      <c r="C787" s="20">
        <f>Catalog!$W$309</f>
        <v>0</v>
      </c>
      <c r="D787" s="20" t="str">
        <f>Catalog!$X$309</f>
        <v>unearned</v>
      </c>
      <c r="E787" s="19" t="s">
        <v>23</v>
      </c>
      <c r="F787" s="20" t="str">
        <f>Catalog!$AB$309</f>
        <v>Villain-Con Hat</v>
      </c>
    </row>
    <row r="788" spans="1:6" ht="28" x14ac:dyDescent="0.15">
      <c r="A788" s="11" t="s">
        <v>41</v>
      </c>
      <c r="B788" s="12" t="str">
        <f>Catalog!$E$309</f>
        <v>lootVCHat</v>
      </c>
      <c r="C788" s="20">
        <f>Catalog!$W$309</f>
        <v>0</v>
      </c>
      <c r="D788" s="20" t="str">
        <f>Catalog!$X$309</f>
        <v>unearned</v>
      </c>
      <c r="E788" s="19" t="s">
        <v>25</v>
      </c>
      <c r="F788" s="20" t="str">
        <f>Catalog!$AD$310</f>
        <v>Someone accidentally put these in storage...but they should be out for the convention!</v>
      </c>
    </row>
    <row r="789" spans="1:6" ht="15" x14ac:dyDescent="0.15">
      <c r="A789" s="11" t="s">
        <v>41</v>
      </c>
      <c r="B789" s="12" t="str">
        <f>Catalog!$E$309</f>
        <v>lootVCHat</v>
      </c>
      <c r="C789" s="20">
        <f>Catalog!$W$309</f>
        <v>0</v>
      </c>
      <c r="D789" s="20" t="str">
        <f>Catalog!$X$309</f>
        <v>unearned</v>
      </c>
      <c r="E789" s="19" t="s">
        <v>34</v>
      </c>
      <c r="F789" s="20" t="str">
        <f>Catalog!$AE$309</f>
        <v>100 points</v>
      </c>
    </row>
    <row r="790" spans="1:6" ht="15" x14ac:dyDescent="0.15">
      <c r="A790" s="11" t="s">
        <v>41</v>
      </c>
      <c r="B790" s="12" t="str">
        <f>Catalog!$E$309</f>
        <v>lootVCHat</v>
      </c>
      <c r="C790" s="20">
        <f>Catalog!$BD$309</f>
        <v>2</v>
      </c>
      <c r="D790" s="20" t="str">
        <f>Catalog!$BE$309</f>
        <v>earned</v>
      </c>
      <c r="E790" s="19" t="s">
        <v>25</v>
      </c>
      <c r="F790" s="20" t="str">
        <f>Catalog!$BL$309</f>
        <v>Can't go to Villain-Con without getting their officially licensed hat!</v>
      </c>
    </row>
    <row r="791" spans="1:6" ht="15" x14ac:dyDescent="0.15">
      <c r="A791" s="11" t="s">
        <v>41</v>
      </c>
      <c r="B791" s="12" t="str">
        <f>Catalog!$E$312</f>
        <v>lootManicEnergy</v>
      </c>
      <c r="C791" s="20">
        <f>Catalog!$W$312</f>
        <v>0</v>
      </c>
      <c r="D791" s="20" t="str">
        <f>Catalog!$X$312</f>
        <v>unearned</v>
      </c>
      <c r="E791" s="19" t="s">
        <v>23</v>
      </c>
      <c r="F791" s="20" t="str">
        <f>Catalog!$AB$312</f>
        <v>Manic Energy Drink</v>
      </c>
    </row>
    <row r="792" spans="1:6" ht="15" x14ac:dyDescent="0.15">
      <c r="A792" s="11" t="s">
        <v>41</v>
      </c>
      <c r="B792" s="12" t="str">
        <f>Catalog!$E$312</f>
        <v>lootManicEnergy</v>
      </c>
      <c r="C792" s="20">
        <f>Catalog!$W$312</f>
        <v>0</v>
      </c>
      <c r="D792" s="20" t="str">
        <f>Catalog!$X$312</f>
        <v>unearned</v>
      </c>
      <c r="E792" s="19" t="s">
        <v>25</v>
      </c>
      <c r="F792" s="20" t="str">
        <f>Catalog!$AD$312</f>
        <v>Best served cold...and a little wet.</v>
      </c>
    </row>
    <row r="793" spans="1:6" ht="15" x14ac:dyDescent="0.15">
      <c r="A793" s="11" t="s">
        <v>41</v>
      </c>
      <c r="B793" s="12" t="str">
        <f>Catalog!$E$312</f>
        <v>lootManicEnergy</v>
      </c>
      <c r="C793" s="20">
        <f>Catalog!$W$312</f>
        <v>0</v>
      </c>
      <c r="D793" s="20" t="str">
        <f>Catalog!$X$312</f>
        <v>unearned</v>
      </c>
      <c r="E793" s="19" t="s">
        <v>34</v>
      </c>
      <c r="F793" s="20" t="str">
        <f>Catalog!$AE$312</f>
        <v>100 points</v>
      </c>
    </row>
    <row r="794" spans="1:6" ht="28" x14ac:dyDescent="0.15">
      <c r="A794" s="11" t="s">
        <v>41</v>
      </c>
      <c r="B794" s="12" t="str">
        <f>Catalog!$E$312</f>
        <v>lootManicEnergy</v>
      </c>
      <c r="C794" s="20">
        <f>Catalog!$BD$312</f>
        <v>2</v>
      </c>
      <c r="D794" s="20" t="str">
        <f>Catalog!$BE$312</f>
        <v>earned</v>
      </c>
      <c r="E794" s="19" t="s">
        <v>25</v>
      </c>
      <c r="F794" s="20" t="str">
        <f>Catalog!$BL$312</f>
        <v>MANIC ENERGY MANIC ENERGY NEVER WEARS OFF SO MUCH ENERGY</v>
      </c>
    </row>
    <row r="795" spans="1:6" ht="15" x14ac:dyDescent="0.15">
      <c r="A795" s="11" t="s">
        <v>41</v>
      </c>
      <c r="B795" s="12" t="str">
        <f>Catalog!$E$310</f>
        <v>lootVCShirt</v>
      </c>
      <c r="C795" s="20">
        <f>Catalog!$W$310</f>
        <v>0</v>
      </c>
      <c r="D795" s="20" t="str">
        <f>Catalog!$X$310</f>
        <v>unearned</v>
      </c>
      <c r="E795" s="19" t="s">
        <v>23</v>
      </c>
      <c r="F795" s="20" t="str">
        <f>Catalog!$AB$310</f>
        <v>Villain-Con Shirt</v>
      </c>
    </row>
    <row r="796" spans="1:6" ht="15" x14ac:dyDescent="0.15">
      <c r="A796" s="11" t="s">
        <v>41</v>
      </c>
      <c r="B796" s="12" t="str">
        <f>Catalog!$E$310</f>
        <v>lootVCShirt</v>
      </c>
      <c r="C796" s="20">
        <f>Catalog!$W$310</f>
        <v>0</v>
      </c>
      <c r="D796" s="20" t="str">
        <f>Catalog!$X$310</f>
        <v>unearned</v>
      </c>
      <c r="E796" s="19" t="s">
        <v>25</v>
      </c>
      <c r="F796" s="19" t="e">
        <f>#REF!</f>
        <v>#REF!</v>
      </c>
    </row>
    <row r="797" spans="1:6" ht="15" x14ac:dyDescent="0.15">
      <c r="A797" s="11" t="s">
        <v>41</v>
      </c>
      <c r="B797" s="12" t="str">
        <f>Catalog!$E$310</f>
        <v>lootVCShirt</v>
      </c>
      <c r="C797" s="20">
        <f>Catalog!$W$310</f>
        <v>0</v>
      </c>
      <c r="D797" s="20" t="str">
        <f>Catalog!$X$310</f>
        <v>unearned</v>
      </c>
      <c r="E797" s="19" t="s">
        <v>34</v>
      </c>
      <c r="F797" s="20" t="str">
        <f>Catalog!$AE$310</f>
        <v>100 points</v>
      </c>
    </row>
    <row r="798" spans="1:6" ht="15" x14ac:dyDescent="0.15">
      <c r="A798" s="11" t="s">
        <v>41</v>
      </c>
      <c r="B798" s="12" t="str">
        <f>Catalog!$E$310</f>
        <v>lootVCShirt</v>
      </c>
      <c r="C798" s="20">
        <f>Catalog!$BD$310</f>
        <v>2</v>
      </c>
      <c r="D798" s="20" t="str">
        <f>Catalog!$BE$310</f>
        <v>earned</v>
      </c>
      <c r="E798" s="19" t="s">
        <v>25</v>
      </c>
      <c r="F798" s="20" t="str">
        <f>Catalog!$BL$310</f>
        <v>Nice Villain Con shirt! Ya gotta look good while doing bad.</v>
      </c>
    </row>
    <row r="799" spans="1:6" ht="15" x14ac:dyDescent="0.15">
      <c r="A799" s="11" t="s">
        <v>41</v>
      </c>
      <c r="B799" s="12" t="str">
        <f>Catalog!$E$305</f>
        <v>lootLunchbox</v>
      </c>
      <c r="C799" s="20">
        <f>Catalog!$W$305</f>
        <v>0</v>
      </c>
      <c r="D799" s="20" t="str">
        <f>Catalog!$X$305</f>
        <v>unearned</v>
      </c>
      <c r="E799" s="19" t="s">
        <v>23</v>
      </c>
      <c r="F799" s="20" t="str">
        <f>Catalog!$AB$305</f>
        <v>Scarlet Overkill Lunchbox</v>
      </c>
    </row>
    <row r="800" spans="1:6" ht="15" x14ac:dyDescent="0.15">
      <c r="A800" s="11" t="s">
        <v>41</v>
      </c>
      <c r="B800" s="12" t="str">
        <f>Catalog!$E$305</f>
        <v>lootLunchbox</v>
      </c>
      <c r="C800" s="20">
        <f>Catalog!$W$305</f>
        <v>0</v>
      </c>
      <c r="D800" s="20" t="str">
        <f>Catalog!$X$305</f>
        <v>unearned</v>
      </c>
      <c r="E800" s="19" t="s">
        <v>25</v>
      </c>
      <c r="F800" s="20" t="str">
        <f>Catalog!$AD$305</f>
        <v>This one's artfully hidden.</v>
      </c>
    </row>
    <row r="801" spans="1:6" ht="15" x14ac:dyDescent="0.15">
      <c r="A801" s="11" t="s">
        <v>41</v>
      </c>
      <c r="B801" s="12" t="str">
        <f>Catalog!$E$305</f>
        <v>lootLunchbox</v>
      </c>
      <c r="C801" s="20">
        <f>Catalog!$W$305</f>
        <v>0</v>
      </c>
      <c r="D801" s="20" t="str">
        <f>Catalog!$X$305</f>
        <v>unearned</v>
      </c>
      <c r="E801" s="19" t="s">
        <v>34</v>
      </c>
      <c r="F801" s="20" t="str">
        <f>Catalog!$AE$305</f>
        <v>1,000 points</v>
      </c>
    </row>
    <row r="802" spans="1:6" ht="28" x14ac:dyDescent="0.15">
      <c r="A802" s="11" t="s">
        <v>41</v>
      </c>
      <c r="B802" s="12" t="str">
        <f>Catalog!$E$305</f>
        <v>lootLunchbox</v>
      </c>
      <c r="C802" s="20">
        <f>Catalog!$BD$305</f>
        <v>2</v>
      </c>
      <c r="D802" s="20" t="str">
        <f>Catalog!$BE$305</f>
        <v>earned</v>
      </c>
      <c r="E802" s="19" t="s">
        <v>25</v>
      </c>
      <c r="F802" s="20" t="str">
        <f>Catalog!$BL$305</f>
        <v>Stuart will be so excited to get his Scarlet Overkill Lunchbox back! Let’s not tell Gru.</v>
      </c>
    </row>
    <row r="803" spans="1:6" ht="15" x14ac:dyDescent="0.15">
      <c r="A803" s="11" t="s">
        <v>41</v>
      </c>
      <c r="B803" s="12" t="str">
        <f>Catalog!$E$314</f>
        <v>lootV6Figures</v>
      </c>
      <c r="C803" s="20">
        <f>Catalog!$W$314</f>
        <v>0</v>
      </c>
      <c r="D803" s="20" t="str">
        <f>Catalog!$X$314</f>
        <v>unearned</v>
      </c>
      <c r="E803" s="19" t="s">
        <v>23</v>
      </c>
      <c r="F803" s="20" t="str">
        <f>Catalog!$AB$314</f>
        <v>Vicious 6 Action Figures</v>
      </c>
    </row>
    <row r="804" spans="1:6" ht="15" x14ac:dyDescent="0.15">
      <c r="A804" s="11" t="s">
        <v>41</v>
      </c>
      <c r="B804" s="12" t="str">
        <f>Catalog!$E$314</f>
        <v>lootV6Figures</v>
      </c>
      <c r="C804" s="20">
        <f>Catalog!$W$314</f>
        <v>0</v>
      </c>
      <c r="D804" s="20" t="str">
        <f>Catalog!$X$314</f>
        <v>unearned</v>
      </c>
      <c r="E804" s="19" t="s">
        <v>25</v>
      </c>
      <c r="F804" s="20" t="str">
        <f>Catalog!$AD$314</f>
        <v>These infamous villains deserve to rise on a pedestal!</v>
      </c>
    </row>
    <row r="805" spans="1:6" ht="15" x14ac:dyDescent="0.15">
      <c r="A805" s="11" t="s">
        <v>41</v>
      </c>
      <c r="B805" s="12" t="str">
        <f>Catalog!$E$314</f>
        <v>lootV6Figures</v>
      </c>
      <c r="C805" s="20">
        <f>Catalog!$W$314</f>
        <v>0</v>
      </c>
      <c r="D805" s="20" t="str">
        <f>Catalog!$X$314</f>
        <v>unearned</v>
      </c>
      <c r="E805" s="19" t="s">
        <v>34</v>
      </c>
      <c r="F805" s="20" t="str">
        <f>Catalog!$AE$314</f>
        <v>100 points</v>
      </c>
    </row>
    <row r="806" spans="1:6" ht="28" x14ac:dyDescent="0.15">
      <c r="A806" s="11" t="s">
        <v>41</v>
      </c>
      <c r="B806" s="12" t="str">
        <f>Catalog!$E$314</f>
        <v>lootV6Figures</v>
      </c>
      <c r="C806" s="20">
        <f>Catalog!$BD$314</f>
        <v>2</v>
      </c>
      <c r="D806" s="20" t="str">
        <f>Catalog!$BE$314</f>
        <v>earned</v>
      </c>
      <c r="E806" s="19" t="s">
        <v>25</v>
      </c>
      <c r="F806" s="20" t="str">
        <f>Catalog!$BL$314</f>
        <v>You found a full set of V6 Action Figures! Don't take them out of the box!</v>
      </c>
    </row>
    <row r="807" spans="1:6" ht="15" x14ac:dyDescent="0.15">
      <c r="A807" s="11" t="s">
        <v>41</v>
      </c>
      <c r="B807" s="12" t="str">
        <f>Catalog!$E$302</f>
        <v>lootElMachoMask</v>
      </c>
      <c r="C807" s="20">
        <f>Catalog!$W$302</f>
        <v>0</v>
      </c>
      <c r="D807" s="20" t="str">
        <f>Catalog!$X$302</f>
        <v>unearned</v>
      </c>
      <c r="E807" s="19" t="s">
        <v>23</v>
      </c>
      <c r="F807" s="20" t="str">
        <f>Catalog!$AB$302</f>
        <v>El Macho's Luchador Mask</v>
      </c>
    </row>
    <row r="808" spans="1:6" ht="15" x14ac:dyDescent="0.15">
      <c r="A808" s="11" t="s">
        <v>41</v>
      </c>
      <c r="B808" s="12" t="str">
        <f>Catalog!$E$302</f>
        <v>lootElMachoMask</v>
      </c>
      <c r="C808" s="20">
        <f>Catalog!$W$302</f>
        <v>0</v>
      </c>
      <c r="D808" s="20" t="str">
        <f>Catalog!$X$302</f>
        <v>unearned</v>
      </c>
      <c r="E808" s="19" t="s">
        <v>25</v>
      </c>
      <c r="F808" s="20" t="str">
        <f>Catalog!$AD$302</f>
        <v>The mask is universally feared.</v>
      </c>
    </row>
    <row r="809" spans="1:6" ht="15" x14ac:dyDescent="0.15">
      <c r="A809" s="11" t="s">
        <v>41</v>
      </c>
      <c r="B809" s="12" t="str">
        <f>Catalog!$E$302</f>
        <v>lootElMachoMask</v>
      </c>
      <c r="C809" s="20">
        <f>Catalog!$W$302</f>
        <v>0</v>
      </c>
      <c r="D809" s="20" t="str">
        <f>Catalog!$X$302</f>
        <v>unearned</v>
      </c>
      <c r="E809" s="19" t="s">
        <v>34</v>
      </c>
      <c r="F809" s="20" t="str">
        <f>Catalog!$AE$302</f>
        <v>100 points</v>
      </c>
    </row>
    <row r="810" spans="1:6" ht="15" x14ac:dyDescent="0.15">
      <c r="A810" s="11" t="s">
        <v>41</v>
      </c>
      <c r="B810" s="12" t="str">
        <f>Catalog!$E$302</f>
        <v>lootElMachoMask</v>
      </c>
      <c r="C810" s="20">
        <f>Catalog!$BD$302</f>
        <v>2</v>
      </c>
      <c r="D810" s="20" t="str">
        <f>Catalog!$BE$302</f>
        <v>earned</v>
      </c>
      <c r="E810" s="19" t="s">
        <v>25</v>
      </c>
      <c r="F810" s="20" t="str">
        <f>Catalog!$BL$302</f>
        <v>You found El Macho's mask! Mucho mystery solved!</v>
      </c>
    </row>
    <row r="811" spans="1:6" ht="15" x14ac:dyDescent="0.15">
      <c r="A811" s="11" t="s">
        <v>41</v>
      </c>
      <c r="B811" s="12" t="str">
        <f>Catalog!$E$315</f>
        <v>lootGoldenGuardianRobot</v>
      </c>
      <c r="C811" s="20">
        <f>Catalog!$W$315</f>
        <v>0</v>
      </c>
      <c r="D811" s="20" t="str">
        <f>Catalog!$X$315</f>
        <v>unearned</v>
      </c>
      <c r="E811" s="19" t="s">
        <v>23</v>
      </c>
      <c r="F811" s="20" t="str">
        <f>Catalog!$AB$315</f>
        <v>Golden Guardian Statue</v>
      </c>
    </row>
    <row r="812" spans="1:6" ht="28" x14ac:dyDescent="0.15">
      <c r="A812" s="11" t="s">
        <v>41</v>
      </c>
      <c r="B812" s="12" t="str">
        <f>Catalog!$E$315</f>
        <v>lootGoldenGuardianRobot</v>
      </c>
      <c r="C812" s="20">
        <f>Catalog!$W$315</f>
        <v>0</v>
      </c>
      <c r="D812" s="20" t="str">
        <f>Catalog!$X$315</f>
        <v>unearned</v>
      </c>
      <c r="E812" s="19" t="s">
        <v>25</v>
      </c>
      <c r="F812" s="20" t="str">
        <f>Catalog!$AD$315</f>
        <v>Chandeliers are fine, but you know what's *really* shiny? The Golden Guardian Robot!!</v>
      </c>
    </row>
    <row r="813" spans="1:6" ht="15" x14ac:dyDescent="0.15">
      <c r="A813" s="11" t="s">
        <v>41</v>
      </c>
      <c r="B813" s="12" t="str">
        <f>Catalog!$E$315</f>
        <v>lootGoldenGuardianRobot</v>
      </c>
      <c r="C813" s="20">
        <f>Catalog!$W$315</f>
        <v>0</v>
      </c>
      <c r="D813" s="20" t="str">
        <f>Catalog!$X$315</f>
        <v>unearned</v>
      </c>
      <c r="E813" s="19" t="s">
        <v>34</v>
      </c>
      <c r="F813" s="20" t="str">
        <f>Catalog!$AE$315</f>
        <v>1,000 points</v>
      </c>
    </row>
    <row r="814" spans="1:6" ht="28" x14ac:dyDescent="0.15">
      <c r="A814" s="11" t="s">
        <v>41</v>
      </c>
      <c r="B814" s="12" t="str">
        <f>Catalog!$E$315</f>
        <v>lootGoldenGuardianRobot</v>
      </c>
      <c r="C814" s="20">
        <f>Catalog!$BD$315</f>
        <v>2</v>
      </c>
      <c r="D814" s="20" t="str">
        <f>Catalog!$BE$315</f>
        <v>earned</v>
      </c>
      <c r="E814" s="19" t="s">
        <v>25</v>
      </c>
      <c r="F814" s="20" t="str">
        <f>Catalog!$BL$315</f>
        <v>You found the Golden Guardian Robot! It will defend its charge...TO THE DEATH</v>
      </c>
    </row>
    <row r="815" spans="1:6" ht="15" x14ac:dyDescent="0.15">
      <c r="A815" s="11" t="s">
        <v>41</v>
      </c>
      <c r="B815" s="12" t="str">
        <f>Catalog!$E$306</f>
        <v>lootBigBenSnowglobe</v>
      </c>
      <c r="C815" s="20">
        <f>Catalog!$W$306</f>
        <v>0</v>
      </c>
      <c r="D815" s="20" t="str">
        <f>Catalog!$X$306</f>
        <v>unearned</v>
      </c>
      <c r="E815" s="19" t="s">
        <v>23</v>
      </c>
      <c r="F815" s="20" t="str">
        <f>Catalog!$AB$306</f>
        <v>Big Ben Snowglobe</v>
      </c>
    </row>
    <row r="816" spans="1:6" ht="15" x14ac:dyDescent="0.15">
      <c r="A816" s="11" t="s">
        <v>41</v>
      </c>
      <c r="B816" s="12" t="str">
        <f>Catalog!$E$306</f>
        <v>lootBigBenSnowglobe</v>
      </c>
      <c r="C816" s="20">
        <f>Catalog!$W$306</f>
        <v>0</v>
      </c>
      <c r="D816" s="20" t="str">
        <f>Catalog!$X$306</f>
        <v>unearned</v>
      </c>
      <c r="E816" s="19" t="s">
        <v>25</v>
      </c>
      <c r="F816" s="20" t="str">
        <f>Catalog!$AD$306</f>
        <v>This one's artfully hidden.</v>
      </c>
    </row>
    <row r="817" spans="1:7" ht="15" x14ac:dyDescent="0.15">
      <c r="A817" s="11" t="s">
        <v>41</v>
      </c>
      <c r="B817" s="12" t="str">
        <f>Catalog!$E$306</f>
        <v>lootBigBenSnowglobe</v>
      </c>
      <c r="C817" s="20">
        <f>Catalog!$W$306</f>
        <v>0</v>
      </c>
      <c r="D817" s="20" t="str">
        <f>Catalog!$X$306</f>
        <v>unearned</v>
      </c>
      <c r="E817" s="19" t="s">
        <v>34</v>
      </c>
      <c r="F817" s="20" t="str">
        <f>Catalog!$AE$306</f>
        <v>100 points</v>
      </c>
    </row>
    <row r="818" spans="1:7" ht="28" x14ac:dyDescent="0.15">
      <c r="A818" s="11" t="s">
        <v>41</v>
      </c>
      <c r="B818" s="12" t="str">
        <f>Catalog!$E$306</f>
        <v>lootBigBenSnowglobe</v>
      </c>
      <c r="C818" s="20">
        <f>Catalog!$BD$306</f>
        <v>2</v>
      </c>
      <c r="D818" s="20" t="str">
        <f>Catalog!$BE$306</f>
        <v>earned</v>
      </c>
      <c r="E818" s="19" t="s">
        <v>25</v>
      </c>
      <c r="F818" s="20" t="str">
        <f>Catalog!$BL$306</f>
        <v>You found Stuart's Big Ben Snowglobe. Get ready for HOURS of excitement!</v>
      </c>
    </row>
    <row r="819" spans="1:7" ht="15" x14ac:dyDescent="0.15">
      <c r="A819" s="11" t="s">
        <v>41</v>
      </c>
      <c r="B819" s="12" t="str">
        <f>Catalog!$E$325</f>
        <v>lootTricycle</v>
      </c>
      <c r="C819" s="20">
        <f>Catalog!$W$325</f>
        <v>0</v>
      </c>
      <c r="D819" s="20" t="str">
        <f>Catalog!$X$325</f>
        <v>unearned</v>
      </c>
      <c r="E819" s="19" t="s">
        <v>23</v>
      </c>
      <c r="F819" s="20" t="str">
        <f>Catalog!$AB$325</f>
        <v>Otto's Big Wheel</v>
      </c>
    </row>
    <row r="820" spans="1:7" ht="15" x14ac:dyDescent="0.15">
      <c r="A820" s="11" t="s">
        <v>41</v>
      </c>
      <c r="B820" s="12" t="str">
        <f>Catalog!$E$325</f>
        <v>lootTricycle</v>
      </c>
      <c r="C820" s="20">
        <f>Catalog!$W$325</f>
        <v>0</v>
      </c>
      <c r="D820" s="20" t="str">
        <f>Catalog!$X$325</f>
        <v>unearned</v>
      </c>
      <c r="E820" s="19" t="s">
        <v>25</v>
      </c>
      <c r="F820" s="20" t="str">
        <f>Catalog!$AD$325</f>
        <v>This Big Wheel is boxed up.</v>
      </c>
    </row>
    <row r="821" spans="1:7" ht="15" x14ac:dyDescent="0.15">
      <c r="A821" s="11" t="s">
        <v>41</v>
      </c>
      <c r="B821" s="12" t="str">
        <f>Catalog!$E$325</f>
        <v>lootTricycle</v>
      </c>
      <c r="C821" s="20">
        <f>Catalog!$W$325</f>
        <v>0</v>
      </c>
      <c r="D821" s="20" t="str">
        <f>Catalog!$X$325</f>
        <v>unearned</v>
      </c>
      <c r="E821" s="19" t="s">
        <v>34</v>
      </c>
      <c r="F821" s="20" t="str">
        <f>Catalog!$AE$325</f>
        <v>100 points</v>
      </c>
    </row>
    <row r="822" spans="1:7" ht="15" x14ac:dyDescent="0.15">
      <c r="A822" s="11" t="s">
        <v>41</v>
      </c>
      <c r="B822" s="12" t="str">
        <f>Catalog!$E$325</f>
        <v>lootTricycle</v>
      </c>
      <c r="C822" s="20">
        <f>Catalog!$BD$325</f>
        <v>2</v>
      </c>
      <c r="D822" s="20" t="str">
        <f>Catalog!$BE$325</f>
        <v>earned</v>
      </c>
      <c r="E822" s="19" t="s">
        <v>25</v>
      </c>
      <c r="F822" s="20" t="str">
        <f>Catalog!$BL$325</f>
        <v>This Big Wheel got Otto halfway across the country! Go Otto go!</v>
      </c>
    </row>
    <row r="823" spans="1:7" ht="15" x14ac:dyDescent="0.15">
      <c r="A823" s="11" t="s">
        <v>40</v>
      </c>
      <c r="B823" s="12" t="str">
        <f>Catalog!E339</f>
        <v>lootJanuary</v>
      </c>
      <c r="C823" s="20">
        <f>Catalog!W339</f>
        <v>0</v>
      </c>
      <c r="D823" s="20" t="str">
        <f>Catalog!X339</f>
        <v>unearned</v>
      </c>
      <c r="E823" s="19" t="s">
        <v>23</v>
      </c>
      <c r="F823" s="20" t="str">
        <f>Catalog!AB339</f>
        <v>January loot</v>
      </c>
      <c r="G823" s="18" t="s">
        <v>5483</v>
      </c>
    </row>
    <row r="824" spans="1:7" ht="15" x14ac:dyDescent="0.15">
      <c r="A824" s="11" t="s">
        <v>40</v>
      </c>
      <c r="B824" s="12" t="str">
        <f>Catalog!E339</f>
        <v>lootJanuary</v>
      </c>
      <c r="C824" s="20">
        <f>Catalog!W339</f>
        <v>0</v>
      </c>
      <c r="D824" s="20" t="str">
        <f>Catalog!X339</f>
        <v>unearned</v>
      </c>
      <c r="E824" s="19" t="s">
        <v>25</v>
      </c>
      <c r="F824" s="20" t="str">
        <f>Catalog!AD339</f>
        <v>Description of how to find this loot.</v>
      </c>
      <c r="G824" s="18" t="s">
        <v>5483</v>
      </c>
    </row>
    <row r="825" spans="1:7" ht="15" x14ac:dyDescent="0.15">
      <c r="A825" s="11" t="s">
        <v>40</v>
      </c>
      <c r="B825" s="12" t="str">
        <f>Catalog!E339</f>
        <v>lootJanuary</v>
      </c>
      <c r="C825" s="20">
        <f>Catalog!W339</f>
        <v>0</v>
      </c>
      <c r="D825" s="20" t="str">
        <f>Catalog!X339</f>
        <v>unearned</v>
      </c>
      <c r="E825" s="19" t="s">
        <v>34</v>
      </c>
      <c r="F825" s="20" t="str">
        <f>Catalog!AE339</f>
        <v>TBD reward</v>
      </c>
      <c r="G825" s="18" t="s">
        <v>5483</v>
      </c>
    </row>
    <row r="826" spans="1:7" ht="15" x14ac:dyDescent="0.15">
      <c r="A826" s="11" t="s">
        <v>40</v>
      </c>
      <c r="B826" s="12" t="str">
        <f>Catalog!E339</f>
        <v>lootJanuary</v>
      </c>
      <c r="C826" s="20">
        <f>Catalog!BD339</f>
        <v>2</v>
      </c>
      <c r="D826" s="20" t="str">
        <f>Catalog!BE339</f>
        <v>earned</v>
      </c>
      <c r="E826" s="19" t="s">
        <v>25</v>
      </c>
      <c r="F826" s="20" t="str">
        <f>Catalog!BL339</f>
        <v>Description of the loot that was found and where.</v>
      </c>
      <c r="G826" s="18" t="s">
        <v>5483</v>
      </c>
    </row>
    <row r="827" spans="1:7" ht="15" x14ac:dyDescent="0.15">
      <c r="A827" s="11" t="s">
        <v>40</v>
      </c>
      <c r="B827" s="12" t="str">
        <f>Catalog!E339</f>
        <v>lootJanuary</v>
      </c>
      <c r="C827" s="20">
        <f>Catalog!BD339</f>
        <v>2</v>
      </c>
      <c r="D827" s="20" t="str">
        <f>Catalog!BE339</f>
        <v>earned</v>
      </c>
      <c r="E827" s="19" t="s">
        <v>34</v>
      </c>
      <c r="F827" s="20" t="str">
        <f>Catalog!BM339</f>
        <v>What was earned</v>
      </c>
      <c r="G827" s="18" t="s">
        <v>5483</v>
      </c>
    </row>
    <row r="828" spans="1:7" ht="15" x14ac:dyDescent="0.15">
      <c r="A828" s="11" t="s">
        <v>40</v>
      </c>
      <c r="B828" s="12" t="str">
        <f>Catalog!E340</f>
        <v>lootFebruary</v>
      </c>
      <c r="C828" s="20">
        <f>Catalog!W340</f>
        <v>0</v>
      </c>
      <c r="D828" s="20" t="str">
        <f>Catalog!X340</f>
        <v>unearned</v>
      </c>
      <c r="E828" s="19" t="s">
        <v>23</v>
      </c>
      <c r="F828" s="20" t="str">
        <f>Catalog!AB340</f>
        <v>February loot</v>
      </c>
      <c r="G828" s="18" t="s">
        <v>5483</v>
      </c>
    </row>
    <row r="829" spans="1:7" ht="15" x14ac:dyDescent="0.15">
      <c r="A829" s="11" t="s">
        <v>40</v>
      </c>
      <c r="B829" s="12" t="str">
        <f>Catalog!E340</f>
        <v>lootFebruary</v>
      </c>
      <c r="C829" s="20">
        <f>Catalog!W340</f>
        <v>0</v>
      </c>
      <c r="D829" s="20" t="str">
        <f>Catalog!X340</f>
        <v>unearned</v>
      </c>
      <c r="E829" s="19" t="s">
        <v>25</v>
      </c>
      <c r="F829" s="20" t="str">
        <f>Catalog!AD340</f>
        <v>Description of how to find this loot.</v>
      </c>
      <c r="G829" s="18" t="s">
        <v>5483</v>
      </c>
    </row>
    <row r="830" spans="1:7" ht="15" x14ac:dyDescent="0.15">
      <c r="A830" s="11" t="s">
        <v>40</v>
      </c>
      <c r="B830" s="12" t="str">
        <f>Catalog!E340</f>
        <v>lootFebruary</v>
      </c>
      <c r="C830" s="20">
        <f>Catalog!W340</f>
        <v>0</v>
      </c>
      <c r="D830" s="20" t="str">
        <f>Catalog!X340</f>
        <v>unearned</v>
      </c>
      <c r="E830" s="19" t="s">
        <v>34</v>
      </c>
      <c r="F830" s="20" t="str">
        <f>Catalog!AE340</f>
        <v>TBD reward</v>
      </c>
      <c r="G830" s="18" t="s">
        <v>5483</v>
      </c>
    </row>
    <row r="831" spans="1:7" ht="15" x14ac:dyDescent="0.15">
      <c r="A831" s="11" t="s">
        <v>40</v>
      </c>
      <c r="B831" s="12" t="str">
        <f>Catalog!E340</f>
        <v>lootFebruary</v>
      </c>
      <c r="C831" s="20">
        <f>Catalog!BD340</f>
        <v>2</v>
      </c>
      <c r="D831" s="20" t="str">
        <f>Catalog!BE340</f>
        <v>earned</v>
      </c>
      <c r="E831" s="19" t="s">
        <v>25</v>
      </c>
      <c r="F831" s="20" t="str">
        <f>Catalog!BL340</f>
        <v>Description of the loot that was found and where.</v>
      </c>
      <c r="G831" s="18" t="s">
        <v>5483</v>
      </c>
    </row>
    <row r="832" spans="1:7" ht="15" x14ac:dyDescent="0.15">
      <c r="A832" s="11" t="s">
        <v>40</v>
      </c>
      <c r="B832" s="12" t="str">
        <f>Catalog!E340</f>
        <v>lootFebruary</v>
      </c>
      <c r="C832" s="20">
        <f>Catalog!BD340</f>
        <v>2</v>
      </c>
      <c r="D832" s="20" t="str">
        <f>Catalog!BE340</f>
        <v>earned</v>
      </c>
      <c r="E832" s="19" t="s">
        <v>34</v>
      </c>
      <c r="F832" s="20" t="str">
        <f>Catalog!BM340</f>
        <v>What was earned</v>
      </c>
      <c r="G832" s="18" t="s">
        <v>5483</v>
      </c>
    </row>
    <row r="833" spans="1:7" ht="15" x14ac:dyDescent="0.15">
      <c r="A833" s="11" t="s">
        <v>40</v>
      </c>
      <c r="B833" s="12" t="str">
        <f>Catalog!E341</f>
        <v>lootMarch</v>
      </c>
      <c r="C833" s="20">
        <f>Catalog!W341</f>
        <v>0</v>
      </c>
      <c r="D833" s="20" t="str">
        <f>Catalog!X341</f>
        <v>unearned</v>
      </c>
      <c r="E833" s="19" t="s">
        <v>23</v>
      </c>
      <c r="F833" s="20" t="str">
        <f>Catalog!AB341</f>
        <v>March loot</v>
      </c>
      <c r="G833" s="18" t="s">
        <v>5483</v>
      </c>
    </row>
    <row r="834" spans="1:7" ht="15" x14ac:dyDescent="0.15">
      <c r="A834" s="11" t="s">
        <v>40</v>
      </c>
      <c r="B834" s="12" t="str">
        <f>Catalog!E341</f>
        <v>lootMarch</v>
      </c>
      <c r="C834" s="20">
        <f>Catalog!W341</f>
        <v>0</v>
      </c>
      <c r="D834" s="20" t="str">
        <f>Catalog!X341</f>
        <v>unearned</v>
      </c>
      <c r="E834" s="19" t="s">
        <v>25</v>
      </c>
      <c r="F834" s="20" t="str">
        <f>Catalog!AD341</f>
        <v>Description of how to find this loot.</v>
      </c>
      <c r="G834" s="18" t="s">
        <v>5483</v>
      </c>
    </row>
    <row r="835" spans="1:7" ht="15" x14ac:dyDescent="0.15">
      <c r="A835" s="11" t="s">
        <v>40</v>
      </c>
      <c r="B835" s="12" t="str">
        <f>Catalog!E341</f>
        <v>lootMarch</v>
      </c>
      <c r="C835" s="20">
        <f>Catalog!W341</f>
        <v>0</v>
      </c>
      <c r="D835" s="20" t="str">
        <f>Catalog!X341</f>
        <v>unearned</v>
      </c>
      <c r="E835" s="19" t="s">
        <v>34</v>
      </c>
      <c r="F835" s="20" t="str">
        <f>Catalog!AE341</f>
        <v>TBD reward</v>
      </c>
      <c r="G835" s="18" t="s">
        <v>5483</v>
      </c>
    </row>
    <row r="836" spans="1:7" ht="15" x14ac:dyDescent="0.15">
      <c r="A836" s="11" t="s">
        <v>40</v>
      </c>
      <c r="B836" s="12" t="str">
        <f>Catalog!E341</f>
        <v>lootMarch</v>
      </c>
      <c r="C836" s="20">
        <f>Catalog!BD341</f>
        <v>2</v>
      </c>
      <c r="D836" s="20" t="str">
        <f>Catalog!BE341</f>
        <v>earned</v>
      </c>
      <c r="E836" s="19" t="s">
        <v>25</v>
      </c>
      <c r="F836" s="20" t="str">
        <f>Catalog!BL341</f>
        <v>Description of the loot that was found and where.</v>
      </c>
      <c r="G836" s="18" t="s">
        <v>5483</v>
      </c>
    </row>
    <row r="837" spans="1:7" ht="15" x14ac:dyDescent="0.15">
      <c r="A837" s="11" t="s">
        <v>40</v>
      </c>
      <c r="B837" s="12" t="str">
        <f>Catalog!E341</f>
        <v>lootMarch</v>
      </c>
      <c r="C837" s="20">
        <f>Catalog!BD341</f>
        <v>2</v>
      </c>
      <c r="D837" s="20" t="str">
        <f>Catalog!BE341</f>
        <v>earned</v>
      </c>
      <c r="E837" s="19" t="s">
        <v>34</v>
      </c>
      <c r="F837" s="20" t="str">
        <f>Catalog!BM341</f>
        <v>What was earned</v>
      </c>
      <c r="G837" s="18" t="s">
        <v>5483</v>
      </c>
    </row>
    <row r="838" spans="1:7" ht="15" x14ac:dyDescent="0.15">
      <c r="A838" s="11" t="s">
        <v>40</v>
      </c>
      <c r="B838" s="12" t="str">
        <f>Catalog!E342</f>
        <v>lootApril</v>
      </c>
      <c r="C838" s="20">
        <f>Catalog!W342</f>
        <v>0</v>
      </c>
      <c r="D838" s="20" t="str">
        <f>Catalog!X342</f>
        <v>unearned</v>
      </c>
      <c r="E838" s="19" t="s">
        <v>23</v>
      </c>
      <c r="F838" s="20" t="str">
        <f>Catalog!AB342</f>
        <v>April loot</v>
      </c>
      <c r="G838" s="18" t="s">
        <v>5483</v>
      </c>
    </row>
    <row r="839" spans="1:7" ht="15" x14ac:dyDescent="0.15">
      <c r="A839" s="11" t="s">
        <v>40</v>
      </c>
      <c r="B839" s="12" t="str">
        <f>Catalog!E342</f>
        <v>lootApril</v>
      </c>
      <c r="C839" s="20">
        <f>Catalog!W342</f>
        <v>0</v>
      </c>
      <c r="D839" s="20" t="str">
        <f>Catalog!X342</f>
        <v>unearned</v>
      </c>
      <c r="E839" s="19" t="s">
        <v>25</v>
      </c>
      <c r="F839" s="20" t="str">
        <f>Catalog!AD342</f>
        <v>Description of how to find this loot.</v>
      </c>
      <c r="G839" s="18" t="s">
        <v>5483</v>
      </c>
    </row>
    <row r="840" spans="1:7" ht="15" x14ac:dyDescent="0.15">
      <c r="A840" s="11" t="s">
        <v>40</v>
      </c>
      <c r="B840" s="12" t="str">
        <f>Catalog!E342</f>
        <v>lootApril</v>
      </c>
      <c r="C840" s="20">
        <f>Catalog!W342</f>
        <v>0</v>
      </c>
      <c r="D840" s="20" t="str">
        <f>Catalog!X342</f>
        <v>unearned</v>
      </c>
      <c r="E840" s="19" t="s">
        <v>34</v>
      </c>
      <c r="F840" s="20" t="str">
        <f>Catalog!AE342</f>
        <v>TBD reward</v>
      </c>
      <c r="G840" s="18" t="s">
        <v>5483</v>
      </c>
    </row>
    <row r="841" spans="1:7" ht="15" x14ac:dyDescent="0.15">
      <c r="A841" s="11" t="s">
        <v>40</v>
      </c>
      <c r="B841" s="12" t="str">
        <f>Catalog!E342</f>
        <v>lootApril</v>
      </c>
      <c r="C841" s="20">
        <f>Catalog!BD342</f>
        <v>2</v>
      </c>
      <c r="D841" s="20" t="str">
        <f>Catalog!BE342</f>
        <v>earned</v>
      </c>
      <c r="E841" s="19" t="s">
        <v>25</v>
      </c>
      <c r="F841" s="20" t="str">
        <f>Catalog!BL342</f>
        <v>Description of the loot that was found and where.</v>
      </c>
      <c r="G841" s="18" t="s">
        <v>5483</v>
      </c>
    </row>
    <row r="842" spans="1:7" ht="15" x14ac:dyDescent="0.15">
      <c r="A842" s="11" t="s">
        <v>40</v>
      </c>
      <c r="B842" s="12" t="str">
        <f>Catalog!E342</f>
        <v>lootApril</v>
      </c>
      <c r="C842" s="20">
        <f>Catalog!BD342</f>
        <v>2</v>
      </c>
      <c r="D842" s="20" t="str">
        <f>Catalog!BE342</f>
        <v>earned</v>
      </c>
      <c r="E842" s="19" t="s">
        <v>34</v>
      </c>
      <c r="F842" s="20" t="str">
        <f>Catalog!BM342</f>
        <v>What was earned</v>
      </c>
      <c r="G842" s="18" t="s">
        <v>5483</v>
      </c>
    </row>
    <row r="843" spans="1:7" ht="15" x14ac:dyDescent="0.15">
      <c r="A843" s="11" t="s">
        <v>40</v>
      </c>
      <c r="B843" s="12" t="str">
        <f>Catalog!E343</f>
        <v>lootMay</v>
      </c>
      <c r="C843" s="20">
        <f>Catalog!W343</f>
        <v>0</v>
      </c>
      <c r="D843" s="20" t="str">
        <f>Catalog!X343</f>
        <v>unearned</v>
      </c>
      <c r="E843" s="19" t="s">
        <v>23</v>
      </c>
      <c r="F843" s="20" t="str">
        <f>Catalog!AB343</f>
        <v>May loot</v>
      </c>
      <c r="G843" s="18" t="s">
        <v>5483</v>
      </c>
    </row>
    <row r="844" spans="1:7" ht="15" x14ac:dyDescent="0.15">
      <c r="A844" s="11" t="s">
        <v>40</v>
      </c>
      <c r="B844" s="12" t="str">
        <f>Catalog!E343</f>
        <v>lootMay</v>
      </c>
      <c r="C844" s="20">
        <f>Catalog!W343</f>
        <v>0</v>
      </c>
      <c r="D844" s="20" t="str">
        <f>Catalog!X343</f>
        <v>unearned</v>
      </c>
      <c r="E844" s="19" t="s">
        <v>25</v>
      </c>
      <c r="F844" s="20" t="str">
        <f>Catalog!AD343</f>
        <v>Description of how to find this loot.</v>
      </c>
      <c r="G844" s="18" t="s">
        <v>5483</v>
      </c>
    </row>
    <row r="845" spans="1:7" ht="15" x14ac:dyDescent="0.15">
      <c r="A845" s="11" t="s">
        <v>40</v>
      </c>
      <c r="B845" s="12" t="str">
        <f>Catalog!E343</f>
        <v>lootMay</v>
      </c>
      <c r="C845" s="20">
        <f>Catalog!W343</f>
        <v>0</v>
      </c>
      <c r="D845" s="20" t="str">
        <f>Catalog!X343</f>
        <v>unearned</v>
      </c>
      <c r="E845" s="19" t="s">
        <v>34</v>
      </c>
      <c r="F845" s="20" t="str">
        <f>Catalog!AE343</f>
        <v>TBD reward</v>
      </c>
      <c r="G845" s="18" t="s">
        <v>5483</v>
      </c>
    </row>
    <row r="846" spans="1:7" ht="15" x14ac:dyDescent="0.15">
      <c r="A846" s="11" t="s">
        <v>40</v>
      </c>
      <c r="B846" s="12" t="str">
        <f>Catalog!E343</f>
        <v>lootMay</v>
      </c>
      <c r="C846" s="20">
        <f>Catalog!BD343</f>
        <v>2</v>
      </c>
      <c r="D846" s="20" t="str">
        <f>Catalog!BE343</f>
        <v>earned</v>
      </c>
      <c r="E846" s="19" t="s">
        <v>25</v>
      </c>
      <c r="F846" s="20" t="str">
        <f>Catalog!BL343</f>
        <v>Description of the loot that was found and where.</v>
      </c>
      <c r="G846" s="18" t="s">
        <v>5483</v>
      </c>
    </row>
    <row r="847" spans="1:7" ht="15" x14ac:dyDescent="0.15">
      <c r="A847" s="11" t="s">
        <v>40</v>
      </c>
      <c r="B847" s="12" t="str">
        <f>Catalog!E343</f>
        <v>lootMay</v>
      </c>
      <c r="C847" s="20">
        <f>Catalog!BD343</f>
        <v>2</v>
      </c>
      <c r="D847" s="20" t="str">
        <f>Catalog!BE343</f>
        <v>earned</v>
      </c>
      <c r="E847" s="19" t="s">
        <v>34</v>
      </c>
      <c r="F847" s="20" t="str">
        <f>Catalog!BM343</f>
        <v>What was earned</v>
      </c>
      <c r="G847" s="18" t="s">
        <v>5483</v>
      </c>
    </row>
    <row r="848" spans="1:7" ht="15" x14ac:dyDescent="0.15">
      <c r="A848" s="11" t="s">
        <v>40</v>
      </c>
      <c r="B848" s="12" t="str">
        <f>Catalog!E344</f>
        <v>lootJune</v>
      </c>
      <c r="C848" s="20">
        <f>Catalog!W344</f>
        <v>0</v>
      </c>
      <c r="D848" s="20" t="str">
        <f>Catalog!X344</f>
        <v>unearned</v>
      </c>
      <c r="E848" s="19" t="s">
        <v>23</v>
      </c>
      <c r="F848" s="20" t="str">
        <f>Catalog!AB344</f>
        <v>June loot</v>
      </c>
      <c r="G848" s="18" t="s">
        <v>5483</v>
      </c>
    </row>
    <row r="849" spans="1:7" ht="15" x14ac:dyDescent="0.15">
      <c r="A849" s="11" t="s">
        <v>40</v>
      </c>
      <c r="B849" s="12" t="str">
        <f>Catalog!E344</f>
        <v>lootJune</v>
      </c>
      <c r="C849" s="20">
        <f>Catalog!W344</f>
        <v>0</v>
      </c>
      <c r="D849" s="20" t="str">
        <f>Catalog!X344</f>
        <v>unearned</v>
      </c>
      <c r="E849" s="19" t="s">
        <v>25</v>
      </c>
      <c r="F849" s="20" t="str">
        <f>Catalog!AD344</f>
        <v>Description of how to find this loot.</v>
      </c>
      <c r="G849" s="18" t="s">
        <v>5483</v>
      </c>
    </row>
    <row r="850" spans="1:7" ht="15" x14ac:dyDescent="0.15">
      <c r="A850" s="11" t="s">
        <v>40</v>
      </c>
      <c r="B850" s="12" t="str">
        <f>Catalog!E344</f>
        <v>lootJune</v>
      </c>
      <c r="C850" s="20">
        <f>Catalog!W344</f>
        <v>0</v>
      </c>
      <c r="D850" s="20" t="str">
        <f>Catalog!X344</f>
        <v>unearned</v>
      </c>
      <c r="E850" s="19" t="s">
        <v>34</v>
      </c>
      <c r="F850" s="20" t="str">
        <f>Catalog!AE344</f>
        <v>TBD reward</v>
      </c>
      <c r="G850" s="18" t="s">
        <v>5483</v>
      </c>
    </row>
    <row r="851" spans="1:7" ht="15" x14ac:dyDescent="0.15">
      <c r="A851" s="11" t="s">
        <v>40</v>
      </c>
      <c r="B851" s="12" t="str">
        <f>Catalog!E344</f>
        <v>lootJune</v>
      </c>
      <c r="C851" s="20">
        <f>Catalog!BD344</f>
        <v>2</v>
      </c>
      <c r="D851" s="20" t="str">
        <f>Catalog!BE344</f>
        <v>earned</v>
      </c>
      <c r="E851" s="19" t="s">
        <v>25</v>
      </c>
      <c r="F851" s="20" t="str">
        <f>Catalog!BL344</f>
        <v>Description of the loot that was found and where.</v>
      </c>
      <c r="G851" s="18" t="s">
        <v>5483</v>
      </c>
    </row>
    <row r="852" spans="1:7" ht="15" x14ac:dyDescent="0.15">
      <c r="A852" s="11" t="s">
        <v>40</v>
      </c>
      <c r="B852" s="12" t="str">
        <f>Catalog!E344</f>
        <v>lootJune</v>
      </c>
      <c r="C852" s="20">
        <f>Catalog!BD344</f>
        <v>2</v>
      </c>
      <c r="D852" s="20" t="str">
        <f>Catalog!BE344</f>
        <v>earned</v>
      </c>
      <c r="E852" s="19" t="s">
        <v>34</v>
      </c>
      <c r="F852" s="20" t="str">
        <f>Catalog!BM344</f>
        <v>What was earned</v>
      </c>
      <c r="G852" s="18" t="s">
        <v>5483</v>
      </c>
    </row>
    <row r="853" spans="1:7" ht="15" x14ac:dyDescent="0.15">
      <c r="A853" s="11" t="s">
        <v>40</v>
      </c>
      <c r="B853" s="12" t="str">
        <f>Catalog!E345</f>
        <v>lootJuly</v>
      </c>
      <c r="C853" s="20">
        <f>Catalog!W345</f>
        <v>0</v>
      </c>
      <c r="D853" s="20" t="str">
        <f>Catalog!X345</f>
        <v>unearned</v>
      </c>
      <c r="E853" s="19" t="s">
        <v>23</v>
      </c>
      <c r="F853" s="20" t="str">
        <f>Catalog!AB345</f>
        <v>July loot</v>
      </c>
      <c r="G853" s="18" t="s">
        <v>5483</v>
      </c>
    </row>
    <row r="854" spans="1:7" ht="15" x14ac:dyDescent="0.15">
      <c r="A854" s="11" t="s">
        <v>40</v>
      </c>
      <c r="B854" s="12" t="str">
        <f>Catalog!E345</f>
        <v>lootJuly</v>
      </c>
      <c r="C854" s="20">
        <f>Catalog!W345</f>
        <v>0</v>
      </c>
      <c r="D854" s="20" t="str">
        <f>Catalog!X345</f>
        <v>unearned</v>
      </c>
      <c r="E854" s="19" t="s">
        <v>25</v>
      </c>
      <c r="F854" s="20" t="str">
        <f>Catalog!AD345</f>
        <v>Description of how to find this loot.</v>
      </c>
      <c r="G854" s="18" t="s">
        <v>5483</v>
      </c>
    </row>
    <row r="855" spans="1:7" ht="15" x14ac:dyDescent="0.15">
      <c r="A855" s="11" t="s">
        <v>40</v>
      </c>
      <c r="B855" s="12" t="str">
        <f>Catalog!E345</f>
        <v>lootJuly</v>
      </c>
      <c r="C855" s="20">
        <f>Catalog!W345</f>
        <v>0</v>
      </c>
      <c r="D855" s="20" t="str">
        <f>Catalog!X345</f>
        <v>unearned</v>
      </c>
      <c r="E855" s="19" t="s">
        <v>34</v>
      </c>
      <c r="F855" s="20" t="str">
        <f>Catalog!AE345</f>
        <v>TBD reward</v>
      </c>
      <c r="G855" s="18" t="s">
        <v>5483</v>
      </c>
    </row>
    <row r="856" spans="1:7" ht="15" x14ac:dyDescent="0.15">
      <c r="A856" s="11" t="s">
        <v>40</v>
      </c>
      <c r="B856" s="12" t="str">
        <f>Catalog!E345</f>
        <v>lootJuly</v>
      </c>
      <c r="C856" s="20">
        <f>Catalog!BD345</f>
        <v>2</v>
      </c>
      <c r="D856" s="20" t="str">
        <f>Catalog!BE345</f>
        <v>earned</v>
      </c>
      <c r="E856" s="19" t="s">
        <v>25</v>
      </c>
      <c r="F856" s="20" t="str">
        <f>Catalog!BL345</f>
        <v>Description of the loot that was found and where.</v>
      </c>
      <c r="G856" s="18" t="s">
        <v>5483</v>
      </c>
    </row>
    <row r="857" spans="1:7" ht="15" x14ac:dyDescent="0.15">
      <c r="A857" s="11" t="s">
        <v>40</v>
      </c>
      <c r="B857" s="12" t="str">
        <f>Catalog!E345</f>
        <v>lootJuly</v>
      </c>
      <c r="C857" s="20">
        <f>Catalog!BD345</f>
        <v>2</v>
      </c>
      <c r="D857" s="20" t="str">
        <f>Catalog!BE345</f>
        <v>earned</v>
      </c>
      <c r="E857" s="19" t="s">
        <v>34</v>
      </c>
      <c r="F857" s="20" t="str">
        <f>Catalog!BM345</f>
        <v>What was earned</v>
      </c>
      <c r="G857" s="18" t="s">
        <v>5483</v>
      </c>
    </row>
    <row r="858" spans="1:7" ht="15" x14ac:dyDescent="0.15">
      <c r="A858" s="11" t="s">
        <v>40</v>
      </c>
      <c r="B858" s="12" t="str">
        <f>Catalog!E346</f>
        <v>lootAugust</v>
      </c>
      <c r="C858" s="20">
        <f>Catalog!W346</f>
        <v>0</v>
      </c>
      <c r="D858" s="20" t="str">
        <f>Catalog!X346</f>
        <v>unearned</v>
      </c>
      <c r="E858" s="19" t="s">
        <v>23</v>
      </c>
      <c r="F858" s="20" t="str">
        <f>Catalog!AB346</f>
        <v>August loot</v>
      </c>
      <c r="G858" s="18" t="s">
        <v>5483</v>
      </c>
    </row>
    <row r="859" spans="1:7" ht="15" x14ac:dyDescent="0.15">
      <c r="A859" s="11" t="s">
        <v>40</v>
      </c>
      <c r="B859" s="12" t="str">
        <f>Catalog!E346</f>
        <v>lootAugust</v>
      </c>
      <c r="C859" s="20">
        <f>Catalog!W346</f>
        <v>0</v>
      </c>
      <c r="D859" s="20" t="str">
        <f>Catalog!X346</f>
        <v>unearned</v>
      </c>
      <c r="E859" s="19" t="s">
        <v>25</v>
      </c>
      <c r="F859" s="20" t="str">
        <f>Catalog!AD346</f>
        <v>Description of how to find this loot.</v>
      </c>
      <c r="G859" s="18" t="s">
        <v>5483</v>
      </c>
    </row>
    <row r="860" spans="1:7" ht="15" x14ac:dyDescent="0.15">
      <c r="A860" s="11" t="s">
        <v>40</v>
      </c>
      <c r="B860" s="12" t="str">
        <f>Catalog!E346</f>
        <v>lootAugust</v>
      </c>
      <c r="C860" s="20">
        <f>Catalog!W346</f>
        <v>0</v>
      </c>
      <c r="D860" s="20" t="str">
        <f>Catalog!X346</f>
        <v>unearned</v>
      </c>
      <c r="E860" s="19" t="s">
        <v>34</v>
      </c>
      <c r="F860" s="20" t="str">
        <f>Catalog!AE346</f>
        <v>TBD reward</v>
      </c>
      <c r="G860" s="18" t="s">
        <v>5483</v>
      </c>
    </row>
    <row r="861" spans="1:7" ht="15" x14ac:dyDescent="0.15">
      <c r="A861" s="11" t="s">
        <v>40</v>
      </c>
      <c r="B861" s="12" t="str">
        <f>Catalog!E346</f>
        <v>lootAugust</v>
      </c>
      <c r="C861" s="20">
        <f>Catalog!BD346</f>
        <v>2</v>
      </c>
      <c r="D861" s="20" t="str">
        <f>Catalog!BE346</f>
        <v>earned</v>
      </c>
      <c r="E861" s="19" t="s">
        <v>25</v>
      </c>
      <c r="F861" s="20" t="str">
        <f>Catalog!BL346</f>
        <v>Description of the loot that was found and where.</v>
      </c>
      <c r="G861" s="18" t="s">
        <v>5483</v>
      </c>
    </row>
    <row r="862" spans="1:7" ht="15" x14ac:dyDescent="0.15">
      <c r="A862" s="11" t="s">
        <v>40</v>
      </c>
      <c r="B862" s="12" t="str">
        <f>Catalog!E346</f>
        <v>lootAugust</v>
      </c>
      <c r="C862" s="20">
        <f>Catalog!BD346</f>
        <v>2</v>
      </c>
      <c r="D862" s="20" t="str">
        <f>Catalog!BE346</f>
        <v>earned</v>
      </c>
      <c r="E862" s="19" t="s">
        <v>34</v>
      </c>
      <c r="F862" s="20" t="str">
        <f>Catalog!BM346</f>
        <v>What was earned</v>
      </c>
      <c r="G862" s="18" t="s">
        <v>5483</v>
      </c>
    </row>
    <row r="863" spans="1:7" ht="15" x14ac:dyDescent="0.15">
      <c r="A863" s="11" t="s">
        <v>40</v>
      </c>
      <c r="B863" s="12" t="str">
        <f>Catalog!E347</f>
        <v>lootSeptember</v>
      </c>
      <c r="C863" s="20">
        <f>Catalog!W347</f>
        <v>0</v>
      </c>
      <c r="D863" s="20" t="str">
        <f>Catalog!X347</f>
        <v>unearned</v>
      </c>
      <c r="E863" s="19" t="s">
        <v>23</v>
      </c>
      <c r="F863" s="20" t="str">
        <f>Catalog!AB347</f>
        <v>September loot</v>
      </c>
      <c r="G863" s="18" t="s">
        <v>5483</v>
      </c>
    </row>
    <row r="864" spans="1:7" ht="15" x14ac:dyDescent="0.15">
      <c r="A864" s="11" t="s">
        <v>40</v>
      </c>
      <c r="B864" s="12" t="str">
        <f>Catalog!E347</f>
        <v>lootSeptember</v>
      </c>
      <c r="C864" s="20">
        <f>Catalog!W347</f>
        <v>0</v>
      </c>
      <c r="D864" s="20" t="str">
        <f>Catalog!X347</f>
        <v>unearned</v>
      </c>
      <c r="E864" s="19" t="s">
        <v>25</v>
      </c>
      <c r="F864" s="20" t="str">
        <f>Catalog!AD347</f>
        <v>Description of how to find this loot.</v>
      </c>
      <c r="G864" s="18" t="s">
        <v>5483</v>
      </c>
    </row>
    <row r="865" spans="1:7" ht="15" x14ac:dyDescent="0.15">
      <c r="A865" s="11" t="s">
        <v>40</v>
      </c>
      <c r="B865" s="12" t="str">
        <f>Catalog!E347</f>
        <v>lootSeptember</v>
      </c>
      <c r="C865" s="20">
        <f>Catalog!W347</f>
        <v>0</v>
      </c>
      <c r="D865" s="20" t="str">
        <f>Catalog!X347</f>
        <v>unearned</v>
      </c>
      <c r="E865" s="19" t="s">
        <v>34</v>
      </c>
      <c r="F865" s="20" t="str">
        <f>Catalog!AE347</f>
        <v>TBD reward</v>
      </c>
      <c r="G865" s="18" t="s">
        <v>5483</v>
      </c>
    </row>
    <row r="866" spans="1:7" ht="15" x14ac:dyDescent="0.15">
      <c r="A866" s="11" t="s">
        <v>40</v>
      </c>
      <c r="B866" s="12" t="str">
        <f>Catalog!E347</f>
        <v>lootSeptember</v>
      </c>
      <c r="C866" s="20">
        <f>Catalog!BD347</f>
        <v>2</v>
      </c>
      <c r="D866" s="20" t="str">
        <f>Catalog!BE347</f>
        <v>earned</v>
      </c>
      <c r="E866" s="19" t="s">
        <v>25</v>
      </c>
      <c r="F866" s="20" t="str">
        <f>Catalog!BL347</f>
        <v>Description of the loot that was found and where.</v>
      </c>
      <c r="G866" s="18" t="s">
        <v>5483</v>
      </c>
    </row>
    <row r="867" spans="1:7" ht="15" x14ac:dyDescent="0.15">
      <c r="A867" s="11" t="s">
        <v>40</v>
      </c>
      <c r="B867" s="12" t="str">
        <f>Catalog!E347</f>
        <v>lootSeptember</v>
      </c>
      <c r="C867" s="20">
        <f>Catalog!BD347</f>
        <v>2</v>
      </c>
      <c r="D867" s="20" t="str">
        <f>Catalog!BE347</f>
        <v>earned</v>
      </c>
      <c r="E867" s="19" t="s">
        <v>34</v>
      </c>
      <c r="F867" s="20" t="str">
        <f>Catalog!BM347</f>
        <v>What was earned</v>
      </c>
      <c r="G867" s="18" t="s">
        <v>5483</v>
      </c>
    </row>
    <row r="868" spans="1:7" ht="15" x14ac:dyDescent="0.15">
      <c r="A868" s="11" t="s">
        <v>40</v>
      </c>
      <c r="B868" s="12" t="str">
        <f>Catalog!E348</f>
        <v>lootOctober</v>
      </c>
      <c r="C868" s="20">
        <f>Catalog!W348</f>
        <v>0</v>
      </c>
      <c r="D868" s="20" t="str">
        <f>Catalog!X348</f>
        <v>unearned</v>
      </c>
      <c r="E868" s="19" t="s">
        <v>23</v>
      </c>
      <c r="F868" s="20" t="str">
        <f>Catalog!AB348</f>
        <v>October loot</v>
      </c>
      <c r="G868" s="18" t="s">
        <v>5483</v>
      </c>
    </row>
    <row r="869" spans="1:7" ht="15" x14ac:dyDescent="0.15">
      <c r="A869" s="11" t="s">
        <v>40</v>
      </c>
      <c r="B869" s="12" t="str">
        <f>Catalog!E348</f>
        <v>lootOctober</v>
      </c>
      <c r="C869" s="20">
        <f>Catalog!W348</f>
        <v>0</v>
      </c>
      <c r="D869" s="20" t="str">
        <f>Catalog!X348</f>
        <v>unearned</v>
      </c>
      <c r="E869" s="19" t="s">
        <v>25</v>
      </c>
      <c r="F869" s="20" t="str">
        <f>Catalog!AD348</f>
        <v>Description of how to find this loot.</v>
      </c>
      <c r="G869" s="18" t="s">
        <v>5483</v>
      </c>
    </row>
    <row r="870" spans="1:7" ht="15" x14ac:dyDescent="0.15">
      <c r="A870" s="11" t="s">
        <v>40</v>
      </c>
      <c r="B870" s="12" t="str">
        <f>Catalog!E348</f>
        <v>lootOctober</v>
      </c>
      <c r="C870" s="20">
        <f>Catalog!W348</f>
        <v>0</v>
      </c>
      <c r="D870" s="20" t="str">
        <f>Catalog!X348</f>
        <v>unearned</v>
      </c>
      <c r="E870" s="19" t="s">
        <v>34</v>
      </c>
      <c r="F870" s="20" t="str">
        <f>Catalog!AE348</f>
        <v>TBD reward</v>
      </c>
      <c r="G870" s="18" t="s">
        <v>5483</v>
      </c>
    </row>
    <row r="871" spans="1:7" ht="15" x14ac:dyDescent="0.15">
      <c r="A871" s="11" t="s">
        <v>40</v>
      </c>
      <c r="B871" s="12" t="str">
        <f>Catalog!E348</f>
        <v>lootOctober</v>
      </c>
      <c r="C871" s="20">
        <f>Catalog!BD348</f>
        <v>2</v>
      </c>
      <c r="D871" s="20" t="str">
        <f>Catalog!BE348</f>
        <v>earned</v>
      </c>
      <c r="E871" s="19" t="s">
        <v>25</v>
      </c>
      <c r="F871" s="20" t="str">
        <f>Catalog!BL348</f>
        <v>Description of the loot that was found and where.</v>
      </c>
      <c r="G871" s="18" t="s">
        <v>5483</v>
      </c>
    </row>
    <row r="872" spans="1:7" ht="15" x14ac:dyDescent="0.15">
      <c r="A872" s="11" t="s">
        <v>40</v>
      </c>
      <c r="B872" s="12" t="str">
        <f>Catalog!E348</f>
        <v>lootOctober</v>
      </c>
      <c r="C872" s="20">
        <f>Catalog!BD348</f>
        <v>2</v>
      </c>
      <c r="D872" s="20" t="str">
        <f>Catalog!BE348</f>
        <v>earned</v>
      </c>
      <c r="E872" s="19" t="s">
        <v>34</v>
      </c>
      <c r="F872" s="20" t="str">
        <f>Catalog!BM348</f>
        <v>What was earned</v>
      </c>
      <c r="G872" s="18" t="s">
        <v>5483</v>
      </c>
    </row>
    <row r="873" spans="1:7" ht="15" x14ac:dyDescent="0.15">
      <c r="A873" s="11" t="s">
        <v>40</v>
      </c>
      <c r="B873" s="12" t="str">
        <f>Catalog!E349</f>
        <v>lootNovember</v>
      </c>
      <c r="C873" s="20">
        <f>Catalog!W349</f>
        <v>0</v>
      </c>
      <c r="D873" s="20" t="str">
        <f>Catalog!X349</f>
        <v>unearned</v>
      </c>
      <c r="E873" s="19" t="s">
        <v>23</v>
      </c>
      <c r="F873" s="20" t="str">
        <f>Catalog!AB349</f>
        <v>November loot</v>
      </c>
      <c r="G873" s="18" t="s">
        <v>5483</v>
      </c>
    </row>
    <row r="874" spans="1:7" ht="15" x14ac:dyDescent="0.15">
      <c r="A874" s="11" t="s">
        <v>40</v>
      </c>
      <c r="B874" s="12" t="str">
        <f>Catalog!E349</f>
        <v>lootNovember</v>
      </c>
      <c r="C874" s="20">
        <f>Catalog!W349</f>
        <v>0</v>
      </c>
      <c r="D874" s="20" t="str">
        <f>Catalog!X349</f>
        <v>unearned</v>
      </c>
      <c r="E874" s="19" t="s">
        <v>25</v>
      </c>
      <c r="F874" s="20" t="str">
        <f>Catalog!AD349</f>
        <v>Description of how to find this loot.</v>
      </c>
      <c r="G874" s="18" t="s">
        <v>5483</v>
      </c>
    </row>
    <row r="875" spans="1:7" ht="15" x14ac:dyDescent="0.15">
      <c r="A875" s="11" t="s">
        <v>40</v>
      </c>
      <c r="B875" s="12" t="str">
        <f>Catalog!E349</f>
        <v>lootNovember</v>
      </c>
      <c r="C875" s="20">
        <f>Catalog!W349</f>
        <v>0</v>
      </c>
      <c r="D875" s="20" t="str">
        <f>Catalog!X349</f>
        <v>unearned</v>
      </c>
      <c r="E875" s="19" t="s">
        <v>34</v>
      </c>
      <c r="F875" s="20" t="str">
        <f>Catalog!AE349</f>
        <v>TBD reward</v>
      </c>
      <c r="G875" s="18" t="s">
        <v>5483</v>
      </c>
    </row>
    <row r="876" spans="1:7" ht="15" x14ac:dyDescent="0.15">
      <c r="A876" s="11" t="s">
        <v>40</v>
      </c>
      <c r="B876" s="12" t="str">
        <f>Catalog!E349</f>
        <v>lootNovember</v>
      </c>
      <c r="C876" s="20">
        <f>Catalog!BD349</f>
        <v>2</v>
      </c>
      <c r="D876" s="20" t="str">
        <f>Catalog!BE349</f>
        <v>earned</v>
      </c>
      <c r="E876" s="19" t="s">
        <v>25</v>
      </c>
      <c r="F876" s="20" t="str">
        <f>Catalog!BL349</f>
        <v>Description of the loot that was found and where.</v>
      </c>
      <c r="G876" s="18" t="s">
        <v>5483</v>
      </c>
    </row>
    <row r="877" spans="1:7" ht="15" x14ac:dyDescent="0.15">
      <c r="A877" s="11" t="s">
        <v>40</v>
      </c>
      <c r="B877" s="12" t="str">
        <f>Catalog!E349</f>
        <v>lootNovember</v>
      </c>
      <c r="C877" s="20">
        <f>Catalog!BD349</f>
        <v>2</v>
      </c>
      <c r="D877" s="20" t="str">
        <f>Catalog!BE349</f>
        <v>earned</v>
      </c>
      <c r="E877" s="19" t="s">
        <v>34</v>
      </c>
      <c r="F877" s="20" t="str">
        <f>Catalog!BM349</f>
        <v>What was earned</v>
      </c>
      <c r="G877" s="18" t="s">
        <v>5483</v>
      </c>
    </row>
    <row r="878" spans="1:7" ht="15" x14ac:dyDescent="0.15">
      <c r="A878" s="11" t="s">
        <v>40</v>
      </c>
      <c r="B878" s="12" t="str">
        <f>Catalog!E350</f>
        <v>lootDecember</v>
      </c>
      <c r="C878" s="20">
        <f>Catalog!W350</f>
        <v>0</v>
      </c>
      <c r="D878" s="20" t="str">
        <f>Catalog!X350</f>
        <v>unearned</v>
      </c>
      <c r="E878" s="19" t="s">
        <v>23</v>
      </c>
      <c r="F878" s="20" t="str">
        <f>Catalog!AB350</f>
        <v>December loot</v>
      </c>
      <c r="G878" s="18" t="s">
        <v>5483</v>
      </c>
    </row>
    <row r="879" spans="1:7" ht="15" x14ac:dyDescent="0.15">
      <c r="A879" s="11" t="s">
        <v>40</v>
      </c>
      <c r="B879" s="12" t="str">
        <f>Catalog!E350</f>
        <v>lootDecember</v>
      </c>
      <c r="C879" s="20">
        <f>Catalog!W350</f>
        <v>0</v>
      </c>
      <c r="D879" s="20" t="str">
        <f>Catalog!X350</f>
        <v>unearned</v>
      </c>
      <c r="E879" s="19" t="s">
        <v>25</v>
      </c>
      <c r="F879" s="20" t="str">
        <f>Catalog!AD350</f>
        <v>Description of how to find this loot.</v>
      </c>
      <c r="G879" s="18" t="s">
        <v>5483</v>
      </c>
    </row>
    <row r="880" spans="1:7" ht="15" x14ac:dyDescent="0.15">
      <c r="A880" s="11" t="s">
        <v>40</v>
      </c>
      <c r="B880" s="12" t="str">
        <f>Catalog!E350</f>
        <v>lootDecember</v>
      </c>
      <c r="C880" s="20">
        <f>Catalog!W350</f>
        <v>0</v>
      </c>
      <c r="D880" s="20" t="str">
        <f>Catalog!X350</f>
        <v>unearned</v>
      </c>
      <c r="E880" s="19" t="s">
        <v>34</v>
      </c>
      <c r="F880" s="20" t="str">
        <f>Catalog!AE350</f>
        <v>TBD reward</v>
      </c>
      <c r="G880" s="18" t="s">
        <v>5483</v>
      </c>
    </row>
    <row r="881" spans="1:7" ht="15" x14ac:dyDescent="0.15">
      <c r="A881" s="11" t="s">
        <v>40</v>
      </c>
      <c r="B881" s="12" t="str">
        <f>Catalog!E350</f>
        <v>lootDecember</v>
      </c>
      <c r="C881" s="20">
        <f>Catalog!BD350</f>
        <v>2</v>
      </c>
      <c r="D881" s="20" t="str">
        <f>Catalog!BE350</f>
        <v>earned</v>
      </c>
      <c r="E881" s="19" t="s">
        <v>25</v>
      </c>
      <c r="F881" s="20" t="str">
        <f>Catalog!BL350</f>
        <v>Description of the loot that was found and where.</v>
      </c>
      <c r="G881" s="18" t="s">
        <v>5483</v>
      </c>
    </row>
    <row r="882" spans="1:7" ht="15" x14ac:dyDescent="0.15">
      <c r="A882" s="11" t="s">
        <v>40</v>
      </c>
      <c r="B882" s="12" t="str">
        <f>Catalog!E350</f>
        <v>lootDecember</v>
      </c>
      <c r="C882" s="20">
        <f>Catalog!BD350</f>
        <v>2</v>
      </c>
      <c r="D882" s="20" t="str">
        <f>Catalog!BE350</f>
        <v>earned</v>
      </c>
      <c r="E882" s="19" t="s">
        <v>34</v>
      </c>
      <c r="F882" s="20" t="str">
        <f>Catalog!BM350</f>
        <v>What was earned</v>
      </c>
      <c r="G882" s="18" t="s">
        <v>5483</v>
      </c>
    </row>
    <row r="883" spans="1:7" ht="15" x14ac:dyDescent="0.15">
      <c r="A883" s="11" t="s">
        <v>41</v>
      </c>
      <c r="B883" s="12" t="str">
        <f>Catalog!E329</f>
        <v>lootUnicornOriginal</v>
      </c>
      <c r="C883" s="20">
        <f>Catalog!W329</f>
        <v>0</v>
      </c>
      <c r="D883" s="20" t="str">
        <f>Catalog!X329</f>
        <v>unearned</v>
      </c>
      <c r="E883" s="19" t="s">
        <v>23</v>
      </c>
      <c r="F883" s="19" t="str">
        <f>Catalog!AB329</f>
        <v>Fluffy!</v>
      </c>
    </row>
    <row r="884" spans="1:7" ht="28" x14ac:dyDescent="0.15">
      <c r="A884" s="11" t="s">
        <v>41</v>
      </c>
      <c r="B884" s="12" t="str">
        <f>Catalog!E329</f>
        <v>lootUnicornOriginal</v>
      </c>
      <c r="C884" s="20">
        <f>Catalog!W329</f>
        <v>0</v>
      </c>
      <c r="D884" s="20" t="str">
        <f>Catalog!X329</f>
        <v>unearned</v>
      </c>
      <c r="E884" s="19" t="s">
        <v>25</v>
      </c>
      <c r="F884" s="19" t="str">
        <f>Catalog!AD329</f>
        <v xml:space="preserve">There's nothing “under the sun” Gru wouldn't destroy to get back Agnes's prized possession. </v>
      </c>
    </row>
    <row r="885" spans="1:7" ht="15" x14ac:dyDescent="0.15">
      <c r="A885" s="11" t="s">
        <v>41</v>
      </c>
      <c r="B885" s="12" t="str">
        <f>Catalog!E329</f>
        <v>lootUnicornOriginal</v>
      </c>
      <c r="C885" s="20">
        <f>Catalog!W329</f>
        <v>0</v>
      </c>
      <c r="D885" s="20" t="str">
        <f>Catalog!X329</f>
        <v>unearned</v>
      </c>
      <c r="E885" s="19" t="s">
        <v>34</v>
      </c>
      <c r="F885" s="20" t="str">
        <f>Catalog!AE329</f>
        <v>3,000 points</v>
      </c>
    </row>
    <row r="886" spans="1:7" ht="28" x14ac:dyDescent="0.15">
      <c r="A886" s="11" t="s">
        <v>41</v>
      </c>
      <c r="B886" s="12" t="str">
        <f>Catalog!E329</f>
        <v>lootUnicornOriginal</v>
      </c>
      <c r="C886" s="20">
        <f>Catalog!BD329</f>
        <v>2</v>
      </c>
      <c r="D886" s="20" t="str">
        <f>Catalog!BE329</f>
        <v>earned</v>
      </c>
      <c r="E886" s="19" t="s">
        <v>25</v>
      </c>
      <c r="F886" s="19" t="str">
        <f>Catalog!BL329</f>
        <v>You found Fluffy, Agnes's unicorn! And you didn't even have to play a carnival game to win it.</v>
      </c>
    </row>
    <row r="887" spans="1:7" ht="15" x14ac:dyDescent="0.15">
      <c r="A887" s="11" t="s">
        <v>41</v>
      </c>
      <c r="B887" s="12" t="str">
        <f>Catalog!E270</f>
        <v>lootUnicornReplacement</v>
      </c>
      <c r="C887" s="20">
        <f>Catalog!W270</f>
        <v>0</v>
      </c>
      <c r="D887" s="20" t="str">
        <f>Catalog!X270</f>
        <v>unearned</v>
      </c>
      <c r="E887" s="19" t="s">
        <v>23</v>
      </c>
      <c r="F887" s="19" t="str">
        <f>Catalog!AB270</f>
        <v>Agnes’s unicorn (Replacement)</v>
      </c>
    </row>
    <row r="888" spans="1:7" ht="15" x14ac:dyDescent="0.15">
      <c r="A888" s="11" t="s">
        <v>41</v>
      </c>
      <c r="B888" s="12" t="str">
        <f>Catalog!E270</f>
        <v>lootUnicornReplacement</v>
      </c>
      <c r="C888" s="20">
        <f>Catalog!W270</f>
        <v>0</v>
      </c>
      <c r="D888" s="20" t="str">
        <f>Catalog!X270</f>
        <v>unearned</v>
      </c>
      <c r="E888" s="19" t="s">
        <v>25</v>
      </c>
      <c r="F888" s="19" t="str">
        <f>Catalog!AD270</f>
        <v>Find Agnes a new, fluffy unicorn</v>
      </c>
    </row>
    <row r="889" spans="1:7" ht="15" x14ac:dyDescent="0.15">
      <c r="A889" s="11" t="s">
        <v>41</v>
      </c>
      <c r="B889" s="12" t="str">
        <f>Catalog!E270</f>
        <v>lootUnicornReplacement</v>
      </c>
      <c r="C889" s="20">
        <f>Catalog!W270</f>
        <v>0</v>
      </c>
      <c r="D889" s="20" t="str">
        <f>Catalog!X270</f>
        <v>unearned</v>
      </c>
      <c r="E889" s="19" t="s">
        <v>34</v>
      </c>
      <c r="F889" s="20" t="str">
        <f>Catalog!AE270</f>
        <v>TBD reward</v>
      </c>
    </row>
    <row r="890" spans="1:7" ht="15" x14ac:dyDescent="0.15">
      <c r="A890" s="11" t="s">
        <v>41</v>
      </c>
      <c r="B890" s="12" t="str">
        <f>Catalog!E270</f>
        <v>lootUnicornReplacement</v>
      </c>
      <c r="C890" s="20">
        <f>Catalog!BD270</f>
        <v>2</v>
      </c>
      <c r="D890" s="20" t="str">
        <f>Catalog!BE270</f>
        <v>earned</v>
      </c>
      <c r="E890" s="19" t="s">
        <v>25</v>
      </c>
      <c r="F890" s="19" t="str">
        <f>Catalog!BL270</f>
        <v>You found a fluffy new unicorn for Agnes!</v>
      </c>
    </row>
    <row r="891" spans="1:7" ht="15" x14ac:dyDescent="0.15">
      <c r="A891" s="11" t="s">
        <v>41</v>
      </c>
      <c r="B891" s="12" t="str">
        <f>Catalog!E271</f>
        <v>lootV6common</v>
      </c>
      <c r="C891" s="20">
        <f>Catalog!W271</f>
        <v>0</v>
      </c>
      <c r="D891" s="20" t="str">
        <f>Catalog!X271</f>
        <v>unearned</v>
      </c>
      <c r="E891" s="19" t="s">
        <v>23</v>
      </c>
      <c r="F891" s="19" t="str">
        <f>Catalog!AB271</f>
        <v>V6 Coin, Common</v>
      </c>
    </row>
    <row r="892" spans="1:7" ht="15" x14ac:dyDescent="0.15">
      <c r="A892" s="11" t="s">
        <v>41</v>
      </c>
      <c r="B892" s="12" t="str">
        <f>Catalog!E271</f>
        <v>lootV6common</v>
      </c>
      <c r="C892" s="20">
        <f>Catalog!W271</f>
        <v>0</v>
      </c>
      <c r="D892" s="20" t="str">
        <f>Catalog!X271</f>
        <v>unearned</v>
      </c>
      <c r="E892" s="19" t="s">
        <v>25</v>
      </c>
      <c r="F892" s="19" t="str">
        <f>Catalog!AD271</f>
        <v>Blast a V6 coin!</v>
      </c>
    </row>
    <row r="893" spans="1:7" ht="15" x14ac:dyDescent="0.15">
      <c r="A893" s="11" t="s">
        <v>41</v>
      </c>
      <c r="B893" s="12" t="str">
        <f>Catalog!E271</f>
        <v>lootV6common</v>
      </c>
      <c r="C893" s="20">
        <f>Catalog!W271</f>
        <v>0</v>
      </c>
      <c r="D893" s="20" t="str">
        <f>Catalog!X271</f>
        <v>unearned</v>
      </c>
      <c r="E893" s="19" t="s">
        <v>34</v>
      </c>
      <c r="F893" s="20" t="str">
        <f>Catalog!AE271</f>
        <v>100 points</v>
      </c>
    </row>
    <row r="894" spans="1:7" ht="15" x14ac:dyDescent="0.15">
      <c r="A894" s="11" t="s">
        <v>41</v>
      </c>
      <c r="B894" s="12" t="str">
        <f>Catalog!E271</f>
        <v>lootV6common</v>
      </c>
      <c r="C894" s="20">
        <f>Catalog!BD271</f>
        <v>2</v>
      </c>
      <c r="D894" s="20" t="str">
        <f>Catalog!BE271</f>
        <v>earned</v>
      </c>
      <c r="E894" s="19" t="s">
        <v>25</v>
      </c>
      <c r="F894" s="19" t="str">
        <f>Catalog!BL271</f>
        <v>A collectible for fans of the Vicious 6!</v>
      </c>
    </row>
    <row r="895" spans="1:7" ht="15" x14ac:dyDescent="0.15">
      <c r="A895" s="11" t="s">
        <v>41</v>
      </c>
      <c r="B895" s="12" t="str">
        <f>Catalog!E274</f>
        <v>lootBoogieRobot</v>
      </c>
      <c r="C895" s="20">
        <f>Catalog!W274</f>
        <v>0</v>
      </c>
      <c r="D895" s="20" t="str">
        <f>Catalog!X274</f>
        <v>unearned</v>
      </c>
      <c r="E895" s="19" t="s">
        <v>23</v>
      </c>
      <c r="F895" s="19" t="str">
        <f>Catalog!AB274</f>
        <v>Boogie Robot</v>
      </c>
    </row>
    <row r="896" spans="1:7" ht="15" x14ac:dyDescent="0.15">
      <c r="A896" s="11" t="s">
        <v>41</v>
      </c>
      <c r="B896" s="12" t="str">
        <f>Catalog!E274</f>
        <v>lootBoogieRobot</v>
      </c>
      <c r="C896" s="20">
        <f>Catalog!W274</f>
        <v>0</v>
      </c>
      <c r="D896" s="20" t="str">
        <f>Catalog!X274</f>
        <v>unearned</v>
      </c>
      <c r="E896" s="19" t="s">
        <v>25</v>
      </c>
      <c r="F896" s="19" t="str">
        <f>Catalog!AD274</f>
        <v>These sneaky robots like to hide out at the disco!</v>
      </c>
    </row>
    <row r="897" spans="1:6" ht="15" x14ac:dyDescent="0.15">
      <c r="A897" s="11" t="s">
        <v>41</v>
      </c>
      <c r="B897" s="12" t="str">
        <f>Catalog!E274</f>
        <v>lootBoogieRobot</v>
      </c>
      <c r="C897" s="20">
        <f>Catalog!W274</f>
        <v>0</v>
      </c>
      <c r="D897" s="20" t="str">
        <f>Catalog!X274</f>
        <v>unearned</v>
      </c>
      <c r="E897" s="19" t="s">
        <v>34</v>
      </c>
      <c r="F897" s="20" t="str">
        <f>Catalog!AE274</f>
        <v>100 points</v>
      </c>
    </row>
    <row r="898" spans="1:6" ht="28" x14ac:dyDescent="0.15">
      <c r="A898" s="11" t="s">
        <v>41</v>
      </c>
      <c r="B898" s="12" t="str">
        <f>Catalog!E274</f>
        <v>lootBoogieRobot</v>
      </c>
      <c r="C898" s="20">
        <f>Catalog!BD274</f>
        <v>2</v>
      </c>
      <c r="D898" s="20" t="str">
        <f>Catalog!BE274</f>
        <v>earned</v>
      </c>
      <c r="E898" s="19" t="s">
        <v>25</v>
      </c>
      <c r="F898" s="19" t="str">
        <f>Catalog!BL274</f>
        <v>You found a boogie robot! These guys can do all kinds of dances (not just the robot!)</v>
      </c>
    </row>
    <row r="899" spans="1:6" ht="15" x14ac:dyDescent="0.15">
      <c r="A899" s="11" t="s">
        <v>41</v>
      </c>
      <c r="B899" s="12" t="str">
        <f>Catalog!E273</f>
        <v>lootCookieRobot</v>
      </c>
      <c r="C899" s="20">
        <f>Catalog!W273</f>
        <v>0</v>
      </c>
      <c r="D899" s="20" t="str">
        <f>Catalog!X273</f>
        <v>unearned</v>
      </c>
      <c r="E899" s="19" t="s">
        <v>23</v>
      </c>
      <c r="F899" s="19" t="str">
        <f>Catalog!AB273</f>
        <v>Cookie Robot</v>
      </c>
    </row>
    <row r="900" spans="1:6" ht="15" x14ac:dyDescent="0.15">
      <c r="A900" s="11" t="s">
        <v>41</v>
      </c>
      <c r="B900" s="12" t="str">
        <f>Catalog!E273</f>
        <v>lootCookieRobot</v>
      </c>
      <c r="C900" s="20">
        <f>Catalog!W273</f>
        <v>0</v>
      </c>
      <c r="D900" s="20" t="str">
        <f>Catalog!X273</f>
        <v>unearned</v>
      </c>
      <c r="E900" s="19" t="s">
        <v>25</v>
      </c>
      <c r="F900" s="19" t="str">
        <f>Catalog!AD273</f>
        <v>The cookie robots like to hover above the competition!</v>
      </c>
    </row>
    <row r="901" spans="1:6" ht="15" x14ac:dyDescent="0.15">
      <c r="A901" s="11" t="s">
        <v>41</v>
      </c>
      <c r="B901" s="12" t="str">
        <f>Catalog!E273</f>
        <v>lootCookieRobot</v>
      </c>
      <c r="C901" s="20">
        <f>Catalog!W273</f>
        <v>0</v>
      </c>
      <c r="D901" s="20" t="str">
        <f>Catalog!X273</f>
        <v>unearned</v>
      </c>
      <c r="E901" s="19" t="s">
        <v>34</v>
      </c>
      <c r="F901" s="20" t="str">
        <f>Catalog!AE273</f>
        <v>100 points</v>
      </c>
    </row>
    <row r="902" spans="1:6" ht="28" x14ac:dyDescent="0.15">
      <c r="A902" s="11" t="s">
        <v>41</v>
      </c>
      <c r="B902" s="12" t="str">
        <f>Catalog!E273</f>
        <v>lootCookieRobot</v>
      </c>
      <c r="C902" s="20">
        <f>Catalog!BD273</f>
        <v>2</v>
      </c>
      <c r="D902" s="20" t="str">
        <f>Catalog!BE273</f>
        <v>earned</v>
      </c>
      <c r="E902" s="19" t="s">
        <v>25</v>
      </c>
      <c r="F902" s="19" t="str">
        <f>Catalog!BL273</f>
        <v>You found a cookie robot! Not as tasty as chocolate chip, but much more useful!</v>
      </c>
    </row>
    <row r="903" spans="1:6" ht="15" x14ac:dyDescent="0.15">
      <c r="A903" s="11" t="s">
        <v>41</v>
      </c>
      <c r="B903" s="12" t="str">
        <f>Catalog!E278</f>
        <v>lootGuacSombrero</v>
      </c>
      <c r="C903" s="20">
        <f>Catalog!W278</f>
        <v>0</v>
      </c>
      <c r="D903" s="20" t="str">
        <f>Catalog!X278</f>
        <v>unearned</v>
      </c>
      <c r="E903" s="19" t="s">
        <v>23</v>
      </c>
      <c r="F903" s="19" t="str">
        <f>Catalog!AB278</f>
        <v>Guacamole Sombrero</v>
      </c>
    </row>
    <row r="904" spans="1:6" ht="15" x14ac:dyDescent="0.15">
      <c r="A904" s="11" t="s">
        <v>41</v>
      </c>
      <c r="B904" s="12" t="str">
        <f>Catalog!E278</f>
        <v>lootGuacSombrero</v>
      </c>
      <c r="C904" s="20">
        <f>Catalog!W278</f>
        <v>0</v>
      </c>
      <c r="D904" s="20" t="str">
        <f>Catalog!X278</f>
        <v>unearned</v>
      </c>
      <c r="E904" s="19" t="s">
        <v>25</v>
      </c>
      <c r="F904" s="19" t="str">
        <f>Catalog!AD278</f>
        <v>Nothing goes better with fiery rock music than novelty food items.</v>
      </c>
    </row>
    <row r="905" spans="1:6" ht="15" x14ac:dyDescent="0.15">
      <c r="A905" s="11" t="s">
        <v>41</v>
      </c>
      <c r="B905" s="12" t="str">
        <f>Catalog!E278</f>
        <v>lootGuacSombrero</v>
      </c>
      <c r="C905" s="20">
        <f>Catalog!W278</f>
        <v>0</v>
      </c>
      <c r="D905" s="20" t="str">
        <f>Catalog!X278</f>
        <v>unearned</v>
      </c>
      <c r="E905" s="19" t="s">
        <v>34</v>
      </c>
      <c r="F905" s="20" t="str">
        <f>Catalog!AE278</f>
        <v>1,000 points</v>
      </c>
    </row>
    <row r="906" spans="1:6" ht="28" x14ac:dyDescent="0.15">
      <c r="A906" s="11" t="s">
        <v>41</v>
      </c>
      <c r="B906" s="12" t="str">
        <f>Catalog!E278</f>
        <v>lootGuacSombrero</v>
      </c>
      <c r="C906" s="20">
        <f>Catalog!BD278</f>
        <v>2</v>
      </c>
      <c r="D906" s="20" t="str">
        <f>Catalog!BE278</f>
        <v>earned</v>
      </c>
      <c r="E906" s="19" t="s">
        <v>25</v>
      </c>
      <c r="F906" s="19" t="str">
        <f>Catalog!BL278</f>
        <v xml:space="preserve">Is it Cinco de Mayo? Cause you just found a guacamole-filled chip sombrero! </v>
      </c>
    </row>
    <row r="907" spans="1:6" ht="15" x14ac:dyDescent="0.15">
      <c r="A907" s="11" t="s">
        <v>41</v>
      </c>
      <c r="B907" s="18" t="str">
        <f>Catalog!E276</f>
        <v>lootV6uncommon</v>
      </c>
      <c r="C907" s="20">
        <f>Catalog!W276</f>
        <v>0</v>
      </c>
      <c r="D907" s="20" t="str">
        <f>Catalog!X276</f>
        <v>unearned</v>
      </c>
      <c r="E907" s="19" t="s">
        <v>23</v>
      </c>
      <c r="F907" s="19" t="str">
        <f>Catalog!AB276</f>
        <v>V6 Coin, Rare</v>
      </c>
    </row>
    <row r="908" spans="1:6" ht="15" x14ac:dyDescent="0.15">
      <c r="A908" s="11" t="s">
        <v>41</v>
      </c>
      <c r="B908" s="18" t="str">
        <f>Catalog!E276</f>
        <v>lootV6uncommon</v>
      </c>
      <c r="C908" s="20">
        <f>Catalog!W276</f>
        <v>0</v>
      </c>
      <c r="D908" s="20" t="str">
        <f>Catalog!X276</f>
        <v>unearned</v>
      </c>
      <c r="E908" s="19" t="s">
        <v>25</v>
      </c>
      <c r="F908" s="19" t="str">
        <f>Catalog!AD276</f>
        <v>Find a rare V6 coin!</v>
      </c>
    </row>
    <row r="909" spans="1:6" ht="15" x14ac:dyDescent="0.15">
      <c r="A909" s="11" t="s">
        <v>41</v>
      </c>
      <c r="B909" s="18" t="str">
        <f>Catalog!E276</f>
        <v>lootV6uncommon</v>
      </c>
      <c r="C909" s="20">
        <f>Catalog!W276</f>
        <v>0</v>
      </c>
      <c r="D909" s="20" t="str">
        <f>Catalog!X276</f>
        <v>unearned</v>
      </c>
      <c r="E909" s="19" t="s">
        <v>34</v>
      </c>
      <c r="F909" s="20" t="str">
        <f>Catalog!AE276</f>
        <v>1,000 points</v>
      </c>
    </row>
    <row r="910" spans="1:6" ht="15" x14ac:dyDescent="0.15">
      <c r="A910" s="11" t="s">
        <v>41</v>
      </c>
      <c r="B910" s="18" t="str">
        <f>Catalog!E276</f>
        <v>lootV6uncommon</v>
      </c>
      <c r="C910" s="20">
        <f>Catalog!BD276</f>
        <v>2</v>
      </c>
      <c r="D910" s="20" t="str">
        <f>Catalog!BE276</f>
        <v>earned</v>
      </c>
      <c r="E910" s="19" t="s">
        <v>25</v>
      </c>
      <c r="F910" s="19" t="str">
        <f>Catalog!BL276</f>
        <v>A special collectible for fans of the Vicious 6!</v>
      </c>
    </row>
    <row r="911" spans="1:6" ht="15" x14ac:dyDescent="0.15">
      <c r="A911" s="11" t="s">
        <v>41</v>
      </c>
      <c r="B911" s="18" t="str">
        <f>Catalog!E280</f>
        <v>lootHypnoHat</v>
      </c>
      <c r="C911" s="20">
        <f>Catalog!W280</f>
        <v>0</v>
      </c>
      <c r="D911" s="20" t="str">
        <f>Catalog!X280</f>
        <v>unearned</v>
      </c>
      <c r="E911" s="19" t="s">
        <v>23</v>
      </c>
      <c r="F911" s="19" t="str">
        <f>Catalog!AB280</f>
        <v>Hypno Hat</v>
      </c>
    </row>
    <row r="912" spans="1:6" ht="28" x14ac:dyDescent="0.15">
      <c r="A912" s="11" t="s">
        <v>41</v>
      </c>
      <c r="B912" s="18" t="str">
        <f>Catalog!E280</f>
        <v>lootHypnoHat</v>
      </c>
      <c r="C912" s="20">
        <f>Catalog!W280</f>
        <v>0</v>
      </c>
      <c r="D912" s="20" t="str">
        <f>Catalog!X280</f>
        <v>unearned</v>
      </c>
      <c r="E912" s="19" t="s">
        <v>25</v>
      </c>
      <c r="F912" s="19" t="str">
        <f>Catalog!AD280</f>
        <v>This hat could hypnotize someone to do anything, even destroy a giant skeleton!</v>
      </c>
    </row>
    <row r="913" spans="1:6" ht="15" x14ac:dyDescent="0.15">
      <c r="A913" s="11" t="s">
        <v>41</v>
      </c>
      <c r="B913" s="18" t="str">
        <f>Catalog!E280</f>
        <v>lootHypnoHat</v>
      </c>
      <c r="C913" s="20">
        <f>Catalog!W280</f>
        <v>0</v>
      </c>
      <c r="D913" s="20" t="str">
        <f>Catalog!X280</f>
        <v>unearned</v>
      </c>
      <c r="E913" s="19" t="s">
        <v>34</v>
      </c>
      <c r="F913" s="20" t="str">
        <f>Catalog!AE280</f>
        <v>100 points</v>
      </c>
    </row>
    <row r="914" spans="1:6" ht="15" x14ac:dyDescent="0.15">
      <c r="A914" s="11" t="s">
        <v>41</v>
      </c>
      <c r="B914" s="18" t="str">
        <f>Catalog!E280</f>
        <v>lootHypnoHat</v>
      </c>
      <c r="C914" s="20">
        <f>Catalog!BD280</f>
        <v>2</v>
      </c>
      <c r="D914" s="20" t="str">
        <f>Catalog!BE280</f>
        <v>earned</v>
      </c>
      <c r="E914" s="19" t="s">
        <v>25</v>
      </c>
      <c r="F914" s="19" t="str">
        <f>Catalog!BL280</f>
        <v xml:space="preserve">The Hypno Hat can make your enemies do anything…. Even dance! </v>
      </c>
    </row>
    <row r="915" spans="1:6" ht="15" x14ac:dyDescent="0.15">
      <c r="A915" s="11" t="s">
        <v>41</v>
      </c>
      <c r="B915" s="18" t="str">
        <f>Catalog!E277</f>
        <v>lootV6rare</v>
      </c>
      <c r="C915" s="20">
        <f>Catalog!W277</f>
        <v>0</v>
      </c>
      <c r="D915" s="20" t="str">
        <f>Catalog!X277</f>
        <v>unearned</v>
      </c>
      <c r="E915" s="19" t="s">
        <v>23</v>
      </c>
      <c r="F915" s="19" t="str">
        <f>Catalog!AB277</f>
        <v>V6 Coin, Epic</v>
      </c>
    </row>
    <row r="916" spans="1:6" ht="15" x14ac:dyDescent="0.15">
      <c r="A916" s="11" t="s">
        <v>41</v>
      </c>
      <c r="B916" s="18" t="str">
        <f>Catalog!E277</f>
        <v>lootV6rare</v>
      </c>
      <c r="C916" s="20">
        <f>Catalog!W277</f>
        <v>0</v>
      </c>
      <c r="D916" s="20" t="str">
        <f>Catalog!X277</f>
        <v>unearned</v>
      </c>
      <c r="E916" s="19" t="s">
        <v>25</v>
      </c>
      <c r="F916" s="19" t="str">
        <f>Catalog!AD277</f>
        <v>Find an epic V6 coin – for the true fans.</v>
      </c>
    </row>
    <row r="917" spans="1:6" ht="15" x14ac:dyDescent="0.15">
      <c r="A917" s="11" t="s">
        <v>41</v>
      </c>
      <c r="B917" s="18" t="str">
        <f>Catalog!E277</f>
        <v>lootV6rare</v>
      </c>
      <c r="C917" s="20">
        <f>Catalog!W277</f>
        <v>0</v>
      </c>
      <c r="D917" s="20" t="str">
        <f>Catalog!X277</f>
        <v>unearned</v>
      </c>
      <c r="E917" s="19" t="s">
        <v>34</v>
      </c>
      <c r="F917" s="20" t="str">
        <f>Catalog!AE277</f>
        <v>3,000 points</v>
      </c>
    </row>
    <row r="918" spans="1:6" ht="15" x14ac:dyDescent="0.15">
      <c r="A918" s="11" t="s">
        <v>41</v>
      </c>
      <c r="B918" s="18" t="str">
        <f>Catalog!E277</f>
        <v>lootV6rare</v>
      </c>
      <c r="C918" s="20">
        <f>Catalog!BD277</f>
        <v>2</v>
      </c>
      <c r="D918" s="20" t="str">
        <f>Catalog!BE277</f>
        <v>earned</v>
      </c>
      <c r="E918" s="19" t="s">
        <v>25</v>
      </c>
      <c r="F918" s="19" t="str">
        <f>Catalog!BL277</f>
        <v>A rare collectible for true V6 fans!</v>
      </c>
    </row>
    <row r="919" spans="1:6" ht="15" x14ac:dyDescent="0.15">
      <c r="A919" s="11" t="s">
        <v>41</v>
      </c>
      <c r="B919" s="12" t="e">
        <f t="shared" ref="B919:D919" si="260">#REF!</f>
        <v>#REF!</v>
      </c>
      <c r="C919" s="19" t="e">
        <f t="shared" si="260"/>
        <v>#REF!</v>
      </c>
      <c r="D919" s="19" t="e">
        <f t="shared" si="260"/>
        <v>#REF!</v>
      </c>
      <c r="E919" s="19" t="s">
        <v>23</v>
      </c>
      <c r="F919" s="19" t="e">
        <f t="shared" ref="F919:F922" si="261">#REF!</f>
        <v>#REF!</v>
      </c>
    </row>
    <row r="920" spans="1:6" ht="15" x14ac:dyDescent="0.15">
      <c r="A920" s="11" t="s">
        <v>41</v>
      </c>
      <c r="B920" s="12" t="e">
        <f t="shared" ref="B920:D920" si="262">#REF!</f>
        <v>#REF!</v>
      </c>
      <c r="C920" s="19" t="e">
        <f t="shared" si="262"/>
        <v>#REF!</v>
      </c>
      <c r="D920" s="19" t="e">
        <f t="shared" si="262"/>
        <v>#REF!</v>
      </c>
      <c r="E920" s="19" t="s">
        <v>25</v>
      </c>
      <c r="F920" s="19" t="e">
        <f t="shared" si="261"/>
        <v>#REF!</v>
      </c>
    </row>
    <row r="921" spans="1:6" ht="15" x14ac:dyDescent="0.15">
      <c r="A921" s="11" t="s">
        <v>41</v>
      </c>
      <c r="B921" s="12" t="e">
        <f t="shared" ref="B921:D921" si="263">#REF!</f>
        <v>#REF!</v>
      </c>
      <c r="C921" s="19" t="e">
        <f t="shared" si="263"/>
        <v>#REF!</v>
      </c>
      <c r="D921" s="19" t="e">
        <f t="shared" si="263"/>
        <v>#REF!</v>
      </c>
      <c r="E921" s="19" t="s">
        <v>34</v>
      </c>
      <c r="F921" s="19" t="e">
        <f t="shared" si="261"/>
        <v>#REF!</v>
      </c>
    </row>
    <row r="922" spans="1:6" ht="15" x14ac:dyDescent="0.15">
      <c r="A922" s="11" t="s">
        <v>41</v>
      </c>
      <c r="B922" s="12" t="e">
        <f t="shared" ref="B922:D922" si="264">#REF!</f>
        <v>#REF!</v>
      </c>
      <c r="C922" s="19" t="e">
        <f t="shared" si="264"/>
        <v>#REF!</v>
      </c>
      <c r="D922" s="19" t="e">
        <f t="shared" si="264"/>
        <v>#REF!</v>
      </c>
      <c r="E922" s="19" t="s">
        <v>25</v>
      </c>
      <c r="F922" s="19" t="e">
        <f t="shared" si="261"/>
        <v>#REF!</v>
      </c>
    </row>
    <row r="923" spans="1:6" ht="15" x14ac:dyDescent="0.15">
      <c r="A923" s="11" t="s">
        <v>41</v>
      </c>
      <c r="B923" s="12" t="str">
        <f>Catalog!E294</f>
        <v>lootLavaLampGun</v>
      </c>
      <c r="C923" s="20">
        <f>Catalog!W294</f>
        <v>0</v>
      </c>
      <c r="D923" s="20" t="str">
        <f>Catalog!X294</f>
        <v>unearned</v>
      </c>
      <c r="E923" s="19" t="s">
        <v>23</v>
      </c>
      <c r="F923" s="19" t="str">
        <f>Catalog!AB294</f>
        <v>Lava Lamp Blaster</v>
      </c>
    </row>
    <row r="924" spans="1:6" ht="15" x14ac:dyDescent="0.15">
      <c r="A924" s="11" t="s">
        <v>41</v>
      </c>
      <c r="B924" s="12" t="str">
        <f>Catalog!E294</f>
        <v>lootLavaLampGun</v>
      </c>
      <c r="C924" s="20">
        <f>Catalog!W294</f>
        <v>0</v>
      </c>
      <c r="D924" s="20" t="str">
        <f>Catalog!X294</f>
        <v>unearned</v>
      </c>
      <c r="E924" s="19" t="s">
        <v>25</v>
      </c>
      <c r="F924" s="19" t="str">
        <f>Catalog!AD294</f>
        <v>Steal Scarlet's Lava Lamp Blaster</v>
      </c>
    </row>
    <row r="925" spans="1:6" ht="15" x14ac:dyDescent="0.15">
      <c r="A925" s="11" t="s">
        <v>41</v>
      </c>
      <c r="B925" s="12" t="str">
        <f>Catalog!E294</f>
        <v>lootLavaLampGun</v>
      </c>
      <c r="C925" s="20">
        <f>Catalog!W294</f>
        <v>0</v>
      </c>
      <c r="D925" s="20" t="str">
        <f>Catalog!X294</f>
        <v>unearned</v>
      </c>
      <c r="E925" s="19" t="s">
        <v>34</v>
      </c>
      <c r="F925" s="20" t="str">
        <f>Catalog!AE294</f>
        <v>TBD reward</v>
      </c>
    </row>
    <row r="926" spans="1:6" ht="15" x14ac:dyDescent="0.15">
      <c r="A926" s="11" t="s">
        <v>41</v>
      </c>
      <c r="B926" s="12" t="str">
        <f>Catalog!E294</f>
        <v>lootLavaLampGun</v>
      </c>
      <c r="C926" s="20">
        <f>Catalog!BD294</f>
        <v>2</v>
      </c>
      <c r="D926" s="20" t="str">
        <f>Catalog!BE294</f>
        <v>earned</v>
      </c>
      <c r="E926" s="19" t="s">
        <v>25</v>
      </c>
      <c r="F926" s="19" t="str">
        <f>Catalog!BL294</f>
        <v>You stole Scarlet Overkill's Lava Lamp Blaster! Nice.</v>
      </c>
    </row>
    <row r="927" spans="1:6" ht="15" x14ac:dyDescent="0.15">
      <c r="A927" s="11" t="s">
        <v>41</v>
      </c>
      <c r="B927" s="12" t="str">
        <f>Catalog!E295</f>
        <v>lootLipstickTaser</v>
      </c>
      <c r="C927" s="20">
        <f>Catalog!W295</f>
        <v>0</v>
      </c>
      <c r="D927" s="20" t="str">
        <f>Catalog!X295</f>
        <v>unearned</v>
      </c>
      <c r="E927" s="19" t="s">
        <v>23</v>
      </c>
      <c r="F927" s="19" t="str">
        <f>Catalog!AB295</f>
        <v>Lipstick Taser</v>
      </c>
    </row>
    <row r="928" spans="1:6" ht="15" x14ac:dyDescent="0.15">
      <c r="A928" s="11" t="s">
        <v>41</v>
      </c>
      <c r="B928" s="12" t="str">
        <f>Catalog!E295</f>
        <v>lootLipstickTaser</v>
      </c>
      <c r="C928" s="20">
        <f>Catalog!W295</f>
        <v>0</v>
      </c>
      <c r="D928" s="20" t="str">
        <f>Catalog!X295</f>
        <v>unearned</v>
      </c>
      <c r="E928" s="19" t="s">
        <v>25</v>
      </c>
      <c r="F928" s="19" t="str">
        <f>Catalog!AD295</f>
        <v>Find Lucy's missing Lipstick Taser</v>
      </c>
    </row>
    <row r="929" spans="1:6" ht="15" x14ac:dyDescent="0.15">
      <c r="A929" s="11" t="s">
        <v>41</v>
      </c>
      <c r="B929" s="12" t="str">
        <f>Catalog!E295</f>
        <v>lootLipstickTaser</v>
      </c>
      <c r="C929" s="20">
        <f>Catalog!W295</f>
        <v>0</v>
      </c>
      <c r="D929" s="20" t="str">
        <f>Catalog!X295</f>
        <v>unearned</v>
      </c>
      <c r="E929" s="19" t="s">
        <v>34</v>
      </c>
      <c r="F929" s="20" t="str">
        <f>Catalog!AE295</f>
        <v>TBD reward</v>
      </c>
    </row>
    <row r="930" spans="1:6" ht="15" x14ac:dyDescent="0.15">
      <c r="A930" s="11" t="s">
        <v>41</v>
      </c>
      <c r="B930" s="12" t="str">
        <f>Catalog!E295</f>
        <v>lootLipstickTaser</v>
      </c>
      <c r="C930" s="20">
        <f>Catalog!BD295</f>
        <v>2</v>
      </c>
      <c r="D930" s="20" t="str">
        <f>Catalog!BE295</f>
        <v>earned</v>
      </c>
      <c r="E930" s="19" t="s">
        <v>25</v>
      </c>
      <c r="F930" s="19" t="str">
        <f>Catalog!BL295</f>
        <v>You found Lucy's Lipstick Taser!</v>
      </c>
    </row>
    <row r="931" spans="1:6" ht="15" x14ac:dyDescent="0.15">
      <c r="A931" s="11" t="s">
        <v>41</v>
      </c>
      <c r="B931" s="12" t="str">
        <f>Catalog!E319</f>
        <v>lootPetRock</v>
      </c>
      <c r="C931" s="20">
        <f>Catalog!W319</f>
        <v>0</v>
      </c>
      <c r="D931" s="20" t="str">
        <f>Catalog!X319</f>
        <v>unearned</v>
      </c>
      <c r="E931" s="19" t="s">
        <v>23</v>
      </c>
      <c r="F931" s="19" t="str">
        <f>Catalog!AB319</f>
        <v>Otto’s Pet rock</v>
      </c>
    </row>
    <row r="932" spans="1:6" ht="15" x14ac:dyDescent="0.15">
      <c r="A932" s="11" t="s">
        <v>41</v>
      </c>
      <c r="B932" s="12" t="str">
        <f>Catalog!E319</f>
        <v>lootPetRock</v>
      </c>
      <c r="C932" s="20">
        <f>Catalog!W319</f>
        <v>0</v>
      </c>
      <c r="D932" s="20" t="str">
        <f>Catalog!X319</f>
        <v>unearned</v>
      </c>
      <c r="E932" s="19" t="s">
        <v>25</v>
      </c>
      <c r="F932" s="19" t="str">
        <f>Catalog!AD319</f>
        <v>This rock likes to fly around!</v>
      </c>
    </row>
    <row r="933" spans="1:6" ht="15" x14ac:dyDescent="0.15">
      <c r="A933" s="11" t="s">
        <v>41</v>
      </c>
      <c r="B933" s="12" t="str">
        <f>Catalog!E319</f>
        <v>lootPetRock</v>
      </c>
      <c r="C933" s="20">
        <f>Catalog!W319</f>
        <v>0</v>
      </c>
      <c r="D933" s="20" t="str">
        <f>Catalog!X319</f>
        <v>unearned</v>
      </c>
      <c r="E933" s="19" t="s">
        <v>34</v>
      </c>
      <c r="F933" s="20" t="str">
        <f>Catalog!AE319</f>
        <v>100 points</v>
      </c>
    </row>
    <row r="934" spans="1:6" ht="15" x14ac:dyDescent="0.15">
      <c r="A934" s="11" t="s">
        <v>41</v>
      </c>
      <c r="B934" s="12" t="str">
        <f>Catalog!E319</f>
        <v>lootPetRock</v>
      </c>
      <c r="C934" s="20">
        <f>Catalog!BD319</f>
        <v>2</v>
      </c>
      <c r="D934" s="20" t="str">
        <f>Catalog!BE319</f>
        <v>earned</v>
      </c>
      <c r="E934" s="19" t="s">
        <v>25</v>
      </c>
      <c r="F934" s="19" t="str">
        <f>Catalog!BL319</f>
        <v>Otto will be thrilled to get his Pet Rock back!</v>
      </c>
    </row>
    <row r="935" spans="1:6" ht="15" x14ac:dyDescent="0.15">
      <c r="A935" s="11" t="s">
        <v>41</v>
      </c>
      <c r="B935" s="12" t="str">
        <f>Catalog!E296</f>
        <v>lootDinoEgg</v>
      </c>
      <c r="C935" s="20">
        <f>Catalog!W296</f>
        <v>0</v>
      </c>
      <c r="D935" s="20" t="str">
        <f>Catalog!X296</f>
        <v>unearned</v>
      </c>
      <c r="E935" s="19" t="s">
        <v>23</v>
      </c>
      <c r="F935" s="19" t="str">
        <f>Catalog!AB296</f>
        <v>Prehistoric Dinosaur Egg</v>
      </c>
    </row>
    <row r="936" spans="1:6" ht="15" x14ac:dyDescent="0.15">
      <c r="A936" s="11" t="s">
        <v>41</v>
      </c>
      <c r="B936" s="12" t="str">
        <f>Catalog!E296</f>
        <v>lootDinoEgg</v>
      </c>
      <c r="C936" s="20">
        <f>Catalog!W296</f>
        <v>0</v>
      </c>
      <c r="D936" s="20" t="str">
        <f>Catalog!X296</f>
        <v>unearned</v>
      </c>
      <c r="E936" s="19" t="s">
        <v>25</v>
      </c>
      <c r="F936" s="19" t="str">
        <f>Catalog!AD296</f>
        <v>Find the hidden Dinosaur Egg</v>
      </c>
    </row>
    <row r="937" spans="1:6" ht="15" x14ac:dyDescent="0.15">
      <c r="A937" s="11" t="s">
        <v>41</v>
      </c>
      <c r="B937" s="12" t="str">
        <f>Catalog!E296</f>
        <v>lootDinoEgg</v>
      </c>
      <c r="C937" s="20">
        <f>Catalog!W296</f>
        <v>0</v>
      </c>
      <c r="D937" s="20" t="str">
        <f>Catalog!X296</f>
        <v>unearned</v>
      </c>
      <c r="E937" s="19" t="s">
        <v>34</v>
      </c>
      <c r="F937" s="20" t="str">
        <f>Catalog!AE296</f>
        <v>TBD reward</v>
      </c>
    </row>
    <row r="938" spans="1:6" ht="15" x14ac:dyDescent="0.15">
      <c r="A938" s="11" t="s">
        <v>41</v>
      </c>
      <c r="B938" s="12" t="str">
        <f>Catalog!E296</f>
        <v>lootDinoEgg</v>
      </c>
      <c r="C938" s="20">
        <f>Catalog!BD296</f>
        <v>2</v>
      </c>
      <c r="D938" s="20" t="str">
        <f>Catalog!BE296</f>
        <v>earned</v>
      </c>
      <c r="E938" s="19" t="s">
        <v>25</v>
      </c>
      <c r="F938" s="19" t="str">
        <f>Catalog!BL296</f>
        <v>You found a Prehistoric Dinosaur Egg! Watch out! Don't...drop it.</v>
      </c>
    </row>
    <row r="939" spans="1:6" ht="15" x14ac:dyDescent="0.15">
      <c r="A939" s="11" t="s">
        <v>41</v>
      </c>
      <c r="B939" s="12" t="str">
        <f>Catalog!E286</f>
        <v>lootBrattToy</v>
      </c>
      <c r="C939" s="20">
        <f>Catalog!W286</f>
        <v>0</v>
      </c>
      <c r="D939" s="20" t="str">
        <f>Catalog!X286</f>
        <v>unearned</v>
      </c>
      <c r="E939" s="19" t="s">
        <v>23</v>
      </c>
      <c r="F939" s="19" t="str">
        <f>Catalog!AB286</f>
        <v>Bratt Bot</v>
      </c>
    </row>
    <row r="940" spans="1:6" ht="15" x14ac:dyDescent="0.15">
      <c r="A940" s="11" t="s">
        <v>41</v>
      </c>
      <c r="B940" s="12" t="str">
        <f>Catalog!E286</f>
        <v>lootBrattToy</v>
      </c>
      <c r="C940" s="20">
        <f>Catalog!W286</f>
        <v>0</v>
      </c>
      <c r="D940" s="20" t="str">
        <f>Catalog!X286</f>
        <v>unearned</v>
      </c>
      <c r="E940" s="19" t="s">
        <v>25</v>
      </c>
      <c r="F940" s="19" t="str">
        <f>Catalog!AD286</f>
        <v>Bratt is not a fan of jumbotrons. Why are they so big and float-y?</v>
      </c>
    </row>
    <row r="941" spans="1:6" ht="15" x14ac:dyDescent="0.15">
      <c r="A941" s="11" t="s">
        <v>41</v>
      </c>
      <c r="B941" s="12" t="str">
        <f>Catalog!E286</f>
        <v>lootBrattToy</v>
      </c>
      <c r="C941" s="20">
        <f>Catalog!W286</f>
        <v>0</v>
      </c>
      <c r="D941" s="20" t="str">
        <f>Catalog!X286</f>
        <v>unearned</v>
      </c>
      <c r="E941" s="19" t="s">
        <v>34</v>
      </c>
      <c r="F941" s="20" t="str">
        <f>Catalog!AE286</f>
        <v>1,000 points</v>
      </c>
    </row>
    <row r="942" spans="1:6" ht="28" x14ac:dyDescent="0.15">
      <c r="A942" s="11" t="s">
        <v>41</v>
      </c>
      <c r="B942" s="12" t="str">
        <f>Catalog!E286</f>
        <v>lootBrattToy</v>
      </c>
      <c r="C942" s="20">
        <f>Catalog!BD286</f>
        <v>2</v>
      </c>
      <c r="D942" s="20" t="str">
        <f>Catalog!BE299</f>
        <v>earned</v>
      </c>
      <c r="E942" s="19" t="s">
        <v>25</v>
      </c>
      <c r="F942" s="19" t="str">
        <f>Catalog!BL286</f>
        <v>You found a Mint Condition Bratt Bot, untouched, unloved…ready for revenge.</v>
      </c>
    </row>
    <row r="943" spans="1:6" ht="15" x14ac:dyDescent="0.15">
      <c r="A943" s="11" t="s">
        <v>41</v>
      </c>
      <c r="B943" s="12" t="str">
        <f>Catalog!E297</f>
        <v>lootOnion</v>
      </c>
      <c r="C943" s="20">
        <f>Catalog!W297</f>
        <v>0</v>
      </c>
      <c r="D943" s="20" t="str">
        <f>Catalog!X297</f>
        <v>unearned</v>
      </c>
      <c r="E943" s="19" t="s">
        <v>23</v>
      </c>
      <c r="F943" s="19" t="str">
        <f>Catalog!AB297</f>
        <v>Shrek's Onion</v>
      </c>
    </row>
    <row r="944" spans="1:6" ht="15" x14ac:dyDescent="0.15">
      <c r="A944" s="11" t="s">
        <v>41</v>
      </c>
      <c r="B944" s="12" t="str">
        <f>Catalog!E297</f>
        <v>lootOnion</v>
      </c>
      <c r="C944" s="20">
        <f>Catalog!W297</f>
        <v>0</v>
      </c>
      <c r="D944" s="20" t="str">
        <f>Catalog!X297</f>
        <v>unearned</v>
      </c>
      <c r="E944" s="19" t="s">
        <v>25</v>
      </c>
      <c r="F944" s="19" t="str">
        <f>Catalog!AD297</f>
        <v>Find the hidden Onion (it has layers)</v>
      </c>
    </row>
    <row r="945" spans="1:6" ht="15" x14ac:dyDescent="0.15">
      <c r="A945" s="11" t="s">
        <v>41</v>
      </c>
      <c r="B945" s="12" t="str">
        <f>Catalog!E297</f>
        <v>lootOnion</v>
      </c>
      <c r="C945" s="20">
        <f>Catalog!W297</f>
        <v>0</v>
      </c>
      <c r="D945" s="20" t="str">
        <f>Catalog!X297</f>
        <v>unearned</v>
      </c>
      <c r="E945" s="19" t="s">
        <v>34</v>
      </c>
      <c r="F945" s="20" t="str">
        <f>Catalog!AE297</f>
        <v>TBD reward</v>
      </c>
    </row>
    <row r="946" spans="1:6" ht="15" x14ac:dyDescent="0.15">
      <c r="A946" s="11" t="s">
        <v>41</v>
      </c>
      <c r="B946" s="12" t="str">
        <f>Catalog!E297</f>
        <v>lootOnion</v>
      </c>
      <c r="C946" s="20">
        <f>Catalog!BD297</f>
        <v>2</v>
      </c>
      <c r="D946" s="20" t="str">
        <f>Catalog!BE297</f>
        <v>earned</v>
      </c>
      <c r="E946" s="19" t="s">
        <v>25</v>
      </c>
      <c r="F946" s="19" t="str">
        <f>Catalog!BL297</f>
        <v>You found Shrek's onion! Wait a minute...who's Shrek?</v>
      </c>
    </row>
    <row r="947" spans="1:6" ht="15" x14ac:dyDescent="0.15">
      <c r="A947" s="11" t="s">
        <v>41</v>
      </c>
      <c r="B947" s="12" t="str">
        <f>Catalog!E298</f>
        <v>lootUkulele</v>
      </c>
      <c r="C947" s="20">
        <f>Catalog!W298</f>
        <v>0</v>
      </c>
      <c r="D947" s="20" t="str">
        <f>Catalog!X298</f>
        <v>unearned</v>
      </c>
      <c r="E947" s="19" t="s">
        <v>23</v>
      </c>
      <c r="F947" s="19" t="str">
        <f>Catalog!AB298</f>
        <v>Stuart’s Ukulele</v>
      </c>
    </row>
    <row r="948" spans="1:6" ht="15" x14ac:dyDescent="0.15">
      <c r="A948" s="11" t="s">
        <v>41</v>
      </c>
      <c r="B948" s="12" t="str">
        <f>Catalog!E298</f>
        <v>lootUkulele</v>
      </c>
      <c r="C948" s="20">
        <f>Catalog!W404</f>
        <v>0</v>
      </c>
      <c r="D948" s="20" t="str">
        <f>Catalog!X298</f>
        <v>unearned</v>
      </c>
      <c r="E948" s="19" t="s">
        <v>25</v>
      </c>
      <c r="F948" s="19" t="str">
        <f>Catalog!AD298</f>
        <v>Find Stuart's lost Ukulele</v>
      </c>
    </row>
    <row r="949" spans="1:6" ht="15" x14ac:dyDescent="0.15">
      <c r="A949" s="11" t="s">
        <v>41</v>
      </c>
      <c r="B949" s="12" t="str">
        <f>Catalog!E298</f>
        <v>lootUkulele</v>
      </c>
      <c r="C949" s="20">
        <f>Catalog!W404</f>
        <v>0</v>
      </c>
      <c r="D949" s="20" t="str">
        <f>Catalog!X298</f>
        <v>unearned</v>
      </c>
      <c r="E949" s="19" t="s">
        <v>34</v>
      </c>
      <c r="F949" s="20" t="str">
        <f>Catalog!AE298</f>
        <v>TBD reward</v>
      </c>
    </row>
    <row r="950" spans="1:6" ht="15" x14ac:dyDescent="0.15">
      <c r="A950" s="11" t="s">
        <v>41</v>
      </c>
      <c r="B950" s="12" t="str">
        <f>Catalog!E298</f>
        <v>lootUkulele</v>
      </c>
      <c r="C950" s="20">
        <f>Catalog!BD404</f>
        <v>0</v>
      </c>
      <c r="D950" s="20" t="str">
        <f>Catalog!BE298</f>
        <v>earned</v>
      </c>
      <c r="E950" s="19" t="s">
        <v>25</v>
      </c>
      <c r="F950" s="19" t="str">
        <f>Catalog!BL298</f>
        <v>You found Stuart's ukelele! Let's jam!</v>
      </c>
    </row>
    <row r="951" spans="1:6" ht="15" x14ac:dyDescent="0.15">
      <c r="A951" s="11" t="s">
        <v>41</v>
      </c>
      <c r="B951" s="12" t="str">
        <f>Catalog!E320</f>
        <v>lootTeddyBear</v>
      </c>
      <c r="C951" s="20">
        <f>Catalog!W320</f>
        <v>0</v>
      </c>
      <c r="D951" s="20" t="str">
        <f>Catalog!X320</f>
        <v>unearned</v>
      </c>
      <c r="E951" s="19" t="s">
        <v>23</v>
      </c>
      <c r="F951" s="19" t="str">
        <f>Catalog!AB320</f>
        <v>Bob's Teddy Bear Tim</v>
      </c>
    </row>
    <row r="952" spans="1:6" ht="15" x14ac:dyDescent="0.15">
      <c r="A952" s="11" t="s">
        <v>41</v>
      </c>
      <c r="B952" s="12" t="str">
        <f>Catalog!E320</f>
        <v>lootTeddyBear</v>
      </c>
      <c r="C952" s="20">
        <f>Catalog!W320</f>
        <v>0</v>
      </c>
      <c r="D952" s="20" t="str">
        <f>Catalog!X320</f>
        <v>unearned</v>
      </c>
      <c r="E952" s="19" t="s">
        <v>25</v>
      </c>
      <c r="F952" s="19" t="str">
        <f>Catalog!AD320</f>
        <v>Oh no! Is Tim stuck in a waterpipe? He needs to dry off!</v>
      </c>
    </row>
    <row r="953" spans="1:6" ht="15" x14ac:dyDescent="0.15">
      <c r="A953" s="11" t="s">
        <v>41</v>
      </c>
      <c r="B953" s="12" t="str">
        <f>Catalog!E320</f>
        <v>lootTeddyBear</v>
      </c>
      <c r="C953" s="20">
        <f>Catalog!W320</f>
        <v>0</v>
      </c>
      <c r="D953" s="20" t="str">
        <f>Catalog!X320</f>
        <v>unearned</v>
      </c>
      <c r="E953" s="19" t="s">
        <v>34</v>
      </c>
      <c r="F953" s="20" t="str">
        <f>Catalog!AE320</f>
        <v>1,000 points</v>
      </c>
    </row>
    <row r="954" spans="1:6" ht="15" x14ac:dyDescent="0.15">
      <c r="A954" s="11" t="s">
        <v>41</v>
      </c>
      <c r="B954" s="12" t="str">
        <f>Catalog!E320</f>
        <v>lootTeddyBear</v>
      </c>
      <c r="C954" s="20">
        <f>Catalog!BD320</f>
        <v>2</v>
      </c>
      <c r="D954" s="20" t="str">
        <f>Catalog!BE320</f>
        <v>earned</v>
      </c>
      <c r="E954" s="19" t="s">
        <v>25</v>
      </c>
      <c r="F954" s="19" t="str">
        <f>Catalog!BL320</f>
        <v>You found Bob's Teddy Bear! Now he'll finally be able to sleep.</v>
      </c>
    </row>
    <row r="955" spans="1:6" ht="15" x14ac:dyDescent="0.15">
      <c r="A955" s="11" t="s">
        <v>41</v>
      </c>
      <c r="B955" s="12" t="str">
        <f>Catalog!E299</f>
        <v>lootMoon</v>
      </c>
      <c r="C955" s="20">
        <f>Catalog!W299</f>
        <v>0</v>
      </c>
      <c r="D955" s="20" t="str">
        <f>Catalog!X299</f>
        <v>unearned</v>
      </c>
      <c r="E955" s="19" t="s">
        <v>23</v>
      </c>
      <c r="F955" s="19" t="str">
        <f>Catalog!AB299</f>
        <v>Tiny Moon</v>
      </c>
    </row>
    <row r="956" spans="1:6" ht="15" x14ac:dyDescent="0.15">
      <c r="A956" s="11" t="s">
        <v>41</v>
      </c>
      <c r="B956" s="12" t="str">
        <f>Catalog!E299</f>
        <v>lootMoon</v>
      </c>
      <c r="C956" s="20">
        <f>Catalog!W299</f>
        <v>0</v>
      </c>
      <c r="D956" s="20" t="str">
        <f>Catalog!X299</f>
        <v>unearned</v>
      </c>
      <c r="E956" s="19" t="s">
        <v>25</v>
      </c>
      <c r="F956" s="19" t="str">
        <f>Catalog!AD299</f>
        <v>Steal the Moon</v>
      </c>
    </row>
    <row r="957" spans="1:6" ht="15" x14ac:dyDescent="0.15">
      <c r="A957" s="11" t="s">
        <v>41</v>
      </c>
      <c r="B957" s="12" t="str">
        <f>Catalog!E299</f>
        <v>lootMoon</v>
      </c>
      <c r="C957" s="20">
        <f>Catalog!W299</f>
        <v>0</v>
      </c>
      <c r="D957" s="20" t="str">
        <f>Catalog!X299</f>
        <v>unearned</v>
      </c>
      <c r="E957" s="19" t="s">
        <v>34</v>
      </c>
      <c r="F957" s="20" t="str">
        <f>Catalog!AE299</f>
        <v>TBD reward</v>
      </c>
    </row>
    <row r="958" spans="1:6" ht="15" x14ac:dyDescent="0.15">
      <c r="A958" s="11" t="s">
        <v>41</v>
      </c>
      <c r="B958" s="12" t="str">
        <f>Catalog!E299</f>
        <v>lootMoon</v>
      </c>
      <c r="C958" s="20">
        <f>Catalog!BD299</f>
        <v>2</v>
      </c>
      <c r="D958" s="20" t="str">
        <f>Catalog!BE299</f>
        <v>earned</v>
      </c>
      <c r="E958" s="19" t="s">
        <v>25</v>
      </c>
      <c r="F958" s="19" t="str">
        <f>Catalog!BL299</f>
        <v>You found the stolen tiny moon! Return it before it expands!</v>
      </c>
    </row>
    <row r="959" spans="1:6" ht="15" x14ac:dyDescent="0.15">
      <c r="A959" s="11" t="s">
        <v>41</v>
      </c>
      <c r="B959" s="12" t="str">
        <f>Catalog!E300</f>
        <v>lootHydrant</v>
      </c>
      <c r="C959" s="20">
        <f>Catalog!W300</f>
        <v>0</v>
      </c>
      <c r="D959" s="20" t="str">
        <f>Catalog!X300</f>
        <v>unearned</v>
      </c>
      <c r="E959" s="19" t="s">
        <v>23</v>
      </c>
      <c r="F959" s="19" t="str">
        <f>Catalog!AB300</f>
        <v>Yellow Fire Hydrant</v>
      </c>
    </row>
    <row r="960" spans="1:6" ht="15" x14ac:dyDescent="0.15">
      <c r="A960" s="11" t="s">
        <v>41</v>
      </c>
      <c r="B960" s="12" t="str">
        <f>Catalog!E300</f>
        <v>lootHydrant</v>
      </c>
      <c r="C960" s="20">
        <f>Catalog!W300</f>
        <v>0</v>
      </c>
      <c r="D960" s="20" t="str">
        <f>Catalog!X300</f>
        <v>unearned</v>
      </c>
      <c r="E960" s="19" t="s">
        <v>25</v>
      </c>
      <c r="F960" s="19" t="str">
        <f>Catalog!AD300</f>
        <v>Find a yellow Fire Hydrant</v>
      </c>
    </row>
    <row r="961" spans="1:7" ht="15" x14ac:dyDescent="0.15">
      <c r="A961" s="11" t="s">
        <v>41</v>
      </c>
      <c r="B961" s="12" t="str">
        <f>Catalog!E300</f>
        <v>lootHydrant</v>
      </c>
      <c r="C961" s="20">
        <f>Catalog!W300</f>
        <v>0</v>
      </c>
      <c r="D961" s="20" t="str">
        <f>Catalog!X300</f>
        <v>unearned</v>
      </c>
      <c r="E961" s="19" t="s">
        <v>34</v>
      </c>
      <c r="F961" s="20" t="str">
        <f>Catalog!AE300</f>
        <v>TBD reward</v>
      </c>
    </row>
    <row r="962" spans="1:7" ht="28" x14ac:dyDescent="0.15">
      <c r="A962" s="11" t="s">
        <v>41</v>
      </c>
      <c r="B962" s="12" t="str">
        <f>Catalog!E300</f>
        <v>lootHydrant</v>
      </c>
      <c r="C962" s="20">
        <f>Catalog!BD300</f>
        <v>2</v>
      </c>
      <c r="D962" s="20" t="str">
        <f>Catalog!BE300</f>
        <v>earned</v>
      </c>
      <c r="E962" s="19" t="s">
        <v>25</v>
      </c>
      <c r="F962" s="19" t="str">
        <f>Catalog!BL300</f>
        <v>You found a yellow fire hydrant! Some pets might be secretly excited about it.</v>
      </c>
    </row>
    <row r="963" spans="1:7" ht="15" x14ac:dyDescent="0.15">
      <c r="A963" s="11" t="s">
        <v>41</v>
      </c>
      <c r="B963" s="12" t="str">
        <f>Catalog!E327</f>
        <v>lootQueensCrown</v>
      </c>
      <c r="C963" s="20">
        <f>Catalog!W327</f>
        <v>0</v>
      </c>
      <c r="D963" s="20" t="str">
        <f>Catalog!X327</f>
        <v>unearned</v>
      </c>
      <c r="E963" s="19" t="s">
        <v>23</v>
      </c>
      <c r="F963" s="19" t="str">
        <f>Catalog!AB327</f>
        <v>Queen's Crown</v>
      </c>
    </row>
    <row r="964" spans="1:7" ht="15" x14ac:dyDescent="0.15">
      <c r="A964" s="11" t="s">
        <v>41</v>
      </c>
      <c r="B964" s="12" t="str">
        <f>Catalog!E327</f>
        <v>lootQueensCrown</v>
      </c>
      <c r="C964" s="20">
        <f>Catalog!W327</f>
        <v>0</v>
      </c>
      <c r="D964" s="20" t="str">
        <f>Catalog!X327</f>
        <v>unearned</v>
      </c>
      <c r="E964" s="19" t="s">
        <v>25</v>
      </c>
      <c r="F964" s="19" t="str">
        <f>Catalog!AD327</f>
        <v>This may be the ultimate treasure.</v>
      </c>
    </row>
    <row r="965" spans="1:7" ht="15" x14ac:dyDescent="0.15">
      <c r="A965" s="11" t="s">
        <v>41</v>
      </c>
      <c r="B965" s="12" t="str">
        <f>Catalog!E327</f>
        <v>lootQueensCrown</v>
      </c>
      <c r="C965" s="20">
        <f>Catalog!W327</f>
        <v>0</v>
      </c>
      <c r="D965" s="20" t="str">
        <f>Catalog!X327</f>
        <v>unearned</v>
      </c>
      <c r="E965" s="19" t="s">
        <v>34</v>
      </c>
      <c r="F965" s="20" t="str">
        <f>Catalog!AE327</f>
        <v>3,000 points</v>
      </c>
    </row>
    <row r="966" spans="1:7" ht="15" x14ac:dyDescent="0.15">
      <c r="A966" s="11" t="s">
        <v>41</v>
      </c>
      <c r="B966" s="12" t="str">
        <f>Catalog!E327</f>
        <v>lootQueensCrown</v>
      </c>
      <c r="C966" s="20">
        <f>Catalog!BD327</f>
        <v>2</v>
      </c>
      <c r="D966" s="20" t="str">
        <f>Catalog!BE327</f>
        <v>earned</v>
      </c>
      <c r="E966" s="19" t="s">
        <v>25</v>
      </c>
      <c r="F966" s="19" t="str">
        <f>Catalog!BL327</f>
        <v>You got the Queen's Crown! Don't let Scarlet see!</v>
      </c>
    </row>
    <row r="967" spans="1:7" ht="15" x14ac:dyDescent="0.15">
      <c r="A967" s="11" t="s">
        <v>41</v>
      </c>
      <c r="B967" s="12" t="str">
        <f>Catalog!E328</f>
        <v>lootZodiacStone</v>
      </c>
      <c r="C967" s="20">
        <f>Catalog!W328</f>
        <v>0</v>
      </c>
      <c r="D967" s="20" t="str">
        <f>Catalog!X328</f>
        <v>unearned</v>
      </c>
      <c r="E967" s="19" t="s">
        <v>23</v>
      </c>
      <c r="F967" s="19" t="str">
        <f>Catalog!AB328</f>
        <v>Zodiac Stone</v>
      </c>
    </row>
    <row r="968" spans="1:7" ht="15" x14ac:dyDescent="0.15">
      <c r="A968" s="11" t="s">
        <v>41</v>
      </c>
      <c r="B968" s="12" t="str">
        <f>Catalog!E328</f>
        <v>lootZodiacStone</v>
      </c>
      <c r="C968" s="20">
        <f>Catalog!W328</f>
        <v>0</v>
      </c>
      <c r="D968" s="20" t="str">
        <f>Catalog!X328</f>
        <v>unearned</v>
      </c>
      <c r="E968" s="19" t="s">
        <v>25</v>
      </c>
      <c r="F968" s="19" t="str">
        <f>Catalog!AD328</f>
        <v>The zodiac is all about signs. And one big sign especially…</v>
      </c>
    </row>
    <row r="969" spans="1:7" ht="15" x14ac:dyDescent="0.15">
      <c r="A969" s="11" t="s">
        <v>41</v>
      </c>
      <c r="B969" s="12" t="str">
        <f>Catalog!E328</f>
        <v>lootZodiacStone</v>
      </c>
      <c r="C969" s="20">
        <f>Catalog!W328</f>
        <v>0</v>
      </c>
      <c r="D969" s="20" t="str">
        <f>Catalog!X328</f>
        <v>unearned</v>
      </c>
      <c r="E969" s="19" t="s">
        <v>34</v>
      </c>
      <c r="F969" s="20" t="str">
        <f>Catalog!AE328</f>
        <v>3,000 points</v>
      </c>
    </row>
    <row r="970" spans="1:7" ht="28" x14ac:dyDescent="0.15">
      <c r="A970" s="11" t="s">
        <v>41</v>
      </c>
      <c r="B970" s="12" t="str">
        <f>Catalog!E328</f>
        <v>lootZodiacStone</v>
      </c>
      <c r="C970" s="20">
        <f>Catalog!BD328</f>
        <v>2</v>
      </c>
      <c r="D970" s="20" t="str">
        <f>Catalog!BE328</f>
        <v>earned</v>
      </c>
      <c r="E970" s="19" t="s">
        <v>25</v>
      </c>
      <c r="F970" s="19" t="str">
        <f>Catalog!BL328</f>
        <v>You found the Zodiac Stone! Let's keep that a secret from the V6...and the AVL.</v>
      </c>
    </row>
    <row r="971" spans="1:7" ht="15" x14ac:dyDescent="0.15">
      <c r="A971" s="21" t="s">
        <v>30</v>
      </c>
      <c r="B971" s="22" t="str">
        <f>Catalog!E79</f>
        <v>perkUltimateCharger</v>
      </c>
      <c r="C971" s="23" t="e">
        <f t="shared" ref="C971:D971" si="265">#REF!</f>
        <v>#REF!</v>
      </c>
      <c r="D971" s="24" t="e">
        <f t="shared" si="265"/>
        <v>#REF!</v>
      </c>
      <c r="E971" s="25" t="s">
        <v>25</v>
      </c>
      <c r="F971" s="25" t="e">
        <f t="shared" ref="F971:F972" si="266">#REF!</f>
        <v>#REF!</v>
      </c>
      <c r="G971" s="612" t="s">
        <v>5483</v>
      </c>
    </row>
    <row r="972" spans="1:7" ht="15" x14ac:dyDescent="0.15">
      <c r="A972" s="21" t="s">
        <v>30</v>
      </c>
      <c r="B972" s="22" t="str">
        <f>Catalog!E79</f>
        <v>perkUltimateCharger</v>
      </c>
      <c r="C972" s="23" t="e">
        <f t="shared" ref="C972:D972" si="267">#REF!</f>
        <v>#REF!</v>
      </c>
      <c r="D972" s="24" t="e">
        <f t="shared" si="267"/>
        <v>#REF!</v>
      </c>
      <c r="E972" s="25" t="s">
        <v>25</v>
      </c>
      <c r="F972" s="25" t="e">
        <f t="shared" si="266"/>
        <v>#REF!</v>
      </c>
      <c r="G972" s="612" t="s">
        <v>5483</v>
      </c>
    </row>
    <row r="973" spans="1:7" ht="15" x14ac:dyDescent="0.15">
      <c r="A973" s="21" t="s">
        <v>30</v>
      </c>
      <c r="B973" s="22" t="str">
        <f>Catalog!E80</f>
        <v>perkSuperHot</v>
      </c>
      <c r="C973" s="23">
        <f>Catalog!W80</f>
        <v>0</v>
      </c>
      <c r="D973" s="24" t="str">
        <f>Catalog!X80</f>
        <v>locked</v>
      </c>
      <c r="E973" s="25" t="s">
        <v>23</v>
      </c>
      <c r="F973" s="25" t="str">
        <f>Catalog!AB80</f>
        <v>Super Hot</v>
      </c>
      <c r="G973" s="612" t="s">
        <v>5483</v>
      </c>
    </row>
    <row r="974" spans="1:7" ht="15" x14ac:dyDescent="0.15">
      <c r="A974" s="21" t="s">
        <v>30</v>
      </c>
      <c r="B974" s="22" t="str">
        <f>Catalog!E80</f>
        <v>perkSuperHot</v>
      </c>
      <c r="C974" s="23">
        <f>Catalog!W80</f>
        <v>0</v>
      </c>
      <c r="D974" s="24" t="str">
        <f>Catalog!X80</f>
        <v>locked</v>
      </c>
      <c r="E974" s="25" t="s">
        <v>24</v>
      </c>
      <c r="F974" s="25" t="str">
        <f>Catalog!AC80</f>
        <v>Burning does more damage per second.</v>
      </c>
      <c r="G974" s="612" t="s">
        <v>5483</v>
      </c>
    </row>
    <row r="975" spans="1:7" ht="28" x14ac:dyDescent="0.15">
      <c r="A975" s="21" t="s">
        <v>30</v>
      </c>
      <c r="B975" s="22" t="str">
        <f>Catalog!E80</f>
        <v>perkSuperHot</v>
      </c>
      <c r="C975" s="23">
        <f>Catalog!W80</f>
        <v>0</v>
      </c>
      <c r="D975" s="24" t="str">
        <f>Catalog!X80</f>
        <v>locked</v>
      </c>
      <c r="E975" s="25" t="s">
        <v>25</v>
      </c>
      <c r="F975" s="25" t="str">
        <f>Catalog!AD80</f>
        <v>Burning does more damage per second.
Affects: Fire</v>
      </c>
      <c r="G975" s="612" t="s">
        <v>5483</v>
      </c>
    </row>
    <row r="976" spans="1:7" ht="28" x14ac:dyDescent="0.15">
      <c r="A976" s="21" t="s">
        <v>30</v>
      </c>
      <c r="B976" s="22" t="str">
        <f>Catalog!E80</f>
        <v>perkSuperHot</v>
      </c>
      <c r="C976" s="26">
        <f>Catalog!BD80</f>
        <v>2</v>
      </c>
      <c r="D976" s="24" t="str">
        <f>Catalog!BE80</f>
        <v>unlocked</v>
      </c>
      <c r="E976" s="25" t="s">
        <v>25</v>
      </c>
      <c r="F976" s="25" t="str">
        <f>Catalog!BL80</f>
        <v>Burning does 20% more damage per second.
Affects: Fire</v>
      </c>
      <c r="G976" s="612" t="s">
        <v>5483</v>
      </c>
    </row>
    <row r="977" spans="1:7" ht="15" x14ac:dyDescent="0.15">
      <c r="A977" s="21" t="s">
        <v>30</v>
      </c>
      <c r="B977" s="22" t="str">
        <f>Catalog!E80</f>
        <v>perkSuperHot</v>
      </c>
      <c r="C977" s="26" t="e">
        <f t="shared" ref="C977:D977" si="268">#REF!</f>
        <v>#REF!</v>
      </c>
      <c r="D977" s="25" t="e">
        <f t="shared" si="268"/>
        <v>#REF!</v>
      </c>
      <c r="E977" s="25" t="s">
        <v>25</v>
      </c>
      <c r="F977" s="25" t="e">
        <f t="shared" ref="F977:F978" si="269">#REF!</f>
        <v>#REF!</v>
      </c>
      <c r="G977" s="612" t="s">
        <v>5483</v>
      </c>
    </row>
    <row r="978" spans="1:7" ht="15" x14ac:dyDescent="0.15">
      <c r="A978" s="21" t="s">
        <v>30</v>
      </c>
      <c r="B978" s="22" t="str">
        <f>Catalog!E80</f>
        <v>perkSuperHot</v>
      </c>
      <c r="C978" s="26" t="e">
        <f t="shared" ref="C978:D978" si="270">#REF!</f>
        <v>#REF!</v>
      </c>
      <c r="D978" s="25" t="e">
        <f t="shared" si="270"/>
        <v>#REF!</v>
      </c>
      <c r="E978" s="25" t="s">
        <v>25</v>
      </c>
      <c r="F978" s="25" t="e">
        <f t="shared" si="269"/>
        <v>#REF!</v>
      </c>
      <c r="G978" s="612" t="s">
        <v>5483</v>
      </c>
    </row>
    <row r="979" spans="1:7" ht="15" x14ac:dyDescent="0.15">
      <c r="A979" s="21" t="s">
        <v>30</v>
      </c>
      <c r="B979" s="22" t="str">
        <f>Catalog!E81</f>
        <v>perkSuperStun</v>
      </c>
      <c r="C979" s="23">
        <f>Catalog!W81</f>
        <v>0</v>
      </c>
      <c r="D979" s="24" t="str">
        <f>Catalog!X81</f>
        <v>locked</v>
      </c>
      <c r="E979" s="25" t="s">
        <v>23</v>
      </c>
      <c r="F979" s="25" t="str">
        <f>Catalog!AB81</f>
        <v>Super Stun</v>
      </c>
      <c r="G979" s="612" t="s">
        <v>5483</v>
      </c>
    </row>
    <row r="980" spans="1:7" ht="15" x14ac:dyDescent="0.15">
      <c r="A980" s="21" t="s">
        <v>30</v>
      </c>
      <c r="B980" s="22" t="str">
        <f>Catalog!E81</f>
        <v>perkSuperStun</v>
      </c>
      <c r="C980" s="23">
        <f>Catalog!W81</f>
        <v>0</v>
      </c>
      <c r="D980" s="24" t="str">
        <f>Catalog!X81</f>
        <v>locked</v>
      </c>
      <c r="E980" s="25" t="s">
        <v>24</v>
      </c>
      <c r="F980" s="25" t="str">
        <f>Catalog!AC81</f>
        <v>Stun effect lasts longer.</v>
      </c>
      <c r="G980" s="612" t="s">
        <v>5483</v>
      </c>
    </row>
    <row r="981" spans="1:7" ht="28" x14ac:dyDescent="0.15">
      <c r="A981" s="21" t="s">
        <v>30</v>
      </c>
      <c r="B981" s="22" t="str">
        <f>Catalog!E81</f>
        <v>perkSuperStun</v>
      </c>
      <c r="C981" s="23">
        <f>Catalog!W81</f>
        <v>0</v>
      </c>
      <c r="D981" s="24" t="str">
        <f>Catalog!X81</f>
        <v>locked</v>
      </c>
      <c r="E981" s="25" t="s">
        <v>25</v>
      </c>
      <c r="F981" s="25" t="str">
        <f>Catalog!AD81</f>
        <v>Stun effect lasts longer.
Affects: Lightning</v>
      </c>
      <c r="G981" s="612" t="s">
        <v>5483</v>
      </c>
    </row>
    <row r="982" spans="1:7" ht="28" x14ac:dyDescent="0.15">
      <c r="A982" s="21" t="s">
        <v>30</v>
      </c>
      <c r="B982" s="22" t="str">
        <f>Catalog!E81</f>
        <v>perkSuperStun</v>
      </c>
      <c r="C982" s="26">
        <f>Catalog!BD81</f>
        <v>2</v>
      </c>
      <c r="D982" s="24" t="str">
        <f>Catalog!BE81</f>
        <v>unlocked</v>
      </c>
      <c r="E982" s="25" t="s">
        <v>25</v>
      </c>
      <c r="F982" s="25" t="str">
        <f>Catalog!BL81</f>
        <v>Stun effect lasts 25% longer.
Affects: Lightning</v>
      </c>
      <c r="G982" s="612" t="s">
        <v>5483</v>
      </c>
    </row>
    <row r="983" spans="1:7" ht="15" x14ac:dyDescent="0.15">
      <c r="A983" s="21" t="s">
        <v>30</v>
      </c>
      <c r="B983" s="22" t="str">
        <f>Catalog!E81</f>
        <v>perkSuperStun</v>
      </c>
      <c r="C983" s="26" t="e">
        <f t="shared" ref="C983:D983" si="271">#REF!</f>
        <v>#REF!</v>
      </c>
      <c r="D983" s="25" t="e">
        <f t="shared" si="271"/>
        <v>#REF!</v>
      </c>
      <c r="E983" s="25" t="s">
        <v>25</v>
      </c>
      <c r="F983" s="25" t="e">
        <f t="shared" ref="F983:F984" si="272">#REF!</f>
        <v>#REF!</v>
      </c>
      <c r="G983" s="612" t="s">
        <v>5483</v>
      </c>
    </row>
    <row r="984" spans="1:7" ht="15" x14ac:dyDescent="0.15">
      <c r="A984" s="21" t="s">
        <v>30</v>
      </c>
      <c r="B984" s="22" t="str">
        <f>Catalog!E81</f>
        <v>perkSuperStun</v>
      </c>
      <c r="C984" s="26" t="e">
        <f t="shared" ref="C984:D984" si="273">#REF!</f>
        <v>#REF!</v>
      </c>
      <c r="D984" s="25" t="e">
        <f t="shared" si="273"/>
        <v>#REF!</v>
      </c>
      <c r="E984" s="25" t="s">
        <v>25</v>
      </c>
      <c r="F984" s="25" t="e">
        <f t="shared" si="272"/>
        <v>#REF!</v>
      </c>
      <c r="G984" s="612" t="s">
        <v>5483</v>
      </c>
    </row>
    <row r="985" spans="1:7" ht="15" x14ac:dyDescent="0.15">
      <c r="A985" s="21" t="s">
        <v>30</v>
      </c>
      <c r="B985" s="22" t="str">
        <f>Catalog!E82</f>
        <v>perkSupercooler</v>
      </c>
      <c r="C985" s="23">
        <f>Catalog!W82</f>
        <v>0</v>
      </c>
      <c r="D985" s="24" t="str">
        <f>Catalog!X82</f>
        <v>locked</v>
      </c>
      <c r="E985" s="25" t="s">
        <v>23</v>
      </c>
      <c r="F985" s="25" t="str">
        <f>Catalog!AB82</f>
        <v>Supercooler</v>
      </c>
      <c r="G985" s="612" t="s">
        <v>5483</v>
      </c>
    </row>
    <row r="986" spans="1:7" ht="15" x14ac:dyDescent="0.15">
      <c r="A986" s="21" t="s">
        <v>30</v>
      </c>
      <c r="B986" s="22" t="str">
        <f>Catalog!E82</f>
        <v>perkSupercooler</v>
      </c>
      <c r="C986" s="23">
        <f>Catalog!W82</f>
        <v>0</v>
      </c>
      <c r="D986" s="24" t="str">
        <f>Catalog!X82</f>
        <v>locked</v>
      </c>
      <c r="E986" s="25" t="s">
        <v>24</v>
      </c>
      <c r="F986" s="25" t="str">
        <f>Catalog!AC82</f>
        <v>Frozen status effect applies more quickly.</v>
      </c>
      <c r="G986" s="612" t="s">
        <v>5483</v>
      </c>
    </row>
    <row r="987" spans="1:7" ht="28" x14ac:dyDescent="0.15">
      <c r="A987" s="21" t="s">
        <v>30</v>
      </c>
      <c r="B987" s="22" t="str">
        <f>Catalog!E82</f>
        <v>perkSupercooler</v>
      </c>
      <c r="C987" s="23">
        <f>Catalog!W82</f>
        <v>0</v>
      </c>
      <c r="D987" s="24" t="str">
        <f>Catalog!X82</f>
        <v>locked</v>
      </c>
      <c r="E987" s="25" t="s">
        <v>25</v>
      </c>
      <c r="F987" s="25" t="str">
        <f>Catalog!AD82</f>
        <v>Frozen status effect applies more quickly.
Affects: Freeze</v>
      </c>
      <c r="G987" s="612" t="s">
        <v>5483</v>
      </c>
    </row>
    <row r="988" spans="1:7" ht="28" x14ac:dyDescent="0.15">
      <c r="A988" s="21" t="s">
        <v>30</v>
      </c>
      <c r="B988" s="22" t="str">
        <f>Catalog!E82</f>
        <v>perkSupercooler</v>
      </c>
      <c r="C988" s="26">
        <f>Catalog!BD82</f>
        <v>2</v>
      </c>
      <c r="D988" s="24" t="str">
        <f>Catalog!BE82</f>
        <v>unlocked</v>
      </c>
      <c r="E988" s="25" t="s">
        <v>25</v>
      </c>
      <c r="F988" s="25" t="str">
        <f>Catalog!BL82</f>
        <v>Frozen status effect applies 20% more quickly.
Affects: Freeze</v>
      </c>
      <c r="G988" s="612" t="s">
        <v>5483</v>
      </c>
    </row>
    <row r="989" spans="1:7" ht="15" x14ac:dyDescent="0.15">
      <c r="A989" s="21" t="s">
        <v>30</v>
      </c>
      <c r="B989" s="22" t="str">
        <f>Catalog!E82</f>
        <v>perkSupercooler</v>
      </c>
      <c r="C989" s="26" t="e">
        <f t="shared" ref="C989:D989" si="274">#REF!</f>
        <v>#REF!</v>
      </c>
      <c r="D989" s="25" t="e">
        <f t="shared" si="274"/>
        <v>#REF!</v>
      </c>
      <c r="E989" s="25" t="s">
        <v>25</v>
      </c>
      <c r="F989" s="25" t="e">
        <f t="shared" ref="F989:F990" si="275">#REF!</f>
        <v>#REF!</v>
      </c>
      <c r="G989" s="612" t="s">
        <v>5483</v>
      </c>
    </row>
    <row r="990" spans="1:7" ht="15" x14ac:dyDescent="0.15">
      <c r="A990" s="21" t="s">
        <v>30</v>
      </c>
      <c r="B990" s="22" t="str">
        <f>Catalog!E82</f>
        <v>perkSupercooler</v>
      </c>
      <c r="C990" s="26" t="e">
        <f t="shared" ref="C990:D990" si="276">#REF!</f>
        <v>#REF!</v>
      </c>
      <c r="D990" s="25" t="e">
        <f t="shared" si="276"/>
        <v>#REF!</v>
      </c>
      <c r="E990" s="25" t="s">
        <v>25</v>
      </c>
      <c r="F990" s="25" t="e">
        <f t="shared" si="275"/>
        <v>#REF!</v>
      </c>
      <c r="G990" s="612" t="s">
        <v>5483</v>
      </c>
    </row>
    <row r="991" spans="1:7" ht="15" x14ac:dyDescent="0.15">
      <c r="A991" s="21" t="s">
        <v>30</v>
      </c>
      <c r="B991" s="22" t="str">
        <f>Catalog!E83</f>
        <v>perkUltimateCharger</v>
      </c>
      <c r="C991" s="23">
        <f>Catalog!W83</f>
        <v>0</v>
      </c>
      <c r="D991" s="24" t="str">
        <f>Catalog!X83</f>
        <v>locked</v>
      </c>
      <c r="E991" s="25" t="s">
        <v>23</v>
      </c>
      <c r="F991" s="25" t="str">
        <f>Catalog!AB83</f>
        <v>Ultimate Charger</v>
      </c>
      <c r="G991" s="612" t="s">
        <v>5483</v>
      </c>
    </row>
    <row r="992" spans="1:7" ht="15" x14ac:dyDescent="0.15">
      <c r="A992" s="21" t="s">
        <v>30</v>
      </c>
      <c r="B992" s="22" t="str">
        <f>Catalog!E83</f>
        <v>perkUltimateCharger</v>
      </c>
      <c r="C992" s="23">
        <f>Catalog!W83</f>
        <v>0</v>
      </c>
      <c r="D992" s="24" t="str">
        <f>Catalog!X83</f>
        <v>locked</v>
      </c>
      <c r="E992" s="25" t="s">
        <v>24</v>
      </c>
      <c r="F992" s="25" t="str">
        <f>Catalog!AC83</f>
        <v>Faster ultimate charge rate.</v>
      </c>
      <c r="G992" s="612" t="s">
        <v>5483</v>
      </c>
    </row>
    <row r="993" spans="1:7" ht="28" x14ac:dyDescent="0.15">
      <c r="A993" s="21" t="s">
        <v>30</v>
      </c>
      <c r="B993" s="22" t="str">
        <f>Catalog!E83</f>
        <v>perkUltimateCharger</v>
      </c>
      <c r="C993" s="23">
        <f>Catalog!W83</f>
        <v>0</v>
      </c>
      <c r="D993" s="24" t="str">
        <f>Catalog!X83</f>
        <v>locked</v>
      </c>
      <c r="E993" s="25" t="s">
        <v>25</v>
      </c>
      <c r="F993" s="25" t="str">
        <f>Catalog!AD83</f>
        <v>Faster ultimate charge rate (Lower threshold).
Affects: Equipped Ultimate</v>
      </c>
      <c r="G993" s="612" t="s">
        <v>5483</v>
      </c>
    </row>
    <row r="994" spans="1:7" ht="28" x14ac:dyDescent="0.15">
      <c r="A994" s="21" t="s">
        <v>30</v>
      </c>
      <c r="B994" s="22" t="str">
        <f>Catalog!E83</f>
        <v>perkUltimateCharger</v>
      </c>
      <c r="C994" s="26">
        <f>Catalog!BD83</f>
        <v>2</v>
      </c>
      <c r="D994" s="24" t="str">
        <f>Catalog!BE83</f>
        <v>unlocked</v>
      </c>
      <c r="E994" s="25" t="s">
        <v>25</v>
      </c>
      <c r="F994" s="25" t="str">
        <f>Catalog!BL83</f>
        <v>Faster ultimate charge rate (10% Lower threshold).
Affects: Equipped Ultimate</v>
      </c>
      <c r="G994" s="612" t="s">
        <v>5483</v>
      </c>
    </row>
    <row r="995" spans="1:7" ht="15" x14ac:dyDescent="0.15">
      <c r="A995" s="21" t="s">
        <v>30</v>
      </c>
      <c r="B995" s="22" t="str">
        <f>Catalog!E83</f>
        <v>perkUltimateCharger</v>
      </c>
      <c r="C995" s="26" t="e">
        <f t="shared" ref="C995:D995" si="277">#REF!</f>
        <v>#REF!</v>
      </c>
      <c r="D995" s="25" t="e">
        <f t="shared" si="277"/>
        <v>#REF!</v>
      </c>
      <c r="E995" s="25" t="s">
        <v>25</v>
      </c>
      <c r="F995" s="25" t="e">
        <f t="shared" ref="F995:F996" si="278">#REF!</f>
        <v>#REF!</v>
      </c>
      <c r="G995" s="612" t="s">
        <v>5483</v>
      </c>
    </row>
    <row r="996" spans="1:7" ht="15" x14ac:dyDescent="0.15">
      <c r="A996" s="21" t="s">
        <v>30</v>
      </c>
      <c r="B996" s="22" t="str">
        <f>Catalog!E83</f>
        <v>perkUltimateCharger</v>
      </c>
      <c r="C996" s="26" t="e">
        <f t="shared" ref="C996:D996" si="279">#REF!</f>
        <v>#REF!</v>
      </c>
      <c r="D996" s="25" t="e">
        <f t="shared" si="279"/>
        <v>#REF!</v>
      </c>
      <c r="E996" s="25" t="s">
        <v>25</v>
      </c>
      <c r="F996" s="25" t="e">
        <f t="shared" si="278"/>
        <v>#REF!</v>
      </c>
      <c r="G996" s="25" t="s">
        <v>5483</v>
      </c>
    </row>
  </sheetData>
  <autoFilter ref="A1:H1" xr:uid="{00000000-0009-0000-0000-000018000000}"/>
  <customSheetViews>
    <customSheetView guid="{55DB2364-10AF-416D-87C5-DC89E73127EE}" filter="1" showAutoFilter="1">
      <pageMargins left="0.7" right="0.7" top="0.75" bottom="0.75" header="0.3" footer="0.3"/>
      <autoFilter ref="G1:G996" xr:uid="{D46403D0-B65A-1C4C-A89D-D44474E84D11}">
        <filterColumn colId="0">
          <filters blank="1"/>
        </filterColumn>
      </autoFilter>
    </customSheetView>
    <customSheetView guid="{F9619C22-11E1-4F4D-A7AE-419FFF4C1854}" filter="1" showAutoFilter="1">
      <pageMargins left="0.7" right="0.7" top="0.75" bottom="0.75" header="0.3" footer="0.3"/>
      <autoFilter ref="A43:G996" xr:uid="{C26C7989-4440-A444-B1AA-E879097D4621}">
        <filterColumn colId="6">
          <filters blank="1"/>
        </filterColumn>
      </autoFilter>
    </customSheetView>
  </customSheetViews>
  <conditionalFormatting sqref="C1:C996">
    <cfRule type="cellIs" dxfId="45" priority="1" operator="equal">
      <formula>0</formula>
    </cfRule>
  </conditionalFormatting>
  <conditionalFormatting sqref="C1:C996">
    <cfRule type="cellIs" dxfId="44" priority="2" operator="equal">
      <formula>1</formula>
    </cfRule>
  </conditionalFormatting>
  <conditionalFormatting sqref="C1:C996">
    <cfRule type="cellIs" dxfId="43" priority="3" operator="equal">
      <formula>2</formula>
    </cfRule>
  </conditionalFormatting>
  <conditionalFormatting sqref="C1:C996">
    <cfRule type="cellIs" dxfId="42" priority="4" operator="equal">
      <formula>3</formula>
    </cfRule>
  </conditionalFormatting>
  <conditionalFormatting sqref="C1:C996">
    <cfRule type="cellIs" dxfId="41" priority="5" operator="equal">
      <formula>4</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0000"/>
    <outlinePr summaryBelow="0" summaryRight="0"/>
  </sheetPr>
  <dimension ref="A1:Z1002"/>
  <sheetViews>
    <sheetView workbookViewId="0">
      <selection activeCell="D6" sqref="D6"/>
    </sheetView>
  </sheetViews>
  <sheetFormatPr baseColWidth="10" defaultColWidth="12.6640625" defaultRowHeight="15.75" customHeight="1" x14ac:dyDescent="0.15"/>
  <cols>
    <col min="1" max="1" width="13.5" customWidth="1"/>
    <col min="2" max="2" width="8" customWidth="1"/>
    <col min="3" max="3" width="9" customWidth="1"/>
    <col min="4" max="4" width="15" customWidth="1"/>
    <col min="5" max="5" width="9.1640625" customWidth="1"/>
    <col min="6" max="6" width="13.1640625" customWidth="1"/>
    <col min="7" max="7" width="9.1640625" customWidth="1"/>
    <col min="8" max="8" width="13.1640625" customWidth="1"/>
    <col min="9" max="9" width="9.1640625" customWidth="1"/>
    <col min="10" max="10" width="13.1640625" customWidth="1"/>
    <col min="11" max="11" width="9.1640625" customWidth="1"/>
    <col min="12" max="12" width="13.1640625" customWidth="1"/>
    <col min="13" max="13" width="24.5" customWidth="1"/>
    <col min="14" max="14" width="13.1640625" customWidth="1"/>
  </cols>
  <sheetData>
    <row r="1" spans="1:26" ht="15.75" customHeight="1" x14ac:dyDescent="0.15">
      <c r="A1" s="236"/>
    </row>
    <row r="2" spans="1:26" ht="15.75" customHeight="1" x14ac:dyDescent="0.15">
      <c r="A2" s="236" t="s">
        <v>5485</v>
      </c>
      <c r="B2" s="235" t="s">
        <v>5486</v>
      </c>
      <c r="C2" s="235" t="s">
        <v>5487</v>
      </c>
      <c r="D2" s="235" t="s">
        <v>5488</v>
      </c>
      <c r="E2" s="235" t="s">
        <v>5489</v>
      </c>
      <c r="F2" s="235" t="s">
        <v>5490</v>
      </c>
      <c r="G2" s="235" t="s">
        <v>5491</v>
      </c>
      <c r="H2" s="235" t="s">
        <v>5492</v>
      </c>
      <c r="I2" s="235" t="s">
        <v>5493</v>
      </c>
      <c r="J2" s="235" t="s">
        <v>5494</v>
      </c>
      <c r="K2" s="235" t="s">
        <v>5495</v>
      </c>
      <c r="L2" s="235" t="s">
        <v>5496</v>
      </c>
      <c r="M2" s="235" t="s">
        <v>5497</v>
      </c>
      <c r="N2" s="235" t="s">
        <v>5498</v>
      </c>
      <c r="O2" s="235" t="s">
        <v>5499</v>
      </c>
      <c r="P2" s="235" t="s">
        <v>5500</v>
      </c>
      <c r="Q2" s="235" t="s">
        <v>5501</v>
      </c>
      <c r="R2" s="235" t="s">
        <v>5502</v>
      </c>
      <c r="S2" s="235" t="s">
        <v>5503</v>
      </c>
      <c r="T2" s="235" t="s">
        <v>5504</v>
      </c>
      <c r="U2" s="235" t="s">
        <v>5505</v>
      </c>
      <c r="V2" s="235" t="s">
        <v>5506</v>
      </c>
      <c r="W2" s="235" t="s">
        <v>5507</v>
      </c>
    </row>
    <row r="3" spans="1:26" ht="15.75" customHeight="1" x14ac:dyDescent="0.15">
      <c r="A3" s="613" t="s">
        <v>5508</v>
      </c>
      <c r="B3" s="11" t="s">
        <v>5509</v>
      </c>
      <c r="C3" s="11" t="s">
        <v>5510</v>
      </c>
      <c r="D3" s="11" t="s">
        <v>5511</v>
      </c>
      <c r="E3" s="11" t="s">
        <v>5512</v>
      </c>
      <c r="F3" s="11" t="s">
        <v>5513</v>
      </c>
      <c r="G3" s="11" t="s">
        <v>5514</v>
      </c>
      <c r="H3" s="11" t="s">
        <v>5515</v>
      </c>
      <c r="I3" s="11" t="s">
        <v>5516</v>
      </c>
      <c r="J3" s="11" t="s">
        <v>5517</v>
      </c>
      <c r="K3" s="11" t="s">
        <v>5518</v>
      </c>
      <c r="L3" s="11" t="s">
        <v>5519</v>
      </c>
      <c r="M3" s="11" t="s">
        <v>5520</v>
      </c>
      <c r="N3" s="11" t="s">
        <v>5521</v>
      </c>
      <c r="O3" s="11" t="s">
        <v>5522</v>
      </c>
      <c r="P3" s="11" t="s">
        <v>5523</v>
      </c>
      <c r="Q3" s="11" t="s">
        <v>5524</v>
      </c>
      <c r="R3" s="11" t="s">
        <v>5525</v>
      </c>
      <c r="S3" s="11" t="s">
        <v>5526</v>
      </c>
      <c r="T3" s="11" t="s">
        <v>5527</v>
      </c>
      <c r="U3" s="11" t="s">
        <v>5528</v>
      </c>
      <c r="V3" s="11" t="s">
        <v>5529</v>
      </c>
      <c r="W3" s="11" t="s">
        <v>5530</v>
      </c>
      <c r="X3" s="13"/>
      <c r="Y3" s="13"/>
      <c r="Z3" s="13"/>
    </row>
    <row r="4" spans="1:26" ht="15.75" customHeight="1" x14ac:dyDescent="0.15">
      <c r="A4" s="236" t="s">
        <v>5531</v>
      </c>
      <c r="B4" s="18" t="s">
        <v>5532</v>
      </c>
      <c r="C4" s="18" t="s">
        <v>5533</v>
      </c>
      <c r="D4" s="18" t="s">
        <v>5534</v>
      </c>
      <c r="E4" s="18" t="s">
        <v>5534</v>
      </c>
      <c r="F4" s="18" t="s">
        <v>5535</v>
      </c>
      <c r="G4" s="18" t="s">
        <v>5534</v>
      </c>
      <c r="H4" s="18" t="s">
        <v>5535</v>
      </c>
      <c r="I4" s="18" t="s">
        <v>5534</v>
      </c>
      <c r="J4" s="18" t="s">
        <v>5535</v>
      </c>
      <c r="K4" s="18" t="s">
        <v>5534</v>
      </c>
      <c r="L4" s="18" t="s">
        <v>5535</v>
      </c>
      <c r="M4" s="18" t="s">
        <v>5534</v>
      </c>
      <c r="N4" s="18" t="s">
        <v>5534</v>
      </c>
    </row>
    <row r="5" spans="1:26" ht="15.75" customHeight="1" x14ac:dyDescent="0.15">
      <c r="A5" s="236" t="s">
        <v>5536</v>
      </c>
      <c r="B5" s="18" t="s">
        <v>5537</v>
      </c>
      <c r="C5" s="18" t="s">
        <v>5538</v>
      </c>
      <c r="D5" s="18" t="s">
        <v>271</v>
      </c>
      <c r="E5" s="18" t="s">
        <v>654</v>
      </c>
      <c r="F5" s="18" t="s">
        <v>362</v>
      </c>
      <c r="G5" s="18" t="s">
        <v>654</v>
      </c>
      <c r="H5" s="18" t="s">
        <v>392</v>
      </c>
      <c r="I5" s="18" t="s">
        <v>654</v>
      </c>
      <c r="J5" s="18" t="s">
        <v>346</v>
      </c>
      <c r="K5" s="18" t="s">
        <v>654</v>
      </c>
      <c r="L5" s="18" t="s">
        <v>370</v>
      </c>
      <c r="M5" s="18" t="s">
        <v>5539</v>
      </c>
      <c r="N5" s="18" t="s">
        <v>578</v>
      </c>
    </row>
    <row r="6" spans="1:26" ht="15.75" customHeight="1" x14ac:dyDescent="0.15">
      <c r="A6" s="236" t="s">
        <v>5540</v>
      </c>
      <c r="B6" s="18" t="s">
        <v>5541</v>
      </c>
      <c r="C6" s="18" t="s">
        <v>5542</v>
      </c>
      <c r="D6" s="18" t="s">
        <v>290</v>
      </c>
      <c r="E6" s="18" t="s">
        <v>5543</v>
      </c>
      <c r="F6" s="18" t="s">
        <v>406</v>
      </c>
      <c r="G6" s="18" t="s">
        <v>5543</v>
      </c>
      <c r="H6" s="18" t="s">
        <v>413</v>
      </c>
      <c r="I6" s="18" t="s">
        <v>5543</v>
      </c>
      <c r="J6" s="18" t="s">
        <v>355</v>
      </c>
      <c r="K6" s="18" t="s">
        <v>5543</v>
      </c>
      <c r="L6" s="18" t="s">
        <v>377</v>
      </c>
      <c r="M6" s="18" t="s">
        <v>5544</v>
      </c>
      <c r="N6" s="18" t="s">
        <v>587</v>
      </c>
    </row>
    <row r="7" spans="1:26" ht="15.75" customHeight="1" x14ac:dyDescent="0.15">
      <c r="A7" s="236" t="s">
        <v>5545</v>
      </c>
      <c r="B7" s="18" t="s">
        <v>5546</v>
      </c>
      <c r="C7" s="18" t="s">
        <v>5547</v>
      </c>
      <c r="D7" s="18" t="s">
        <v>298</v>
      </c>
      <c r="E7" s="18" t="s">
        <v>5548</v>
      </c>
      <c r="F7" s="18" t="s">
        <v>427</v>
      </c>
      <c r="G7" s="18" t="s">
        <v>5548</v>
      </c>
      <c r="H7" s="18" t="s">
        <v>420</v>
      </c>
      <c r="I7" s="18" t="s">
        <v>5548</v>
      </c>
      <c r="J7" s="18" t="s">
        <v>399</v>
      </c>
      <c r="K7" s="18" t="s">
        <v>5548</v>
      </c>
      <c r="L7" s="18" t="s">
        <v>384</v>
      </c>
      <c r="M7" s="18" t="s">
        <v>5549</v>
      </c>
      <c r="N7" s="18" t="s">
        <v>596</v>
      </c>
    </row>
    <row r="8" spans="1:26" ht="15.75" customHeight="1" x14ac:dyDescent="0.15">
      <c r="A8" s="236" t="s">
        <v>5550</v>
      </c>
      <c r="B8" s="18" t="s">
        <v>5551</v>
      </c>
      <c r="C8" s="18" t="s">
        <v>5552</v>
      </c>
      <c r="D8" s="18" t="s">
        <v>306</v>
      </c>
      <c r="E8" s="18" t="s">
        <v>5534</v>
      </c>
      <c r="F8" s="18" t="s">
        <v>316</v>
      </c>
      <c r="G8" s="18" t="s">
        <v>5534</v>
      </c>
      <c r="H8" s="18" t="s">
        <v>328</v>
      </c>
      <c r="I8" s="18" t="s">
        <v>5534</v>
      </c>
      <c r="J8" s="18" t="s">
        <v>335</v>
      </c>
      <c r="K8" s="18" t="s">
        <v>5534</v>
      </c>
      <c r="L8" s="18" t="s">
        <v>339</v>
      </c>
      <c r="M8" s="18" t="s">
        <v>463</v>
      </c>
      <c r="N8" s="18" t="s">
        <v>5553</v>
      </c>
    </row>
    <row r="9" spans="1:26" ht="15.75" customHeight="1" x14ac:dyDescent="0.15">
      <c r="A9" s="236" t="s">
        <v>5554</v>
      </c>
      <c r="B9" s="18" t="s">
        <v>5555</v>
      </c>
      <c r="C9" s="18" t="s">
        <v>5556</v>
      </c>
      <c r="D9" s="18" t="s">
        <v>5534</v>
      </c>
      <c r="E9" s="18" t="s">
        <v>5534</v>
      </c>
      <c r="F9" s="18" t="s">
        <v>323</v>
      </c>
      <c r="G9" s="18" t="s">
        <v>5534</v>
      </c>
      <c r="H9" s="18" t="s">
        <v>333</v>
      </c>
      <c r="I9" s="18" t="s">
        <v>5534</v>
      </c>
      <c r="J9" s="18" t="s">
        <v>337</v>
      </c>
      <c r="K9" s="18" t="s">
        <v>5534</v>
      </c>
      <c r="L9" s="18" t="s">
        <v>344</v>
      </c>
      <c r="M9" s="18" t="s">
        <v>468</v>
      </c>
      <c r="N9" s="18" t="s">
        <v>571</v>
      </c>
    </row>
    <row r="10" spans="1:26" ht="15.75" customHeight="1" x14ac:dyDescent="0.15">
      <c r="A10" s="236" t="s">
        <v>5557</v>
      </c>
      <c r="B10" s="18" t="s">
        <v>5558</v>
      </c>
      <c r="C10" s="18" t="s">
        <v>5559</v>
      </c>
      <c r="D10" s="18" t="s">
        <v>5534</v>
      </c>
      <c r="E10" s="18" t="s">
        <v>5534</v>
      </c>
      <c r="F10" s="18" t="s">
        <v>5560</v>
      </c>
      <c r="G10" s="18" t="s">
        <v>5534</v>
      </c>
      <c r="H10" s="18" t="s">
        <v>5560</v>
      </c>
      <c r="I10" s="18" t="s">
        <v>5534</v>
      </c>
      <c r="J10" s="18" t="s">
        <v>5560</v>
      </c>
      <c r="K10" s="18" t="s">
        <v>5534</v>
      </c>
      <c r="L10" s="18" t="s">
        <v>5560</v>
      </c>
      <c r="M10" s="18" t="s">
        <v>473</v>
      </c>
      <c r="N10" s="18" t="s">
        <v>5534</v>
      </c>
    </row>
    <row r="11" spans="1:26" ht="15.75" customHeight="1" x14ac:dyDescent="0.15">
      <c r="A11" s="236" t="s">
        <v>5561</v>
      </c>
      <c r="B11" s="18" t="s">
        <v>5562</v>
      </c>
      <c r="C11" s="18" t="s">
        <v>5563</v>
      </c>
      <c r="D11" s="18" t="s">
        <v>5534</v>
      </c>
      <c r="E11" s="18" t="s">
        <v>5534</v>
      </c>
      <c r="F11" s="18" t="s">
        <v>5564</v>
      </c>
      <c r="G11" s="18" t="s">
        <v>5534</v>
      </c>
      <c r="H11" s="18" t="s">
        <v>5564</v>
      </c>
      <c r="I11" s="18" t="s">
        <v>5534</v>
      </c>
      <c r="J11" s="18" t="s">
        <v>5564</v>
      </c>
      <c r="K11" s="18" t="s">
        <v>5534</v>
      </c>
      <c r="L11" s="18" t="s">
        <v>5564</v>
      </c>
      <c r="M11" s="18" t="s">
        <v>478</v>
      </c>
      <c r="N11" s="18" t="s">
        <v>5534</v>
      </c>
    </row>
    <row r="12" spans="1:26" ht="15.75" customHeight="1" x14ac:dyDescent="0.15">
      <c r="A12" s="236" t="s">
        <v>5565</v>
      </c>
      <c r="B12" s="18" t="s">
        <v>5566</v>
      </c>
      <c r="C12" s="18" t="s">
        <v>5567</v>
      </c>
      <c r="D12" s="18" t="s">
        <v>5534</v>
      </c>
      <c r="E12" s="18" t="s">
        <v>5534</v>
      </c>
      <c r="F12" s="18" t="s">
        <v>5568</v>
      </c>
      <c r="G12" s="18" t="s">
        <v>5534</v>
      </c>
      <c r="H12" s="18" t="s">
        <v>5568</v>
      </c>
      <c r="I12" s="18" t="s">
        <v>5534</v>
      </c>
      <c r="J12" s="18" t="s">
        <v>5568</v>
      </c>
      <c r="K12" s="18" t="s">
        <v>5534</v>
      </c>
      <c r="L12" s="18" t="s">
        <v>5568</v>
      </c>
      <c r="M12" s="18" t="s">
        <v>5569</v>
      </c>
      <c r="N12" s="18" t="s">
        <v>5534</v>
      </c>
    </row>
    <row r="13" spans="1:26" ht="15.75" customHeight="1" x14ac:dyDescent="0.15">
      <c r="A13" s="236" t="s">
        <v>5570</v>
      </c>
      <c r="B13" s="18" t="s">
        <v>5571</v>
      </c>
      <c r="C13" s="18" t="s">
        <v>5572</v>
      </c>
      <c r="D13" s="18" t="s">
        <v>5534</v>
      </c>
      <c r="E13" s="18" t="s">
        <v>5534</v>
      </c>
      <c r="F13" s="18" t="s">
        <v>5573</v>
      </c>
      <c r="G13" s="18" t="s">
        <v>5534</v>
      </c>
      <c r="H13" s="18" t="s">
        <v>5573</v>
      </c>
      <c r="I13" s="18" t="s">
        <v>5534</v>
      </c>
      <c r="J13" s="18" t="s">
        <v>5573</v>
      </c>
      <c r="K13" s="18" t="s">
        <v>5534</v>
      </c>
      <c r="L13" s="18" t="s">
        <v>5573</v>
      </c>
      <c r="M13" s="18" t="s">
        <v>492</v>
      </c>
      <c r="N13" s="18" t="s">
        <v>5534</v>
      </c>
    </row>
    <row r="14" spans="1:26" ht="15.75" customHeight="1" x14ac:dyDescent="0.15">
      <c r="A14" s="236" t="s">
        <v>4974</v>
      </c>
      <c r="B14" s="18" t="s">
        <v>5574</v>
      </c>
      <c r="C14" s="18" t="s">
        <v>5575</v>
      </c>
      <c r="D14" s="18" t="s">
        <v>5534</v>
      </c>
      <c r="E14" s="18" t="s">
        <v>5534</v>
      </c>
      <c r="F14" s="18" t="s">
        <v>5576</v>
      </c>
      <c r="G14" s="18" t="s">
        <v>5534</v>
      </c>
      <c r="H14" s="18" t="s">
        <v>5576</v>
      </c>
      <c r="I14" s="18" t="s">
        <v>5534</v>
      </c>
      <c r="J14" s="18" t="s">
        <v>5576</v>
      </c>
      <c r="K14" s="18" t="s">
        <v>5534</v>
      </c>
      <c r="L14" s="18" t="s">
        <v>5576</v>
      </c>
      <c r="M14" s="18" t="s">
        <v>5577</v>
      </c>
      <c r="N14" s="18" t="s">
        <v>5534</v>
      </c>
    </row>
    <row r="15" spans="1:26" ht="15.75" customHeight="1" x14ac:dyDescent="0.15">
      <c r="A15" s="236" t="s">
        <v>4975</v>
      </c>
      <c r="B15" s="18" t="s">
        <v>5578</v>
      </c>
      <c r="C15" s="18" t="s">
        <v>5579</v>
      </c>
      <c r="D15" s="18" t="s">
        <v>5534</v>
      </c>
      <c r="E15" s="18" t="s">
        <v>5534</v>
      </c>
      <c r="F15" s="18" t="s">
        <v>5580</v>
      </c>
      <c r="G15" s="18" t="s">
        <v>5534</v>
      </c>
      <c r="H15" s="18" t="s">
        <v>5580</v>
      </c>
      <c r="I15" s="18" t="s">
        <v>5534</v>
      </c>
      <c r="J15" s="18" t="s">
        <v>5580</v>
      </c>
      <c r="K15" s="18" t="s">
        <v>5534</v>
      </c>
      <c r="L15" s="18" t="s">
        <v>5580</v>
      </c>
      <c r="M15" s="18" t="s">
        <v>508</v>
      </c>
      <c r="N15" s="18" t="s">
        <v>5534</v>
      </c>
    </row>
    <row r="16" spans="1:26" ht="15.75" customHeight="1" x14ac:dyDescent="0.15">
      <c r="A16" s="236" t="s">
        <v>4976</v>
      </c>
      <c r="B16" s="18" t="s">
        <v>5581</v>
      </c>
      <c r="C16" s="18" t="s">
        <v>5582</v>
      </c>
      <c r="D16" s="18" t="s">
        <v>5534</v>
      </c>
      <c r="E16" s="18" t="s">
        <v>5534</v>
      </c>
      <c r="F16" s="18" t="s">
        <v>5583</v>
      </c>
      <c r="G16" s="18" t="s">
        <v>5534</v>
      </c>
      <c r="H16" s="18" t="s">
        <v>5583</v>
      </c>
      <c r="I16" s="18" t="s">
        <v>5534</v>
      </c>
      <c r="J16" s="18" t="s">
        <v>5583</v>
      </c>
      <c r="K16" s="18" t="s">
        <v>5534</v>
      </c>
      <c r="L16" s="18" t="s">
        <v>5583</v>
      </c>
      <c r="M16" s="18" t="s">
        <v>5584</v>
      </c>
      <c r="N16" s="18" t="s">
        <v>5534</v>
      </c>
    </row>
    <row r="17" spans="1:14" ht="15.75" customHeight="1" x14ac:dyDescent="0.15">
      <c r="A17" s="236" t="s">
        <v>4977</v>
      </c>
      <c r="B17" s="18" t="s">
        <v>5585</v>
      </c>
      <c r="C17" s="18" t="s">
        <v>5586</v>
      </c>
      <c r="D17" s="18" t="s">
        <v>5534</v>
      </c>
      <c r="E17" s="18" t="s">
        <v>5534</v>
      </c>
      <c r="F17" s="18" t="s">
        <v>5587</v>
      </c>
      <c r="G17" s="18" t="s">
        <v>5534</v>
      </c>
      <c r="H17" s="18" t="s">
        <v>5587</v>
      </c>
      <c r="I17" s="18" t="s">
        <v>5534</v>
      </c>
      <c r="J17" s="18" t="s">
        <v>5587</v>
      </c>
      <c r="K17" s="18" t="s">
        <v>5534</v>
      </c>
      <c r="L17" s="18" t="s">
        <v>5587</v>
      </c>
      <c r="M17" s="18" t="s">
        <v>522</v>
      </c>
      <c r="N17" s="18" t="s">
        <v>5534</v>
      </c>
    </row>
    <row r="18" spans="1:14" ht="15.75" customHeight="1" x14ac:dyDescent="0.15">
      <c r="A18" s="236" t="s">
        <v>4978</v>
      </c>
      <c r="B18" s="18" t="s">
        <v>5588</v>
      </c>
      <c r="C18" s="18" t="s">
        <v>5589</v>
      </c>
      <c r="D18" s="18" t="s">
        <v>5534</v>
      </c>
      <c r="E18" s="18" t="s">
        <v>5534</v>
      </c>
      <c r="F18" s="18" t="s">
        <v>5590</v>
      </c>
      <c r="G18" s="18" t="s">
        <v>5534</v>
      </c>
      <c r="H18" s="18" t="s">
        <v>5590</v>
      </c>
      <c r="I18" s="18" t="s">
        <v>5534</v>
      </c>
      <c r="J18" s="18" t="s">
        <v>5590</v>
      </c>
      <c r="K18" s="18" t="s">
        <v>5534</v>
      </c>
      <c r="L18" s="18" t="s">
        <v>5590</v>
      </c>
      <c r="M18" s="18" t="s">
        <v>5591</v>
      </c>
      <c r="N18" s="18" t="s">
        <v>5534</v>
      </c>
    </row>
    <row r="19" spans="1:14" ht="15.75" customHeight="1" x14ac:dyDescent="0.15">
      <c r="A19" s="236" t="s">
        <v>4979</v>
      </c>
      <c r="B19" s="18" t="s">
        <v>5592</v>
      </c>
      <c r="C19" s="18" t="s">
        <v>5593</v>
      </c>
      <c r="D19" s="18" t="s">
        <v>5534</v>
      </c>
      <c r="E19" s="18" t="s">
        <v>5534</v>
      </c>
      <c r="F19" s="18" t="s">
        <v>5594</v>
      </c>
      <c r="G19" s="18" t="s">
        <v>5534</v>
      </c>
      <c r="H19" s="18" t="s">
        <v>5594</v>
      </c>
      <c r="I19" s="18" t="s">
        <v>5534</v>
      </c>
      <c r="J19" s="18" t="s">
        <v>5594</v>
      </c>
      <c r="K19" s="18" t="s">
        <v>5534</v>
      </c>
      <c r="L19" s="18" t="s">
        <v>5594</v>
      </c>
      <c r="M19" s="18" t="s">
        <v>537</v>
      </c>
      <c r="N19" s="18" t="s">
        <v>5534</v>
      </c>
    </row>
    <row r="20" spans="1:14" ht="15.75" customHeight="1" x14ac:dyDescent="0.15">
      <c r="A20" s="236" t="s">
        <v>4980</v>
      </c>
      <c r="B20" s="18" t="s">
        <v>5595</v>
      </c>
      <c r="C20" s="18" t="s">
        <v>5596</v>
      </c>
      <c r="D20" s="18" t="s">
        <v>5534</v>
      </c>
      <c r="E20" s="18" t="s">
        <v>5534</v>
      </c>
      <c r="F20" s="18" t="s">
        <v>5597</v>
      </c>
      <c r="G20" s="18" t="s">
        <v>5534</v>
      </c>
      <c r="H20" s="18" t="s">
        <v>5597</v>
      </c>
      <c r="I20" s="18" t="s">
        <v>5534</v>
      </c>
      <c r="J20" s="18" t="s">
        <v>5597</v>
      </c>
      <c r="K20" s="18" t="s">
        <v>5534</v>
      </c>
      <c r="L20" s="18" t="s">
        <v>5597</v>
      </c>
      <c r="M20" s="18" t="s">
        <v>546</v>
      </c>
      <c r="N20" s="18" t="s">
        <v>5534</v>
      </c>
    </row>
    <row r="21" spans="1:14" ht="15.75" customHeight="1" x14ac:dyDescent="0.15">
      <c r="A21" s="236" t="s">
        <v>5598</v>
      </c>
      <c r="B21" s="18" t="s">
        <v>5599</v>
      </c>
      <c r="C21" s="18" t="s">
        <v>5600</v>
      </c>
      <c r="D21" s="18" t="s">
        <v>5534</v>
      </c>
      <c r="E21" s="18" t="s">
        <v>5534</v>
      </c>
      <c r="F21" s="18" t="s">
        <v>5601</v>
      </c>
      <c r="G21" s="18" t="s">
        <v>5534</v>
      </c>
      <c r="H21" s="18" t="s">
        <v>5601</v>
      </c>
      <c r="I21" s="18" t="s">
        <v>5534</v>
      </c>
      <c r="J21" s="18" t="s">
        <v>5601</v>
      </c>
      <c r="K21" s="18" t="s">
        <v>5534</v>
      </c>
      <c r="L21" s="18" t="s">
        <v>5601</v>
      </c>
      <c r="M21" s="18" t="s">
        <v>554</v>
      </c>
      <c r="N21" s="18" t="s">
        <v>5534</v>
      </c>
    </row>
    <row r="22" spans="1:14" ht="15.75" customHeight="1" x14ac:dyDescent="0.15">
      <c r="A22" s="236" t="s">
        <v>5602</v>
      </c>
      <c r="B22" s="18" t="s">
        <v>5603</v>
      </c>
      <c r="C22" s="18" t="s">
        <v>5604</v>
      </c>
      <c r="D22" s="18" t="s">
        <v>5534</v>
      </c>
      <c r="E22" s="18" t="s">
        <v>5534</v>
      </c>
      <c r="F22" s="18" t="s">
        <v>5605</v>
      </c>
      <c r="G22" s="18" t="s">
        <v>5534</v>
      </c>
      <c r="H22" s="18" t="s">
        <v>5605</v>
      </c>
      <c r="I22" s="18" t="s">
        <v>5534</v>
      </c>
      <c r="J22" s="18" t="s">
        <v>5605</v>
      </c>
      <c r="K22" s="18" t="s">
        <v>5534</v>
      </c>
      <c r="L22" s="18" t="s">
        <v>5605</v>
      </c>
      <c r="M22" s="18" t="s">
        <v>563</v>
      </c>
      <c r="N22" s="18" t="s">
        <v>5534</v>
      </c>
    </row>
    <row r="23" spans="1:14" ht="15.75" customHeight="1" x14ac:dyDescent="0.15">
      <c r="A23" s="236" t="s">
        <v>5606</v>
      </c>
      <c r="B23" s="18" t="s">
        <v>5607</v>
      </c>
      <c r="C23" s="18" t="s">
        <v>5608</v>
      </c>
      <c r="D23" s="18" t="s">
        <v>5534</v>
      </c>
      <c r="E23" s="18" t="s">
        <v>5534</v>
      </c>
      <c r="F23" s="18" t="s">
        <v>5609</v>
      </c>
      <c r="G23" s="18" t="s">
        <v>5534</v>
      </c>
      <c r="H23" s="18" t="s">
        <v>5609</v>
      </c>
      <c r="I23" s="18" t="s">
        <v>5534</v>
      </c>
      <c r="J23" s="18" t="s">
        <v>5609</v>
      </c>
      <c r="K23" s="18" t="s">
        <v>5534</v>
      </c>
      <c r="L23" s="18" t="s">
        <v>5609</v>
      </c>
      <c r="M23" s="18" t="s">
        <v>5534</v>
      </c>
      <c r="N23" s="18" t="s">
        <v>5534</v>
      </c>
    </row>
    <row r="24" spans="1:14" ht="15.75" customHeight="1" x14ac:dyDescent="0.15">
      <c r="A24" s="236" t="s">
        <v>5610</v>
      </c>
      <c r="B24" s="18" t="s">
        <v>5611</v>
      </c>
      <c r="C24" s="18" t="s">
        <v>5612</v>
      </c>
      <c r="D24" s="18" t="s">
        <v>5534</v>
      </c>
      <c r="E24" s="18" t="s">
        <v>5534</v>
      </c>
      <c r="F24" s="18" t="s">
        <v>5613</v>
      </c>
      <c r="G24" s="18" t="s">
        <v>5534</v>
      </c>
      <c r="H24" s="18" t="s">
        <v>5613</v>
      </c>
      <c r="I24" s="18" t="s">
        <v>5534</v>
      </c>
      <c r="J24" s="18" t="s">
        <v>5613</v>
      </c>
      <c r="K24" s="18" t="s">
        <v>5534</v>
      </c>
      <c r="L24" s="18" t="s">
        <v>5613</v>
      </c>
      <c r="M24" s="18" t="s">
        <v>5534</v>
      </c>
      <c r="N24" s="18" t="s">
        <v>5534</v>
      </c>
    </row>
    <row r="25" spans="1:14" ht="15.75" customHeight="1" x14ac:dyDescent="0.15">
      <c r="A25" s="236" t="s">
        <v>5614</v>
      </c>
      <c r="B25" s="18" t="s">
        <v>5615</v>
      </c>
      <c r="C25" s="18" t="s">
        <v>5616</v>
      </c>
      <c r="D25" s="18" t="s">
        <v>5534</v>
      </c>
      <c r="E25" s="18" t="s">
        <v>5534</v>
      </c>
      <c r="F25" s="18" t="s">
        <v>5617</v>
      </c>
      <c r="G25" s="18" t="s">
        <v>5534</v>
      </c>
      <c r="H25" s="18" t="s">
        <v>5617</v>
      </c>
      <c r="I25" s="18" t="s">
        <v>5534</v>
      </c>
      <c r="J25" s="18" t="s">
        <v>5617</v>
      </c>
      <c r="K25" s="18" t="s">
        <v>5534</v>
      </c>
      <c r="L25" s="18" t="s">
        <v>5617</v>
      </c>
      <c r="M25" s="18" t="s">
        <v>5534</v>
      </c>
      <c r="N25" s="18" t="s">
        <v>5534</v>
      </c>
    </row>
    <row r="26" spans="1:14" ht="15.75" customHeight="1" x14ac:dyDescent="0.15">
      <c r="A26" s="236" t="s">
        <v>5618</v>
      </c>
      <c r="B26" s="18" t="s">
        <v>5619</v>
      </c>
      <c r="C26" s="18" t="s">
        <v>5620</v>
      </c>
      <c r="D26" s="18" t="s">
        <v>5534</v>
      </c>
      <c r="E26" s="18" t="s">
        <v>5534</v>
      </c>
      <c r="F26" s="18" t="s">
        <v>5621</v>
      </c>
      <c r="G26" s="18" t="s">
        <v>5534</v>
      </c>
      <c r="H26" s="18" t="s">
        <v>5621</v>
      </c>
      <c r="I26" s="18" t="s">
        <v>5534</v>
      </c>
      <c r="J26" s="18" t="s">
        <v>5621</v>
      </c>
      <c r="K26" s="18" t="s">
        <v>5534</v>
      </c>
      <c r="L26" s="18" t="s">
        <v>5621</v>
      </c>
      <c r="M26" s="18" t="s">
        <v>5534</v>
      </c>
      <c r="N26" s="18" t="s">
        <v>5534</v>
      </c>
    </row>
    <row r="27" spans="1:14" ht="15.75" customHeight="1" x14ac:dyDescent="0.15">
      <c r="A27" s="236" t="s">
        <v>5622</v>
      </c>
      <c r="B27" s="18" t="s">
        <v>5623</v>
      </c>
      <c r="C27" s="18" t="s">
        <v>5624</v>
      </c>
      <c r="D27" s="18" t="s">
        <v>5534</v>
      </c>
      <c r="E27" s="18" t="s">
        <v>5534</v>
      </c>
      <c r="F27" s="18" t="s">
        <v>5625</v>
      </c>
      <c r="G27" s="18" t="s">
        <v>5534</v>
      </c>
      <c r="H27" s="18" t="s">
        <v>5625</v>
      </c>
      <c r="I27" s="18" t="s">
        <v>5534</v>
      </c>
      <c r="J27" s="18" t="s">
        <v>5625</v>
      </c>
      <c r="K27" s="18" t="s">
        <v>5534</v>
      </c>
      <c r="L27" s="18" t="s">
        <v>5625</v>
      </c>
      <c r="M27" s="18" t="s">
        <v>5534</v>
      </c>
      <c r="N27" s="18" t="s">
        <v>5534</v>
      </c>
    </row>
    <row r="28" spans="1:14" ht="15.75" customHeight="1" x14ac:dyDescent="0.15">
      <c r="A28" s="236" t="s">
        <v>5626</v>
      </c>
      <c r="B28" s="18" t="s">
        <v>5627</v>
      </c>
      <c r="C28" s="18" t="s">
        <v>5628</v>
      </c>
      <c r="D28" s="18" t="s">
        <v>5534</v>
      </c>
      <c r="E28" s="18" t="s">
        <v>5534</v>
      </c>
      <c r="F28" s="18" t="s">
        <v>5629</v>
      </c>
      <c r="G28" s="18" t="s">
        <v>5534</v>
      </c>
      <c r="H28" s="18" t="s">
        <v>5629</v>
      </c>
      <c r="I28" s="18" t="s">
        <v>5534</v>
      </c>
      <c r="J28" s="18" t="s">
        <v>5629</v>
      </c>
      <c r="K28" s="18" t="s">
        <v>5534</v>
      </c>
      <c r="L28" s="18" t="s">
        <v>5629</v>
      </c>
      <c r="M28" s="18" t="s">
        <v>5534</v>
      </c>
      <c r="N28" s="18" t="s">
        <v>5534</v>
      </c>
    </row>
    <row r="29" spans="1:14" ht="15.75" customHeight="1" x14ac:dyDescent="0.15">
      <c r="A29" s="236" t="s">
        <v>5630</v>
      </c>
      <c r="B29" s="18" t="s">
        <v>5631</v>
      </c>
      <c r="C29" s="18" t="s">
        <v>5632</v>
      </c>
      <c r="D29" s="18" t="s">
        <v>5534</v>
      </c>
      <c r="E29" s="18" t="s">
        <v>5534</v>
      </c>
      <c r="F29" s="18" t="s">
        <v>5633</v>
      </c>
      <c r="G29" s="18" t="s">
        <v>5534</v>
      </c>
      <c r="H29" s="18" t="s">
        <v>5633</v>
      </c>
      <c r="I29" s="18" t="s">
        <v>5534</v>
      </c>
      <c r="J29" s="18" t="s">
        <v>5633</v>
      </c>
      <c r="K29" s="18" t="s">
        <v>5534</v>
      </c>
      <c r="L29" s="18" t="s">
        <v>5633</v>
      </c>
      <c r="M29" s="18" t="s">
        <v>5534</v>
      </c>
      <c r="N29" s="18" t="s">
        <v>5534</v>
      </c>
    </row>
    <row r="30" spans="1:14" ht="15.75" customHeight="1" x14ac:dyDescent="0.15">
      <c r="A30" s="236" t="s">
        <v>5634</v>
      </c>
      <c r="B30" s="18" t="s">
        <v>5635</v>
      </c>
      <c r="C30" s="18" t="s">
        <v>5636</v>
      </c>
      <c r="D30" s="18" t="s">
        <v>5534</v>
      </c>
      <c r="E30" s="18" t="s">
        <v>5534</v>
      </c>
      <c r="F30" s="18" t="s">
        <v>5637</v>
      </c>
      <c r="G30" s="18" t="s">
        <v>5534</v>
      </c>
      <c r="H30" s="18" t="s">
        <v>5637</v>
      </c>
      <c r="I30" s="18" t="s">
        <v>5534</v>
      </c>
      <c r="J30" s="18" t="s">
        <v>5637</v>
      </c>
      <c r="K30" s="18" t="s">
        <v>5534</v>
      </c>
      <c r="L30" s="18" t="s">
        <v>5637</v>
      </c>
      <c r="M30" s="18" t="s">
        <v>5534</v>
      </c>
      <c r="N30" s="18" t="s">
        <v>5534</v>
      </c>
    </row>
    <row r="31" spans="1:14" ht="15.75" customHeight="1" x14ac:dyDescent="0.15">
      <c r="A31" s="236" t="s">
        <v>5638</v>
      </c>
      <c r="B31" s="18" t="s">
        <v>5639</v>
      </c>
      <c r="C31" s="18" t="s">
        <v>5640</v>
      </c>
      <c r="D31" s="18" t="s">
        <v>5534</v>
      </c>
      <c r="E31" s="18" t="s">
        <v>5534</v>
      </c>
      <c r="F31" s="18" t="s">
        <v>5641</v>
      </c>
      <c r="G31" s="18" t="s">
        <v>5534</v>
      </c>
      <c r="H31" s="18" t="s">
        <v>5641</v>
      </c>
      <c r="I31" s="18" t="s">
        <v>5534</v>
      </c>
      <c r="J31" s="18" t="s">
        <v>5641</v>
      </c>
      <c r="K31" s="18" t="s">
        <v>5534</v>
      </c>
      <c r="L31" s="18" t="s">
        <v>5641</v>
      </c>
      <c r="M31" s="18" t="s">
        <v>5534</v>
      </c>
      <c r="N31" s="18" t="s">
        <v>5534</v>
      </c>
    </row>
    <row r="32" spans="1:14" ht="15.75" customHeight="1" x14ac:dyDescent="0.15">
      <c r="A32" s="236" t="s">
        <v>5642</v>
      </c>
      <c r="B32" s="18" t="s">
        <v>5643</v>
      </c>
      <c r="C32" s="18" t="s">
        <v>5644</v>
      </c>
      <c r="D32" s="18" t="s">
        <v>5534</v>
      </c>
      <c r="E32" s="18" t="s">
        <v>5534</v>
      </c>
      <c r="F32" s="18" t="s">
        <v>5645</v>
      </c>
      <c r="G32" s="18" t="s">
        <v>5534</v>
      </c>
      <c r="H32" s="18" t="s">
        <v>5645</v>
      </c>
      <c r="I32" s="18" t="s">
        <v>5534</v>
      </c>
      <c r="J32" s="18" t="s">
        <v>5645</v>
      </c>
      <c r="K32" s="18" t="s">
        <v>5534</v>
      </c>
      <c r="L32" s="18" t="s">
        <v>5645</v>
      </c>
      <c r="M32" s="18" t="s">
        <v>5534</v>
      </c>
      <c r="N32" s="18" t="s">
        <v>5534</v>
      </c>
    </row>
    <row r="33" spans="1:14" ht="15.75" customHeight="1" x14ac:dyDescent="0.15">
      <c r="A33" s="236" t="s">
        <v>5646</v>
      </c>
      <c r="B33" s="18" t="s">
        <v>5647</v>
      </c>
      <c r="C33" s="18" t="s">
        <v>5648</v>
      </c>
      <c r="D33" s="18" t="s">
        <v>5534</v>
      </c>
      <c r="E33" s="18" t="s">
        <v>5534</v>
      </c>
      <c r="F33" s="18" t="s">
        <v>5649</v>
      </c>
      <c r="G33" s="18" t="s">
        <v>5534</v>
      </c>
      <c r="H33" s="18" t="s">
        <v>5649</v>
      </c>
      <c r="I33" s="18" t="s">
        <v>5534</v>
      </c>
      <c r="J33" s="18" t="s">
        <v>5649</v>
      </c>
      <c r="K33" s="18" t="s">
        <v>5534</v>
      </c>
      <c r="L33" s="18" t="s">
        <v>5649</v>
      </c>
      <c r="M33" s="18" t="s">
        <v>5534</v>
      </c>
      <c r="N33" s="18" t="s">
        <v>5534</v>
      </c>
    </row>
    <row r="34" spans="1:14" ht="15.75" customHeight="1" x14ac:dyDescent="0.15">
      <c r="A34" s="236" t="s">
        <v>5650</v>
      </c>
      <c r="B34" s="18" t="s">
        <v>5651</v>
      </c>
      <c r="C34" s="18" t="s">
        <v>5652</v>
      </c>
      <c r="D34" s="18" t="s">
        <v>5534</v>
      </c>
      <c r="E34" s="18" t="s">
        <v>5534</v>
      </c>
      <c r="F34" s="18" t="s">
        <v>5653</v>
      </c>
      <c r="G34" s="18" t="s">
        <v>5534</v>
      </c>
      <c r="H34" s="18" t="s">
        <v>5653</v>
      </c>
      <c r="I34" s="18" t="s">
        <v>5534</v>
      </c>
      <c r="J34" s="18" t="s">
        <v>5653</v>
      </c>
      <c r="K34" s="18" t="s">
        <v>5534</v>
      </c>
      <c r="L34" s="18" t="s">
        <v>5653</v>
      </c>
      <c r="M34" s="18" t="s">
        <v>5534</v>
      </c>
      <c r="N34" s="18" t="s">
        <v>5534</v>
      </c>
    </row>
    <row r="35" spans="1:14" ht="15.75" customHeight="1" x14ac:dyDescent="0.15">
      <c r="A35" s="236" t="s">
        <v>5654</v>
      </c>
      <c r="B35" s="18" t="s">
        <v>5655</v>
      </c>
      <c r="C35" s="18" t="s">
        <v>5656</v>
      </c>
      <c r="D35" s="18" t="s">
        <v>5534</v>
      </c>
      <c r="E35" s="18" t="s">
        <v>5534</v>
      </c>
      <c r="F35" s="18" t="s">
        <v>5657</v>
      </c>
      <c r="G35" s="18" t="s">
        <v>5534</v>
      </c>
      <c r="H35" s="18" t="s">
        <v>5657</v>
      </c>
      <c r="I35" s="18" t="s">
        <v>5534</v>
      </c>
      <c r="J35" s="18" t="s">
        <v>5657</v>
      </c>
      <c r="K35" s="18" t="s">
        <v>5534</v>
      </c>
      <c r="L35" s="18" t="s">
        <v>5657</v>
      </c>
      <c r="M35" s="18" t="s">
        <v>5534</v>
      </c>
      <c r="N35" s="18" t="s">
        <v>5534</v>
      </c>
    </row>
    <row r="36" spans="1:14" ht="15.75" customHeight="1" x14ac:dyDescent="0.15">
      <c r="A36" s="236" t="s">
        <v>5658</v>
      </c>
      <c r="B36" s="18" t="s">
        <v>5659</v>
      </c>
      <c r="C36" s="18" t="s">
        <v>5660</v>
      </c>
      <c r="D36" s="18" t="s">
        <v>5534</v>
      </c>
      <c r="E36" s="18" t="s">
        <v>5534</v>
      </c>
      <c r="F36" s="18" t="s">
        <v>5661</v>
      </c>
      <c r="G36" s="18" t="s">
        <v>5534</v>
      </c>
      <c r="H36" s="18" t="s">
        <v>5661</v>
      </c>
      <c r="I36" s="18" t="s">
        <v>5534</v>
      </c>
      <c r="J36" s="18" t="s">
        <v>5661</v>
      </c>
      <c r="K36" s="18" t="s">
        <v>5534</v>
      </c>
      <c r="L36" s="18" t="s">
        <v>5661</v>
      </c>
      <c r="M36" s="18" t="s">
        <v>5534</v>
      </c>
      <c r="N36" s="18" t="s">
        <v>5534</v>
      </c>
    </row>
    <row r="37" spans="1:14" ht="15.75" customHeight="1" x14ac:dyDescent="0.15">
      <c r="A37" s="236" t="s">
        <v>5662</v>
      </c>
      <c r="B37" s="18" t="s">
        <v>5663</v>
      </c>
      <c r="C37" s="18" t="s">
        <v>5664</v>
      </c>
      <c r="D37" s="18" t="s">
        <v>5534</v>
      </c>
      <c r="E37" s="18" t="s">
        <v>5534</v>
      </c>
      <c r="F37" s="18" t="s">
        <v>5665</v>
      </c>
      <c r="G37" s="18" t="s">
        <v>5534</v>
      </c>
      <c r="H37" s="18" t="s">
        <v>5665</v>
      </c>
      <c r="I37" s="18" t="s">
        <v>5534</v>
      </c>
      <c r="J37" s="18" t="s">
        <v>5665</v>
      </c>
      <c r="K37" s="18" t="s">
        <v>5534</v>
      </c>
      <c r="L37" s="18" t="s">
        <v>5665</v>
      </c>
      <c r="M37" s="18" t="s">
        <v>5534</v>
      </c>
      <c r="N37" s="18" t="s">
        <v>5534</v>
      </c>
    </row>
    <row r="38" spans="1:14" ht="15.75" customHeight="1" x14ac:dyDescent="0.15">
      <c r="A38" s="236" t="s">
        <v>5666</v>
      </c>
      <c r="B38" s="18" t="s">
        <v>5667</v>
      </c>
      <c r="C38" s="18" t="s">
        <v>5668</v>
      </c>
      <c r="D38" s="18" t="s">
        <v>5534</v>
      </c>
      <c r="E38" s="18" t="s">
        <v>5534</v>
      </c>
      <c r="F38" s="18" t="s">
        <v>5669</v>
      </c>
      <c r="G38" s="18" t="s">
        <v>5534</v>
      </c>
      <c r="H38" s="18" t="s">
        <v>5669</v>
      </c>
      <c r="I38" s="18" t="s">
        <v>5534</v>
      </c>
      <c r="J38" s="18" t="s">
        <v>5669</v>
      </c>
      <c r="K38" s="18" t="s">
        <v>5534</v>
      </c>
      <c r="L38" s="18" t="s">
        <v>5669</v>
      </c>
      <c r="M38" s="18" t="s">
        <v>5534</v>
      </c>
      <c r="N38" s="18" t="s">
        <v>5534</v>
      </c>
    </row>
    <row r="39" spans="1:14" ht="15.75" customHeight="1" x14ac:dyDescent="0.15">
      <c r="A39" s="236" t="s">
        <v>5670</v>
      </c>
      <c r="B39" s="18" t="s">
        <v>5671</v>
      </c>
      <c r="C39" s="18" t="s">
        <v>5672</v>
      </c>
      <c r="D39" s="18" t="s">
        <v>5534</v>
      </c>
      <c r="E39" s="18" t="s">
        <v>5534</v>
      </c>
      <c r="F39" s="18" t="s">
        <v>5673</v>
      </c>
      <c r="G39" s="18" t="s">
        <v>5534</v>
      </c>
      <c r="H39" s="18" t="s">
        <v>5673</v>
      </c>
      <c r="I39" s="18" t="s">
        <v>5534</v>
      </c>
      <c r="J39" s="18" t="s">
        <v>5673</v>
      </c>
      <c r="K39" s="18" t="s">
        <v>5534</v>
      </c>
      <c r="L39" s="18" t="s">
        <v>5673</v>
      </c>
      <c r="M39" s="18" t="s">
        <v>5534</v>
      </c>
      <c r="N39" s="18" t="s">
        <v>5534</v>
      </c>
    </row>
    <row r="40" spans="1:14" ht="15.75" customHeight="1" x14ac:dyDescent="0.15">
      <c r="A40" s="236"/>
    </row>
    <row r="41" spans="1:14" ht="15.75" customHeight="1" x14ac:dyDescent="0.15">
      <c r="A41" s="236"/>
    </row>
    <row r="42" spans="1:14" ht="15.75" customHeight="1" x14ac:dyDescent="0.15">
      <c r="A42" s="236"/>
    </row>
    <row r="43" spans="1:14" ht="15.75" customHeight="1" x14ac:dyDescent="0.15">
      <c r="A43" s="236"/>
    </row>
    <row r="44" spans="1:14" ht="15.75" customHeight="1" x14ac:dyDescent="0.15">
      <c r="A44" s="236"/>
    </row>
    <row r="45" spans="1:14" ht="15.75" customHeight="1" x14ac:dyDescent="0.15">
      <c r="A45" s="236"/>
    </row>
    <row r="46" spans="1:14" ht="15.75" customHeight="1" x14ac:dyDescent="0.15">
      <c r="A46" s="236"/>
    </row>
    <row r="47" spans="1:14" ht="15.75" customHeight="1" x14ac:dyDescent="0.15">
      <c r="A47" s="236"/>
    </row>
    <row r="48" spans="1:14" ht="15.75" customHeight="1" x14ac:dyDescent="0.15">
      <c r="A48" s="236"/>
    </row>
    <row r="49" spans="1:1" ht="15.75" customHeight="1" x14ac:dyDescent="0.15">
      <c r="A49" s="236"/>
    </row>
    <row r="50" spans="1:1" ht="15.75" customHeight="1" x14ac:dyDescent="0.15">
      <c r="A50" s="236"/>
    </row>
    <row r="51" spans="1:1" ht="13" x14ac:dyDescent="0.15">
      <c r="A51" s="236"/>
    </row>
    <row r="52" spans="1:1" ht="13" x14ac:dyDescent="0.15">
      <c r="A52" s="236"/>
    </row>
    <row r="53" spans="1:1" ht="13" x14ac:dyDescent="0.15">
      <c r="A53" s="236"/>
    </row>
    <row r="54" spans="1:1" ht="13" x14ac:dyDescent="0.15">
      <c r="A54" s="236"/>
    </row>
    <row r="55" spans="1:1" ht="13" x14ac:dyDescent="0.15">
      <c r="A55" s="236"/>
    </row>
    <row r="56" spans="1:1" ht="13" x14ac:dyDescent="0.15">
      <c r="A56" s="236"/>
    </row>
    <row r="57" spans="1:1" ht="13" x14ac:dyDescent="0.15">
      <c r="A57" s="236"/>
    </row>
    <row r="58" spans="1:1" ht="13" x14ac:dyDescent="0.15">
      <c r="A58" s="236"/>
    </row>
    <row r="59" spans="1:1" ht="13" x14ac:dyDescent="0.15">
      <c r="A59" s="236"/>
    </row>
    <row r="60" spans="1:1" ht="13" x14ac:dyDescent="0.15">
      <c r="A60" s="236"/>
    </row>
    <row r="61" spans="1:1" ht="13" x14ac:dyDescent="0.15">
      <c r="A61" s="236"/>
    </row>
    <row r="62" spans="1:1" ht="13" x14ac:dyDescent="0.15">
      <c r="A62" s="236"/>
    </row>
    <row r="63" spans="1:1" ht="13" x14ac:dyDescent="0.15">
      <c r="A63" s="236"/>
    </row>
    <row r="64" spans="1:1" ht="13" x14ac:dyDescent="0.15">
      <c r="A64" s="236"/>
    </row>
    <row r="65" spans="1:1" ht="13" x14ac:dyDescent="0.15">
      <c r="A65" s="236"/>
    </row>
    <row r="66" spans="1:1" ht="13" x14ac:dyDescent="0.15">
      <c r="A66" s="236"/>
    </row>
    <row r="67" spans="1:1" ht="13" x14ac:dyDescent="0.15">
      <c r="A67" s="236"/>
    </row>
    <row r="68" spans="1:1" ht="13" x14ac:dyDescent="0.15">
      <c r="A68" s="236"/>
    </row>
    <row r="69" spans="1:1" ht="13" x14ac:dyDescent="0.15">
      <c r="A69" s="236"/>
    </row>
    <row r="70" spans="1:1" ht="13" x14ac:dyDescent="0.15">
      <c r="A70" s="236"/>
    </row>
    <row r="71" spans="1:1" ht="13" x14ac:dyDescent="0.15">
      <c r="A71" s="236"/>
    </row>
    <row r="72" spans="1:1" ht="13" x14ac:dyDescent="0.15">
      <c r="A72" s="236"/>
    </row>
    <row r="73" spans="1:1" ht="13" x14ac:dyDescent="0.15">
      <c r="A73" s="236"/>
    </row>
    <row r="74" spans="1:1" ht="13" x14ac:dyDescent="0.15">
      <c r="A74" s="236"/>
    </row>
    <row r="75" spans="1:1" ht="13" x14ac:dyDescent="0.15">
      <c r="A75" s="236"/>
    </row>
    <row r="76" spans="1:1" ht="13" x14ac:dyDescent="0.15">
      <c r="A76" s="236"/>
    </row>
    <row r="77" spans="1:1" ht="13" x14ac:dyDescent="0.15">
      <c r="A77" s="236"/>
    </row>
    <row r="78" spans="1:1" ht="13" x14ac:dyDescent="0.15">
      <c r="A78" s="236"/>
    </row>
    <row r="79" spans="1:1" ht="13" x14ac:dyDescent="0.15">
      <c r="A79" s="236"/>
    </row>
    <row r="80" spans="1:1" ht="13" x14ac:dyDescent="0.15">
      <c r="A80" s="236"/>
    </row>
    <row r="81" spans="1:1" ht="13" x14ac:dyDescent="0.15">
      <c r="A81" s="236"/>
    </row>
    <row r="82" spans="1:1" ht="13" x14ac:dyDescent="0.15">
      <c r="A82" s="236"/>
    </row>
    <row r="83" spans="1:1" ht="13" x14ac:dyDescent="0.15">
      <c r="A83" s="236"/>
    </row>
    <row r="84" spans="1:1" ht="13" x14ac:dyDescent="0.15">
      <c r="A84" s="236"/>
    </row>
    <row r="85" spans="1:1" ht="13" x14ac:dyDescent="0.15">
      <c r="A85" s="236"/>
    </row>
    <row r="86" spans="1:1" ht="13" x14ac:dyDescent="0.15">
      <c r="A86" s="236"/>
    </row>
    <row r="87" spans="1:1" ht="13" x14ac:dyDescent="0.15">
      <c r="A87" s="236"/>
    </row>
    <row r="88" spans="1:1" ht="13" x14ac:dyDescent="0.15">
      <c r="A88" s="236"/>
    </row>
    <row r="89" spans="1:1" ht="13" x14ac:dyDescent="0.15">
      <c r="A89" s="236"/>
    </row>
    <row r="90" spans="1:1" ht="13" x14ac:dyDescent="0.15">
      <c r="A90" s="236"/>
    </row>
    <row r="91" spans="1:1" ht="13" x14ac:dyDescent="0.15">
      <c r="A91" s="236"/>
    </row>
    <row r="92" spans="1:1" ht="13" x14ac:dyDescent="0.15">
      <c r="A92" s="236"/>
    </row>
    <row r="93" spans="1:1" ht="13" x14ac:dyDescent="0.15">
      <c r="A93" s="236"/>
    </row>
    <row r="94" spans="1:1" ht="13" x14ac:dyDescent="0.15">
      <c r="A94" s="236"/>
    </row>
    <row r="95" spans="1:1" ht="13" x14ac:dyDescent="0.15">
      <c r="A95" s="236"/>
    </row>
    <row r="96" spans="1:1" ht="13" x14ac:dyDescent="0.15">
      <c r="A96" s="236"/>
    </row>
    <row r="97" spans="1:1" ht="13" x14ac:dyDescent="0.15">
      <c r="A97" s="236"/>
    </row>
    <row r="98" spans="1:1" ht="13" x14ac:dyDescent="0.15">
      <c r="A98" s="236"/>
    </row>
    <row r="99" spans="1:1" ht="13" x14ac:dyDescent="0.15">
      <c r="A99" s="236"/>
    </row>
    <row r="100" spans="1:1" ht="13" x14ac:dyDescent="0.15">
      <c r="A100" s="236"/>
    </row>
    <row r="101" spans="1:1" ht="13" x14ac:dyDescent="0.15">
      <c r="A101" s="236"/>
    </row>
    <row r="102" spans="1:1" ht="13" x14ac:dyDescent="0.15">
      <c r="A102" s="236"/>
    </row>
    <row r="103" spans="1:1" ht="13" x14ac:dyDescent="0.15">
      <c r="A103" s="236"/>
    </row>
    <row r="104" spans="1:1" ht="13" x14ac:dyDescent="0.15">
      <c r="A104" s="236"/>
    </row>
    <row r="105" spans="1:1" ht="13" x14ac:dyDescent="0.15">
      <c r="A105" s="236"/>
    </row>
    <row r="106" spans="1:1" ht="13" x14ac:dyDescent="0.15">
      <c r="A106" s="236"/>
    </row>
    <row r="107" spans="1:1" ht="13" x14ac:dyDescent="0.15">
      <c r="A107" s="236"/>
    </row>
    <row r="108" spans="1:1" ht="13" x14ac:dyDescent="0.15">
      <c r="A108" s="236"/>
    </row>
    <row r="109" spans="1:1" ht="13" x14ac:dyDescent="0.15">
      <c r="A109" s="236"/>
    </row>
    <row r="110" spans="1:1" ht="13" x14ac:dyDescent="0.15">
      <c r="A110" s="236"/>
    </row>
    <row r="111" spans="1:1" ht="13" x14ac:dyDescent="0.15">
      <c r="A111" s="236"/>
    </row>
    <row r="112" spans="1:1" ht="13" x14ac:dyDescent="0.15">
      <c r="A112" s="236"/>
    </row>
    <row r="113" spans="1:1" ht="13" x14ac:dyDescent="0.15">
      <c r="A113" s="236"/>
    </row>
    <row r="114" spans="1:1" ht="13" x14ac:dyDescent="0.15">
      <c r="A114" s="236"/>
    </row>
    <row r="115" spans="1:1" ht="13" x14ac:dyDescent="0.15">
      <c r="A115" s="236"/>
    </row>
    <row r="116" spans="1:1" ht="13" x14ac:dyDescent="0.15">
      <c r="A116" s="236"/>
    </row>
    <row r="117" spans="1:1" ht="13" x14ac:dyDescent="0.15">
      <c r="A117" s="236"/>
    </row>
    <row r="118" spans="1:1" ht="13" x14ac:dyDescent="0.15">
      <c r="A118" s="236"/>
    </row>
    <row r="119" spans="1:1" ht="13" x14ac:dyDescent="0.15">
      <c r="A119" s="236"/>
    </row>
    <row r="120" spans="1:1" ht="13" x14ac:dyDescent="0.15">
      <c r="A120" s="236"/>
    </row>
    <row r="121" spans="1:1" ht="13" x14ac:dyDescent="0.15">
      <c r="A121" s="236"/>
    </row>
    <row r="122" spans="1:1" ht="13" x14ac:dyDescent="0.15">
      <c r="A122" s="236"/>
    </row>
    <row r="123" spans="1:1" ht="13" x14ac:dyDescent="0.15">
      <c r="A123" s="236"/>
    </row>
    <row r="124" spans="1:1" ht="13" x14ac:dyDescent="0.15">
      <c r="A124" s="236"/>
    </row>
    <row r="125" spans="1:1" ht="13" x14ac:dyDescent="0.15">
      <c r="A125" s="236"/>
    </row>
    <row r="126" spans="1:1" ht="13" x14ac:dyDescent="0.15">
      <c r="A126" s="236"/>
    </row>
    <row r="127" spans="1:1" ht="13" x14ac:dyDescent="0.15">
      <c r="A127" s="236"/>
    </row>
    <row r="128" spans="1:1" ht="13" x14ac:dyDescent="0.15">
      <c r="A128" s="236"/>
    </row>
    <row r="129" spans="1:1" ht="13" x14ac:dyDescent="0.15">
      <c r="A129" s="236"/>
    </row>
    <row r="130" spans="1:1" ht="13" x14ac:dyDescent="0.15">
      <c r="A130" s="236"/>
    </row>
    <row r="131" spans="1:1" ht="13" x14ac:dyDescent="0.15">
      <c r="A131" s="236"/>
    </row>
    <row r="132" spans="1:1" ht="13" x14ac:dyDescent="0.15">
      <c r="A132" s="236"/>
    </row>
    <row r="133" spans="1:1" ht="13" x14ac:dyDescent="0.15">
      <c r="A133" s="236"/>
    </row>
    <row r="134" spans="1:1" ht="13" x14ac:dyDescent="0.15">
      <c r="A134" s="236"/>
    </row>
    <row r="135" spans="1:1" ht="13" x14ac:dyDescent="0.15">
      <c r="A135" s="236"/>
    </row>
    <row r="136" spans="1:1" ht="13" x14ac:dyDescent="0.15">
      <c r="A136" s="236"/>
    </row>
    <row r="137" spans="1:1" ht="13" x14ac:dyDescent="0.15">
      <c r="A137" s="236"/>
    </row>
    <row r="138" spans="1:1" ht="13" x14ac:dyDescent="0.15">
      <c r="A138" s="236"/>
    </row>
    <row r="139" spans="1:1" ht="13" x14ac:dyDescent="0.15">
      <c r="A139" s="236"/>
    </row>
    <row r="140" spans="1:1" ht="13" x14ac:dyDescent="0.15">
      <c r="A140" s="236"/>
    </row>
    <row r="141" spans="1:1" ht="13" x14ac:dyDescent="0.15">
      <c r="A141" s="236"/>
    </row>
    <row r="142" spans="1:1" ht="13" x14ac:dyDescent="0.15">
      <c r="A142" s="236"/>
    </row>
    <row r="143" spans="1:1" ht="13" x14ac:dyDescent="0.15">
      <c r="A143" s="236"/>
    </row>
    <row r="144" spans="1:1" ht="13" x14ac:dyDescent="0.15">
      <c r="A144" s="236"/>
    </row>
    <row r="145" spans="1:1" ht="13" x14ac:dyDescent="0.15">
      <c r="A145" s="236"/>
    </row>
    <row r="146" spans="1:1" ht="13" x14ac:dyDescent="0.15">
      <c r="A146" s="236"/>
    </row>
    <row r="147" spans="1:1" ht="13" x14ac:dyDescent="0.15">
      <c r="A147" s="236"/>
    </row>
    <row r="148" spans="1:1" ht="13" x14ac:dyDescent="0.15">
      <c r="A148" s="236"/>
    </row>
    <row r="149" spans="1:1" ht="13" x14ac:dyDescent="0.15">
      <c r="A149" s="236"/>
    </row>
    <row r="150" spans="1:1" ht="13" x14ac:dyDescent="0.15">
      <c r="A150" s="236"/>
    </row>
    <row r="151" spans="1:1" ht="13" x14ac:dyDescent="0.15">
      <c r="A151" s="236"/>
    </row>
    <row r="152" spans="1:1" ht="13" x14ac:dyDescent="0.15">
      <c r="A152" s="236"/>
    </row>
    <row r="153" spans="1:1" ht="13" x14ac:dyDescent="0.15">
      <c r="A153" s="236"/>
    </row>
    <row r="154" spans="1:1" ht="13" x14ac:dyDescent="0.15">
      <c r="A154" s="236"/>
    </row>
    <row r="155" spans="1:1" ht="13" x14ac:dyDescent="0.15">
      <c r="A155" s="236"/>
    </row>
    <row r="156" spans="1:1" ht="13" x14ac:dyDescent="0.15">
      <c r="A156" s="236"/>
    </row>
    <row r="157" spans="1:1" ht="13" x14ac:dyDescent="0.15">
      <c r="A157" s="236"/>
    </row>
    <row r="158" spans="1:1" ht="13" x14ac:dyDescent="0.15">
      <c r="A158" s="236"/>
    </row>
    <row r="159" spans="1:1" ht="13" x14ac:dyDescent="0.15">
      <c r="A159" s="236"/>
    </row>
    <row r="160" spans="1:1" ht="13" x14ac:dyDescent="0.15">
      <c r="A160" s="236"/>
    </row>
    <row r="161" spans="1:1" ht="13" x14ac:dyDescent="0.15">
      <c r="A161" s="236"/>
    </row>
    <row r="162" spans="1:1" ht="13" x14ac:dyDescent="0.15">
      <c r="A162" s="236"/>
    </row>
    <row r="163" spans="1:1" ht="13" x14ac:dyDescent="0.15">
      <c r="A163" s="236"/>
    </row>
    <row r="164" spans="1:1" ht="13" x14ac:dyDescent="0.15">
      <c r="A164" s="236"/>
    </row>
    <row r="165" spans="1:1" ht="13" x14ac:dyDescent="0.15">
      <c r="A165" s="236"/>
    </row>
    <row r="166" spans="1:1" ht="13" x14ac:dyDescent="0.15">
      <c r="A166" s="236"/>
    </row>
    <row r="167" spans="1:1" ht="13" x14ac:dyDescent="0.15">
      <c r="A167" s="236"/>
    </row>
    <row r="168" spans="1:1" ht="13" x14ac:dyDescent="0.15">
      <c r="A168" s="236"/>
    </row>
    <row r="169" spans="1:1" ht="13" x14ac:dyDescent="0.15">
      <c r="A169" s="236"/>
    </row>
    <row r="170" spans="1:1" ht="13" x14ac:dyDescent="0.15">
      <c r="A170" s="236"/>
    </row>
    <row r="171" spans="1:1" ht="13" x14ac:dyDescent="0.15">
      <c r="A171" s="236"/>
    </row>
    <row r="172" spans="1:1" ht="13" x14ac:dyDescent="0.15">
      <c r="A172" s="236"/>
    </row>
    <row r="173" spans="1:1" ht="13" x14ac:dyDescent="0.15">
      <c r="A173" s="236"/>
    </row>
    <row r="174" spans="1:1" ht="13" x14ac:dyDescent="0.15">
      <c r="A174" s="236"/>
    </row>
    <row r="175" spans="1:1" ht="13" x14ac:dyDescent="0.15">
      <c r="A175" s="236"/>
    </row>
    <row r="176" spans="1:1" ht="13" x14ac:dyDescent="0.15">
      <c r="A176" s="236"/>
    </row>
    <row r="177" spans="1:1" ht="13" x14ac:dyDescent="0.15">
      <c r="A177" s="236"/>
    </row>
    <row r="178" spans="1:1" ht="13" x14ac:dyDescent="0.15">
      <c r="A178" s="236"/>
    </row>
    <row r="179" spans="1:1" ht="13" x14ac:dyDescent="0.15">
      <c r="A179" s="236"/>
    </row>
    <row r="180" spans="1:1" ht="13" x14ac:dyDescent="0.15">
      <c r="A180" s="236"/>
    </row>
    <row r="181" spans="1:1" ht="13" x14ac:dyDescent="0.15">
      <c r="A181" s="236"/>
    </row>
    <row r="182" spans="1:1" ht="13" x14ac:dyDescent="0.15">
      <c r="A182" s="236"/>
    </row>
    <row r="183" spans="1:1" ht="13" x14ac:dyDescent="0.15">
      <c r="A183" s="236"/>
    </row>
    <row r="184" spans="1:1" ht="13" x14ac:dyDescent="0.15">
      <c r="A184" s="236"/>
    </row>
    <row r="185" spans="1:1" ht="13" x14ac:dyDescent="0.15">
      <c r="A185" s="236"/>
    </row>
    <row r="186" spans="1:1" ht="13" x14ac:dyDescent="0.15">
      <c r="A186" s="236"/>
    </row>
    <row r="187" spans="1:1" ht="13" x14ac:dyDescent="0.15">
      <c r="A187" s="236"/>
    </row>
    <row r="188" spans="1:1" ht="13" x14ac:dyDescent="0.15">
      <c r="A188" s="236"/>
    </row>
    <row r="189" spans="1:1" ht="13" x14ac:dyDescent="0.15">
      <c r="A189" s="236"/>
    </row>
    <row r="190" spans="1:1" ht="13" x14ac:dyDescent="0.15">
      <c r="A190" s="236"/>
    </row>
    <row r="191" spans="1:1" ht="13" x14ac:dyDescent="0.15">
      <c r="A191" s="236"/>
    </row>
    <row r="192" spans="1:1" ht="13" x14ac:dyDescent="0.15">
      <c r="A192" s="236"/>
    </row>
    <row r="193" spans="1:1" ht="13" x14ac:dyDescent="0.15">
      <c r="A193" s="236"/>
    </row>
    <row r="194" spans="1:1" ht="13" x14ac:dyDescent="0.15">
      <c r="A194" s="236"/>
    </row>
    <row r="195" spans="1:1" ht="13" x14ac:dyDescent="0.15">
      <c r="A195" s="236"/>
    </row>
    <row r="196" spans="1:1" ht="13" x14ac:dyDescent="0.15">
      <c r="A196" s="236"/>
    </row>
    <row r="197" spans="1:1" ht="13" x14ac:dyDescent="0.15">
      <c r="A197" s="236"/>
    </row>
    <row r="198" spans="1:1" ht="13" x14ac:dyDescent="0.15">
      <c r="A198" s="236"/>
    </row>
    <row r="199" spans="1:1" ht="13" x14ac:dyDescent="0.15">
      <c r="A199" s="236"/>
    </row>
    <row r="200" spans="1:1" ht="13" x14ac:dyDescent="0.15">
      <c r="A200" s="236"/>
    </row>
    <row r="201" spans="1:1" ht="13" x14ac:dyDescent="0.15">
      <c r="A201" s="236"/>
    </row>
    <row r="202" spans="1:1" ht="13" x14ac:dyDescent="0.15">
      <c r="A202" s="236"/>
    </row>
    <row r="203" spans="1:1" ht="13" x14ac:dyDescent="0.15">
      <c r="A203" s="236"/>
    </row>
    <row r="204" spans="1:1" ht="13" x14ac:dyDescent="0.15">
      <c r="A204" s="236"/>
    </row>
    <row r="205" spans="1:1" ht="13" x14ac:dyDescent="0.15">
      <c r="A205" s="236"/>
    </row>
    <row r="206" spans="1:1" ht="13" x14ac:dyDescent="0.15">
      <c r="A206" s="236"/>
    </row>
    <row r="207" spans="1:1" ht="13" x14ac:dyDescent="0.15">
      <c r="A207" s="236"/>
    </row>
    <row r="208" spans="1:1" ht="13" x14ac:dyDescent="0.15">
      <c r="A208" s="236"/>
    </row>
    <row r="209" spans="1:1" ht="13" x14ac:dyDescent="0.15">
      <c r="A209" s="236"/>
    </row>
    <row r="210" spans="1:1" ht="13" x14ac:dyDescent="0.15">
      <c r="A210" s="236"/>
    </row>
    <row r="211" spans="1:1" ht="13" x14ac:dyDescent="0.15">
      <c r="A211" s="236"/>
    </row>
    <row r="212" spans="1:1" ht="13" x14ac:dyDescent="0.15">
      <c r="A212" s="236"/>
    </row>
    <row r="213" spans="1:1" ht="13" x14ac:dyDescent="0.15">
      <c r="A213" s="236"/>
    </row>
    <row r="214" spans="1:1" ht="13" x14ac:dyDescent="0.15">
      <c r="A214" s="236"/>
    </row>
    <row r="215" spans="1:1" ht="13" x14ac:dyDescent="0.15">
      <c r="A215" s="236"/>
    </row>
    <row r="216" spans="1:1" ht="13" x14ac:dyDescent="0.15">
      <c r="A216" s="236"/>
    </row>
    <row r="217" spans="1:1" ht="13" x14ac:dyDescent="0.15">
      <c r="A217" s="236"/>
    </row>
    <row r="218" spans="1:1" ht="13" x14ac:dyDescent="0.15">
      <c r="A218" s="236"/>
    </row>
    <row r="219" spans="1:1" ht="13" x14ac:dyDescent="0.15">
      <c r="A219" s="236"/>
    </row>
    <row r="220" spans="1:1" ht="13" x14ac:dyDescent="0.15">
      <c r="A220" s="236"/>
    </row>
    <row r="221" spans="1:1" ht="13" x14ac:dyDescent="0.15">
      <c r="A221" s="236"/>
    </row>
    <row r="222" spans="1:1" ht="13" x14ac:dyDescent="0.15">
      <c r="A222" s="236"/>
    </row>
    <row r="223" spans="1:1" ht="13" x14ac:dyDescent="0.15">
      <c r="A223" s="236"/>
    </row>
    <row r="224" spans="1:1" ht="13" x14ac:dyDescent="0.15">
      <c r="A224" s="236"/>
    </row>
    <row r="225" spans="1:1" ht="13" x14ac:dyDescent="0.15">
      <c r="A225" s="236"/>
    </row>
    <row r="226" spans="1:1" ht="13" x14ac:dyDescent="0.15">
      <c r="A226" s="236"/>
    </row>
    <row r="227" spans="1:1" ht="13" x14ac:dyDescent="0.15">
      <c r="A227" s="236"/>
    </row>
    <row r="228" spans="1:1" ht="13" x14ac:dyDescent="0.15">
      <c r="A228" s="236"/>
    </row>
    <row r="229" spans="1:1" ht="13" x14ac:dyDescent="0.15">
      <c r="A229" s="236"/>
    </row>
    <row r="230" spans="1:1" ht="13" x14ac:dyDescent="0.15">
      <c r="A230" s="236"/>
    </row>
    <row r="231" spans="1:1" ht="13" x14ac:dyDescent="0.15">
      <c r="A231" s="236"/>
    </row>
    <row r="232" spans="1:1" ht="13" x14ac:dyDescent="0.15">
      <c r="A232" s="236"/>
    </row>
    <row r="233" spans="1:1" ht="13" x14ac:dyDescent="0.15">
      <c r="A233" s="236"/>
    </row>
    <row r="234" spans="1:1" ht="13" x14ac:dyDescent="0.15">
      <c r="A234" s="236"/>
    </row>
    <row r="235" spans="1:1" ht="13" x14ac:dyDescent="0.15">
      <c r="A235" s="236"/>
    </row>
    <row r="236" spans="1:1" ht="13" x14ac:dyDescent="0.15">
      <c r="A236" s="236"/>
    </row>
    <row r="237" spans="1:1" ht="13" x14ac:dyDescent="0.15">
      <c r="A237" s="236"/>
    </row>
    <row r="238" spans="1:1" ht="13" x14ac:dyDescent="0.15">
      <c r="A238" s="236"/>
    </row>
    <row r="239" spans="1:1" ht="13" x14ac:dyDescent="0.15">
      <c r="A239" s="236"/>
    </row>
    <row r="240" spans="1:1" ht="13" x14ac:dyDescent="0.15">
      <c r="A240" s="236"/>
    </row>
    <row r="241" spans="1:1" ht="13" x14ac:dyDescent="0.15">
      <c r="A241" s="236"/>
    </row>
    <row r="242" spans="1:1" ht="13" x14ac:dyDescent="0.15">
      <c r="A242" s="236"/>
    </row>
    <row r="243" spans="1:1" ht="13" x14ac:dyDescent="0.15">
      <c r="A243" s="236"/>
    </row>
    <row r="244" spans="1:1" ht="13" x14ac:dyDescent="0.15">
      <c r="A244" s="236"/>
    </row>
    <row r="245" spans="1:1" ht="13" x14ac:dyDescent="0.15">
      <c r="A245" s="236"/>
    </row>
    <row r="246" spans="1:1" ht="13" x14ac:dyDescent="0.15">
      <c r="A246" s="236"/>
    </row>
    <row r="247" spans="1:1" ht="13" x14ac:dyDescent="0.15">
      <c r="A247" s="236"/>
    </row>
    <row r="248" spans="1:1" ht="13" x14ac:dyDescent="0.15">
      <c r="A248" s="236"/>
    </row>
    <row r="249" spans="1:1" ht="13" x14ac:dyDescent="0.15">
      <c r="A249" s="236"/>
    </row>
    <row r="250" spans="1:1" ht="13" x14ac:dyDescent="0.15">
      <c r="A250" s="236"/>
    </row>
    <row r="251" spans="1:1" ht="13" x14ac:dyDescent="0.15">
      <c r="A251" s="236"/>
    </row>
    <row r="252" spans="1:1" ht="13" x14ac:dyDescent="0.15">
      <c r="A252" s="236"/>
    </row>
    <row r="253" spans="1:1" ht="13" x14ac:dyDescent="0.15">
      <c r="A253" s="236"/>
    </row>
    <row r="254" spans="1:1" ht="13" x14ac:dyDescent="0.15">
      <c r="A254" s="236"/>
    </row>
    <row r="255" spans="1:1" ht="13" x14ac:dyDescent="0.15">
      <c r="A255" s="236"/>
    </row>
    <row r="256" spans="1:1" ht="13" x14ac:dyDescent="0.15">
      <c r="A256" s="236"/>
    </row>
    <row r="257" spans="1:1" ht="13" x14ac:dyDescent="0.15">
      <c r="A257" s="236"/>
    </row>
    <row r="258" spans="1:1" ht="13" x14ac:dyDescent="0.15">
      <c r="A258" s="236"/>
    </row>
    <row r="259" spans="1:1" ht="13" x14ac:dyDescent="0.15">
      <c r="A259" s="236"/>
    </row>
    <row r="260" spans="1:1" ht="13" x14ac:dyDescent="0.15">
      <c r="A260" s="236"/>
    </row>
    <row r="261" spans="1:1" ht="13" x14ac:dyDescent="0.15">
      <c r="A261" s="236"/>
    </row>
    <row r="262" spans="1:1" ht="13" x14ac:dyDescent="0.15">
      <c r="A262" s="236"/>
    </row>
    <row r="263" spans="1:1" ht="13" x14ac:dyDescent="0.15">
      <c r="A263" s="236"/>
    </row>
    <row r="264" spans="1:1" ht="13" x14ac:dyDescent="0.15">
      <c r="A264" s="236"/>
    </row>
    <row r="265" spans="1:1" ht="13" x14ac:dyDescent="0.15">
      <c r="A265" s="236"/>
    </row>
    <row r="266" spans="1:1" ht="13" x14ac:dyDescent="0.15">
      <c r="A266" s="236"/>
    </row>
    <row r="267" spans="1:1" ht="13" x14ac:dyDescent="0.15">
      <c r="A267" s="236"/>
    </row>
    <row r="268" spans="1:1" ht="13" x14ac:dyDescent="0.15">
      <c r="A268" s="236"/>
    </row>
    <row r="269" spans="1:1" ht="13" x14ac:dyDescent="0.15">
      <c r="A269" s="236"/>
    </row>
    <row r="270" spans="1:1" ht="13" x14ac:dyDescent="0.15">
      <c r="A270" s="236"/>
    </row>
    <row r="271" spans="1:1" ht="13" x14ac:dyDescent="0.15">
      <c r="A271" s="236"/>
    </row>
    <row r="272" spans="1:1" ht="13" x14ac:dyDescent="0.15">
      <c r="A272" s="236"/>
    </row>
    <row r="273" spans="1:1" ht="13" x14ac:dyDescent="0.15">
      <c r="A273" s="236"/>
    </row>
    <row r="274" spans="1:1" ht="13" x14ac:dyDescent="0.15">
      <c r="A274" s="236"/>
    </row>
    <row r="275" spans="1:1" ht="13" x14ac:dyDescent="0.15">
      <c r="A275" s="236"/>
    </row>
    <row r="276" spans="1:1" ht="13" x14ac:dyDescent="0.15">
      <c r="A276" s="236"/>
    </row>
    <row r="277" spans="1:1" ht="13" x14ac:dyDescent="0.15">
      <c r="A277" s="236"/>
    </row>
    <row r="278" spans="1:1" ht="13" x14ac:dyDescent="0.15">
      <c r="A278" s="236"/>
    </row>
    <row r="279" spans="1:1" ht="13" x14ac:dyDescent="0.15">
      <c r="A279" s="236"/>
    </row>
    <row r="280" spans="1:1" ht="13" x14ac:dyDescent="0.15">
      <c r="A280" s="236"/>
    </row>
    <row r="281" spans="1:1" ht="13" x14ac:dyDescent="0.15">
      <c r="A281" s="236"/>
    </row>
    <row r="282" spans="1:1" ht="13" x14ac:dyDescent="0.15">
      <c r="A282" s="236"/>
    </row>
    <row r="283" spans="1:1" ht="13" x14ac:dyDescent="0.15">
      <c r="A283" s="236"/>
    </row>
    <row r="284" spans="1:1" ht="13" x14ac:dyDescent="0.15">
      <c r="A284" s="236"/>
    </row>
    <row r="285" spans="1:1" ht="13" x14ac:dyDescent="0.15">
      <c r="A285" s="236"/>
    </row>
    <row r="286" spans="1:1" ht="13" x14ac:dyDescent="0.15">
      <c r="A286" s="236"/>
    </row>
    <row r="287" spans="1:1" ht="13" x14ac:dyDescent="0.15">
      <c r="A287" s="236"/>
    </row>
    <row r="288" spans="1:1" ht="13" x14ac:dyDescent="0.15">
      <c r="A288" s="236"/>
    </row>
    <row r="289" spans="1:1" ht="13" x14ac:dyDescent="0.15">
      <c r="A289" s="236"/>
    </row>
    <row r="290" spans="1:1" ht="13" x14ac:dyDescent="0.15">
      <c r="A290" s="236"/>
    </row>
    <row r="291" spans="1:1" ht="13" x14ac:dyDescent="0.15">
      <c r="A291" s="236"/>
    </row>
    <row r="292" spans="1:1" ht="13" x14ac:dyDescent="0.15">
      <c r="A292" s="236"/>
    </row>
    <row r="293" spans="1:1" ht="13" x14ac:dyDescent="0.15">
      <c r="A293" s="236"/>
    </row>
    <row r="294" spans="1:1" ht="13" x14ac:dyDescent="0.15">
      <c r="A294" s="236"/>
    </row>
    <row r="295" spans="1:1" ht="13" x14ac:dyDescent="0.15">
      <c r="A295" s="236"/>
    </row>
    <row r="296" spans="1:1" ht="13" x14ac:dyDescent="0.15">
      <c r="A296" s="236"/>
    </row>
    <row r="297" spans="1:1" ht="13" x14ac:dyDescent="0.15">
      <c r="A297" s="236"/>
    </row>
    <row r="298" spans="1:1" ht="13" x14ac:dyDescent="0.15">
      <c r="A298" s="236"/>
    </row>
    <row r="299" spans="1:1" ht="13" x14ac:dyDescent="0.15">
      <c r="A299" s="236"/>
    </row>
    <row r="300" spans="1:1" ht="13" x14ac:dyDescent="0.15">
      <c r="A300" s="236"/>
    </row>
    <row r="301" spans="1:1" ht="13" x14ac:dyDescent="0.15">
      <c r="A301" s="236"/>
    </row>
    <row r="302" spans="1:1" ht="13" x14ac:dyDescent="0.15">
      <c r="A302" s="236"/>
    </row>
    <row r="303" spans="1:1" ht="13" x14ac:dyDescent="0.15">
      <c r="A303" s="236"/>
    </row>
    <row r="304" spans="1:1" ht="13" x14ac:dyDescent="0.15">
      <c r="A304" s="236"/>
    </row>
    <row r="305" spans="1:1" ht="13" x14ac:dyDescent="0.15">
      <c r="A305" s="236"/>
    </row>
    <row r="306" spans="1:1" ht="13" x14ac:dyDescent="0.15">
      <c r="A306" s="236"/>
    </row>
    <row r="307" spans="1:1" ht="13" x14ac:dyDescent="0.15">
      <c r="A307" s="236"/>
    </row>
    <row r="308" spans="1:1" ht="13" x14ac:dyDescent="0.15">
      <c r="A308" s="236"/>
    </row>
    <row r="309" spans="1:1" ht="13" x14ac:dyDescent="0.15">
      <c r="A309" s="236"/>
    </row>
    <row r="310" spans="1:1" ht="13" x14ac:dyDescent="0.15">
      <c r="A310" s="236"/>
    </row>
    <row r="311" spans="1:1" ht="13" x14ac:dyDescent="0.15">
      <c r="A311" s="236"/>
    </row>
    <row r="312" spans="1:1" ht="13" x14ac:dyDescent="0.15">
      <c r="A312" s="236"/>
    </row>
    <row r="313" spans="1:1" ht="13" x14ac:dyDescent="0.15">
      <c r="A313" s="236"/>
    </row>
    <row r="314" spans="1:1" ht="13" x14ac:dyDescent="0.15">
      <c r="A314" s="236"/>
    </row>
    <row r="315" spans="1:1" ht="13" x14ac:dyDescent="0.15">
      <c r="A315" s="236"/>
    </row>
    <row r="316" spans="1:1" ht="13" x14ac:dyDescent="0.15">
      <c r="A316" s="236"/>
    </row>
    <row r="317" spans="1:1" ht="13" x14ac:dyDescent="0.15">
      <c r="A317" s="236"/>
    </row>
    <row r="318" spans="1:1" ht="13" x14ac:dyDescent="0.15">
      <c r="A318" s="236"/>
    </row>
    <row r="319" spans="1:1" ht="13" x14ac:dyDescent="0.15">
      <c r="A319" s="236"/>
    </row>
    <row r="320" spans="1:1" ht="13" x14ac:dyDescent="0.15">
      <c r="A320" s="236"/>
    </row>
    <row r="321" spans="1:1" ht="13" x14ac:dyDescent="0.15">
      <c r="A321" s="236"/>
    </row>
    <row r="322" spans="1:1" ht="13" x14ac:dyDescent="0.15">
      <c r="A322" s="236"/>
    </row>
    <row r="323" spans="1:1" ht="13" x14ac:dyDescent="0.15">
      <c r="A323" s="236"/>
    </row>
    <row r="324" spans="1:1" ht="13" x14ac:dyDescent="0.15">
      <c r="A324" s="236"/>
    </row>
    <row r="325" spans="1:1" ht="13" x14ac:dyDescent="0.15">
      <c r="A325" s="236"/>
    </row>
    <row r="326" spans="1:1" ht="13" x14ac:dyDescent="0.15">
      <c r="A326" s="236"/>
    </row>
    <row r="327" spans="1:1" ht="13" x14ac:dyDescent="0.15">
      <c r="A327" s="236"/>
    </row>
    <row r="328" spans="1:1" ht="13" x14ac:dyDescent="0.15">
      <c r="A328" s="236"/>
    </row>
    <row r="329" spans="1:1" ht="13" x14ac:dyDescent="0.15">
      <c r="A329" s="236"/>
    </row>
    <row r="330" spans="1:1" ht="13" x14ac:dyDescent="0.15">
      <c r="A330" s="236"/>
    </row>
    <row r="331" spans="1:1" ht="13" x14ac:dyDescent="0.15">
      <c r="A331" s="236"/>
    </row>
    <row r="332" spans="1:1" ht="13" x14ac:dyDescent="0.15">
      <c r="A332" s="236"/>
    </row>
    <row r="333" spans="1:1" ht="13" x14ac:dyDescent="0.15">
      <c r="A333" s="236"/>
    </row>
    <row r="334" spans="1:1" ht="13" x14ac:dyDescent="0.15">
      <c r="A334" s="236"/>
    </row>
    <row r="335" spans="1:1" ht="13" x14ac:dyDescent="0.15">
      <c r="A335" s="236"/>
    </row>
    <row r="336" spans="1:1" ht="13" x14ac:dyDescent="0.15">
      <c r="A336" s="236"/>
    </row>
    <row r="337" spans="1:1" ht="13" x14ac:dyDescent="0.15">
      <c r="A337" s="236"/>
    </row>
    <row r="338" spans="1:1" ht="13" x14ac:dyDescent="0.15">
      <c r="A338" s="236"/>
    </row>
    <row r="339" spans="1:1" ht="13" x14ac:dyDescent="0.15">
      <c r="A339" s="236"/>
    </row>
    <row r="340" spans="1:1" ht="13" x14ac:dyDescent="0.15">
      <c r="A340" s="236"/>
    </row>
    <row r="341" spans="1:1" ht="13" x14ac:dyDescent="0.15">
      <c r="A341" s="236"/>
    </row>
    <row r="342" spans="1:1" ht="13" x14ac:dyDescent="0.15">
      <c r="A342" s="236"/>
    </row>
    <row r="343" spans="1:1" ht="13" x14ac:dyDescent="0.15">
      <c r="A343" s="236"/>
    </row>
    <row r="344" spans="1:1" ht="13" x14ac:dyDescent="0.15">
      <c r="A344" s="236"/>
    </row>
    <row r="345" spans="1:1" ht="13" x14ac:dyDescent="0.15">
      <c r="A345" s="236"/>
    </row>
    <row r="346" spans="1:1" ht="13" x14ac:dyDescent="0.15">
      <c r="A346" s="236"/>
    </row>
    <row r="347" spans="1:1" ht="13" x14ac:dyDescent="0.15">
      <c r="A347" s="236"/>
    </row>
    <row r="348" spans="1:1" ht="13" x14ac:dyDescent="0.15">
      <c r="A348" s="236"/>
    </row>
    <row r="349" spans="1:1" ht="13" x14ac:dyDescent="0.15">
      <c r="A349" s="236"/>
    </row>
    <row r="350" spans="1:1" ht="13" x14ac:dyDescent="0.15">
      <c r="A350" s="236"/>
    </row>
    <row r="351" spans="1:1" ht="13" x14ac:dyDescent="0.15">
      <c r="A351" s="236"/>
    </row>
    <row r="352" spans="1:1" ht="13" x14ac:dyDescent="0.15">
      <c r="A352" s="236"/>
    </row>
    <row r="353" spans="1:1" ht="13" x14ac:dyDescent="0.15">
      <c r="A353" s="236"/>
    </row>
    <row r="354" spans="1:1" ht="13" x14ac:dyDescent="0.15">
      <c r="A354" s="236"/>
    </row>
    <row r="355" spans="1:1" ht="13" x14ac:dyDescent="0.15">
      <c r="A355" s="236"/>
    </row>
    <row r="356" spans="1:1" ht="13" x14ac:dyDescent="0.15">
      <c r="A356" s="236"/>
    </row>
    <row r="357" spans="1:1" ht="13" x14ac:dyDescent="0.15">
      <c r="A357" s="236"/>
    </row>
    <row r="358" spans="1:1" ht="13" x14ac:dyDescent="0.15">
      <c r="A358" s="236"/>
    </row>
    <row r="359" spans="1:1" ht="13" x14ac:dyDescent="0.15">
      <c r="A359" s="236"/>
    </row>
    <row r="360" spans="1:1" ht="13" x14ac:dyDescent="0.15">
      <c r="A360" s="236"/>
    </row>
    <row r="361" spans="1:1" ht="13" x14ac:dyDescent="0.15">
      <c r="A361" s="236"/>
    </row>
    <row r="362" spans="1:1" ht="13" x14ac:dyDescent="0.15">
      <c r="A362" s="236"/>
    </row>
    <row r="363" spans="1:1" ht="13" x14ac:dyDescent="0.15">
      <c r="A363" s="236"/>
    </row>
    <row r="364" spans="1:1" ht="13" x14ac:dyDescent="0.15">
      <c r="A364" s="236"/>
    </row>
    <row r="365" spans="1:1" ht="13" x14ac:dyDescent="0.15">
      <c r="A365" s="236"/>
    </row>
    <row r="366" spans="1:1" ht="13" x14ac:dyDescent="0.15">
      <c r="A366" s="236"/>
    </row>
    <row r="367" spans="1:1" ht="13" x14ac:dyDescent="0.15">
      <c r="A367" s="236"/>
    </row>
    <row r="368" spans="1:1" ht="13" x14ac:dyDescent="0.15">
      <c r="A368" s="236"/>
    </row>
    <row r="369" spans="1:1" ht="13" x14ac:dyDescent="0.15">
      <c r="A369" s="236"/>
    </row>
    <row r="370" spans="1:1" ht="13" x14ac:dyDescent="0.15">
      <c r="A370" s="236"/>
    </row>
    <row r="371" spans="1:1" ht="13" x14ac:dyDescent="0.15">
      <c r="A371" s="236"/>
    </row>
    <row r="372" spans="1:1" ht="13" x14ac:dyDescent="0.15">
      <c r="A372" s="236"/>
    </row>
    <row r="373" spans="1:1" ht="13" x14ac:dyDescent="0.15">
      <c r="A373" s="236"/>
    </row>
    <row r="374" spans="1:1" ht="13" x14ac:dyDescent="0.15">
      <c r="A374" s="236"/>
    </row>
    <row r="375" spans="1:1" ht="13" x14ac:dyDescent="0.15">
      <c r="A375" s="236"/>
    </row>
    <row r="376" spans="1:1" ht="13" x14ac:dyDescent="0.15">
      <c r="A376" s="236"/>
    </row>
    <row r="377" spans="1:1" ht="13" x14ac:dyDescent="0.15">
      <c r="A377" s="236"/>
    </row>
    <row r="378" spans="1:1" ht="13" x14ac:dyDescent="0.15">
      <c r="A378" s="236"/>
    </row>
    <row r="379" spans="1:1" ht="13" x14ac:dyDescent="0.15">
      <c r="A379" s="236"/>
    </row>
    <row r="380" spans="1:1" ht="13" x14ac:dyDescent="0.15">
      <c r="A380" s="236"/>
    </row>
    <row r="381" spans="1:1" ht="13" x14ac:dyDescent="0.15">
      <c r="A381" s="236"/>
    </row>
    <row r="382" spans="1:1" ht="13" x14ac:dyDescent="0.15">
      <c r="A382" s="236"/>
    </row>
    <row r="383" spans="1:1" ht="13" x14ac:dyDescent="0.15">
      <c r="A383" s="236"/>
    </row>
    <row r="384" spans="1:1" ht="13" x14ac:dyDescent="0.15">
      <c r="A384" s="236"/>
    </row>
    <row r="385" spans="1:1" ht="13" x14ac:dyDescent="0.15">
      <c r="A385" s="236"/>
    </row>
    <row r="386" spans="1:1" ht="13" x14ac:dyDescent="0.15">
      <c r="A386" s="236"/>
    </row>
    <row r="387" spans="1:1" ht="13" x14ac:dyDescent="0.15">
      <c r="A387" s="236"/>
    </row>
    <row r="388" spans="1:1" ht="13" x14ac:dyDescent="0.15">
      <c r="A388" s="236"/>
    </row>
    <row r="389" spans="1:1" ht="13" x14ac:dyDescent="0.15">
      <c r="A389" s="236"/>
    </row>
    <row r="390" spans="1:1" ht="13" x14ac:dyDescent="0.15">
      <c r="A390" s="236"/>
    </row>
    <row r="391" spans="1:1" ht="13" x14ac:dyDescent="0.15">
      <c r="A391" s="236"/>
    </row>
    <row r="392" spans="1:1" ht="13" x14ac:dyDescent="0.15">
      <c r="A392" s="236"/>
    </row>
    <row r="393" spans="1:1" ht="13" x14ac:dyDescent="0.15">
      <c r="A393" s="236"/>
    </row>
    <row r="394" spans="1:1" ht="13" x14ac:dyDescent="0.15">
      <c r="A394" s="236"/>
    </row>
    <row r="395" spans="1:1" ht="13" x14ac:dyDescent="0.15">
      <c r="A395" s="236"/>
    </row>
    <row r="396" spans="1:1" ht="13" x14ac:dyDescent="0.15">
      <c r="A396" s="236"/>
    </row>
    <row r="397" spans="1:1" ht="13" x14ac:dyDescent="0.15">
      <c r="A397" s="236"/>
    </row>
    <row r="398" spans="1:1" ht="13" x14ac:dyDescent="0.15">
      <c r="A398" s="236"/>
    </row>
    <row r="399" spans="1:1" ht="13" x14ac:dyDescent="0.15">
      <c r="A399" s="236"/>
    </row>
    <row r="400" spans="1:1" ht="13" x14ac:dyDescent="0.15">
      <c r="A400" s="236"/>
    </row>
    <row r="401" spans="1:1" ht="13" x14ac:dyDescent="0.15">
      <c r="A401" s="236"/>
    </row>
    <row r="402" spans="1:1" ht="13" x14ac:dyDescent="0.15">
      <c r="A402" s="236"/>
    </row>
    <row r="403" spans="1:1" ht="13" x14ac:dyDescent="0.15">
      <c r="A403" s="236"/>
    </row>
    <row r="404" spans="1:1" ht="13" x14ac:dyDescent="0.15">
      <c r="A404" s="236"/>
    </row>
    <row r="405" spans="1:1" ht="13" x14ac:dyDescent="0.15">
      <c r="A405" s="236"/>
    </row>
    <row r="406" spans="1:1" ht="13" x14ac:dyDescent="0.15">
      <c r="A406" s="236"/>
    </row>
    <row r="407" spans="1:1" ht="13" x14ac:dyDescent="0.15">
      <c r="A407" s="236"/>
    </row>
    <row r="408" spans="1:1" ht="13" x14ac:dyDescent="0.15">
      <c r="A408" s="236"/>
    </row>
    <row r="409" spans="1:1" ht="13" x14ac:dyDescent="0.15">
      <c r="A409" s="236"/>
    </row>
    <row r="410" spans="1:1" ht="13" x14ac:dyDescent="0.15">
      <c r="A410" s="236"/>
    </row>
    <row r="411" spans="1:1" ht="13" x14ac:dyDescent="0.15">
      <c r="A411" s="236"/>
    </row>
    <row r="412" spans="1:1" ht="13" x14ac:dyDescent="0.15">
      <c r="A412" s="236"/>
    </row>
    <row r="413" spans="1:1" ht="13" x14ac:dyDescent="0.15">
      <c r="A413" s="236"/>
    </row>
    <row r="414" spans="1:1" ht="13" x14ac:dyDescent="0.15">
      <c r="A414" s="236"/>
    </row>
    <row r="415" spans="1:1" ht="13" x14ac:dyDescent="0.15">
      <c r="A415" s="236"/>
    </row>
    <row r="416" spans="1:1" ht="13" x14ac:dyDescent="0.15">
      <c r="A416" s="236"/>
    </row>
    <row r="417" spans="1:1" ht="13" x14ac:dyDescent="0.15">
      <c r="A417" s="236"/>
    </row>
    <row r="418" spans="1:1" ht="13" x14ac:dyDescent="0.15">
      <c r="A418" s="236"/>
    </row>
    <row r="419" spans="1:1" ht="13" x14ac:dyDescent="0.15">
      <c r="A419" s="236"/>
    </row>
    <row r="420" spans="1:1" ht="13" x14ac:dyDescent="0.15">
      <c r="A420" s="236"/>
    </row>
    <row r="421" spans="1:1" ht="13" x14ac:dyDescent="0.15">
      <c r="A421" s="236"/>
    </row>
    <row r="422" spans="1:1" ht="13" x14ac:dyDescent="0.15">
      <c r="A422" s="236"/>
    </row>
    <row r="423" spans="1:1" ht="13" x14ac:dyDescent="0.15">
      <c r="A423" s="236"/>
    </row>
    <row r="424" spans="1:1" ht="13" x14ac:dyDescent="0.15">
      <c r="A424" s="236"/>
    </row>
    <row r="425" spans="1:1" ht="13" x14ac:dyDescent="0.15">
      <c r="A425" s="236"/>
    </row>
    <row r="426" spans="1:1" ht="13" x14ac:dyDescent="0.15">
      <c r="A426" s="236"/>
    </row>
    <row r="427" spans="1:1" ht="13" x14ac:dyDescent="0.15">
      <c r="A427" s="236"/>
    </row>
    <row r="428" spans="1:1" ht="13" x14ac:dyDescent="0.15">
      <c r="A428" s="236"/>
    </row>
    <row r="429" spans="1:1" ht="13" x14ac:dyDescent="0.15">
      <c r="A429" s="236"/>
    </row>
    <row r="430" spans="1:1" ht="13" x14ac:dyDescent="0.15">
      <c r="A430" s="236"/>
    </row>
    <row r="431" spans="1:1" ht="13" x14ac:dyDescent="0.15">
      <c r="A431" s="236"/>
    </row>
    <row r="432" spans="1:1" ht="13" x14ac:dyDescent="0.15">
      <c r="A432" s="236"/>
    </row>
    <row r="433" spans="1:1" ht="13" x14ac:dyDescent="0.15">
      <c r="A433" s="236"/>
    </row>
    <row r="434" spans="1:1" ht="13" x14ac:dyDescent="0.15">
      <c r="A434" s="236"/>
    </row>
    <row r="435" spans="1:1" ht="13" x14ac:dyDescent="0.15">
      <c r="A435" s="236"/>
    </row>
    <row r="436" spans="1:1" ht="13" x14ac:dyDescent="0.15">
      <c r="A436" s="236"/>
    </row>
    <row r="437" spans="1:1" ht="13" x14ac:dyDescent="0.15">
      <c r="A437" s="236"/>
    </row>
    <row r="438" spans="1:1" ht="13" x14ac:dyDescent="0.15">
      <c r="A438" s="236"/>
    </row>
    <row r="439" spans="1:1" ht="13" x14ac:dyDescent="0.15">
      <c r="A439" s="236"/>
    </row>
    <row r="440" spans="1:1" ht="13" x14ac:dyDescent="0.15">
      <c r="A440" s="236"/>
    </row>
    <row r="441" spans="1:1" ht="13" x14ac:dyDescent="0.15">
      <c r="A441" s="236"/>
    </row>
    <row r="442" spans="1:1" ht="13" x14ac:dyDescent="0.15">
      <c r="A442" s="236"/>
    </row>
    <row r="443" spans="1:1" ht="13" x14ac:dyDescent="0.15">
      <c r="A443" s="236"/>
    </row>
    <row r="444" spans="1:1" ht="13" x14ac:dyDescent="0.15">
      <c r="A444" s="236"/>
    </row>
    <row r="445" spans="1:1" ht="13" x14ac:dyDescent="0.15">
      <c r="A445" s="236"/>
    </row>
    <row r="446" spans="1:1" ht="13" x14ac:dyDescent="0.15">
      <c r="A446" s="236"/>
    </row>
    <row r="447" spans="1:1" ht="13" x14ac:dyDescent="0.15">
      <c r="A447" s="236"/>
    </row>
    <row r="448" spans="1:1" ht="13" x14ac:dyDescent="0.15">
      <c r="A448" s="236"/>
    </row>
    <row r="449" spans="1:1" ht="13" x14ac:dyDescent="0.15">
      <c r="A449" s="236"/>
    </row>
    <row r="450" spans="1:1" ht="13" x14ac:dyDescent="0.15">
      <c r="A450" s="236"/>
    </row>
    <row r="451" spans="1:1" ht="13" x14ac:dyDescent="0.15">
      <c r="A451" s="236"/>
    </row>
    <row r="452" spans="1:1" ht="13" x14ac:dyDescent="0.15">
      <c r="A452" s="236"/>
    </row>
    <row r="453" spans="1:1" ht="13" x14ac:dyDescent="0.15">
      <c r="A453" s="236"/>
    </row>
    <row r="454" spans="1:1" ht="13" x14ac:dyDescent="0.15">
      <c r="A454" s="236"/>
    </row>
    <row r="455" spans="1:1" ht="13" x14ac:dyDescent="0.15">
      <c r="A455" s="236"/>
    </row>
    <row r="456" spans="1:1" ht="13" x14ac:dyDescent="0.15">
      <c r="A456" s="236"/>
    </row>
    <row r="457" spans="1:1" ht="13" x14ac:dyDescent="0.15">
      <c r="A457" s="236"/>
    </row>
    <row r="458" spans="1:1" ht="13" x14ac:dyDescent="0.15">
      <c r="A458" s="236"/>
    </row>
    <row r="459" spans="1:1" ht="13" x14ac:dyDescent="0.15">
      <c r="A459" s="236"/>
    </row>
    <row r="460" spans="1:1" ht="13" x14ac:dyDescent="0.15">
      <c r="A460" s="236"/>
    </row>
    <row r="461" spans="1:1" ht="13" x14ac:dyDescent="0.15">
      <c r="A461" s="236"/>
    </row>
    <row r="462" spans="1:1" ht="13" x14ac:dyDescent="0.15">
      <c r="A462" s="236"/>
    </row>
    <row r="463" spans="1:1" ht="13" x14ac:dyDescent="0.15">
      <c r="A463" s="236"/>
    </row>
    <row r="464" spans="1:1" ht="13" x14ac:dyDescent="0.15">
      <c r="A464" s="236"/>
    </row>
    <row r="465" spans="1:1" ht="13" x14ac:dyDescent="0.15">
      <c r="A465" s="236"/>
    </row>
    <row r="466" spans="1:1" ht="13" x14ac:dyDescent="0.15">
      <c r="A466" s="236"/>
    </row>
    <row r="467" spans="1:1" ht="13" x14ac:dyDescent="0.15">
      <c r="A467" s="236"/>
    </row>
    <row r="468" spans="1:1" ht="13" x14ac:dyDescent="0.15">
      <c r="A468" s="236"/>
    </row>
    <row r="469" spans="1:1" ht="13" x14ac:dyDescent="0.15">
      <c r="A469" s="236"/>
    </row>
    <row r="470" spans="1:1" ht="13" x14ac:dyDescent="0.15">
      <c r="A470" s="236"/>
    </row>
    <row r="471" spans="1:1" ht="13" x14ac:dyDescent="0.15">
      <c r="A471" s="236"/>
    </row>
    <row r="472" spans="1:1" ht="13" x14ac:dyDescent="0.15">
      <c r="A472" s="236"/>
    </row>
    <row r="473" spans="1:1" ht="13" x14ac:dyDescent="0.15">
      <c r="A473" s="236"/>
    </row>
    <row r="474" spans="1:1" ht="13" x14ac:dyDescent="0.15">
      <c r="A474" s="236"/>
    </row>
    <row r="475" spans="1:1" ht="13" x14ac:dyDescent="0.15">
      <c r="A475" s="236"/>
    </row>
    <row r="476" spans="1:1" ht="13" x14ac:dyDescent="0.15">
      <c r="A476" s="236"/>
    </row>
    <row r="477" spans="1:1" ht="13" x14ac:dyDescent="0.15">
      <c r="A477" s="236"/>
    </row>
    <row r="478" spans="1:1" ht="13" x14ac:dyDescent="0.15">
      <c r="A478" s="236"/>
    </row>
    <row r="479" spans="1:1" ht="13" x14ac:dyDescent="0.15">
      <c r="A479" s="236"/>
    </row>
    <row r="480" spans="1:1" ht="13" x14ac:dyDescent="0.15">
      <c r="A480" s="236"/>
    </row>
    <row r="481" spans="1:1" ht="13" x14ac:dyDescent="0.15">
      <c r="A481" s="236"/>
    </row>
    <row r="482" spans="1:1" ht="13" x14ac:dyDescent="0.15">
      <c r="A482" s="236"/>
    </row>
    <row r="483" spans="1:1" ht="13" x14ac:dyDescent="0.15">
      <c r="A483" s="236"/>
    </row>
    <row r="484" spans="1:1" ht="13" x14ac:dyDescent="0.15">
      <c r="A484" s="236"/>
    </row>
    <row r="485" spans="1:1" ht="13" x14ac:dyDescent="0.15">
      <c r="A485" s="236"/>
    </row>
    <row r="486" spans="1:1" ht="13" x14ac:dyDescent="0.15">
      <c r="A486" s="236"/>
    </row>
    <row r="487" spans="1:1" ht="13" x14ac:dyDescent="0.15">
      <c r="A487" s="236"/>
    </row>
    <row r="488" spans="1:1" ht="13" x14ac:dyDescent="0.15">
      <c r="A488" s="236"/>
    </row>
    <row r="489" spans="1:1" ht="13" x14ac:dyDescent="0.15">
      <c r="A489" s="236"/>
    </row>
    <row r="490" spans="1:1" ht="13" x14ac:dyDescent="0.15">
      <c r="A490" s="236"/>
    </row>
    <row r="491" spans="1:1" ht="13" x14ac:dyDescent="0.15">
      <c r="A491" s="236"/>
    </row>
    <row r="492" spans="1:1" ht="13" x14ac:dyDescent="0.15">
      <c r="A492" s="236"/>
    </row>
    <row r="493" spans="1:1" ht="13" x14ac:dyDescent="0.15">
      <c r="A493" s="236"/>
    </row>
    <row r="494" spans="1:1" ht="13" x14ac:dyDescent="0.15">
      <c r="A494" s="236"/>
    </row>
    <row r="495" spans="1:1" ht="13" x14ac:dyDescent="0.15">
      <c r="A495" s="236"/>
    </row>
    <row r="496" spans="1:1" ht="13" x14ac:dyDescent="0.15">
      <c r="A496" s="236"/>
    </row>
    <row r="497" spans="1:1" ht="13" x14ac:dyDescent="0.15">
      <c r="A497" s="236"/>
    </row>
    <row r="498" spans="1:1" ht="13" x14ac:dyDescent="0.15">
      <c r="A498" s="236"/>
    </row>
    <row r="499" spans="1:1" ht="13" x14ac:dyDescent="0.15">
      <c r="A499" s="236"/>
    </row>
    <row r="500" spans="1:1" ht="13" x14ac:dyDescent="0.15">
      <c r="A500" s="236"/>
    </row>
    <row r="501" spans="1:1" ht="13" x14ac:dyDescent="0.15">
      <c r="A501" s="236"/>
    </row>
    <row r="502" spans="1:1" ht="13" x14ac:dyDescent="0.15">
      <c r="A502" s="236"/>
    </row>
    <row r="503" spans="1:1" ht="13" x14ac:dyDescent="0.15">
      <c r="A503" s="236"/>
    </row>
    <row r="504" spans="1:1" ht="13" x14ac:dyDescent="0.15">
      <c r="A504" s="236"/>
    </row>
    <row r="505" spans="1:1" ht="13" x14ac:dyDescent="0.15">
      <c r="A505" s="236"/>
    </row>
    <row r="506" spans="1:1" ht="13" x14ac:dyDescent="0.15">
      <c r="A506" s="236"/>
    </row>
    <row r="507" spans="1:1" ht="13" x14ac:dyDescent="0.15">
      <c r="A507" s="236"/>
    </row>
    <row r="508" spans="1:1" ht="13" x14ac:dyDescent="0.15">
      <c r="A508" s="236"/>
    </row>
    <row r="509" spans="1:1" ht="13" x14ac:dyDescent="0.15">
      <c r="A509" s="236"/>
    </row>
    <row r="510" spans="1:1" ht="13" x14ac:dyDescent="0.15">
      <c r="A510" s="236"/>
    </row>
    <row r="511" spans="1:1" ht="13" x14ac:dyDescent="0.15">
      <c r="A511" s="236"/>
    </row>
    <row r="512" spans="1:1" ht="13" x14ac:dyDescent="0.15">
      <c r="A512" s="236"/>
    </row>
    <row r="513" spans="1:1" ht="13" x14ac:dyDescent="0.15">
      <c r="A513" s="236"/>
    </row>
    <row r="514" spans="1:1" ht="13" x14ac:dyDescent="0.15">
      <c r="A514" s="236"/>
    </row>
    <row r="515" spans="1:1" ht="13" x14ac:dyDescent="0.15">
      <c r="A515" s="236"/>
    </row>
    <row r="516" spans="1:1" ht="13" x14ac:dyDescent="0.15">
      <c r="A516" s="236"/>
    </row>
    <row r="517" spans="1:1" ht="13" x14ac:dyDescent="0.15">
      <c r="A517" s="236"/>
    </row>
    <row r="518" spans="1:1" ht="13" x14ac:dyDescent="0.15">
      <c r="A518" s="236"/>
    </row>
    <row r="519" spans="1:1" ht="13" x14ac:dyDescent="0.15">
      <c r="A519" s="236"/>
    </row>
    <row r="520" spans="1:1" ht="13" x14ac:dyDescent="0.15">
      <c r="A520" s="236"/>
    </row>
    <row r="521" spans="1:1" ht="13" x14ac:dyDescent="0.15">
      <c r="A521" s="236"/>
    </row>
    <row r="522" spans="1:1" ht="13" x14ac:dyDescent="0.15">
      <c r="A522" s="236"/>
    </row>
    <row r="523" spans="1:1" ht="13" x14ac:dyDescent="0.15">
      <c r="A523" s="236"/>
    </row>
    <row r="524" spans="1:1" ht="13" x14ac:dyDescent="0.15">
      <c r="A524" s="236"/>
    </row>
    <row r="525" spans="1:1" ht="13" x14ac:dyDescent="0.15">
      <c r="A525" s="236"/>
    </row>
    <row r="526" spans="1:1" ht="13" x14ac:dyDescent="0.15">
      <c r="A526" s="236"/>
    </row>
    <row r="527" spans="1:1" ht="13" x14ac:dyDescent="0.15">
      <c r="A527" s="236"/>
    </row>
    <row r="528" spans="1:1" ht="13" x14ac:dyDescent="0.15">
      <c r="A528" s="236"/>
    </row>
    <row r="529" spans="1:1" ht="13" x14ac:dyDescent="0.15">
      <c r="A529" s="236"/>
    </row>
    <row r="530" spans="1:1" ht="13" x14ac:dyDescent="0.15">
      <c r="A530" s="236"/>
    </row>
    <row r="531" spans="1:1" ht="13" x14ac:dyDescent="0.15">
      <c r="A531" s="236"/>
    </row>
    <row r="532" spans="1:1" ht="13" x14ac:dyDescent="0.15">
      <c r="A532" s="236"/>
    </row>
    <row r="533" spans="1:1" ht="13" x14ac:dyDescent="0.15">
      <c r="A533" s="236"/>
    </row>
    <row r="534" spans="1:1" ht="13" x14ac:dyDescent="0.15">
      <c r="A534" s="236"/>
    </row>
    <row r="535" spans="1:1" ht="13" x14ac:dyDescent="0.15">
      <c r="A535" s="236"/>
    </row>
    <row r="536" spans="1:1" ht="13" x14ac:dyDescent="0.15">
      <c r="A536" s="236"/>
    </row>
    <row r="537" spans="1:1" ht="13" x14ac:dyDescent="0.15">
      <c r="A537" s="236"/>
    </row>
    <row r="538" spans="1:1" ht="13" x14ac:dyDescent="0.15">
      <c r="A538" s="236"/>
    </row>
    <row r="539" spans="1:1" ht="13" x14ac:dyDescent="0.15">
      <c r="A539" s="236"/>
    </row>
    <row r="540" spans="1:1" ht="13" x14ac:dyDescent="0.15">
      <c r="A540" s="236"/>
    </row>
    <row r="541" spans="1:1" ht="13" x14ac:dyDescent="0.15">
      <c r="A541" s="236"/>
    </row>
    <row r="542" spans="1:1" ht="13" x14ac:dyDescent="0.15">
      <c r="A542" s="236"/>
    </row>
    <row r="543" spans="1:1" ht="13" x14ac:dyDescent="0.15">
      <c r="A543" s="236"/>
    </row>
    <row r="544" spans="1:1" ht="13" x14ac:dyDescent="0.15">
      <c r="A544" s="236"/>
    </row>
    <row r="545" spans="1:1" ht="13" x14ac:dyDescent="0.15">
      <c r="A545" s="236"/>
    </row>
    <row r="546" spans="1:1" ht="13" x14ac:dyDescent="0.15">
      <c r="A546" s="236"/>
    </row>
    <row r="547" spans="1:1" ht="13" x14ac:dyDescent="0.15">
      <c r="A547" s="236"/>
    </row>
    <row r="548" spans="1:1" ht="13" x14ac:dyDescent="0.15">
      <c r="A548" s="236"/>
    </row>
    <row r="549" spans="1:1" ht="13" x14ac:dyDescent="0.15">
      <c r="A549" s="236"/>
    </row>
    <row r="550" spans="1:1" ht="13" x14ac:dyDescent="0.15">
      <c r="A550" s="236"/>
    </row>
    <row r="551" spans="1:1" ht="13" x14ac:dyDescent="0.15">
      <c r="A551" s="236"/>
    </row>
    <row r="552" spans="1:1" ht="13" x14ac:dyDescent="0.15">
      <c r="A552" s="236"/>
    </row>
    <row r="553" spans="1:1" ht="13" x14ac:dyDescent="0.15">
      <c r="A553" s="236"/>
    </row>
    <row r="554" spans="1:1" ht="13" x14ac:dyDescent="0.15">
      <c r="A554" s="236"/>
    </row>
    <row r="555" spans="1:1" ht="13" x14ac:dyDescent="0.15">
      <c r="A555" s="236"/>
    </row>
    <row r="556" spans="1:1" ht="13" x14ac:dyDescent="0.15">
      <c r="A556" s="236"/>
    </row>
    <row r="557" spans="1:1" ht="13" x14ac:dyDescent="0.15">
      <c r="A557" s="236"/>
    </row>
    <row r="558" spans="1:1" ht="13" x14ac:dyDescent="0.15">
      <c r="A558" s="236"/>
    </row>
    <row r="559" spans="1:1" ht="13" x14ac:dyDescent="0.15">
      <c r="A559" s="236"/>
    </row>
    <row r="560" spans="1:1" ht="13" x14ac:dyDescent="0.15">
      <c r="A560" s="236"/>
    </row>
    <row r="561" spans="1:1" ht="13" x14ac:dyDescent="0.15">
      <c r="A561" s="236"/>
    </row>
    <row r="562" spans="1:1" ht="13" x14ac:dyDescent="0.15">
      <c r="A562" s="236"/>
    </row>
    <row r="563" spans="1:1" ht="13" x14ac:dyDescent="0.15">
      <c r="A563" s="236"/>
    </row>
    <row r="564" spans="1:1" ht="13" x14ac:dyDescent="0.15">
      <c r="A564" s="236"/>
    </row>
    <row r="565" spans="1:1" ht="13" x14ac:dyDescent="0.15">
      <c r="A565" s="236"/>
    </row>
    <row r="566" spans="1:1" ht="13" x14ac:dyDescent="0.15">
      <c r="A566" s="236"/>
    </row>
    <row r="567" spans="1:1" ht="13" x14ac:dyDescent="0.15">
      <c r="A567" s="236"/>
    </row>
    <row r="568" spans="1:1" ht="13" x14ac:dyDescent="0.15">
      <c r="A568" s="236"/>
    </row>
    <row r="569" spans="1:1" ht="13" x14ac:dyDescent="0.15">
      <c r="A569" s="236"/>
    </row>
    <row r="570" spans="1:1" ht="13" x14ac:dyDescent="0.15">
      <c r="A570" s="236"/>
    </row>
    <row r="571" spans="1:1" ht="13" x14ac:dyDescent="0.15">
      <c r="A571" s="236"/>
    </row>
    <row r="572" spans="1:1" ht="13" x14ac:dyDescent="0.15">
      <c r="A572" s="236"/>
    </row>
    <row r="573" spans="1:1" ht="13" x14ac:dyDescent="0.15">
      <c r="A573" s="236"/>
    </row>
    <row r="574" spans="1:1" ht="13" x14ac:dyDescent="0.15">
      <c r="A574" s="236"/>
    </row>
    <row r="575" spans="1:1" ht="13" x14ac:dyDescent="0.15">
      <c r="A575" s="236"/>
    </row>
    <row r="576" spans="1:1" ht="13" x14ac:dyDescent="0.15">
      <c r="A576" s="236"/>
    </row>
    <row r="577" spans="1:1" ht="13" x14ac:dyDescent="0.15">
      <c r="A577" s="236"/>
    </row>
    <row r="578" spans="1:1" ht="13" x14ac:dyDescent="0.15">
      <c r="A578" s="236"/>
    </row>
    <row r="579" spans="1:1" ht="13" x14ac:dyDescent="0.15">
      <c r="A579" s="236"/>
    </row>
    <row r="580" spans="1:1" ht="13" x14ac:dyDescent="0.15">
      <c r="A580" s="236"/>
    </row>
    <row r="581" spans="1:1" ht="13" x14ac:dyDescent="0.15">
      <c r="A581" s="236"/>
    </row>
    <row r="582" spans="1:1" ht="13" x14ac:dyDescent="0.15">
      <c r="A582" s="236"/>
    </row>
    <row r="583" spans="1:1" ht="13" x14ac:dyDescent="0.15">
      <c r="A583" s="236"/>
    </row>
    <row r="584" spans="1:1" ht="13" x14ac:dyDescent="0.15">
      <c r="A584" s="236"/>
    </row>
    <row r="585" spans="1:1" ht="13" x14ac:dyDescent="0.15">
      <c r="A585" s="236"/>
    </row>
    <row r="586" spans="1:1" ht="13" x14ac:dyDescent="0.15">
      <c r="A586" s="236"/>
    </row>
    <row r="587" spans="1:1" ht="13" x14ac:dyDescent="0.15">
      <c r="A587" s="236"/>
    </row>
    <row r="588" spans="1:1" ht="13" x14ac:dyDescent="0.15">
      <c r="A588" s="236"/>
    </row>
    <row r="589" spans="1:1" ht="13" x14ac:dyDescent="0.15">
      <c r="A589" s="236"/>
    </row>
    <row r="590" spans="1:1" ht="13" x14ac:dyDescent="0.15">
      <c r="A590" s="236"/>
    </row>
    <row r="591" spans="1:1" ht="13" x14ac:dyDescent="0.15">
      <c r="A591" s="236"/>
    </row>
    <row r="592" spans="1:1" ht="13" x14ac:dyDescent="0.15">
      <c r="A592" s="236"/>
    </row>
    <row r="593" spans="1:1" ht="13" x14ac:dyDescent="0.15">
      <c r="A593" s="236"/>
    </row>
    <row r="594" spans="1:1" ht="13" x14ac:dyDescent="0.15">
      <c r="A594" s="236"/>
    </row>
    <row r="595" spans="1:1" ht="13" x14ac:dyDescent="0.15">
      <c r="A595" s="236"/>
    </row>
    <row r="596" spans="1:1" ht="13" x14ac:dyDescent="0.15">
      <c r="A596" s="236"/>
    </row>
    <row r="597" spans="1:1" ht="13" x14ac:dyDescent="0.15">
      <c r="A597" s="236"/>
    </row>
    <row r="598" spans="1:1" ht="13" x14ac:dyDescent="0.15">
      <c r="A598" s="236"/>
    </row>
    <row r="599" spans="1:1" ht="13" x14ac:dyDescent="0.15">
      <c r="A599" s="236"/>
    </row>
    <row r="600" spans="1:1" ht="13" x14ac:dyDescent="0.15">
      <c r="A600" s="236"/>
    </row>
    <row r="601" spans="1:1" ht="13" x14ac:dyDescent="0.15">
      <c r="A601" s="236"/>
    </row>
    <row r="602" spans="1:1" ht="13" x14ac:dyDescent="0.15">
      <c r="A602" s="236"/>
    </row>
    <row r="603" spans="1:1" ht="13" x14ac:dyDescent="0.15">
      <c r="A603" s="236"/>
    </row>
    <row r="604" spans="1:1" ht="13" x14ac:dyDescent="0.15">
      <c r="A604" s="236"/>
    </row>
    <row r="605" spans="1:1" ht="13" x14ac:dyDescent="0.15">
      <c r="A605" s="236"/>
    </row>
    <row r="606" spans="1:1" ht="13" x14ac:dyDescent="0.15">
      <c r="A606" s="236"/>
    </row>
    <row r="607" spans="1:1" ht="13" x14ac:dyDescent="0.15">
      <c r="A607" s="236"/>
    </row>
    <row r="608" spans="1:1" ht="13" x14ac:dyDescent="0.15">
      <c r="A608" s="236"/>
    </row>
    <row r="609" spans="1:1" ht="13" x14ac:dyDescent="0.15">
      <c r="A609" s="236"/>
    </row>
    <row r="610" spans="1:1" ht="13" x14ac:dyDescent="0.15">
      <c r="A610" s="236"/>
    </row>
    <row r="611" spans="1:1" ht="13" x14ac:dyDescent="0.15">
      <c r="A611" s="236"/>
    </row>
    <row r="612" spans="1:1" ht="13" x14ac:dyDescent="0.15">
      <c r="A612" s="236"/>
    </row>
    <row r="613" spans="1:1" ht="13" x14ac:dyDescent="0.15">
      <c r="A613" s="236"/>
    </row>
    <row r="614" spans="1:1" ht="13" x14ac:dyDescent="0.15">
      <c r="A614" s="236"/>
    </row>
    <row r="615" spans="1:1" ht="13" x14ac:dyDescent="0.15">
      <c r="A615" s="236"/>
    </row>
    <row r="616" spans="1:1" ht="13" x14ac:dyDescent="0.15">
      <c r="A616" s="236"/>
    </row>
    <row r="617" spans="1:1" ht="13" x14ac:dyDescent="0.15">
      <c r="A617" s="236"/>
    </row>
    <row r="618" spans="1:1" ht="13" x14ac:dyDescent="0.15">
      <c r="A618" s="236"/>
    </row>
    <row r="619" spans="1:1" ht="13" x14ac:dyDescent="0.15">
      <c r="A619" s="236"/>
    </row>
    <row r="620" spans="1:1" ht="13" x14ac:dyDescent="0.15">
      <c r="A620" s="236"/>
    </row>
    <row r="621" spans="1:1" ht="13" x14ac:dyDescent="0.15">
      <c r="A621" s="236"/>
    </row>
    <row r="622" spans="1:1" ht="13" x14ac:dyDescent="0.15">
      <c r="A622" s="236"/>
    </row>
    <row r="623" spans="1:1" ht="13" x14ac:dyDescent="0.15">
      <c r="A623" s="236"/>
    </row>
    <row r="624" spans="1:1" ht="13" x14ac:dyDescent="0.15">
      <c r="A624" s="236"/>
    </row>
    <row r="625" spans="1:1" ht="13" x14ac:dyDescent="0.15">
      <c r="A625" s="236"/>
    </row>
    <row r="626" spans="1:1" ht="13" x14ac:dyDescent="0.15">
      <c r="A626" s="236"/>
    </row>
    <row r="627" spans="1:1" ht="13" x14ac:dyDescent="0.15">
      <c r="A627" s="236"/>
    </row>
    <row r="628" spans="1:1" ht="13" x14ac:dyDescent="0.15">
      <c r="A628" s="236"/>
    </row>
    <row r="629" spans="1:1" ht="13" x14ac:dyDescent="0.15">
      <c r="A629" s="236"/>
    </row>
    <row r="630" spans="1:1" ht="13" x14ac:dyDescent="0.15">
      <c r="A630" s="236"/>
    </row>
    <row r="631" spans="1:1" ht="13" x14ac:dyDescent="0.15">
      <c r="A631" s="236"/>
    </row>
    <row r="632" spans="1:1" ht="13" x14ac:dyDescent="0.15">
      <c r="A632" s="236"/>
    </row>
    <row r="633" spans="1:1" ht="13" x14ac:dyDescent="0.15">
      <c r="A633" s="236"/>
    </row>
    <row r="634" spans="1:1" ht="13" x14ac:dyDescent="0.15">
      <c r="A634" s="236"/>
    </row>
    <row r="635" spans="1:1" ht="13" x14ac:dyDescent="0.15">
      <c r="A635" s="236"/>
    </row>
    <row r="636" spans="1:1" ht="13" x14ac:dyDescent="0.15">
      <c r="A636" s="236"/>
    </row>
    <row r="637" spans="1:1" ht="13" x14ac:dyDescent="0.15">
      <c r="A637" s="236"/>
    </row>
    <row r="638" spans="1:1" ht="13" x14ac:dyDescent="0.15">
      <c r="A638" s="236"/>
    </row>
    <row r="639" spans="1:1" ht="13" x14ac:dyDescent="0.15">
      <c r="A639" s="236"/>
    </row>
    <row r="640" spans="1:1" ht="13" x14ac:dyDescent="0.15">
      <c r="A640" s="236"/>
    </row>
    <row r="641" spans="1:1" ht="13" x14ac:dyDescent="0.15">
      <c r="A641" s="236"/>
    </row>
    <row r="642" spans="1:1" ht="13" x14ac:dyDescent="0.15">
      <c r="A642" s="236"/>
    </row>
    <row r="643" spans="1:1" ht="13" x14ac:dyDescent="0.15">
      <c r="A643" s="236"/>
    </row>
    <row r="644" spans="1:1" ht="13" x14ac:dyDescent="0.15">
      <c r="A644" s="236"/>
    </row>
    <row r="645" spans="1:1" ht="13" x14ac:dyDescent="0.15">
      <c r="A645" s="236"/>
    </row>
    <row r="646" spans="1:1" ht="13" x14ac:dyDescent="0.15">
      <c r="A646" s="236"/>
    </row>
    <row r="647" spans="1:1" ht="13" x14ac:dyDescent="0.15">
      <c r="A647" s="236"/>
    </row>
    <row r="648" spans="1:1" ht="13" x14ac:dyDescent="0.15">
      <c r="A648" s="236"/>
    </row>
    <row r="649" spans="1:1" ht="13" x14ac:dyDescent="0.15">
      <c r="A649" s="236"/>
    </row>
    <row r="650" spans="1:1" ht="13" x14ac:dyDescent="0.15">
      <c r="A650" s="236"/>
    </row>
    <row r="651" spans="1:1" ht="13" x14ac:dyDescent="0.15">
      <c r="A651" s="236"/>
    </row>
    <row r="652" spans="1:1" ht="13" x14ac:dyDescent="0.15">
      <c r="A652" s="236"/>
    </row>
    <row r="653" spans="1:1" ht="13" x14ac:dyDescent="0.15">
      <c r="A653" s="236"/>
    </row>
    <row r="654" spans="1:1" ht="13" x14ac:dyDescent="0.15">
      <c r="A654" s="236"/>
    </row>
    <row r="655" spans="1:1" ht="13" x14ac:dyDescent="0.15">
      <c r="A655" s="236"/>
    </row>
    <row r="656" spans="1:1" ht="13" x14ac:dyDescent="0.15">
      <c r="A656" s="236"/>
    </row>
    <row r="657" spans="1:1" ht="13" x14ac:dyDescent="0.15">
      <c r="A657" s="236"/>
    </row>
    <row r="658" spans="1:1" ht="13" x14ac:dyDescent="0.15">
      <c r="A658" s="236"/>
    </row>
    <row r="659" spans="1:1" ht="13" x14ac:dyDescent="0.15">
      <c r="A659" s="236"/>
    </row>
    <row r="660" spans="1:1" ht="13" x14ac:dyDescent="0.15">
      <c r="A660" s="236"/>
    </row>
    <row r="661" spans="1:1" ht="13" x14ac:dyDescent="0.15">
      <c r="A661" s="236"/>
    </row>
    <row r="662" spans="1:1" ht="13" x14ac:dyDescent="0.15">
      <c r="A662" s="236"/>
    </row>
    <row r="663" spans="1:1" ht="13" x14ac:dyDescent="0.15">
      <c r="A663" s="236"/>
    </row>
    <row r="664" spans="1:1" ht="13" x14ac:dyDescent="0.15">
      <c r="A664" s="236"/>
    </row>
    <row r="665" spans="1:1" ht="13" x14ac:dyDescent="0.15">
      <c r="A665" s="236"/>
    </row>
    <row r="666" spans="1:1" ht="13" x14ac:dyDescent="0.15">
      <c r="A666" s="236"/>
    </row>
    <row r="667" spans="1:1" ht="13" x14ac:dyDescent="0.15">
      <c r="A667" s="236"/>
    </row>
    <row r="668" spans="1:1" ht="13" x14ac:dyDescent="0.15">
      <c r="A668" s="236"/>
    </row>
    <row r="669" spans="1:1" ht="13" x14ac:dyDescent="0.15">
      <c r="A669" s="236"/>
    </row>
    <row r="670" spans="1:1" ht="13" x14ac:dyDescent="0.15">
      <c r="A670" s="236"/>
    </row>
    <row r="671" spans="1:1" ht="13" x14ac:dyDescent="0.15">
      <c r="A671" s="236"/>
    </row>
    <row r="672" spans="1:1" ht="13" x14ac:dyDescent="0.15">
      <c r="A672" s="236"/>
    </row>
    <row r="673" spans="1:1" ht="13" x14ac:dyDescent="0.15">
      <c r="A673" s="236"/>
    </row>
    <row r="674" spans="1:1" ht="13" x14ac:dyDescent="0.15">
      <c r="A674" s="236"/>
    </row>
    <row r="675" spans="1:1" ht="13" x14ac:dyDescent="0.15">
      <c r="A675" s="236"/>
    </row>
    <row r="676" spans="1:1" ht="13" x14ac:dyDescent="0.15">
      <c r="A676" s="236"/>
    </row>
    <row r="677" spans="1:1" ht="13" x14ac:dyDescent="0.15">
      <c r="A677" s="236"/>
    </row>
    <row r="678" spans="1:1" ht="13" x14ac:dyDescent="0.15">
      <c r="A678" s="236"/>
    </row>
    <row r="679" spans="1:1" ht="13" x14ac:dyDescent="0.15">
      <c r="A679" s="236"/>
    </row>
    <row r="680" spans="1:1" ht="13" x14ac:dyDescent="0.15">
      <c r="A680" s="236"/>
    </row>
    <row r="681" spans="1:1" ht="13" x14ac:dyDescent="0.15">
      <c r="A681" s="236"/>
    </row>
    <row r="682" spans="1:1" ht="13" x14ac:dyDescent="0.15">
      <c r="A682" s="236"/>
    </row>
    <row r="683" spans="1:1" ht="13" x14ac:dyDescent="0.15">
      <c r="A683" s="236"/>
    </row>
    <row r="684" spans="1:1" ht="13" x14ac:dyDescent="0.15">
      <c r="A684" s="236"/>
    </row>
    <row r="685" spans="1:1" ht="13" x14ac:dyDescent="0.15">
      <c r="A685" s="236"/>
    </row>
    <row r="686" spans="1:1" ht="13" x14ac:dyDescent="0.15">
      <c r="A686" s="236"/>
    </row>
    <row r="687" spans="1:1" ht="13" x14ac:dyDescent="0.15">
      <c r="A687" s="236"/>
    </row>
    <row r="688" spans="1:1" ht="13" x14ac:dyDescent="0.15">
      <c r="A688" s="236"/>
    </row>
    <row r="689" spans="1:1" ht="13" x14ac:dyDescent="0.15">
      <c r="A689" s="236"/>
    </row>
    <row r="690" spans="1:1" ht="13" x14ac:dyDescent="0.15">
      <c r="A690" s="236"/>
    </row>
    <row r="691" spans="1:1" ht="13" x14ac:dyDescent="0.15">
      <c r="A691" s="236"/>
    </row>
    <row r="692" spans="1:1" ht="13" x14ac:dyDescent="0.15">
      <c r="A692" s="236"/>
    </row>
    <row r="693" spans="1:1" ht="13" x14ac:dyDescent="0.15">
      <c r="A693" s="236"/>
    </row>
    <row r="694" spans="1:1" ht="13" x14ac:dyDescent="0.15">
      <c r="A694" s="236"/>
    </row>
    <row r="695" spans="1:1" ht="13" x14ac:dyDescent="0.15">
      <c r="A695" s="236"/>
    </row>
    <row r="696" spans="1:1" ht="13" x14ac:dyDescent="0.15">
      <c r="A696" s="236"/>
    </row>
    <row r="697" spans="1:1" ht="13" x14ac:dyDescent="0.15">
      <c r="A697" s="236"/>
    </row>
    <row r="698" spans="1:1" ht="13" x14ac:dyDescent="0.15">
      <c r="A698" s="236"/>
    </row>
    <row r="699" spans="1:1" ht="13" x14ac:dyDescent="0.15">
      <c r="A699" s="236"/>
    </row>
    <row r="700" spans="1:1" ht="13" x14ac:dyDescent="0.15">
      <c r="A700" s="236"/>
    </row>
    <row r="701" spans="1:1" ht="13" x14ac:dyDescent="0.15">
      <c r="A701" s="236"/>
    </row>
    <row r="702" spans="1:1" ht="13" x14ac:dyDescent="0.15">
      <c r="A702" s="236"/>
    </row>
    <row r="703" spans="1:1" ht="13" x14ac:dyDescent="0.15">
      <c r="A703" s="236"/>
    </row>
    <row r="704" spans="1:1" ht="13" x14ac:dyDescent="0.15">
      <c r="A704" s="236"/>
    </row>
    <row r="705" spans="1:1" ht="13" x14ac:dyDescent="0.15">
      <c r="A705" s="236"/>
    </row>
    <row r="706" spans="1:1" ht="13" x14ac:dyDescent="0.15">
      <c r="A706" s="236"/>
    </row>
    <row r="707" spans="1:1" ht="13" x14ac:dyDescent="0.15">
      <c r="A707" s="236"/>
    </row>
    <row r="708" spans="1:1" ht="13" x14ac:dyDescent="0.15">
      <c r="A708" s="236"/>
    </row>
    <row r="709" spans="1:1" ht="13" x14ac:dyDescent="0.15">
      <c r="A709" s="236"/>
    </row>
    <row r="710" spans="1:1" ht="13" x14ac:dyDescent="0.15">
      <c r="A710" s="236"/>
    </row>
    <row r="711" spans="1:1" ht="13" x14ac:dyDescent="0.15">
      <c r="A711" s="236"/>
    </row>
    <row r="712" spans="1:1" ht="13" x14ac:dyDescent="0.15">
      <c r="A712" s="236"/>
    </row>
    <row r="713" spans="1:1" ht="13" x14ac:dyDescent="0.15">
      <c r="A713" s="236"/>
    </row>
    <row r="714" spans="1:1" ht="13" x14ac:dyDescent="0.15">
      <c r="A714" s="236"/>
    </row>
    <row r="715" spans="1:1" ht="13" x14ac:dyDescent="0.15">
      <c r="A715" s="236"/>
    </row>
    <row r="716" spans="1:1" ht="13" x14ac:dyDescent="0.15">
      <c r="A716" s="236"/>
    </row>
    <row r="717" spans="1:1" ht="13" x14ac:dyDescent="0.15">
      <c r="A717" s="236"/>
    </row>
    <row r="718" spans="1:1" ht="13" x14ac:dyDescent="0.15">
      <c r="A718" s="236"/>
    </row>
    <row r="719" spans="1:1" ht="13" x14ac:dyDescent="0.15">
      <c r="A719" s="236"/>
    </row>
    <row r="720" spans="1:1" ht="13" x14ac:dyDescent="0.15">
      <c r="A720" s="236"/>
    </row>
    <row r="721" spans="1:1" ht="13" x14ac:dyDescent="0.15">
      <c r="A721" s="236"/>
    </row>
    <row r="722" spans="1:1" ht="13" x14ac:dyDescent="0.15">
      <c r="A722" s="236"/>
    </row>
    <row r="723" spans="1:1" ht="13" x14ac:dyDescent="0.15">
      <c r="A723" s="236"/>
    </row>
    <row r="724" spans="1:1" ht="13" x14ac:dyDescent="0.15">
      <c r="A724" s="236"/>
    </row>
    <row r="725" spans="1:1" ht="13" x14ac:dyDescent="0.15">
      <c r="A725" s="236"/>
    </row>
    <row r="726" spans="1:1" ht="13" x14ac:dyDescent="0.15">
      <c r="A726" s="236"/>
    </row>
    <row r="727" spans="1:1" ht="13" x14ac:dyDescent="0.15">
      <c r="A727" s="236"/>
    </row>
    <row r="728" spans="1:1" ht="13" x14ac:dyDescent="0.15">
      <c r="A728" s="236"/>
    </row>
    <row r="729" spans="1:1" ht="13" x14ac:dyDescent="0.15">
      <c r="A729" s="236"/>
    </row>
    <row r="730" spans="1:1" ht="13" x14ac:dyDescent="0.15">
      <c r="A730" s="236"/>
    </row>
    <row r="731" spans="1:1" ht="13" x14ac:dyDescent="0.15">
      <c r="A731" s="236"/>
    </row>
    <row r="732" spans="1:1" ht="13" x14ac:dyDescent="0.15">
      <c r="A732" s="236"/>
    </row>
    <row r="733" spans="1:1" ht="13" x14ac:dyDescent="0.15">
      <c r="A733" s="236"/>
    </row>
    <row r="734" spans="1:1" ht="13" x14ac:dyDescent="0.15">
      <c r="A734" s="236"/>
    </row>
    <row r="735" spans="1:1" ht="13" x14ac:dyDescent="0.15">
      <c r="A735" s="236"/>
    </row>
    <row r="736" spans="1:1" ht="13" x14ac:dyDescent="0.15">
      <c r="A736" s="236"/>
    </row>
    <row r="737" spans="1:1" ht="13" x14ac:dyDescent="0.15">
      <c r="A737" s="236"/>
    </row>
    <row r="738" spans="1:1" ht="13" x14ac:dyDescent="0.15">
      <c r="A738" s="236"/>
    </row>
    <row r="739" spans="1:1" ht="13" x14ac:dyDescent="0.15">
      <c r="A739" s="236"/>
    </row>
    <row r="740" spans="1:1" ht="13" x14ac:dyDescent="0.15">
      <c r="A740" s="236"/>
    </row>
    <row r="741" spans="1:1" ht="13" x14ac:dyDescent="0.15">
      <c r="A741" s="236"/>
    </row>
    <row r="742" spans="1:1" ht="13" x14ac:dyDescent="0.15">
      <c r="A742" s="236"/>
    </row>
    <row r="743" spans="1:1" ht="13" x14ac:dyDescent="0.15">
      <c r="A743" s="236"/>
    </row>
    <row r="744" spans="1:1" ht="13" x14ac:dyDescent="0.15">
      <c r="A744" s="236"/>
    </row>
    <row r="745" spans="1:1" ht="13" x14ac:dyDescent="0.15">
      <c r="A745" s="236"/>
    </row>
    <row r="746" spans="1:1" ht="13" x14ac:dyDescent="0.15">
      <c r="A746" s="236"/>
    </row>
    <row r="747" spans="1:1" ht="13" x14ac:dyDescent="0.15">
      <c r="A747" s="236"/>
    </row>
    <row r="748" spans="1:1" ht="13" x14ac:dyDescent="0.15">
      <c r="A748" s="236"/>
    </row>
    <row r="749" spans="1:1" ht="13" x14ac:dyDescent="0.15">
      <c r="A749" s="236"/>
    </row>
    <row r="750" spans="1:1" ht="13" x14ac:dyDescent="0.15">
      <c r="A750" s="236"/>
    </row>
    <row r="751" spans="1:1" ht="13" x14ac:dyDescent="0.15">
      <c r="A751" s="236"/>
    </row>
    <row r="752" spans="1:1" ht="13" x14ac:dyDescent="0.15">
      <c r="A752" s="236"/>
    </row>
    <row r="753" spans="1:1" ht="13" x14ac:dyDescent="0.15">
      <c r="A753" s="236"/>
    </row>
    <row r="754" spans="1:1" ht="13" x14ac:dyDescent="0.15">
      <c r="A754" s="236"/>
    </row>
    <row r="755" spans="1:1" ht="13" x14ac:dyDescent="0.15">
      <c r="A755" s="236"/>
    </row>
    <row r="756" spans="1:1" ht="13" x14ac:dyDescent="0.15">
      <c r="A756" s="236"/>
    </row>
    <row r="757" spans="1:1" ht="13" x14ac:dyDescent="0.15">
      <c r="A757" s="236"/>
    </row>
    <row r="758" spans="1:1" ht="13" x14ac:dyDescent="0.15">
      <c r="A758" s="236"/>
    </row>
    <row r="759" spans="1:1" ht="13" x14ac:dyDescent="0.15">
      <c r="A759" s="236"/>
    </row>
    <row r="760" spans="1:1" ht="13" x14ac:dyDescent="0.15">
      <c r="A760" s="236"/>
    </row>
    <row r="761" spans="1:1" ht="13" x14ac:dyDescent="0.15">
      <c r="A761" s="236"/>
    </row>
    <row r="762" spans="1:1" ht="13" x14ac:dyDescent="0.15">
      <c r="A762" s="236"/>
    </row>
    <row r="763" spans="1:1" ht="13" x14ac:dyDescent="0.15">
      <c r="A763" s="236"/>
    </row>
    <row r="764" spans="1:1" ht="13" x14ac:dyDescent="0.15">
      <c r="A764" s="236"/>
    </row>
    <row r="765" spans="1:1" ht="13" x14ac:dyDescent="0.15">
      <c r="A765" s="236"/>
    </row>
    <row r="766" spans="1:1" ht="13" x14ac:dyDescent="0.15">
      <c r="A766" s="236"/>
    </row>
    <row r="767" spans="1:1" ht="13" x14ac:dyDescent="0.15">
      <c r="A767" s="236"/>
    </row>
    <row r="768" spans="1:1" ht="13" x14ac:dyDescent="0.15">
      <c r="A768" s="236"/>
    </row>
    <row r="769" spans="1:1" ht="13" x14ac:dyDescent="0.15">
      <c r="A769" s="236"/>
    </row>
    <row r="770" spans="1:1" ht="13" x14ac:dyDescent="0.15">
      <c r="A770" s="236"/>
    </row>
    <row r="771" spans="1:1" ht="13" x14ac:dyDescent="0.15">
      <c r="A771" s="236"/>
    </row>
    <row r="772" spans="1:1" ht="13" x14ac:dyDescent="0.15">
      <c r="A772" s="236"/>
    </row>
    <row r="773" spans="1:1" ht="13" x14ac:dyDescent="0.15">
      <c r="A773" s="236"/>
    </row>
    <row r="774" spans="1:1" ht="13" x14ac:dyDescent="0.15">
      <c r="A774" s="236"/>
    </row>
    <row r="775" spans="1:1" ht="13" x14ac:dyDescent="0.15">
      <c r="A775" s="236"/>
    </row>
    <row r="776" spans="1:1" ht="13" x14ac:dyDescent="0.15">
      <c r="A776" s="236"/>
    </row>
    <row r="777" spans="1:1" ht="13" x14ac:dyDescent="0.15">
      <c r="A777" s="236"/>
    </row>
    <row r="778" spans="1:1" ht="13" x14ac:dyDescent="0.15">
      <c r="A778" s="236"/>
    </row>
    <row r="779" spans="1:1" ht="13" x14ac:dyDescent="0.15">
      <c r="A779" s="236"/>
    </row>
    <row r="780" spans="1:1" ht="13" x14ac:dyDescent="0.15">
      <c r="A780" s="236"/>
    </row>
    <row r="781" spans="1:1" ht="13" x14ac:dyDescent="0.15">
      <c r="A781" s="236"/>
    </row>
    <row r="782" spans="1:1" ht="13" x14ac:dyDescent="0.15">
      <c r="A782" s="236"/>
    </row>
    <row r="783" spans="1:1" ht="13" x14ac:dyDescent="0.15">
      <c r="A783" s="236"/>
    </row>
    <row r="784" spans="1:1" ht="13" x14ac:dyDescent="0.15">
      <c r="A784" s="236"/>
    </row>
    <row r="785" spans="1:1" ht="13" x14ac:dyDescent="0.15">
      <c r="A785" s="236"/>
    </row>
    <row r="786" spans="1:1" ht="13" x14ac:dyDescent="0.15">
      <c r="A786" s="236"/>
    </row>
    <row r="787" spans="1:1" ht="13" x14ac:dyDescent="0.15">
      <c r="A787" s="236"/>
    </row>
    <row r="788" spans="1:1" ht="13" x14ac:dyDescent="0.15">
      <c r="A788" s="236"/>
    </row>
    <row r="789" spans="1:1" ht="13" x14ac:dyDescent="0.15">
      <c r="A789" s="236"/>
    </row>
    <row r="790" spans="1:1" ht="13" x14ac:dyDescent="0.15">
      <c r="A790" s="236"/>
    </row>
    <row r="791" spans="1:1" ht="13" x14ac:dyDescent="0.15">
      <c r="A791" s="236"/>
    </row>
    <row r="792" spans="1:1" ht="13" x14ac:dyDescent="0.15">
      <c r="A792" s="236"/>
    </row>
    <row r="793" spans="1:1" ht="13" x14ac:dyDescent="0.15">
      <c r="A793" s="236"/>
    </row>
    <row r="794" spans="1:1" ht="13" x14ac:dyDescent="0.15">
      <c r="A794" s="236"/>
    </row>
    <row r="795" spans="1:1" ht="13" x14ac:dyDescent="0.15">
      <c r="A795" s="236"/>
    </row>
    <row r="796" spans="1:1" ht="13" x14ac:dyDescent="0.15">
      <c r="A796" s="236"/>
    </row>
    <row r="797" spans="1:1" ht="13" x14ac:dyDescent="0.15">
      <c r="A797" s="236"/>
    </row>
    <row r="798" spans="1:1" ht="13" x14ac:dyDescent="0.15">
      <c r="A798" s="236"/>
    </row>
    <row r="799" spans="1:1" ht="13" x14ac:dyDescent="0.15">
      <c r="A799" s="236"/>
    </row>
    <row r="800" spans="1:1" ht="13" x14ac:dyDescent="0.15">
      <c r="A800" s="236"/>
    </row>
    <row r="801" spans="1:1" ht="13" x14ac:dyDescent="0.15">
      <c r="A801" s="236"/>
    </row>
    <row r="802" spans="1:1" ht="13" x14ac:dyDescent="0.15">
      <c r="A802" s="236"/>
    </row>
    <row r="803" spans="1:1" ht="13" x14ac:dyDescent="0.15">
      <c r="A803" s="236"/>
    </row>
    <row r="804" spans="1:1" ht="13" x14ac:dyDescent="0.15">
      <c r="A804" s="236"/>
    </row>
    <row r="805" spans="1:1" ht="13" x14ac:dyDescent="0.15">
      <c r="A805" s="236"/>
    </row>
    <row r="806" spans="1:1" ht="13" x14ac:dyDescent="0.15">
      <c r="A806" s="236"/>
    </row>
    <row r="807" spans="1:1" ht="13" x14ac:dyDescent="0.15">
      <c r="A807" s="236"/>
    </row>
    <row r="808" spans="1:1" ht="13" x14ac:dyDescent="0.15">
      <c r="A808" s="236"/>
    </row>
    <row r="809" spans="1:1" ht="13" x14ac:dyDescent="0.15">
      <c r="A809" s="236"/>
    </row>
    <row r="810" spans="1:1" ht="13" x14ac:dyDescent="0.15">
      <c r="A810" s="236"/>
    </row>
    <row r="811" spans="1:1" ht="13" x14ac:dyDescent="0.15">
      <c r="A811" s="236"/>
    </row>
    <row r="812" spans="1:1" ht="13" x14ac:dyDescent="0.15">
      <c r="A812" s="236"/>
    </row>
    <row r="813" spans="1:1" ht="13" x14ac:dyDescent="0.15">
      <c r="A813" s="236"/>
    </row>
    <row r="814" spans="1:1" ht="13" x14ac:dyDescent="0.15">
      <c r="A814" s="236"/>
    </row>
    <row r="815" spans="1:1" ht="13" x14ac:dyDescent="0.15">
      <c r="A815" s="236"/>
    </row>
    <row r="816" spans="1:1" ht="13" x14ac:dyDescent="0.15">
      <c r="A816" s="236"/>
    </row>
    <row r="817" spans="1:1" ht="13" x14ac:dyDescent="0.15">
      <c r="A817" s="236"/>
    </row>
    <row r="818" spans="1:1" ht="13" x14ac:dyDescent="0.15">
      <c r="A818" s="236"/>
    </row>
    <row r="819" spans="1:1" ht="13" x14ac:dyDescent="0.15">
      <c r="A819" s="236"/>
    </row>
    <row r="820" spans="1:1" ht="13" x14ac:dyDescent="0.15">
      <c r="A820" s="236"/>
    </row>
    <row r="821" spans="1:1" ht="13" x14ac:dyDescent="0.15">
      <c r="A821" s="236"/>
    </row>
    <row r="822" spans="1:1" ht="13" x14ac:dyDescent="0.15">
      <c r="A822" s="236"/>
    </row>
    <row r="823" spans="1:1" ht="13" x14ac:dyDescent="0.15">
      <c r="A823" s="236"/>
    </row>
    <row r="824" spans="1:1" ht="13" x14ac:dyDescent="0.15">
      <c r="A824" s="236"/>
    </row>
    <row r="825" spans="1:1" ht="13" x14ac:dyDescent="0.15">
      <c r="A825" s="236"/>
    </row>
    <row r="826" spans="1:1" ht="13" x14ac:dyDescent="0.15">
      <c r="A826" s="236"/>
    </row>
    <row r="827" spans="1:1" ht="13" x14ac:dyDescent="0.15">
      <c r="A827" s="236"/>
    </row>
    <row r="828" spans="1:1" ht="13" x14ac:dyDescent="0.15">
      <c r="A828" s="236"/>
    </row>
    <row r="829" spans="1:1" ht="13" x14ac:dyDescent="0.15">
      <c r="A829" s="236"/>
    </row>
    <row r="830" spans="1:1" ht="13" x14ac:dyDescent="0.15">
      <c r="A830" s="236"/>
    </row>
    <row r="831" spans="1:1" ht="13" x14ac:dyDescent="0.15">
      <c r="A831" s="236"/>
    </row>
    <row r="832" spans="1:1" ht="13" x14ac:dyDescent="0.15">
      <c r="A832" s="236"/>
    </row>
    <row r="833" spans="1:1" ht="13" x14ac:dyDescent="0.15">
      <c r="A833" s="236"/>
    </row>
    <row r="834" spans="1:1" ht="13" x14ac:dyDescent="0.15">
      <c r="A834" s="236"/>
    </row>
    <row r="835" spans="1:1" ht="13" x14ac:dyDescent="0.15">
      <c r="A835" s="236"/>
    </row>
    <row r="836" spans="1:1" ht="13" x14ac:dyDescent="0.15">
      <c r="A836" s="236"/>
    </row>
    <row r="837" spans="1:1" ht="13" x14ac:dyDescent="0.15">
      <c r="A837" s="236"/>
    </row>
    <row r="838" spans="1:1" ht="13" x14ac:dyDescent="0.15">
      <c r="A838" s="236"/>
    </row>
    <row r="839" spans="1:1" ht="13" x14ac:dyDescent="0.15">
      <c r="A839" s="236"/>
    </row>
    <row r="840" spans="1:1" ht="13" x14ac:dyDescent="0.15">
      <c r="A840" s="236"/>
    </row>
    <row r="841" spans="1:1" ht="13" x14ac:dyDescent="0.15">
      <c r="A841" s="236"/>
    </row>
    <row r="842" spans="1:1" ht="13" x14ac:dyDescent="0.15">
      <c r="A842" s="236"/>
    </row>
    <row r="843" spans="1:1" ht="13" x14ac:dyDescent="0.15">
      <c r="A843" s="236"/>
    </row>
    <row r="844" spans="1:1" ht="13" x14ac:dyDescent="0.15">
      <c r="A844" s="236"/>
    </row>
    <row r="845" spans="1:1" ht="13" x14ac:dyDescent="0.15">
      <c r="A845" s="236"/>
    </row>
    <row r="846" spans="1:1" ht="13" x14ac:dyDescent="0.15">
      <c r="A846" s="236"/>
    </row>
    <row r="847" spans="1:1" ht="13" x14ac:dyDescent="0.15">
      <c r="A847" s="236"/>
    </row>
    <row r="848" spans="1:1" ht="13" x14ac:dyDescent="0.15">
      <c r="A848" s="236"/>
    </row>
    <row r="849" spans="1:1" ht="13" x14ac:dyDescent="0.15">
      <c r="A849" s="236"/>
    </row>
    <row r="850" spans="1:1" ht="13" x14ac:dyDescent="0.15">
      <c r="A850" s="236"/>
    </row>
    <row r="851" spans="1:1" ht="13" x14ac:dyDescent="0.15">
      <c r="A851" s="236"/>
    </row>
    <row r="852" spans="1:1" ht="13" x14ac:dyDescent="0.15">
      <c r="A852" s="236"/>
    </row>
    <row r="853" spans="1:1" ht="13" x14ac:dyDescent="0.15">
      <c r="A853" s="236"/>
    </row>
    <row r="854" spans="1:1" ht="13" x14ac:dyDescent="0.15">
      <c r="A854" s="236"/>
    </row>
    <row r="855" spans="1:1" ht="13" x14ac:dyDescent="0.15">
      <c r="A855" s="236"/>
    </row>
    <row r="856" spans="1:1" ht="13" x14ac:dyDescent="0.15">
      <c r="A856" s="236"/>
    </row>
    <row r="857" spans="1:1" ht="13" x14ac:dyDescent="0.15">
      <c r="A857" s="236"/>
    </row>
    <row r="858" spans="1:1" ht="13" x14ac:dyDescent="0.15">
      <c r="A858" s="236"/>
    </row>
    <row r="859" spans="1:1" ht="13" x14ac:dyDescent="0.15">
      <c r="A859" s="236"/>
    </row>
    <row r="860" spans="1:1" ht="13" x14ac:dyDescent="0.15">
      <c r="A860" s="236"/>
    </row>
    <row r="861" spans="1:1" ht="13" x14ac:dyDescent="0.15">
      <c r="A861" s="236"/>
    </row>
    <row r="862" spans="1:1" ht="13" x14ac:dyDescent="0.15">
      <c r="A862" s="236"/>
    </row>
    <row r="863" spans="1:1" ht="13" x14ac:dyDescent="0.15">
      <c r="A863" s="236"/>
    </row>
    <row r="864" spans="1:1" ht="13" x14ac:dyDescent="0.15">
      <c r="A864" s="236"/>
    </row>
    <row r="865" spans="1:1" ht="13" x14ac:dyDescent="0.15">
      <c r="A865" s="236"/>
    </row>
    <row r="866" spans="1:1" ht="13" x14ac:dyDescent="0.15">
      <c r="A866" s="236"/>
    </row>
    <row r="867" spans="1:1" ht="13" x14ac:dyDescent="0.15">
      <c r="A867" s="236"/>
    </row>
    <row r="868" spans="1:1" ht="13" x14ac:dyDescent="0.15">
      <c r="A868" s="236"/>
    </row>
    <row r="869" spans="1:1" ht="13" x14ac:dyDescent="0.15">
      <c r="A869" s="236"/>
    </row>
    <row r="870" spans="1:1" ht="13" x14ac:dyDescent="0.15">
      <c r="A870" s="236"/>
    </row>
    <row r="871" spans="1:1" ht="13" x14ac:dyDescent="0.15">
      <c r="A871" s="236"/>
    </row>
    <row r="872" spans="1:1" ht="13" x14ac:dyDescent="0.15">
      <c r="A872" s="236"/>
    </row>
    <row r="873" spans="1:1" ht="13" x14ac:dyDescent="0.15">
      <c r="A873" s="236"/>
    </row>
    <row r="874" spans="1:1" ht="13" x14ac:dyDescent="0.15">
      <c r="A874" s="236"/>
    </row>
    <row r="875" spans="1:1" ht="13" x14ac:dyDescent="0.15">
      <c r="A875" s="236"/>
    </row>
    <row r="876" spans="1:1" ht="13" x14ac:dyDescent="0.15">
      <c r="A876" s="236"/>
    </row>
    <row r="877" spans="1:1" ht="13" x14ac:dyDescent="0.15">
      <c r="A877" s="236"/>
    </row>
    <row r="878" spans="1:1" ht="13" x14ac:dyDescent="0.15">
      <c r="A878" s="236"/>
    </row>
    <row r="879" spans="1:1" ht="13" x14ac:dyDescent="0.15">
      <c r="A879" s="236"/>
    </row>
    <row r="880" spans="1:1" ht="13" x14ac:dyDescent="0.15">
      <c r="A880" s="236"/>
    </row>
    <row r="881" spans="1:1" ht="13" x14ac:dyDescent="0.15">
      <c r="A881" s="236"/>
    </row>
    <row r="882" spans="1:1" ht="13" x14ac:dyDescent="0.15">
      <c r="A882" s="236"/>
    </row>
    <row r="883" spans="1:1" ht="13" x14ac:dyDescent="0.15">
      <c r="A883" s="236"/>
    </row>
    <row r="884" spans="1:1" ht="13" x14ac:dyDescent="0.15">
      <c r="A884" s="236"/>
    </row>
    <row r="885" spans="1:1" ht="13" x14ac:dyDescent="0.15">
      <c r="A885" s="236"/>
    </row>
    <row r="886" spans="1:1" ht="13" x14ac:dyDescent="0.15">
      <c r="A886" s="236"/>
    </row>
    <row r="887" spans="1:1" ht="13" x14ac:dyDescent="0.15">
      <c r="A887" s="236"/>
    </row>
    <row r="888" spans="1:1" ht="13" x14ac:dyDescent="0.15">
      <c r="A888" s="236"/>
    </row>
    <row r="889" spans="1:1" ht="13" x14ac:dyDescent="0.15">
      <c r="A889" s="236"/>
    </row>
    <row r="890" spans="1:1" ht="13" x14ac:dyDescent="0.15">
      <c r="A890" s="236"/>
    </row>
    <row r="891" spans="1:1" ht="13" x14ac:dyDescent="0.15">
      <c r="A891" s="236"/>
    </row>
    <row r="892" spans="1:1" ht="13" x14ac:dyDescent="0.15">
      <c r="A892" s="236"/>
    </row>
    <row r="893" spans="1:1" ht="13" x14ac:dyDescent="0.15">
      <c r="A893" s="236"/>
    </row>
    <row r="894" spans="1:1" ht="13" x14ac:dyDescent="0.15">
      <c r="A894" s="236"/>
    </row>
    <row r="895" spans="1:1" ht="13" x14ac:dyDescent="0.15">
      <c r="A895" s="236"/>
    </row>
    <row r="896" spans="1:1" ht="13" x14ac:dyDescent="0.15">
      <c r="A896" s="236"/>
    </row>
    <row r="897" spans="1:1" ht="13" x14ac:dyDescent="0.15">
      <c r="A897" s="236"/>
    </row>
    <row r="898" spans="1:1" ht="13" x14ac:dyDescent="0.15">
      <c r="A898" s="236"/>
    </row>
    <row r="899" spans="1:1" ht="13" x14ac:dyDescent="0.15">
      <c r="A899" s="236"/>
    </row>
    <row r="900" spans="1:1" ht="13" x14ac:dyDescent="0.15">
      <c r="A900" s="236"/>
    </row>
    <row r="901" spans="1:1" ht="13" x14ac:dyDescent="0.15">
      <c r="A901" s="236"/>
    </row>
    <row r="902" spans="1:1" ht="13" x14ac:dyDescent="0.15">
      <c r="A902" s="236"/>
    </row>
    <row r="903" spans="1:1" ht="13" x14ac:dyDescent="0.15">
      <c r="A903" s="236"/>
    </row>
    <row r="904" spans="1:1" ht="13" x14ac:dyDescent="0.15">
      <c r="A904" s="236"/>
    </row>
    <row r="905" spans="1:1" ht="13" x14ac:dyDescent="0.15">
      <c r="A905" s="236"/>
    </row>
    <row r="906" spans="1:1" ht="13" x14ac:dyDescent="0.15">
      <c r="A906" s="236"/>
    </row>
    <row r="907" spans="1:1" ht="13" x14ac:dyDescent="0.15">
      <c r="A907" s="236"/>
    </row>
    <row r="908" spans="1:1" ht="13" x14ac:dyDescent="0.15">
      <c r="A908" s="236"/>
    </row>
    <row r="909" spans="1:1" ht="13" x14ac:dyDescent="0.15">
      <c r="A909" s="236"/>
    </row>
    <row r="910" spans="1:1" ht="13" x14ac:dyDescent="0.15">
      <c r="A910" s="236"/>
    </row>
    <row r="911" spans="1:1" ht="13" x14ac:dyDescent="0.15">
      <c r="A911" s="236"/>
    </row>
    <row r="912" spans="1:1" ht="13" x14ac:dyDescent="0.15">
      <c r="A912" s="236"/>
    </row>
    <row r="913" spans="1:1" ht="13" x14ac:dyDescent="0.15">
      <c r="A913" s="236"/>
    </row>
    <row r="914" spans="1:1" ht="13" x14ac:dyDescent="0.15">
      <c r="A914" s="236"/>
    </row>
    <row r="915" spans="1:1" ht="13" x14ac:dyDescent="0.15">
      <c r="A915" s="236"/>
    </row>
    <row r="916" spans="1:1" ht="13" x14ac:dyDescent="0.15">
      <c r="A916" s="236"/>
    </row>
    <row r="917" spans="1:1" ht="13" x14ac:dyDescent="0.15">
      <c r="A917" s="236"/>
    </row>
    <row r="918" spans="1:1" ht="13" x14ac:dyDescent="0.15">
      <c r="A918" s="236"/>
    </row>
    <row r="919" spans="1:1" ht="13" x14ac:dyDescent="0.15">
      <c r="A919" s="236"/>
    </row>
    <row r="920" spans="1:1" ht="13" x14ac:dyDescent="0.15">
      <c r="A920" s="236"/>
    </row>
    <row r="921" spans="1:1" ht="13" x14ac:dyDescent="0.15">
      <c r="A921" s="236"/>
    </row>
    <row r="922" spans="1:1" ht="13" x14ac:dyDescent="0.15">
      <c r="A922" s="236"/>
    </row>
    <row r="923" spans="1:1" ht="13" x14ac:dyDescent="0.15">
      <c r="A923" s="236"/>
    </row>
    <row r="924" spans="1:1" ht="13" x14ac:dyDescent="0.15">
      <c r="A924" s="236"/>
    </row>
    <row r="925" spans="1:1" ht="13" x14ac:dyDescent="0.15">
      <c r="A925" s="236"/>
    </row>
    <row r="926" spans="1:1" ht="13" x14ac:dyDescent="0.15">
      <c r="A926" s="236"/>
    </row>
    <row r="927" spans="1:1" ht="13" x14ac:dyDescent="0.15">
      <c r="A927" s="236"/>
    </row>
    <row r="928" spans="1:1" ht="13" x14ac:dyDescent="0.15">
      <c r="A928" s="236"/>
    </row>
    <row r="929" spans="1:1" ht="13" x14ac:dyDescent="0.15">
      <c r="A929" s="236"/>
    </row>
    <row r="930" spans="1:1" ht="13" x14ac:dyDescent="0.15">
      <c r="A930" s="236"/>
    </row>
    <row r="931" spans="1:1" ht="13" x14ac:dyDescent="0.15">
      <c r="A931" s="236"/>
    </row>
    <row r="932" spans="1:1" ht="13" x14ac:dyDescent="0.15">
      <c r="A932" s="236"/>
    </row>
    <row r="933" spans="1:1" ht="13" x14ac:dyDescent="0.15">
      <c r="A933" s="236"/>
    </row>
    <row r="934" spans="1:1" ht="13" x14ac:dyDescent="0.15">
      <c r="A934" s="236"/>
    </row>
    <row r="935" spans="1:1" ht="13" x14ac:dyDescent="0.15">
      <c r="A935" s="236"/>
    </row>
    <row r="936" spans="1:1" ht="13" x14ac:dyDescent="0.15">
      <c r="A936" s="236"/>
    </row>
    <row r="937" spans="1:1" ht="13" x14ac:dyDescent="0.15">
      <c r="A937" s="236"/>
    </row>
    <row r="938" spans="1:1" ht="13" x14ac:dyDescent="0.15">
      <c r="A938" s="236"/>
    </row>
    <row r="939" spans="1:1" ht="13" x14ac:dyDescent="0.15">
      <c r="A939" s="236"/>
    </row>
    <row r="940" spans="1:1" ht="13" x14ac:dyDescent="0.15">
      <c r="A940" s="236"/>
    </row>
    <row r="941" spans="1:1" ht="13" x14ac:dyDescent="0.15">
      <c r="A941" s="236"/>
    </row>
    <row r="942" spans="1:1" ht="13" x14ac:dyDescent="0.15">
      <c r="A942" s="236"/>
    </row>
    <row r="943" spans="1:1" ht="13" x14ac:dyDescent="0.15">
      <c r="A943" s="236"/>
    </row>
    <row r="944" spans="1:1" ht="13" x14ac:dyDescent="0.15">
      <c r="A944" s="236"/>
    </row>
    <row r="945" spans="1:1" ht="13" x14ac:dyDescent="0.15">
      <c r="A945" s="236"/>
    </row>
    <row r="946" spans="1:1" ht="13" x14ac:dyDescent="0.15">
      <c r="A946" s="236"/>
    </row>
    <row r="947" spans="1:1" ht="13" x14ac:dyDescent="0.15">
      <c r="A947" s="236"/>
    </row>
    <row r="948" spans="1:1" ht="13" x14ac:dyDescent="0.15">
      <c r="A948" s="236"/>
    </row>
    <row r="949" spans="1:1" ht="13" x14ac:dyDescent="0.15">
      <c r="A949" s="236"/>
    </row>
    <row r="950" spans="1:1" ht="13" x14ac:dyDescent="0.15">
      <c r="A950" s="236"/>
    </row>
    <row r="951" spans="1:1" ht="13" x14ac:dyDescent="0.15">
      <c r="A951" s="236"/>
    </row>
    <row r="952" spans="1:1" ht="13" x14ac:dyDescent="0.15">
      <c r="A952" s="236"/>
    </row>
    <row r="953" spans="1:1" ht="13" x14ac:dyDescent="0.15">
      <c r="A953" s="236"/>
    </row>
    <row r="954" spans="1:1" ht="13" x14ac:dyDescent="0.15">
      <c r="A954" s="236"/>
    </row>
    <row r="955" spans="1:1" ht="13" x14ac:dyDescent="0.15">
      <c r="A955" s="236"/>
    </row>
    <row r="956" spans="1:1" ht="13" x14ac:dyDescent="0.15">
      <c r="A956" s="236"/>
    </row>
    <row r="957" spans="1:1" ht="13" x14ac:dyDescent="0.15">
      <c r="A957" s="236"/>
    </row>
    <row r="958" spans="1:1" ht="13" x14ac:dyDescent="0.15">
      <c r="A958" s="236"/>
    </row>
    <row r="959" spans="1:1" ht="13" x14ac:dyDescent="0.15">
      <c r="A959" s="236"/>
    </row>
    <row r="960" spans="1:1" ht="13" x14ac:dyDescent="0.15">
      <c r="A960" s="236"/>
    </row>
    <row r="961" spans="1:1" ht="13" x14ac:dyDescent="0.15">
      <c r="A961" s="236"/>
    </row>
    <row r="962" spans="1:1" ht="13" x14ac:dyDescent="0.15">
      <c r="A962" s="236"/>
    </row>
    <row r="963" spans="1:1" ht="13" x14ac:dyDescent="0.15">
      <c r="A963" s="236"/>
    </row>
    <row r="964" spans="1:1" ht="13" x14ac:dyDescent="0.15">
      <c r="A964" s="236"/>
    </row>
    <row r="965" spans="1:1" ht="13" x14ac:dyDescent="0.15">
      <c r="A965" s="236"/>
    </row>
    <row r="966" spans="1:1" ht="13" x14ac:dyDescent="0.15">
      <c r="A966" s="236"/>
    </row>
    <row r="967" spans="1:1" ht="13" x14ac:dyDescent="0.15">
      <c r="A967" s="236"/>
    </row>
    <row r="968" spans="1:1" ht="13" x14ac:dyDescent="0.15">
      <c r="A968" s="236"/>
    </row>
    <row r="969" spans="1:1" ht="13" x14ac:dyDescent="0.15">
      <c r="A969" s="236"/>
    </row>
    <row r="970" spans="1:1" ht="13" x14ac:dyDescent="0.15">
      <c r="A970" s="236"/>
    </row>
    <row r="971" spans="1:1" ht="13" x14ac:dyDescent="0.15">
      <c r="A971" s="236"/>
    </row>
    <row r="972" spans="1:1" ht="13" x14ac:dyDescent="0.15">
      <c r="A972" s="236"/>
    </row>
    <row r="973" spans="1:1" ht="13" x14ac:dyDescent="0.15">
      <c r="A973" s="236"/>
    </row>
    <row r="974" spans="1:1" ht="13" x14ac:dyDescent="0.15">
      <c r="A974" s="236"/>
    </row>
    <row r="975" spans="1:1" ht="13" x14ac:dyDescent="0.15">
      <c r="A975" s="236"/>
    </row>
    <row r="976" spans="1:1" ht="13" x14ac:dyDescent="0.15">
      <c r="A976" s="236"/>
    </row>
    <row r="977" spans="1:1" ht="13" x14ac:dyDescent="0.15">
      <c r="A977" s="236"/>
    </row>
    <row r="978" spans="1:1" ht="13" x14ac:dyDescent="0.15">
      <c r="A978" s="236"/>
    </row>
    <row r="979" spans="1:1" ht="13" x14ac:dyDescent="0.15">
      <c r="A979" s="236"/>
    </row>
    <row r="980" spans="1:1" ht="13" x14ac:dyDescent="0.15">
      <c r="A980" s="236"/>
    </row>
    <row r="981" spans="1:1" ht="13" x14ac:dyDescent="0.15">
      <c r="A981" s="236"/>
    </row>
    <row r="982" spans="1:1" ht="13" x14ac:dyDescent="0.15">
      <c r="A982" s="236"/>
    </row>
    <row r="983" spans="1:1" ht="13" x14ac:dyDescent="0.15">
      <c r="A983" s="236"/>
    </row>
    <row r="984" spans="1:1" ht="13" x14ac:dyDescent="0.15">
      <c r="A984" s="236"/>
    </row>
    <row r="985" spans="1:1" ht="13" x14ac:dyDescent="0.15">
      <c r="A985" s="236"/>
    </row>
    <row r="986" spans="1:1" ht="13" x14ac:dyDescent="0.15">
      <c r="A986" s="236"/>
    </row>
    <row r="987" spans="1:1" ht="13" x14ac:dyDescent="0.15">
      <c r="A987" s="236"/>
    </row>
    <row r="988" spans="1:1" ht="13" x14ac:dyDescent="0.15">
      <c r="A988" s="236"/>
    </row>
    <row r="989" spans="1:1" ht="13" x14ac:dyDescent="0.15">
      <c r="A989" s="236"/>
    </row>
    <row r="990" spans="1:1" ht="13" x14ac:dyDescent="0.15">
      <c r="A990" s="236"/>
    </row>
    <row r="991" spans="1:1" ht="13" x14ac:dyDescent="0.15">
      <c r="A991" s="236"/>
    </row>
    <row r="992" spans="1:1" ht="13" x14ac:dyDescent="0.15">
      <c r="A992" s="236"/>
    </row>
    <row r="993" spans="1:1" ht="13" x14ac:dyDescent="0.15">
      <c r="A993" s="236"/>
    </row>
    <row r="994" spans="1:1" ht="13" x14ac:dyDescent="0.15">
      <c r="A994" s="236"/>
    </row>
    <row r="995" spans="1:1" ht="13" x14ac:dyDescent="0.15">
      <c r="A995" s="236"/>
    </row>
    <row r="996" spans="1:1" ht="13" x14ac:dyDescent="0.15">
      <c r="A996" s="236"/>
    </row>
    <row r="997" spans="1:1" ht="13" x14ac:dyDescent="0.15">
      <c r="A997" s="236"/>
    </row>
    <row r="998" spans="1:1" ht="13" x14ac:dyDescent="0.15">
      <c r="A998" s="236"/>
    </row>
    <row r="999" spans="1:1" ht="13" x14ac:dyDescent="0.15">
      <c r="A999" s="236"/>
    </row>
    <row r="1000" spans="1:1" ht="13" x14ac:dyDescent="0.15">
      <c r="A1000" s="236"/>
    </row>
    <row r="1001" spans="1:1" ht="13" x14ac:dyDescent="0.15">
      <c r="A1001" s="236"/>
    </row>
    <row r="1002" spans="1:1" ht="13" x14ac:dyDescent="0.15">
      <c r="A1002" s="23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0000"/>
    <outlinePr summaryBelow="0" summaryRight="0"/>
  </sheetPr>
  <dimension ref="A1:U33"/>
  <sheetViews>
    <sheetView workbookViewId="0">
      <selection activeCell="D6" sqref="D6"/>
    </sheetView>
  </sheetViews>
  <sheetFormatPr baseColWidth="10" defaultColWidth="12.6640625" defaultRowHeight="15.75" customHeight="1" x14ac:dyDescent="0.15"/>
  <sheetData>
    <row r="1" spans="1:21" ht="15.75" customHeight="1" x14ac:dyDescent="0.15">
      <c r="A1" s="791" t="s">
        <v>5674</v>
      </c>
      <c r="B1" s="773"/>
      <c r="C1" s="773"/>
      <c r="D1" s="792" t="s">
        <v>5675</v>
      </c>
      <c r="E1" s="773"/>
      <c r="F1" s="773"/>
      <c r="G1" s="793" t="s">
        <v>5676</v>
      </c>
      <c r="H1" s="773"/>
      <c r="I1" s="773"/>
      <c r="J1" s="773"/>
      <c r="K1" s="773"/>
      <c r="L1" s="773"/>
      <c r="M1" s="773"/>
      <c r="N1" s="773"/>
      <c r="O1" s="773"/>
      <c r="P1" s="773"/>
      <c r="Q1" s="773"/>
      <c r="R1" s="773"/>
      <c r="S1" s="773"/>
      <c r="T1" s="773"/>
      <c r="U1" s="773"/>
    </row>
    <row r="2" spans="1:21" ht="15.75" customHeight="1" x14ac:dyDescent="0.15">
      <c r="A2" s="614"/>
      <c r="B2" s="614"/>
      <c r="C2" s="614"/>
      <c r="D2" s="614"/>
      <c r="E2" s="614"/>
      <c r="F2" s="614"/>
      <c r="G2" s="614"/>
      <c r="H2" s="614"/>
      <c r="I2" s="614"/>
      <c r="J2" s="614"/>
      <c r="K2" s="614"/>
      <c r="L2" s="614"/>
      <c r="M2" s="614"/>
      <c r="N2" s="614"/>
      <c r="O2" s="614"/>
      <c r="P2" s="614"/>
      <c r="Q2" s="614"/>
      <c r="R2" s="614"/>
      <c r="S2" s="614"/>
      <c r="T2" s="614"/>
      <c r="U2" s="614"/>
    </row>
    <row r="3" spans="1:21" ht="15.75" customHeight="1" x14ac:dyDescent="0.15">
      <c r="A3" s="615"/>
      <c r="B3" s="615"/>
      <c r="C3" s="615"/>
      <c r="D3" s="615"/>
      <c r="E3" s="615"/>
      <c r="F3" s="615"/>
      <c r="G3" s="615"/>
      <c r="H3" s="615"/>
      <c r="I3" s="615"/>
      <c r="J3" s="615"/>
      <c r="K3" s="615"/>
      <c r="L3" s="615"/>
      <c r="M3" s="615"/>
      <c r="N3" s="615"/>
      <c r="O3" s="615"/>
      <c r="P3" s="615"/>
      <c r="Q3" s="615"/>
      <c r="R3" s="615"/>
      <c r="S3" s="615"/>
      <c r="T3" s="615"/>
      <c r="U3" s="615"/>
    </row>
    <row r="4" spans="1:21" ht="15.75" customHeight="1" x14ac:dyDescent="0.15">
      <c r="A4" s="616"/>
      <c r="B4" s="616"/>
      <c r="C4" s="616"/>
      <c r="D4" s="616"/>
      <c r="E4" s="616"/>
      <c r="F4" s="616"/>
      <c r="G4" s="616"/>
      <c r="H4" s="616"/>
      <c r="I4" s="616"/>
      <c r="J4" s="616"/>
      <c r="K4" s="616"/>
      <c r="L4" s="616"/>
      <c r="M4" s="616"/>
      <c r="N4" s="616"/>
      <c r="O4" s="616"/>
      <c r="P4" s="616"/>
      <c r="Q4" s="616"/>
      <c r="R4" s="616"/>
      <c r="S4" s="616"/>
      <c r="T4" s="616"/>
      <c r="U4" s="616"/>
    </row>
    <row r="5" spans="1:21" ht="15.75" customHeight="1" x14ac:dyDescent="0.15">
      <c r="A5" s="617"/>
      <c r="B5" s="617"/>
      <c r="C5" s="617"/>
      <c r="D5" s="617"/>
      <c r="E5" s="617"/>
      <c r="F5" s="617"/>
      <c r="G5" s="617"/>
      <c r="H5" s="617"/>
      <c r="I5" s="617"/>
      <c r="J5" s="617"/>
      <c r="K5" s="617"/>
      <c r="L5" s="617"/>
      <c r="M5" s="617"/>
      <c r="N5" s="617"/>
      <c r="O5" s="617"/>
      <c r="P5" s="617"/>
      <c r="Q5" s="617"/>
      <c r="R5" s="617"/>
      <c r="S5" s="617"/>
      <c r="T5" s="617"/>
      <c r="U5" s="617"/>
    </row>
    <row r="6" spans="1:21" ht="15.75" customHeight="1" x14ac:dyDescent="0.15">
      <c r="A6" s="617"/>
      <c r="B6" s="617"/>
      <c r="C6" s="617"/>
      <c r="D6" s="617"/>
      <c r="E6" s="617"/>
      <c r="F6" s="617"/>
      <c r="G6" s="617"/>
      <c r="H6" s="617"/>
      <c r="I6" s="617"/>
      <c r="J6" s="617"/>
      <c r="K6" s="617"/>
      <c r="L6" s="617"/>
      <c r="M6" s="617"/>
      <c r="N6" s="617"/>
      <c r="O6" s="617"/>
      <c r="P6" s="617"/>
      <c r="Q6" s="617"/>
      <c r="R6" s="617"/>
      <c r="S6" s="617"/>
      <c r="T6" s="617"/>
      <c r="U6" s="617"/>
    </row>
    <row r="7" spans="1:21" ht="15.75" customHeight="1" x14ac:dyDescent="0.15">
      <c r="A7" s="66" t="s">
        <v>5677</v>
      </c>
      <c r="B7" s="66" t="s">
        <v>5678</v>
      </c>
      <c r="C7" s="66" t="s">
        <v>5679</v>
      </c>
      <c r="D7" s="66" t="s">
        <v>2474</v>
      </c>
      <c r="E7" s="66" t="s">
        <v>5677</v>
      </c>
      <c r="F7" s="66" t="s">
        <v>5679</v>
      </c>
      <c r="G7" s="66" t="s">
        <v>5680</v>
      </c>
      <c r="H7" s="66" t="s">
        <v>5681</v>
      </c>
      <c r="I7" s="66" t="s">
        <v>5682</v>
      </c>
      <c r="J7" s="66" t="s">
        <v>5683</v>
      </c>
      <c r="K7" s="66" t="s">
        <v>5684</v>
      </c>
      <c r="L7" s="66" t="s">
        <v>5685</v>
      </c>
      <c r="M7" s="66" t="s">
        <v>5686</v>
      </c>
      <c r="N7" s="66" t="s">
        <v>4368</v>
      </c>
      <c r="O7" s="66" t="s">
        <v>5687</v>
      </c>
      <c r="P7" s="66" t="s">
        <v>5688</v>
      </c>
      <c r="Q7" s="66" t="s">
        <v>5689</v>
      </c>
      <c r="R7" s="66" t="s">
        <v>5690</v>
      </c>
      <c r="S7" s="66" t="s">
        <v>5691</v>
      </c>
      <c r="T7" s="66" t="s">
        <v>5692</v>
      </c>
      <c r="U7" s="66" t="s">
        <v>5693</v>
      </c>
    </row>
    <row r="8" spans="1:21" ht="15.75" customHeight="1" x14ac:dyDescent="0.15">
      <c r="A8" s="66" t="s">
        <v>5694</v>
      </c>
      <c r="B8" s="66" t="s">
        <v>5695</v>
      </c>
      <c r="C8" s="66" t="s">
        <v>5696</v>
      </c>
      <c r="D8" s="66" t="s">
        <v>5697</v>
      </c>
      <c r="E8" s="66" t="s">
        <v>5698</v>
      </c>
      <c r="F8" s="66" t="s">
        <v>5699</v>
      </c>
      <c r="G8" s="66" t="s">
        <v>5700</v>
      </c>
      <c r="H8" s="66" t="s">
        <v>5701</v>
      </c>
      <c r="I8" s="66" t="s">
        <v>5702</v>
      </c>
      <c r="J8" s="66" t="s">
        <v>5703</v>
      </c>
      <c r="K8" s="66"/>
      <c r="L8" s="66"/>
      <c r="M8" s="66"/>
      <c r="N8" s="66" t="s">
        <v>5704</v>
      </c>
      <c r="O8" s="66" t="s">
        <v>5705</v>
      </c>
      <c r="P8" s="66" t="s">
        <v>5706</v>
      </c>
      <c r="Q8" s="66" t="s">
        <v>5707</v>
      </c>
      <c r="R8" s="66" t="s">
        <v>5707</v>
      </c>
      <c r="S8" s="66" t="s">
        <v>5708</v>
      </c>
      <c r="T8" s="66"/>
      <c r="U8" s="66"/>
    </row>
    <row r="9" spans="1:21" ht="15.75" customHeight="1" x14ac:dyDescent="0.15">
      <c r="A9" s="66"/>
      <c r="B9" s="66"/>
      <c r="C9" s="66"/>
      <c r="D9" s="66"/>
      <c r="E9" s="66"/>
      <c r="F9" s="66"/>
      <c r="G9" s="66"/>
      <c r="H9" s="66"/>
      <c r="I9" s="66"/>
      <c r="J9" s="66"/>
      <c r="K9" s="66"/>
      <c r="L9" s="66"/>
      <c r="M9" s="66"/>
      <c r="N9" s="66"/>
      <c r="O9" s="66"/>
      <c r="P9" s="66"/>
      <c r="Q9" s="66"/>
      <c r="R9" s="66"/>
      <c r="S9" s="66"/>
      <c r="T9" s="66"/>
      <c r="U9" s="66"/>
    </row>
    <row r="22" spans="6:14" ht="15.75" customHeight="1" x14ac:dyDescent="0.15">
      <c r="F22" s="18"/>
      <c r="G22" s="618"/>
      <c r="H22" s="618"/>
      <c r="I22" s="618"/>
      <c r="J22" s="18"/>
      <c r="K22" s="18"/>
      <c r="L22" s="18"/>
      <c r="M22" s="18"/>
      <c r="N22" s="18"/>
    </row>
    <row r="23" spans="6:14" ht="15.75" customHeight="1" x14ac:dyDescent="0.15">
      <c r="F23" s="18"/>
      <c r="G23" s="618"/>
      <c r="H23" s="618"/>
      <c r="I23" s="618"/>
      <c r="J23" s="18"/>
      <c r="K23" s="18"/>
      <c r="L23" s="18"/>
      <c r="M23" s="18"/>
      <c r="N23" s="18"/>
    </row>
    <row r="24" spans="6:14" ht="15.75" customHeight="1" x14ac:dyDescent="0.15">
      <c r="F24" s="18"/>
      <c r="G24" s="618"/>
      <c r="H24" s="618"/>
      <c r="I24" s="618"/>
      <c r="J24" s="18"/>
      <c r="K24" s="18"/>
      <c r="L24" s="18"/>
      <c r="M24" s="18"/>
      <c r="N24" s="18"/>
    </row>
    <row r="25" spans="6:14" ht="15.75" customHeight="1" x14ac:dyDescent="0.15">
      <c r="F25" s="18"/>
      <c r="G25" s="618"/>
      <c r="H25" s="618"/>
      <c r="I25" s="618"/>
      <c r="J25" s="18"/>
      <c r="K25" s="18"/>
      <c r="L25" s="18"/>
      <c r="M25" s="18"/>
      <c r="N25" s="18"/>
    </row>
    <row r="26" spans="6:14" ht="15.75" customHeight="1" x14ac:dyDescent="0.15">
      <c r="F26" s="18"/>
      <c r="G26" s="618"/>
      <c r="H26" s="618"/>
      <c r="I26" s="618"/>
      <c r="J26" s="18"/>
      <c r="K26" s="18"/>
      <c r="L26" s="18"/>
      <c r="M26" s="18"/>
      <c r="N26" s="18"/>
    </row>
    <row r="27" spans="6:14" ht="15.75" customHeight="1" x14ac:dyDescent="0.15">
      <c r="F27" s="18"/>
      <c r="G27" s="618"/>
      <c r="H27" s="618"/>
      <c r="I27" s="618"/>
      <c r="J27" s="18"/>
      <c r="K27" s="18"/>
      <c r="L27" s="18"/>
      <c r="M27" s="18"/>
      <c r="N27" s="18"/>
    </row>
    <row r="28" spans="6:14" ht="15.75" customHeight="1" x14ac:dyDescent="0.15">
      <c r="F28" s="18"/>
      <c r="G28" s="618"/>
      <c r="H28" s="18"/>
      <c r="I28" s="618"/>
      <c r="J28" s="18"/>
      <c r="K28" s="18"/>
      <c r="L28" s="18"/>
      <c r="M28" s="18"/>
      <c r="N28" s="18"/>
    </row>
    <row r="29" spans="6:14" ht="15.75" customHeight="1" x14ac:dyDescent="0.15">
      <c r="F29" s="18"/>
      <c r="G29" s="618"/>
      <c r="H29" s="618"/>
      <c r="I29" s="618"/>
      <c r="J29" s="18"/>
      <c r="K29" s="18"/>
      <c r="L29" s="18"/>
      <c r="M29" s="18"/>
      <c r="N29" s="18"/>
    </row>
    <row r="30" spans="6:14" ht="15.75" customHeight="1" x14ac:dyDescent="0.15">
      <c r="F30" s="18"/>
      <c r="G30" s="618"/>
      <c r="H30" s="618"/>
      <c r="I30" s="618"/>
      <c r="J30" s="18"/>
      <c r="K30" s="18"/>
      <c r="L30" s="18"/>
      <c r="M30" s="18"/>
      <c r="N30" s="18"/>
    </row>
    <row r="31" spans="6:14" ht="15.75" customHeight="1" x14ac:dyDescent="0.15">
      <c r="F31" s="18"/>
      <c r="G31" s="618"/>
      <c r="H31" s="618"/>
      <c r="I31" s="618"/>
      <c r="J31" s="18"/>
      <c r="K31" s="18"/>
      <c r="L31" s="18"/>
      <c r="M31" s="18"/>
      <c r="N31" s="18"/>
    </row>
    <row r="32" spans="6:14" ht="15.75" customHeight="1" x14ac:dyDescent="0.15">
      <c r="F32" s="18"/>
      <c r="G32" s="618"/>
      <c r="H32" s="618"/>
      <c r="I32" s="618"/>
      <c r="J32" s="18"/>
      <c r="K32" s="18"/>
      <c r="L32" s="18"/>
      <c r="M32" s="18"/>
      <c r="N32" s="18"/>
    </row>
    <row r="33" spans="6:14" ht="15.75" customHeight="1" x14ac:dyDescent="0.15">
      <c r="F33" s="18"/>
      <c r="G33" s="618"/>
      <c r="H33" s="618"/>
      <c r="I33" s="618"/>
      <c r="J33" s="18"/>
      <c r="K33" s="18"/>
      <c r="L33" s="18"/>
      <c r="M33" s="18"/>
      <c r="N33" s="18"/>
    </row>
  </sheetData>
  <mergeCells count="3">
    <mergeCell ref="A1:C1"/>
    <mergeCell ref="D1:F1"/>
    <mergeCell ref="G1:U1"/>
  </mergeCells>
  <conditionalFormatting sqref="O22:O33">
    <cfRule type="expression" dxfId="40" priority="1">
      <formula>$B22=TRUE</formula>
    </cfRule>
  </conditionalFormatting>
  <conditionalFormatting sqref="A7:C9 D7:E7 F7:F9">
    <cfRule type="expression" dxfId="39" priority="2">
      <formula>OR(K7="flagAssign", K7="flagTask", K7="flagFinale", K7="flagLocation", K7="flagSpell")</formula>
    </cfRule>
  </conditionalFormatting>
  <conditionalFormatting sqref="A7:C9 D7:E7 F7:F9">
    <cfRule type="expression" dxfId="38" priority="3">
      <formula>OR(I7="flagAssign", I7="flagTask", I7="flagFinale", I7="flagLocation", I7="flagSpell")</formula>
    </cfRule>
  </conditionalFormatting>
  <conditionalFormatting sqref="Q7:S9">
    <cfRule type="expression" dxfId="37" priority="4">
      <formula>OR(K7="flagAssign", K7="flagTask", K7="flagFinale", K7="flagLocation", K7="flagSpell")</formula>
    </cfRule>
  </conditionalFormatting>
  <conditionalFormatting sqref="Q7:S9">
    <cfRule type="expression" dxfId="36" priority="5">
      <formula>OR(I7="flagAssign", I7="flagTask", I7="flagFinale", I7="flagLocation", I7="flagSpell")</formula>
    </cfRule>
  </conditionalFormatting>
  <conditionalFormatting sqref="M7:M9">
    <cfRule type="expression" dxfId="35" priority="6">
      <formula>OR(K7="flagAssign", K7="flagTask", K7="flagFinale", K7="flagLocation", K7="flagSpell")</formula>
    </cfRule>
  </conditionalFormatting>
  <conditionalFormatting sqref="M7:M9">
    <cfRule type="expression" dxfId="34" priority="7">
      <formula>OR(I7="flagAssign", I7="flagTask", I7="flagFinale", I7="flagLocation", I7="flagSpell")</formula>
    </cfRule>
  </conditionalFormatting>
  <conditionalFormatting sqref="L7:L9">
    <cfRule type="expression" dxfId="33" priority="8">
      <formula>OR(K7="flagAssign", K7="flagTask", K7="flagFinale", K7="flagLocation", K7="flagSpell")</formula>
    </cfRule>
  </conditionalFormatting>
  <conditionalFormatting sqref="L7:L9">
    <cfRule type="expression" dxfId="32" priority="9">
      <formula>OR(I7="flagAssign", I7="flagTask", I7="flagFinale", I7="flagLocation", I7="flagSpell")</formula>
    </cfRule>
  </conditionalFormatting>
  <conditionalFormatting sqref="K7:K9">
    <cfRule type="expression" dxfId="31" priority="10">
      <formula>OR(J7="flagAssign", J7="flagTask", J7="flagFinale", J7="flagLocation", J7="flagSpell")</formula>
    </cfRule>
  </conditionalFormatting>
  <conditionalFormatting sqref="K7:K9">
    <cfRule type="expression" dxfId="30" priority="11">
      <formula>OR(H7="flagAssign", H7="flagTask", H7="flagFinale", H7="flagLocation", H7="flagSpell")</formula>
    </cfRule>
  </conditionalFormatting>
  <conditionalFormatting sqref="G7:J9 N7:P9">
    <cfRule type="expression" dxfId="29" priority="12">
      <formula>OR(#REF!="flagAssign", #REF!="flagTask", #REF!="flagFinale", #REF!="flagLocation", #REF!="flagSpell")</formula>
    </cfRule>
  </conditionalFormatting>
  <conditionalFormatting sqref="G7:J9 N7:P9">
    <cfRule type="expression" dxfId="28" priority="13">
      <formula>OR(#REF!="flagAssign", #REF!="flagTask", #REF!="flagFinale", #REF!="flagLocation", #REF!="flagSpell")</formula>
    </cfRule>
  </conditionalFormatting>
  <conditionalFormatting sqref="T7:U9">
    <cfRule type="expression" dxfId="27" priority="14">
      <formula>OR(G7="flagAssign", G7="flagTask", G7="flagFinale", G7="flagLocation", G7="flagSpell")</formula>
    </cfRule>
  </conditionalFormatting>
  <conditionalFormatting sqref="T7:U9">
    <cfRule type="expression" dxfId="26" priority="15">
      <formula>OR(I7="flagAssign", I7="flagTask", I7="flagFinale", I7="flagLocation", I7="flagSpell")</formula>
    </cfRule>
  </conditionalFormatting>
  <conditionalFormatting sqref="D7:F9">
    <cfRule type="expression" dxfId="25" priority="16">
      <formula>OR(#REF!="flagAssign", #REF!="flagTask", #REF!="flagFinale", #REF!="flagLocation", #REF!="flagSpell")</formula>
    </cfRule>
  </conditionalFormatting>
  <conditionalFormatting sqref="F7:F9">
    <cfRule type="expression" dxfId="24" priority="17">
      <formula>OR(#REF!="flagAssign", #REF!="flagTask", #REF!="flagFinale", #REF!="flagLocation", #REF!="flagSpell")</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00000000-0002-0000-1A00-000000000000}">
          <x14:formula1>
            <xm:f>'_REF Data Validation for All Sh'!$AJ$6:$AJ$14</xm:f>
          </x14:formula1>
          <xm:sqref>L22:L33</xm:sqref>
        </x14:dataValidation>
        <x14:dataValidation type="list" allowBlank="1" xr:uid="{00000000-0002-0000-1A00-000001000000}">
          <x14:formula1>
            <xm:f>'_REF Data Validation for All Sh'!$AL$6:$AL$7</xm:f>
          </x14:formula1>
          <xm:sqref>N22:N33</xm:sqref>
        </x14:dataValidation>
        <x14:dataValidation type="list" allowBlank="1" xr:uid="{00000000-0002-0000-1A00-000002000000}">
          <x14:formula1>
            <xm:f>'_REF Data Validation for All Sh'!$E$6:$E$10</xm:f>
          </x14:formula1>
          <xm:sqref>J22:J33</xm:sqref>
        </x14:dataValidation>
        <x14:dataValidation type="list" allowBlank="1" xr:uid="{00000000-0002-0000-1A00-000003000000}">
          <x14:formula1>
            <xm:f>'_REF Data Validation for All Sh'!$AK$6:$AK$10</xm:f>
          </x14:formula1>
          <xm:sqref>M22:M33</xm:sqref>
        </x14:dataValidation>
        <x14:dataValidation type="list" allowBlank="1" xr:uid="{00000000-0002-0000-1A00-000004000000}">
          <x14:formula1>
            <xm:f>'_REF Data Validation for All Sh'!$AM$6:$AM$15</xm:f>
          </x14:formula1>
          <xm:sqref>G22:G33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0000"/>
    <outlinePr summaryBelow="0" summaryRight="0"/>
  </sheetPr>
  <dimension ref="A1:CZ10"/>
  <sheetViews>
    <sheetView workbookViewId="0">
      <pane xSplit="5" ySplit="5" topLeftCell="F6" activePane="bottomRight" state="frozen"/>
      <selection activeCell="D6" sqref="D6"/>
      <selection pane="topRight" activeCell="D6" sqref="D6"/>
      <selection pane="bottomLeft" activeCell="D6" sqref="D6"/>
      <selection pane="bottomRight" activeCell="D6" sqref="D6"/>
    </sheetView>
  </sheetViews>
  <sheetFormatPr baseColWidth="10" defaultColWidth="12.6640625" defaultRowHeight="15.75" customHeight="1" x14ac:dyDescent="0.15"/>
  <cols>
    <col min="1" max="88" width="9.6640625" customWidth="1"/>
    <col min="89" max="89" width="11.1640625" customWidth="1"/>
  </cols>
  <sheetData>
    <row r="1" spans="1:104" ht="15.75" customHeight="1" x14ac:dyDescent="0.15">
      <c r="A1" s="360"/>
      <c r="B1" s="360"/>
      <c r="C1" s="360"/>
      <c r="D1" s="360"/>
      <c r="E1" s="360"/>
      <c r="F1" s="360"/>
      <c r="G1" s="360"/>
      <c r="H1" s="360"/>
      <c r="I1" s="360"/>
      <c r="J1" s="360"/>
      <c r="K1" s="360"/>
      <c r="L1" s="360"/>
      <c r="M1" s="360"/>
      <c r="N1" s="619"/>
      <c r="O1" s="363"/>
      <c r="P1" s="360"/>
      <c r="Q1" s="360"/>
      <c r="R1" s="360"/>
      <c r="S1" s="360"/>
      <c r="T1" s="360"/>
      <c r="U1" s="360"/>
      <c r="V1" s="360"/>
      <c r="W1" s="360"/>
      <c r="X1" s="363"/>
      <c r="Y1" s="360"/>
      <c r="Z1" s="360"/>
      <c r="AA1" s="360"/>
      <c r="AB1" s="360"/>
      <c r="AC1" s="360"/>
      <c r="AD1" s="360"/>
      <c r="AE1" s="360"/>
      <c r="AF1" s="360"/>
      <c r="AG1" s="363"/>
      <c r="AH1" s="360"/>
      <c r="AI1" s="360"/>
      <c r="AJ1" s="360"/>
      <c r="AK1" s="360"/>
      <c r="AL1" s="360"/>
      <c r="AM1" s="360"/>
      <c r="AN1" s="360"/>
      <c r="AO1" s="360"/>
      <c r="AP1" s="363"/>
      <c r="AQ1" s="360"/>
      <c r="AR1" s="360"/>
      <c r="AS1" s="360"/>
      <c r="AT1" s="360"/>
      <c r="AU1" s="360"/>
      <c r="AV1" s="360"/>
      <c r="AW1" s="360"/>
      <c r="AX1" s="360"/>
      <c r="AY1" s="363"/>
      <c r="AZ1" s="360"/>
      <c r="BA1" s="360"/>
      <c r="BB1" s="360"/>
      <c r="BC1" s="360"/>
      <c r="BD1" s="360"/>
      <c r="BE1" s="360"/>
      <c r="BF1" s="360"/>
      <c r="BG1" s="360"/>
      <c r="BH1" s="363"/>
      <c r="BI1" s="360"/>
      <c r="BJ1" s="360"/>
      <c r="BK1" s="360"/>
      <c r="BL1" s="360"/>
      <c r="BM1" s="360"/>
      <c r="BN1" s="360"/>
      <c r="BO1" s="360"/>
      <c r="BP1" s="360"/>
      <c r="BQ1" s="363"/>
      <c r="BR1" s="360"/>
      <c r="BS1" s="360"/>
      <c r="BT1" s="360"/>
      <c r="BU1" s="360"/>
      <c r="BV1" s="360"/>
      <c r="BW1" s="360"/>
      <c r="BX1" s="360"/>
      <c r="BY1" s="360"/>
      <c r="BZ1" s="363"/>
      <c r="CA1" s="360"/>
      <c r="CB1" s="360"/>
      <c r="CC1" s="360"/>
      <c r="CD1" s="360"/>
      <c r="CE1" s="360"/>
      <c r="CF1" s="360"/>
      <c r="CG1" s="360"/>
      <c r="CH1" s="360"/>
      <c r="CI1" s="363"/>
      <c r="CJ1" s="360"/>
      <c r="CK1" s="360"/>
      <c r="CL1" s="360"/>
      <c r="CM1" s="360"/>
      <c r="CN1" s="360"/>
      <c r="CO1" s="360"/>
      <c r="CP1" s="360"/>
      <c r="CQ1" s="360"/>
      <c r="CR1" s="363"/>
      <c r="CS1" s="360"/>
      <c r="CT1" s="360"/>
      <c r="CU1" s="360"/>
      <c r="CV1" s="360"/>
      <c r="CW1" s="360"/>
      <c r="CX1" s="360"/>
      <c r="CY1" s="360"/>
      <c r="CZ1" s="360"/>
    </row>
    <row r="2" spans="1:104" ht="15.75" customHeight="1" x14ac:dyDescent="0.15">
      <c r="A2" s="372"/>
      <c r="B2" s="372"/>
      <c r="C2" s="372"/>
      <c r="D2" s="372"/>
      <c r="E2" s="372"/>
      <c r="F2" s="373"/>
      <c r="G2" s="372"/>
      <c r="H2" s="372"/>
      <c r="I2" s="372"/>
      <c r="J2" s="372"/>
      <c r="K2" s="372"/>
      <c r="L2" s="372"/>
      <c r="M2" s="372"/>
      <c r="N2" s="620"/>
      <c r="O2" s="621"/>
      <c r="P2" s="372"/>
      <c r="Q2" s="372"/>
      <c r="R2" s="372"/>
      <c r="S2" s="372"/>
      <c r="T2" s="372"/>
      <c r="U2" s="372"/>
      <c r="V2" s="373"/>
      <c r="W2" s="373"/>
      <c r="X2" s="621"/>
      <c r="Y2" s="372"/>
      <c r="Z2" s="372"/>
      <c r="AA2" s="372"/>
      <c r="AB2" s="372"/>
      <c r="AC2" s="372"/>
      <c r="AD2" s="372"/>
      <c r="AE2" s="373"/>
      <c r="AF2" s="373"/>
      <c r="AG2" s="621"/>
      <c r="AH2" s="372"/>
      <c r="AI2" s="372"/>
      <c r="AJ2" s="372"/>
      <c r="AK2" s="372"/>
      <c r="AL2" s="372"/>
      <c r="AM2" s="372"/>
      <c r="AN2" s="372"/>
      <c r="AO2" s="372"/>
      <c r="AP2" s="376"/>
      <c r="AQ2" s="372"/>
      <c r="AR2" s="372"/>
      <c r="AS2" s="372"/>
      <c r="AT2" s="372"/>
      <c r="AU2" s="372"/>
      <c r="AV2" s="372"/>
      <c r="AW2" s="372"/>
      <c r="AX2" s="372"/>
      <c r="AY2" s="376"/>
      <c r="AZ2" s="372"/>
      <c r="BA2" s="372"/>
      <c r="BB2" s="372"/>
      <c r="BC2" s="372"/>
      <c r="BD2" s="372"/>
      <c r="BE2" s="372"/>
      <c r="BF2" s="372"/>
      <c r="BG2" s="372"/>
      <c r="BH2" s="376"/>
      <c r="BI2" s="372"/>
      <c r="BJ2" s="372"/>
      <c r="BK2" s="372"/>
      <c r="BL2" s="372"/>
      <c r="BM2" s="372"/>
      <c r="BN2" s="372"/>
      <c r="BO2" s="372"/>
      <c r="BP2" s="372"/>
      <c r="BQ2" s="376"/>
      <c r="BR2" s="372"/>
      <c r="BS2" s="372"/>
      <c r="BT2" s="372"/>
      <c r="BU2" s="372"/>
      <c r="BV2" s="372"/>
      <c r="BW2" s="372"/>
      <c r="BX2" s="372"/>
      <c r="BY2" s="372"/>
      <c r="BZ2" s="376"/>
      <c r="CA2" s="372"/>
      <c r="CB2" s="372"/>
      <c r="CC2" s="372"/>
      <c r="CD2" s="372"/>
      <c r="CE2" s="372"/>
      <c r="CF2" s="372"/>
      <c r="CG2" s="372"/>
      <c r="CH2" s="372"/>
      <c r="CI2" s="376"/>
      <c r="CJ2" s="372"/>
      <c r="CK2" s="372"/>
      <c r="CL2" s="372"/>
      <c r="CM2" s="372"/>
      <c r="CN2" s="372"/>
      <c r="CO2" s="372"/>
      <c r="CP2" s="372"/>
      <c r="CQ2" s="372"/>
      <c r="CR2" s="376"/>
      <c r="CS2" s="372"/>
      <c r="CT2" s="372"/>
      <c r="CU2" s="372"/>
      <c r="CV2" s="372"/>
      <c r="CW2" s="372"/>
      <c r="CX2" s="372"/>
      <c r="CY2" s="372"/>
      <c r="CZ2" s="372"/>
    </row>
    <row r="3" spans="1:104" ht="15.75" customHeight="1" x14ac:dyDescent="0.15">
      <c r="A3" s="372"/>
      <c r="B3" s="372"/>
      <c r="C3" s="372"/>
      <c r="D3" s="372"/>
      <c r="E3" s="372"/>
      <c r="F3" s="373" t="s">
        <v>5709</v>
      </c>
      <c r="G3" s="373" t="s">
        <v>5709</v>
      </c>
      <c r="H3" s="373" t="s">
        <v>5709</v>
      </c>
      <c r="I3" s="373" t="s">
        <v>5709</v>
      </c>
      <c r="J3" s="373" t="s">
        <v>5709</v>
      </c>
      <c r="K3" s="373" t="s">
        <v>5709</v>
      </c>
      <c r="L3" s="373" t="s">
        <v>5709</v>
      </c>
      <c r="M3" s="373" t="s">
        <v>5709</v>
      </c>
      <c r="N3" s="373" t="s">
        <v>5709</v>
      </c>
      <c r="O3" s="621" t="s">
        <v>5709</v>
      </c>
      <c r="P3" s="373" t="s">
        <v>5709</v>
      </c>
      <c r="Q3" s="373" t="s">
        <v>5709</v>
      </c>
      <c r="R3" s="373" t="s">
        <v>5709</v>
      </c>
      <c r="S3" s="373" t="s">
        <v>5709</v>
      </c>
      <c r="T3" s="373" t="s">
        <v>5709</v>
      </c>
      <c r="U3" s="373" t="s">
        <v>5709</v>
      </c>
      <c r="V3" s="373" t="s">
        <v>5709</v>
      </c>
      <c r="W3" s="373" t="s">
        <v>5709</v>
      </c>
      <c r="X3" s="621" t="s">
        <v>5709</v>
      </c>
      <c r="Y3" s="373" t="s">
        <v>5709</v>
      </c>
      <c r="Z3" s="373" t="s">
        <v>5709</v>
      </c>
      <c r="AA3" s="373" t="s">
        <v>5709</v>
      </c>
      <c r="AB3" s="373" t="s">
        <v>5709</v>
      </c>
      <c r="AC3" s="373" t="s">
        <v>5709</v>
      </c>
      <c r="AD3" s="373" t="s">
        <v>5709</v>
      </c>
      <c r="AE3" s="373" t="s">
        <v>5709</v>
      </c>
      <c r="AF3" s="373" t="s">
        <v>5709</v>
      </c>
      <c r="AG3" s="621" t="s">
        <v>5709</v>
      </c>
      <c r="AH3" s="373" t="s">
        <v>5709</v>
      </c>
      <c r="AI3" s="373" t="s">
        <v>5709</v>
      </c>
      <c r="AJ3" s="373" t="s">
        <v>5709</v>
      </c>
      <c r="AK3" s="373" t="s">
        <v>5709</v>
      </c>
      <c r="AL3" s="373" t="s">
        <v>5709</v>
      </c>
      <c r="AM3" s="373" t="s">
        <v>5709</v>
      </c>
      <c r="AN3" s="373" t="s">
        <v>5709</v>
      </c>
      <c r="AO3" s="373" t="s">
        <v>5709</v>
      </c>
      <c r="AP3" s="621" t="s">
        <v>5709</v>
      </c>
      <c r="AQ3" s="373" t="s">
        <v>5709</v>
      </c>
      <c r="AR3" s="373" t="s">
        <v>5709</v>
      </c>
      <c r="AS3" s="373" t="s">
        <v>5709</v>
      </c>
      <c r="AT3" s="373" t="s">
        <v>5709</v>
      </c>
      <c r="AU3" s="373" t="s">
        <v>5709</v>
      </c>
      <c r="AV3" s="373" t="s">
        <v>5709</v>
      </c>
      <c r="AW3" s="373" t="s">
        <v>5709</v>
      </c>
      <c r="AX3" s="373" t="s">
        <v>5709</v>
      </c>
      <c r="AY3" s="621" t="s">
        <v>5709</v>
      </c>
      <c r="AZ3" s="373" t="s">
        <v>5709</v>
      </c>
      <c r="BA3" s="373" t="s">
        <v>5709</v>
      </c>
      <c r="BB3" s="373" t="s">
        <v>5709</v>
      </c>
      <c r="BC3" s="373" t="s">
        <v>5709</v>
      </c>
      <c r="BD3" s="373" t="s">
        <v>5709</v>
      </c>
      <c r="BE3" s="373" t="s">
        <v>5709</v>
      </c>
      <c r="BF3" s="373" t="s">
        <v>5709</v>
      </c>
      <c r="BG3" s="373" t="s">
        <v>5709</v>
      </c>
      <c r="BH3" s="621" t="s">
        <v>5709</v>
      </c>
      <c r="BI3" s="373" t="s">
        <v>5709</v>
      </c>
      <c r="BJ3" s="373" t="s">
        <v>5709</v>
      </c>
      <c r="BK3" s="373" t="s">
        <v>5709</v>
      </c>
      <c r="BL3" s="373" t="s">
        <v>5709</v>
      </c>
      <c r="BM3" s="373" t="s">
        <v>5709</v>
      </c>
      <c r="BN3" s="373" t="s">
        <v>5709</v>
      </c>
      <c r="BO3" s="373" t="s">
        <v>5709</v>
      </c>
      <c r="BP3" s="373" t="s">
        <v>5709</v>
      </c>
      <c r="BQ3" s="621" t="s">
        <v>5709</v>
      </c>
      <c r="BR3" s="373" t="s">
        <v>5709</v>
      </c>
      <c r="BS3" s="373" t="s">
        <v>5709</v>
      </c>
      <c r="BT3" s="373" t="s">
        <v>5709</v>
      </c>
      <c r="BU3" s="373" t="s">
        <v>5709</v>
      </c>
      <c r="BV3" s="373" t="s">
        <v>5709</v>
      </c>
      <c r="BW3" s="373" t="s">
        <v>5709</v>
      </c>
      <c r="BX3" s="373" t="s">
        <v>5709</v>
      </c>
      <c r="BY3" s="373" t="s">
        <v>5709</v>
      </c>
      <c r="BZ3" s="621" t="s">
        <v>5709</v>
      </c>
      <c r="CA3" s="373" t="s">
        <v>5709</v>
      </c>
      <c r="CB3" s="373" t="s">
        <v>5709</v>
      </c>
      <c r="CC3" s="373" t="s">
        <v>5709</v>
      </c>
      <c r="CD3" s="373" t="s">
        <v>5709</v>
      </c>
      <c r="CE3" s="373" t="s">
        <v>5709</v>
      </c>
      <c r="CF3" s="373" t="s">
        <v>5709</v>
      </c>
      <c r="CG3" s="373" t="s">
        <v>5709</v>
      </c>
      <c r="CH3" s="373" t="s">
        <v>5709</v>
      </c>
      <c r="CI3" s="621" t="s">
        <v>5709</v>
      </c>
      <c r="CJ3" s="373" t="s">
        <v>5709</v>
      </c>
      <c r="CK3" s="373" t="s">
        <v>5709</v>
      </c>
      <c r="CL3" s="373" t="s">
        <v>5709</v>
      </c>
      <c r="CM3" s="373" t="s">
        <v>5709</v>
      </c>
      <c r="CN3" s="373" t="s">
        <v>5709</v>
      </c>
      <c r="CO3" s="373" t="s">
        <v>5709</v>
      </c>
      <c r="CP3" s="373" t="s">
        <v>5709</v>
      </c>
      <c r="CQ3" s="373" t="s">
        <v>5709</v>
      </c>
      <c r="CR3" s="621" t="s">
        <v>5709</v>
      </c>
      <c r="CS3" s="373" t="s">
        <v>5709</v>
      </c>
      <c r="CT3" s="373" t="s">
        <v>5709</v>
      </c>
      <c r="CU3" s="373" t="s">
        <v>5709</v>
      </c>
      <c r="CV3" s="373" t="s">
        <v>5709</v>
      </c>
      <c r="CW3" s="373" t="s">
        <v>5709</v>
      </c>
      <c r="CX3" s="373" t="s">
        <v>5709</v>
      </c>
      <c r="CY3" s="373" t="s">
        <v>5709</v>
      </c>
      <c r="CZ3" s="373" t="s">
        <v>5709</v>
      </c>
    </row>
    <row r="4" spans="1:104" ht="15.75" customHeight="1" x14ac:dyDescent="0.15">
      <c r="A4" s="385" t="s">
        <v>7</v>
      </c>
      <c r="B4" s="385" t="s">
        <v>206</v>
      </c>
      <c r="C4" s="622" t="s">
        <v>2468</v>
      </c>
      <c r="D4" s="622" t="s">
        <v>2469</v>
      </c>
      <c r="E4" s="622" t="s">
        <v>4330</v>
      </c>
      <c r="F4" s="386" t="s">
        <v>5710</v>
      </c>
      <c r="G4" s="386" t="s">
        <v>5711</v>
      </c>
      <c r="H4" s="386" t="s">
        <v>5712</v>
      </c>
      <c r="I4" s="386" t="s">
        <v>5713</v>
      </c>
      <c r="J4" s="386" t="s">
        <v>5714</v>
      </c>
      <c r="K4" s="386" t="s">
        <v>5715</v>
      </c>
      <c r="L4" s="386" t="s">
        <v>5716</v>
      </c>
      <c r="M4" s="386" t="s">
        <v>5717</v>
      </c>
      <c r="N4" s="386" t="s">
        <v>5718</v>
      </c>
      <c r="O4" s="623" t="s">
        <v>5719</v>
      </c>
      <c r="P4" s="386" t="s">
        <v>5720</v>
      </c>
      <c r="Q4" s="386" t="s">
        <v>5721</v>
      </c>
      <c r="R4" s="386" t="s">
        <v>5722</v>
      </c>
      <c r="S4" s="386" t="s">
        <v>5723</v>
      </c>
      <c r="T4" s="386" t="s">
        <v>5724</v>
      </c>
      <c r="U4" s="386" t="s">
        <v>5725</v>
      </c>
      <c r="V4" s="386" t="s">
        <v>5726</v>
      </c>
      <c r="W4" s="386" t="s">
        <v>5727</v>
      </c>
      <c r="X4" s="623" t="s">
        <v>5728</v>
      </c>
      <c r="Y4" s="386" t="s">
        <v>5729</v>
      </c>
      <c r="Z4" s="386" t="s">
        <v>5730</v>
      </c>
      <c r="AA4" s="386" t="s">
        <v>5731</v>
      </c>
      <c r="AB4" s="386" t="s">
        <v>5732</v>
      </c>
      <c r="AC4" s="386" t="s">
        <v>5733</v>
      </c>
      <c r="AD4" s="386" t="s">
        <v>5734</v>
      </c>
      <c r="AE4" s="386" t="s">
        <v>5735</v>
      </c>
      <c r="AF4" s="386" t="s">
        <v>5736</v>
      </c>
      <c r="AG4" s="623" t="s">
        <v>5737</v>
      </c>
      <c r="AH4" s="386" t="s">
        <v>5738</v>
      </c>
      <c r="AI4" s="386" t="s">
        <v>5739</v>
      </c>
      <c r="AJ4" s="386" t="s">
        <v>5740</v>
      </c>
      <c r="AK4" s="386" t="s">
        <v>5741</v>
      </c>
      <c r="AL4" s="386" t="s">
        <v>5742</v>
      </c>
      <c r="AM4" s="386" t="s">
        <v>5743</v>
      </c>
      <c r="AN4" s="386" t="s">
        <v>5744</v>
      </c>
      <c r="AO4" s="386" t="s">
        <v>5745</v>
      </c>
      <c r="AP4" s="623" t="s">
        <v>5746</v>
      </c>
      <c r="AQ4" s="386" t="s">
        <v>5747</v>
      </c>
      <c r="AR4" s="386" t="s">
        <v>5748</v>
      </c>
      <c r="AS4" s="386" t="s">
        <v>5749</v>
      </c>
      <c r="AT4" s="386" t="s">
        <v>5750</v>
      </c>
      <c r="AU4" s="386" t="s">
        <v>5751</v>
      </c>
      <c r="AV4" s="386" t="s">
        <v>5752</v>
      </c>
      <c r="AW4" s="386" t="s">
        <v>5753</v>
      </c>
      <c r="AX4" s="386" t="s">
        <v>5754</v>
      </c>
      <c r="AY4" s="623" t="s">
        <v>5755</v>
      </c>
      <c r="AZ4" s="386" t="s">
        <v>5756</v>
      </c>
      <c r="BA4" s="386" t="s">
        <v>5757</v>
      </c>
      <c r="BB4" s="386" t="s">
        <v>5758</v>
      </c>
      <c r="BC4" s="386" t="s">
        <v>5759</v>
      </c>
      <c r="BD4" s="386" t="s">
        <v>5760</v>
      </c>
      <c r="BE4" s="386" t="s">
        <v>5761</v>
      </c>
      <c r="BF4" s="386" t="s">
        <v>5762</v>
      </c>
      <c r="BG4" s="386" t="s">
        <v>5763</v>
      </c>
      <c r="BH4" s="623" t="s">
        <v>5764</v>
      </c>
      <c r="BI4" s="386" t="s">
        <v>5765</v>
      </c>
      <c r="BJ4" s="386" t="s">
        <v>5766</v>
      </c>
      <c r="BK4" s="386" t="s">
        <v>5767</v>
      </c>
      <c r="BL4" s="386" t="s">
        <v>5768</v>
      </c>
      <c r="BM4" s="386" t="s">
        <v>5769</v>
      </c>
      <c r="BN4" s="386" t="s">
        <v>5770</v>
      </c>
      <c r="BO4" s="386" t="s">
        <v>5771</v>
      </c>
      <c r="BP4" s="386" t="s">
        <v>5772</v>
      </c>
      <c r="BQ4" s="623" t="s">
        <v>5773</v>
      </c>
      <c r="BR4" s="386" t="s">
        <v>5774</v>
      </c>
      <c r="BS4" s="386" t="s">
        <v>5775</v>
      </c>
      <c r="BT4" s="386" t="s">
        <v>5776</v>
      </c>
      <c r="BU4" s="386" t="s">
        <v>5777</v>
      </c>
      <c r="BV4" s="386" t="s">
        <v>5778</v>
      </c>
      <c r="BW4" s="386" t="s">
        <v>5779</v>
      </c>
      <c r="BX4" s="386" t="s">
        <v>5780</v>
      </c>
      <c r="BY4" s="386" t="s">
        <v>5781</v>
      </c>
      <c r="BZ4" s="623" t="s">
        <v>5782</v>
      </c>
      <c r="CA4" s="386" t="s">
        <v>5783</v>
      </c>
      <c r="CB4" s="386" t="s">
        <v>5784</v>
      </c>
      <c r="CC4" s="386" t="s">
        <v>5785</v>
      </c>
      <c r="CD4" s="386" t="s">
        <v>5786</v>
      </c>
      <c r="CE4" s="386" t="s">
        <v>5787</v>
      </c>
      <c r="CF4" s="386" t="s">
        <v>5788</v>
      </c>
      <c r="CG4" s="386" t="s">
        <v>5789</v>
      </c>
      <c r="CH4" s="386" t="s">
        <v>5790</v>
      </c>
      <c r="CI4" s="623" t="s">
        <v>5791</v>
      </c>
      <c r="CJ4" s="386" t="s">
        <v>5792</v>
      </c>
      <c r="CK4" s="386" t="s">
        <v>5793</v>
      </c>
      <c r="CL4" s="386" t="s">
        <v>5794</v>
      </c>
      <c r="CM4" s="386" t="s">
        <v>5795</v>
      </c>
      <c r="CN4" s="386" t="s">
        <v>5796</v>
      </c>
      <c r="CO4" s="386" t="s">
        <v>5797</v>
      </c>
      <c r="CP4" s="386" t="s">
        <v>5798</v>
      </c>
      <c r="CQ4" s="386" t="s">
        <v>5799</v>
      </c>
      <c r="CR4" s="623" t="s">
        <v>5800</v>
      </c>
      <c r="CS4" s="386" t="s">
        <v>5801</v>
      </c>
      <c r="CT4" s="386" t="s">
        <v>5802</v>
      </c>
      <c r="CU4" s="386" t="s">
        <v>5803</v>
      </c>
      <c r="CV4" s="386" t="s">
        <v>5804</v>
      </c>
      <c r="CW4" s="386" t="s">
        <v>5805</v>
      </c>
      <c r="CX4" s="386" t="s">
        <v>5806</v>
      </c>
      <c r="CY4" s="386" t="s">
        <v>5807</v>
      </c>
      <c r="CZ4" s="386" t="s">
        <v>5808</v>
      </c>
    </row>
    <row r="5" spans="1:104" ht="15.75" customHeight="1" x14ac:dyDescent="0.15">
      <c r="A5" s="624"/>
      <c r="B5" s="397" t="s">
        <v>206</v>
      </c>
      <c r="C5" s="625" t="s">
        <v>2474</v>
      </c>
      <c r="D5" s="625" t="s">
        <v>2475</v>
      </c>
      <c r="E5" s="625" t="s">
        <v>5809</v>
      </c>
      <c r="F5" s="625" t="s">
        <v>5810</v>
      </c>
      <c r="G5" s="625" t="s">
        <v>5811</v>
      </c>
      <c r="H5" s="625" t="s">
        <v>5812</v>
      </c>
      <c r="I5" s="625" t="s">
        <v>5813</v>
      </c>
      <c r="J5" s="625" t="s">
        <v>5814</v>
      </c>
      <c r="K5" s="398" t="s">
        <v>5815</v>
      </c>
      <c r="L5" s="398" t="s">
        <v>5816</v>
      </c>
      <c r="M5" s="398" t="s">
        <v>5817</v>
      </c>
      <c r="N5" s="398" t="s">
        <v>5818</v>
      </c>
      <c r="O5" s="626" t="s">
        <v>5819</v>
      </c>
      <c r="P5" s="625" t="s">
        <v>5820</v>
      </c>
      <c r="Q5" s="625" t="s">
        <v>5821</v>
      </c>
      <c r="R5" s="625" t="s">
        <v>5822</v>
      </c>
      <c r="S5" s="625" t="s">
        <v>5823</v>
      </c>
      <c r="T5" s="398" t="s">
        <v>5824</v>
      </c>
      <c r="U5" s="398" t="s">
        <v>5825</v>
      </c>
      <c r="V5" s="398" t="s">
        <v>5826</v>
      </c>
      <c r="W5" s="398" t="s">
        <v>5827</v>
      </c>
      <c r="X5" s="626" t="s">
        <v>5828</v>
      </c>
      <c r="Y5" s="625" t="s">
        <v>5829</v>
      </c>
      <c r="Z5" s="625" t="s">
        <v>5830</v>
      </c>
      <c r="AA5" s="625" t="s">
        <v>5831</v>
      </c>
      <c r="AB5" s="625" t="s">
        <v>5832</v>
      </c>
      <c r="AC5" s="625" t="s">
        <v>5833</v>
      </c>
      <c r="AD5" s="398" t="s">
        <v>5834</v>
      </c>
      <c r="AE5" s="398" t="s">
        <v>5835</v>
      </c>
      <c r="AF5" s="398" t="s">
        <v>5836</v>
      </c>
      <c r="AG5" s="626" t="s">
        <v>5837</v>
      </c>
      <c r="AH5" s="625" t="s">
        <v>5838</v>
      </c>
      <c r="AI5" s="625" t="s">
        <v>5839</v>
      </c>
      <c r="AJ5" s="625" t="s">
        <v>5840</v>
      </c>
      <c r="AK5" s="625" t="s">
        <v>5841</v>
      </c>
      <c r="AL5" s="625" t="s">
        <v>5842</v>
      </c>
      <c r="AM5" s="398" t="s">
        <v>5843</v>
      </c>
      <c r="AN5" s="398" t="s">
        <v>5844</v>
      </c>
      <c r="AO5" s="398" t="s">
        <v>5845</v>
      </c>
      <c r="AP5" s="626" t="s">
        <v>5846</v>
      </c>
      <c r="AQ5" s="625" t="s">
        <v>5847</v>
      </c>
      <c r="AR5" s="625" t="s">
        <v>5848</v>
      </c>
      <c r="AS5" s="625" t="s">
        <v>5849</v>
      </c>
      <c r="AT5" s="625" t="s">
        <v>5850</v>
      </c>
      <c r="AU5" s="625" t="s">
        <v>5851</v>
      </c>
      <c r="AV5" s="398" t="s">
        <v>5852</v>
      </c>
      <c r="AW5" s="398" t="s">
        <v>5853</v>
      </c>
      <c r="AX5" s="398" t="s">
        <v>5854</v>
      </c>
      <c r="AY5" s="626" t="s">
        <v>5855</v>
      </c>
      <c r="AZ5" s="625" t="s">
        <v>5856</v>
      </c>
      <c r="BA5" s="625" t="s">
        <v>5857</v>
      </c>
      <c r="BB5" s="625" t="s">
        <v>5858</v>
      </c>
      <c r="BC5" s="625" t="s">
        <v>5859</v>
      </c>
      <c r="BD5" s="625" t="s">
        <v>5860</v>
      </c>
      <c r="BE5" s="398" t="s">
        <v>5861</v>
      </c>
      <c r="BF5" s="398" t="s">
        <v>5862</v>
      </c>
      <c r="BG5" s="398" t="s">
        <v>5863</v>
      </c>
      <c r="BH5" s="626" t="s">
        <v>5864</v>
      </c>
      <c r="BI5" s="625" t="s">
        <v>5865</v>
      </c>
      <c r="BJ5" s="625" t="s">
        <v>5866</v>
      </c>
      <c r="BK5" s="625" t="s">
        <v>5867</v>
      </c>
      <c r="BL5" s="625" t="s">
        <v>5868</v>
      </c>
      <c r="BM5" s="625" t="s">
        <v>5869</v>
      </c>
      <c r="BN5" s="398" t="s">
        <v>5870</v>
      </c>
      <c r="BO5" s="398" t="s">
        <v>5871</v>
      </c>
      <c r="BP5" s="398" t="s">
        <v>5872</v>
      </c>
      <c r="BQ5" s="626" t="s">
        <v>5873</v>
      </c>
      <c r="BR5" s="625" t="s">
        <v>5874</v>
      </c>
      <c r="BS5" s="625" t="s">
        <v>5875</v>
      </c>
      <c r="BT5" s="625" t="s">
        <v>5876</v>
      </c>
      <c r="BU5" s="625" t="s">
        <v>5877</v>
      </c>
      <c r="BV5" s="625" t="s">
        <v>5878</v>
      </c>
      <c r="BW5" s="398" t="s">
        <v>5879</v>
      </c>
      <c r="BX5" s="398" t="s">
        <v>5880</v>
      </c>
      <c r="BY5" s="398" t="s">
        <v>5881</v>
      </c>
      <c r="BZ5" s="626" t="s">
        <v>5882</v>
      </c>
      <c r="CA5" s="625" t="s">
        <v>5883</v>
      </c>
      <c r="CB5" s="625" t="s">
        <v>5884</v>
      </c>
      <c r="CC5" s="625" t="s">
        <v>5885</v>
      </c>
      <c r="CD5" s="625" t="s">
        <v>5886</v>
      </c>
      <c r="CE5" s="625" t="s">
        <v>5887</v>
      </c>
      <c r="CF5" s="398" t="s">
        <v>5888</v>
      </c>
      <c r="CG5" s="398" t="s">
        <v>5889</v>
      </c>
      <c r="CH5" s="398" t="s">
        <v>5890</v>
      </c>
      <c r="CI5" s="626" t="s">
        <v>5891</v>
      </c>
      <c r="CJ5" s="625" t="s">
        <v>5892</v>
      </c>
      <c r="CK5" s="625" t="s">
        <v>5893</v>
      </c>
      <c r="CL5" s="625" t="s">
        <v>5894</v>
      </c>
      <c r="CM5" s="625" t="s">
        <v>5895</v>
      </c>
      <c r="CN5" s="625" t="s">
        <v>5896</v>
      </c>
      <c r="CO5" s="398" t="s">
        <v>5897</v>
      </c>
      <c r="CP5" s="398" t="s">
        <v>5898</v>
      </c>
      <c r="CQ5" s="398" t="s">
        <v>5899</v>
      </c>
      <c r="CR5" s="626" t="s">
        <v>5900</v>
      </c>
      <c r="CS5" s="625" t="s">
        <v>5901</v>
      </c>
      <c r="CT5" s="625" t="s">
        <v>5902</v>
      </c>
      <c r="CU5" s="625" t="s">
        <v>5903</v>
      </c>
      <c r="CV5" s="625" t="s">
        <v>5904</v>
      </c>
      <c r="CW5" s="625" t="s">
        <v>5905</v>
      </c>
      <c r="CX5" s="398" t="s">
        <v>5906</v>
      </c>
      <c r="CY5" s="398" t="s">
        <v>5907</v>
      </c>
      <c r="CZ5" s="398" t="s">
        <v>5908</v>
      </c>
    </row>
    <row r="6" spans="1:104" ht="15.75" customHeight="1" x14ac:dyDescent="0.15">
      <c r="A6" s="82"/>
      <c r="B6" s="82"/>
      <c r="C6" s="82" t="s">
        <v>5025</v>
      </c>
      <c r="D6" s="82" t="s">
        <v>5025</v>
      </c>
      <c r="E6" s="82" t="s">
        <v>2359</v>
      </c>
      <c r="F6" s="84">
        <f>'TitleData levels.total_points'!C$11</f>
        <v>1</v>
      </c>
      <c r="G6" s="84" t="str">
        <f>'TitleData levels.total_points'!D$11</f>
        <v>en-US</v>
      </c>
      <c r="H6" s="84" t="str">
        <f>'TitleData levels.total_points'!E$11</f>
        <v>Novice</v>
      </c>
      <c r="I6" s="84" t="str">
        <f>'TitleData levels.total_points'!F$11</f>
        <v>pt-BR</v>
      </c>
      <c r="J6" s="84" t="str">
        <f>'TitleData levels.total_points'!G$11</f>
        <v>Novice in Portuguese</v>
      </c>
      <c r="K6" s="84">
        <f>'TitleData levels.total_points'!H$11</f>
        <v>0</v>
      </c>
      <c r="L6" s="84" t="str">
        <f ca="1">'TitleData levels.total_points'!I$11</f>
        <v>perkMultiForce</v>
      </c>
      <c r="M6" s="84">
        <f>'TitleData levels.total_points'!J$11</f>
        <v>0</v>
      </c>
      <c r="N6" s="84">
        <f>'TitleData levels.total_points'!K$11</f>
        <v>0</v>
      </c>
      <c r="O6" s="627">
        <f>'TitleData levels.total_points'!C$12</f>
        <v>2</v>
      </c>
      <c r="P6" s="84" t="str">
        <f>'TitleData levels.total_points'!D$12</f>
        <v>en-US</v>
      </c>
      <c r="Q6" s="84" t="str">
        <f>'TitleData levels.total_points'!E$12</f>
        <v>Beginner</v>
      </c>
      <c r="R6" s="84">
        <f>'TitleData levels.total_points'!F$12</f>
        <v>0</v>
      </c>
      <c r="S6" s="84">
        <f>'TitleData levels.total_points'!G$12</f>
        <v>0</v>
      </c>
      <c r="T6" s="84">
        <f>'TitleData levels.total_points'!H$12</f>
        <v>40000</v>
      </c>
      <c r="U6" s="84" t="str">
        <f ca="1">'TitleData levels.total_points'!I$12</f>
        <v>perkMultiFire</v>
      </c>
      <c r="V6" s="84">
        <f>'TitleData levels.total_points'!J$12</f>
        <v>0</v>
      </c>
      <c r="W6" s="84">
        <f>'TitleData levels.total_points'!K$12</f>
        <v>0</v>
      </c>
      <c r="X6" s="627">
        <f>'TitleData levels.total_points'!C$13</f>
        <v>3</v>
      </c>
      <c r="Y6" s="84" t="str">
        <f>'TitleData levels.total_points'!D$13</f>
        <v>en-US</v>
      </c>
      <c r="Z6" s="84" t="str">
        <f>'TitleData levels.total_points'!E$13</f>
        <v>Advanced Beginner</v>
      </c>
      <c r="AA6" s="84">
        <f>'TitleData levels.total_points'!F$13</f>
        <v>0</v>
      </c>
      <c r="AB6" s="84">
        <f>'TitleData levels.total_points'!G$13</f>
        <v>0</v>
      </c>
      <c r="AC6" s="84">
        <f>'TitleData levels.total_points'!H$13</f>
        <v>100000</v>
      </c>
      <c r="AD6" s="84" t="str">
        <f ca="1">'TitleData levels.total_points'!I$13</f>
        <v>perkMultiFreeze</v>
      </c>
      <c r="AE6" s="84">
        <f>'TitleData levels.total_points'!J$13</f>
        <v>0</v>
      </c>
      <c r="AF6" s="84">
        <f>'TitleData levels.total_points'!K$13</f>
        <v>0</v>
      </c>
      <c r="AG6" s="628">
        <f>'TitleData levels.total_points'!C$14</f>
        <v>4</v>
      </c>
      <c r="AH6" s="629" t="str">
        <f>'TitleData levels.total_points'!D$14</f>
        <v>en-US</v>
      </c>
      <c r="AI6" s="629" t="str">
        <f>'TitleData levels.total_points'!E$14</f>
        <v>Advanced Beginner</v>
      </c>
      <c r="AJ6" s="629">
        <f>'TitleData levels.total_points'!F$14</f>
        <v>0</v>
      </c>
      <c r="AK6" s="629">
        <f>'TitleData levels.total_points'!G$14</f>
        <v>0</v>
      </c>
      <c r="AL6" s="629">
        <f>'TitleData levels.total_points'!H$14</f>
        <v>200000</v>
      </c>
      <c r="AM6" s="629" t="str">
        <f ca="1">'TitleData levels.total_points'!I$14</f>
        <v>perkMultiLightning</v>
      </c>
      <c r="AN6" s="629" t="str">
        <f ca="1">'TitleData levels.total_points'!J$14</f>
        <v>actionMissionScarletUnlock</v>
      </c>
      <c r="AO6" s="629">
        <f>'TitleData levels.total_points'!K$14</f>
        <v>0</v>
      </c>
      <c r="AP6" s="630">
        <f>'TitleData levels.total_points'!C$15</f>
        <v>5</v>
      </c>
      <c r="AQ6" s="82" t="str">
        <f>'TitleData levels.total_points'!D$15</f>
        <v>en-US</v>
      </c>
      <c r="AR6" s="82" t="str">
        <f>'TitleData levels.total_points'!E$15</f>
        <v>Advanced Beginner</v>
      </c>
      <c r="AS6" s="82">
        <f>'TitleData levels.total_points'!F$15</f>
        <v>0</v>
      </c>
      <c r="AT6" s="82">
        <f>'TitleData levels.total_points'!G$15</f>
        <v>0</v>
      </c>
      <c r="AU6" s="82">
        <f>'TitleData levels.total_points'!H$15</f>
        <v>300000</v>
      </c>
      <c r="AV6" s="82" t="str">
        <f ca="1">'TitleData levels.total_points'!I$15</f>
        <v>#N/A</v>
      </c>
      <c r="AW6" s="82">
        <f>'TitleData levels.total_points'!J$15</f>
        <v>0</v>
      </c>
      <c r="AX6" s="82">
        <f>'TitleData levels.total_points'!K$15</f>
        <v>0</v>
      </c>
      <c r="AY6" s="630">
        <f>'TitleData levels.total_points'!C$16</f>
        <v>6</v>
      </c>
      <c r="AZ6" s="82" t="str">
        <f>'TitleData levels.total_points'!D$16</f>
        <v>en-US</v>
      </c>
      <c r="BA6" s="82" t="str">
        <f>'TitleData levels.total_points'!E$16</f>
        <v>Advanced Beginner</v>
      </c>
      <c r="BB6" s="82">
        <f>'TitleData levels.total_points'!F$16</f>
        <v>0</v>
      </c>
      <c r="BC6" s="82">
        <f>'TitleData levels.total_points'!G$16</f>
        <v>0</v>
      </c>
      <c r="BD6" s="82">
        <f>'TitleData levels.total_points'!H$16</f>
        <v>400000</v>
      </c>
      <c r="BE6" s="82" t="str">
        <f ca="1">'TitleData levels.total_points'!I$16</f>
        <v>perkDamageForce</v>
      </c>
      <c r="BF6" s="82">
        <f>'TitleData levels.total_points'!J$16</f>
        <v>0</v>
      </c>
      <c r="BG6" s="82">
        <f>'TitleData levels.total_points'!K$16</f>
        <v>0</v>
      </c>
      <c r="BH6" s="630">
        <f>'TitleData levels.total_points'!C$17</f>
        <v>7</v>
      </c>
      <c r="BI6" s="82" t="str">
        <f>'TitleData levels.total_points'!D$17</f>
        <v>en-US</v>
      </c>
      <c r="BJ6" s="82" t="str">
        <f>'TitleData levels.total_points'!E$17</f>
        <v>Advanced Beginner</v>
      </c>
      <c r="BK6" s="82">
        <f>'TitleData levels.total_points'!F$17</f>
        <v>0</v>
      </c>
      <c r="BL6" s="82">
        <f>'TitleData levels.total_points'!G$17</f>
        <v>0</v>
      </c>
      <c r="BM6" s="82">
        <f>'TitleData levels.total_points'!H$17</f>
        <v>500000</v>
      </c>
      <c r="BN6" s="82" t="str">
        <f ca="1">'TitleData levels.total_points'!I$17</f>
        <v>perkDamageFire</v>
      </c>
      <c r="BO6" s="82" t="str">
        <f ca="1">'TitleData levels.total_points'!J$17</f>
        <v>actionMissionElMachoUnlock</v>
      </c>
      <c r="BP6" s="82">
        <f>'TitleData levels.total_points'!K$17</f>
        <v>0</v>
      </c>
      <c r="BQ6" s="630">
        <f>'TitleData levels.total_points'!C$18</f>
        <v>8</v>
      </c>
      <c r="BR6" s="82" t="str">
        <f>'TitleData levels.total_points'!D$18</f>
        <v>en-US</v>
      </c>
      <c r="BS6" s="82" t="str">
        <f>'TitleData levels.total_points'!E$18</f>
        <v>Advanced Beginner</v>
      </c>
      <c r="BT6" s="82">
        <f>'TitleData levels.total_points'!F$18</f>
        <v>0</v>
      </c>
      <c r="BU6" s="82">
        <f>'TitleData levels.total_points'!G$18</f>
        <v>0</v>
      </c>
      <c r="BV6" s="82">
        <f>'TitleData levels.total_points'!H$18</f>
        <v>625000</v>
      </c>
      <c r="BW6" s="82" t="str">
        <f ca="1">'TitleData levels.total_points'!I$18</f>
        <v>perkDamageFreeze</v>
      </c>
      <c r="BX6" s="82">
        <f>'TitleData levels.total_points'!J$18</f>
        <v>0</v>
      </c>
      <c r="BY6" s="82">
        <f>'TitleData levels.total_points'!K$18</f>
        <v>0</v>
      </c>
      <c r="BZ6" s="630">
        <f>'TitleData levels.total_points'!C$19</f>
        <v>9</v>
      </c>
      <c r="CA6" s="82" t="str">
        <f>'TitleData levels.total_points'!D$19</f>
        <v>en-US</v>
      </c>
      <c r="CB6" s="82" t="str">
        <f>'TitleData levels.total_points'!E$19</f>
        <v>Advanced Beginner</v>
      </c>
      <c r="CC6" s="82">
        <f>'TitleData levels.total_points'!F$19</f>
        <v>0</v>
      </c>
      <c r="CD6" s="82">
        <f>'TitleData levels.total_points'!G$19</f>
        <v>0</v>
      </c>
      <c r="CE6" s="82">
        <f>'TitleData levels.total_points'!H$19</f>
        <v>750000</v>
      </c>
      <c r="CF6" s="82" t="str">
        <f ca="1">'TitleData levels.total_points'!I$19</f>
        <v>perkDamageLightning</v>
      </c>
      <c r="CG6" s="82">
        <f>'TitleData levels.total_points'!J$19</f>
        <v>0</v>
      </c>
      <c r="CH6" s="82">
        <f>'TitleData levels.total_points'!K$19</f>
        <v>0</v>
      </c>
      <c r="CI6" s="630">
        <f>'TitleData levels.total_points'!C$20</f>
        <v>10</v>
      </c>
      <c r="CJ6" s="82" t="str">
        <f>'TitleData levels.total_points'!D$20</f>
        <v>en-US</v>
      </c>
      <c r="CK6" s="82" t="str">
        <f>'TitleData levels.total_points'!E$20</f>
        <v>Advanced Beginner</v>
      </c>
      <c r="CL6" s="82">
        <f>'TitleData levels.total_points'!F$20</f>
        <v>0</v>
      </c>
      <c r="CM6" s="82">
        <f>'TitleData levels.total_points'!G$20</f>
        <v>0</v>
      </c>
      <c r="CN6" s="82">
        <f>'TitleData levels.total_points'!H$20</f>
        <v>875000</v>
      </c>
      <c r="CO6" s="82" t="str">
        <f ca="1">'TitleData levels.total_points'!I$20</f>
        <v>actionMissionBrattUnlock</v>
      </c>
      <c r="CP6" s="82">
        <f>'TitleData levels.total_points'!J$20</f>
        <v>0</v>
      </c>
      <c r="CQ6" s="82">
        <f>'TitleData levels.total_points'!K$20</f>
        <v>0</v>
      </c>
      <c r="CR6" s="630">
        <f>'TitleData levels.total_points'!C$21</f>
        <v>11</v>
      </c>
      <c r="CS6" s="82" t="str">
        <f>'TitleData levels.total_points'!D$21</f>
        <v>en-US</v>
      </c>
      <c r="CT6" s="82" t="str">
        <f>'TitleData levels.total_points'!E$21</f>
        <v>Advanced Beginner</v>
      </c>
      <c r="CU6" s="82">
        <f>'TitleData levels.total_points'!F$21</f>
        <v>0</v>
      </c>
      <c r="CV6" s="82">
        <f>'TitleData levels.total_points'!G$21</f>
        <v>0</v>
      </c>
      <c r="CW6" s="82">
        <f>'TitleData levels.total_points'!H$21</f>
        <v>1000000</v>
      </c>
      <c r="CX6" s="82" t="str">
        <f ca="1">'TitleData levels.total_points'!I$21</f>
        <v>perkSpreadForce</v>
      </c>
      <c r="CY6" s="82">
        <f>'TitleData levels.total_points'!J$21</f>
        <v>0</v>
      </c>
      <c r="CZ6" s="82">
        <f>'TitleData levels.total_points'!K$21</f>
        <v>0</v>
      </c>
    </row>
    <row r="7" spans="1:104" ht="15.75" customHeight="1" x14ac:dyDescent="0.15">
      <c r="A7" s="372"/>
      <c r="B7" s="373" t="b">
        <v>1</v>
      </c>
      <c r="C7" s="631" t="s">
        <v>271</v>
      </c>
      <c r="D7" s="631" t="s">
        <v>270</v>
      </c>
      <c r="E7" s="631" t="s">
        <v>2443</v>
      </c>
      <c r="F7" s="632"/>
      <c r="G7" s="631"/>
      <c r="H7" s="631"/>
      <c r="I7" s="631"/>
      <c r="J7" s="631"/>
      <c r="K7" s="632"/>
      <c r="L7" s="632"/>
      <c r="M7" s="632"/>
      <c r="N7" s="633"/>
      <c r="O7" s="634"/>
      <c r="P7" s="631"/>
      <c r="Q7" s="631"/>
      <c r="R7" s="631"/>
      <c r="S7" s="631"/>
      <c r="T7" s="631"/>
      <c r="U7" s="631"/>
      <c r="V7" s="631"/>
      <c r="W7" s="631"/>
      <c r="X7" s="634"/>
      <c r="Y7" s="631"/>
      <c r="Z7" s="631"/>
      <c r="AA7" s="631"/>
      <c r="AB7" s="631"/>
      <c r="AC7" s="631"/>
      <c r="AD7" s="631"/>
      <c r="AE7" s="631"/>
      <c r="AF7" s="631"/>
      <c r="AG7" s="634"/>
      <c r="AH7" s="631"/>
      <c r="AI7" s="631"/>
      <c r="AJ7" s="631"/>
      <c r="AK7" s="631"/>
      <c r="AL7" s="631"/>
      <c r="AM7" s="631"/>
      <c r="AN7" s="631"/>
      <c r="AO7" s="631"/>
      <c r="AP7" s="634"/>
      <c r="AQ7" s="631"/>
      <c r="AR7" s="631"/>
      <c r="AS7" s="631"/>
      <c r="AT7" s="631"/>
      <c r="AU7" s="631"/>
      <c r="AV7" s="631"/>
      <c r="AW7" s="631"/>
      <c r="AX7" s="631"/>
      <c r="AY7" s="634"/>
      <c r="AZ7" s="631"/>
      <c r="BA7" s="631"/>
      <c r="BB7" s="631"/>
      <c r="BC7" s="631"/>
      <c r="BD7" s="631"/>
      <c r="BE7" s="631"/>
      <c r="BF7" s="631"/>
      <c r="BG7" s="631"/>
      <c r="BH7" s="634"/>
      <c r="BI7" s="631"/>
      <c r="BJ7" s="631"/>
      <c r="BK7" s="631"/>
      <c r="BL7" s="631"/>
      <c r="BM7" s="631"/>
      <c r="BN7" s="631"/>
      <c r="BO7" s="631"/>
      <c r="BP7" s="631"/>
      <c r="BQ7" s="634"/>
      <c r="BR7" s="631"/>
      <c r="BS7" s="631"/>
      <c r="BT7" s="631"/>
      <c r="BU7" s="631"/>
      <c r="BV7" s="631"/>
      <c r="BW7" s="631"/>
      <c r="BX7" s="631"/>
      <c r="BY7" s="631"/>
      <c r="BZ7" s="634"/>
      <c r="CA7" s="631"/>
      <c r="CB7" s="631"/>
      <c r="CC7" s="631"/>
      <c r="CD7" s="631"/>
      <c r="CE7" s="631"/>
      <c r="CF7" s="631"/>
      <c r="CG7" s="631"/>
      <c r="CH7" s="631"/>
      <c r="CI7" s="634"/>
      <c r="CJ7" s="631"/>
      <c r="CK7" s="631"/>
      <c r="CL7" s="631"/>
      <c r="CM7" s="631"/>
      <c r="CN7" s="631"/>
      <c r="CO7" s="631"/>
      <c r="CP7" s="631"/>
      <c r="CQ7" s="631"/>
      <c r="CR7" s="634"/>
      <c r="CS7" s="631"/>
      <c r="CT7" s="631"/>
      <c r="CU7" s="631"/>
      <c r="CV7" s="631"/>
      <c r="CW7" s="631"/>
      <c r="CX7" s="631"/>
      <c r="CY7" s="631"/>
      <c r="CZ7" s="631"/>
    </row>
    <row r="8" spans="1:104" ht="15.75" customHeight="1" x14ac:dyDescent="0.15">
      <c r="A8" s="373"/>
      <c r="B8" s="373" t="b">
        <v>1</v>
      </c>
      <c r="C8" s="632" t="s">
        <v>290</v>
      </c>
      <c r="D8" s="631" t="s">
        <v>270</v>
      </c>
      <c r="E8" s="631" t="s">
        <v>2436</v>
      </c>
      <c r="F8" s="632"/>
      <c r="G8" s="631"/>
      <c r="H8" s="631"/>
      <c r="I8" s="631"/>
      <c r="J8" s="631"/>
      <c r="K8" s="632"/>
      <c r="L8" s="632"/>
      <c r="M8" s="632"/>
      <c r="N8" s="633"/>
      <c r="O8" s="634"/>
      <c r="P8" s="631"/>
      <c r="Q8" s="631"/>
      <c r="R8" s="631"/>
      <c r="S8" s="631"/>
      <c r="T8" s="631"/>
      <c r="U8" s="631"/>
      <c r="V8" s="631"/>
      <c r="W8" s="631"/>
      <c r="X8" s="634"/>
      <c r="Y8" s="631"/>
      <c r="Z8" s="631"/>
      <c r="AA8" s="631"/>
      <c r="AB8" s="631"/>
      <c r="AC8" s="631"/>
      <c r="AD8" s="631"/>
      <c r="AE8" s="631"/>
      <c r="AF8" s="631"/>
      <c r="AG8" s="634"/>
      <c r="AH8" s="631"/>
      <c r="AI8" s="631"/>
      <c r="AJ8" s="631"/>
      <c r="AK8" s="631"/>
      <c r="AL8" s="631"/>
      <c r="AM8" s="631"/>
      <c r="AN8" s="631"/>
      <c r="AO8" s="631"/>
      <c r="AP8" s="634"/>
      <c r="AQ8" s="631"/>
      <c r="AR8" s="631"/>
      <c r="AS8" s="631"/>
      <c r="AT8" s="631"/>
      <c r="AU8" s="631"/>
      <c r="AV8" s="631"/>
      <c r="AW8" s="631"/>
      <c r="AX8" s="631"/>
      <c r="AY8" s="634"/>
      <c r="AZ8" s="631"/>
      <c r="BA8" s="631"/>
      <c r="BB8" s="631"/>
      <c r="BC8" s="631"/>
      <c r="BD8" s="631"/>
      <c r="BE8" s="631"/>
      <c r="BF8" s="631"/>
      <c r="BG8" s="631"/>
      <c r="BH8" s="634"/>
      <c r="BI8" s="631"/>
      <c r="BJ8" s="631"/>
      <c r="BK8" s="631"/>
      <c r="BL8" s="631"/>
      <c r="BM8" s="631"/>
      <c r="BN8" s="631"/>
      <c r="BO8" s="631"/>
      <c r="BP8" s="631"/>
      <c r="BQ8" s="634"/>
      <c r="BR8" s="631"/>
      <c r="BS8" s="631"/>
      <c r="BT8" s="631"/>
      <c r="BU8" s="631"/>
      <c r="BV8" s="631"/>
      <c r="BW8" s="631"/>
      <c r="BX8" s="631"/>
      <c r="BY8" s="631"/>
      <c r="BZ8" s="634"/>
      <c r="CA8" s="631"/>
      <c r="CB8" s="631"/>
      <c r="CC8" s="631"/>
      <c r="CD8" s="631"/>
      <c r="CE8" s="631"/>
      <c r="CF8" s="631"/>
      <c r="CG8" s="631"/>
      <c r="CH8" s="631"/>
      <c r="CI8" s="634"/>
      <c r="CJ8" s="631"/>
      <c r="CK8" s="631"/>
      <c r="CL8" s="631"/>
      <c r="CM8" s="631"/>
      <c r="CN8" s="631"/>
      <c r="CO8" s="631"/>
      <c r="CP8" s="631"/>
      <c r="CQ8" s="631"/>
      <c r="CR8" s="634"/>
      <c r="CS8" s="631"/>
      <c r="CT8" s="631"/>
      <c r="CU8" s="631"/>
      <c r="CV8" s="631"/>
      <c r="CW8" s="631"/>
      <c r="CX8" s="631"/>
      <c r="CY8" s="631"/>
      <c r="CZ8" s="631"/>
    </row>
    <row r="9" spans="1:104" ht="15.75" customHeight="1" x14ac:dyDescent="0.15">
      <c r="A9" s="372"/>
      <c r="B9" s="373" t="b">
        <v>1</v>
      </c>
      <c r="C9" s="631" t="s">
        <v>298</v>
      </c>
      <c r="D9" s="631" t="s">
        <v>270</v>
      </c>
      <c r="E9" s="631" t="s">
        <v>2450</v>
      </c>
      <c r="F9" s="632"/>
      <c r="G9" s="631"/>
      <c r="H9" s="631"/>
      <c r="I9" s="631"/>
      <c r="J9" s="631"/>
      <c r="K9" s="632"/>
      <c r="L9" s="632"/>
      <c r="M9" s="632"/>
      <c r="N9" s="633"/>
      <c r="O9" s="634"/>
      <c r="P9" s="631"/>
      <c r="Q9" s="631"/>
      <c r="R9" s="631"/>
      <c r="S9" s="631"/>
      <c r="T9" s="631"/>
      <c r="U9" s="631"/>
      <c r="V9" s="631"/>
      <c r="W9" s="631"/>
      <c r="X9" s="634"/>
      <c r="Y9" s="631"/>
      <c r="Z9" s="631"/>
      <c r="AA9" s="631"/>
      <c r="AB9" s="631"/>
      <c r="AC9" s="631"/>
      <c r="AD9" s="631"/>
      <c r="AE9" s="631"/>
      <c r="AF9" s="631"/>
      <c r="AG9" s="634"/>
      <c r="AH9" s="631"/>
      <c r="AI9" s="631"/>
      <c r="AJ9" s="631"/>
      <c r="AK9" s="631"/>
      <c r="AL9" s="631"/>
      <c r="AM9" s="631"/>
      <c r="AN9" s="631"/>
      <c r="AO9" s="631"/>
      <c r="AP9" s="634"/>
      <c r="AQ9" s="631"/>
      <c r="AR9" s="631"/>
      <c r="AS9" s="631"/>
      <c r="AT9" s="631"/>
      <c r="AU9" s="631"/>
      <c r="AV9" s="631"/>
      <c r="AW9" s="631"/>
      <c r="AX9" s="631"/>
      <c r="AY9" s="634"/>
      <c r="AZ9" s="631"/>
      <c r="BA9" s="631"/>
      <c r="BB9" s="631"/>
      <c r="BC9" s="631"/>
      <c r="BD9" s="631"/>
      <c r="BE9" s="631"/>
      <c r="BF9" s="631"/>
      <c r="BG9" s="631"/>
      <c r="BH9" s="634"/>
      <c r="BI9" s="631"/>
      <c r="BJ9" s="631"/>
      <c r="BK9" s="631"/>
      <c r="BL9" s="631"/>
      <c r="BM9" s="631"/>
      <c r="BN9" s="631"/>
      <c r="BO9" s="631"/>
      <c r="BP9" s="631"/>
      <c r="BQ9" s="634"/>
      <c r="BR9" s="631"/>
      <c r="BS9" s="631"/>
      <c r="BT9" s="631"/>
      <c r="BU9" s="631"/>
      <c r="BV9" s="631"/>
      <c r="BW9" s="631"/>
      <c r="BX9" s="631"/>
      <c r="BY9" s="631"/>
      <c r="BZ9" s="634"/>
      <c r="CA9" s="631"/>
      <c r="CB9" s="631"/>
      <c r="CC9" s="631"/>
      <c r="CD9" s="631"/>
      <c r="CE9" s="631"/>
      <c r="CF9" s="631"/>
      <c r="CG9" s="631"/>
      <c r="CH9" s="631"/>
      <c r="CI9" s="634"/>
      <c r="CJ9" s="631"/>
      <c r="CK9" s="631"/>
      <c r="CL9" s="631"/>
      <c r="CM9" s="631"/>
      <c r="CN9" s="631"/>
      <c r="CO9" s="631"/>
      <c r="CP9" s="631"/>
      <c r="CQ9" s="631"/>
      <c r="CR9" s="634"/>
      <c r="CS9" s="631"/>
      <c r="CT9" s="631"/>
      <c r="CU9" s="631"/>
      <c r="CV9" s="631"/>
      <c r="CW9" s="631"/>
      <c r="CX9" s="631"/>
      <c r="CY9" s="631"/>
      <c r="CZ9" s="631"/>
    </row>
    <row r="10" spans="1:104" ht="15.75" customHeight="1" x14ac:dyDescent="0.15">
      <c r="A10" s="372"/>
      <c r="B10" s="373" t="b">
        <v>1</v>
      </c>
      <c r="C10" s="631" t="s">
        <v>306</v>
      </c>
      <c r="D10" s="631" t="s">
        <v>270</v>
      </c>
      <c r="E10" s="632" t="s">
        <v>2457</v>
      </c>
      <c r="F10" s="632"/>
      <c r="G10" s="631"/>
      <c r="H10" s="631"/>
      <c r="I10" s="631"/>
      <c r="J10" s="631"/>
      <c r="K10" s="632"/>
      <c r="L10" s="632"/>
      <c r="M10" s="632"/>
      <c r="N10" s="633"/>
      <c r="O10" s="634"/>
      <c r="P10" s="631"/>
      <c r="Q10" s="631"/>
      <c r="R10" s="631"/>
      <c r="S10" s="631"/>
      <c r="T10" s="631"/>
      <c r="U10" s="631"/>
      <c r="V10" s="631"/>
      <c r="W10" s="631"/>
      <c r="X10" s="634"/>
      <c r="Y10" s="631"/>
      <c r="Z10" s="631"/>
      <c r="AA10" s="631"/>
      <c r="AB10" s="631"/>
      <c r="AC10" s="631"/>
      <c r="AD10" s="631"/>
      <c r="AE10" s="631"/>
      <c r="AF10" s="631"/>
      <c r="AG10" s="634"/>
      <c r="AH10" s="631"/>
      <c r="AI10" s="631"/>
      <c r="AJ10" s="631"/>
      <c r="AK10" s="631"/>
      <c r="AL10" s="631"/>
      <c r="AM10" s="631"/>
      <c r="AN10" s="631"/>
      <c r="AO10" s="631"/>
      <c r="AP10" s="634"/>
      <c r="AQ10" s="631"/>
      <c r="AR10" s="631"/>
      <c r="AS10" s="631"/>
      <c r="AT10" s="631"/>
      <c r="AU10" s="631"/>
      <c r="AV10" s="631"/>
      <c r="AW10" s="631"/>
      <c r="AX10" s="631"/>
      <c r="AY10" s="634"/>
      <c r="AZ10" s="631"/>
      <c r="BA10" s="631"/>
      <c r="BB10" s="631"/>
      <c r="BC10" s="631"/>
      <c r="BD10" s="631"/>
      <c r="BE10" s="631"/>
      <c r="BF10" s="631"/>
      <c r="BG10" s="631"/>
      <c r="BH10" s="634"/>
      <c r="BI10" s="631"/>
      <c r="BJ10" s="631"/>
      <c r="BK10" s="631"/>
      <c r="BL10" s="631"/>
      <c r="BM10" s="631"/>
      <c r="BN10" s="631"/>
      <c r="BO10" s="631"/>
      <c r="BP10" s="631"/>
      <c r="BQ10" s="634"/>
      <c r="BR10" s="631"/>
      <c r="BS10" s="631"/>
      <c r="BT10" s="631"/>
      <c r="BU10" s="631"/>
      <c r="BV10" s="631"/>
      <c r="BW10" s="631"/>
      <c r="BX10" s="631"/>
      <c r="BY10" s="631"/>
      <c r="BZ10" s="634"/>
      <c r="CA10" s="631"/>
      <c r="CB10" s="631"/>
      <c r="CC10" s="631"/>
      <c r="CD10" s="631"/>
      <c r="CE10" s="631"/>
      <c r="CF10" s="631"/>
      <c r="CG10" s="631"/>
      <c r="CH10" s="631"/>
      <c r="CI10" s="634"/>
      <c r="CJ10" s="631"/>
      <c r="CK10" s="631"/>
      <c r="CL10" s="631"/>
      <c r="CM10" s="631"/>
      <c r="CN10" s="631"/>
      <c r="CO10" s="631"/>
      <c r="CP10" s="631"/>
      <c r="CQ10" s="631"/>
      <c r="CR10" s="634"/>
      <c r="CS10" s="631"/>
      <c r="CT10" s="631"/>
      <c r="CU10" s="631"/>
      <c r="CV10" s="631"/>
      <c r="CW10" s="631"/>
      <c r="CX10" s="631"/>
      <c r="CY10" s="631"/>
      <c r="CZ10" s="631"/>
    </row>
  </sheetData>
  <conditionalFormatting sqref="A6:CZ10">
    <cfRule type="expression" dxfId="23" priority="1">
      <formula>AND($B6=TRUE)</formula>
    </cfRule>
  </conditionalFormatting>
  <conditionalFormatting sqref="F6:CZ10">
    <cfRule type="expression" dxfId="22" priority="2">
      <formula>_xludf.ISFORMULA(F6)</formula>
    </cfRule>
  </conditionalFormatting>
  <hyperlinks>
    <hyperlink ref="F5" r:id="rId1" xr:uid="{00000000-0004-0000-1B00-000000000000}"/>
    <hyperlink ref="O5" r:id="rId2" xr:uid="{00000000-0004-0000-1B00-000001000000}"/>
    <hyperlink ref="X5" r:id="rId3" xr:uid="{00000000-0004-0000-1B00-000002000000}"/>
    <hyperlink ref="AG5" r:id="rId4" xr:uid="{00000000-0004-0000-1B00-000003000000}"/>
    <hyperlink ref="AP5" r:id="rId5" xr:uid="{00000000-0004-0000-1B00-000004000000}"/>
    <hyperlink ref="AY5" r:id="rId6" xr:uid="{00000000-0004-0000-1B00-000005000000}"/>
    <hyperlink ref="BH5" r:id="rId7" xr:uid="{00000000-0004-0000-1B00-000006000000}"/>
    <hyperlink ref="BQ5" r:id="rId8" xr:uid="{00000000-0004-0000-1B00-000007000000}"/>
    <hyperlink ref="BZ5" r:id="rId9" xr:uid="{00000000-0004-0000-1B00-000008000000}"/>
    <hyperlink ref="CI5" r:id="rId10" xr:uid="{00000000-0004-0000-1B00-000009000000}"/>
    <hyperlink ref="CR5" r:id="rId11" xr:uid="{00000000-0004-0000-1B00-00000A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D9EAD3"/>
    <outlinePr summaryBelow="0" summaryRight="0"/>
  </sheetPr>
  <dimension ref="A1:T999"/>
  <sheetViews>
    <sheetView workbookViewId="0">
      <pane ySplit="1" topLeftCell="A2" activePane="bottomLeft" state="frozen"/>
      <selection activeCell="B3" sqref="B3"/>
      <selection pane="bottomLeft" activeCell="B3" sqref="B3"/>
    </sheetView>
  </sheetViews>
  <sheetFormatPr baseColWidth="10" defaultColWidth="12.6640625" defaultRowHeight="15.75" customHeight="1" x14ac:dyDescent="0.15"/>
  <cols>
    <col min="1" max="1" width="11.5" customWidth="1"/>
    <col min="2" max="2" width="31.1640625" customWidth="1"/>
    <col min="3" max="3" width="13.83203125" customWidth="1"/>
    <col min="4" max="4" width="28.1640625" customWidth="1"/>
    <col min="5" max="5" width="70.33203125" customWidth="1"/>
    <col min="6" max="6" width="14" customWidth="1"/>
    <col min="8" max="8" width="13.33203125" customWidth="1"/>
  </cols>
  <sheetData>
    <row r="1" spans="1:20" ht="15.75" customHeight="1" x14ac:dyDescent="0.15">
      <c r="A1" s="234" t="s">
        <v>2469</v>
      </c>
      <c r="B1" s="234" t="s">
        <v>5909</v>
      </c>
      <c r="C1" s="234" t="s">
        <v>5910</v>
      </c>
      <c r="D1" s="234" t="s">
        <v>5911</v>
      </c>
      <c r="E1" s="234" t="s">
        <v>5912</v>
      </c>
      <c r="F1" s="234" t="s">
        <v>5913</v>
      </c>
      <c r="G1" s="635" t="s">
        <v>5914</v>
      </c>
      <c r="H1" s="234" t="s">
        <v>5915</v>
      </c>
      <c r="I1" s="234"/>
      <c r="J1" s="234"/>
      <c r="K1" s="234"/>
      <c r="L1" s="234"/>
      <c r="M1" s="234"/>
      <c r="N1" s="234"/>
      <c r="O1" s="234"/>
      <c r="P1" s="234"/>
      <c r="Q1" s="234"/>
      <c r="R1" s="234"/>
      <c r="S1" s="234"/>
      <c r="T1" s="234"/>
    </row>
    <row r="2" spans="1:20" ht="15.75" customHeight="1" x14ac:dyDescent="0.15">
      <c r="A2" s="18" t="s">
        <v>1549</v>
      </c>
      <c r="B2" s="224" t="s">
        <v>5916</v>
      </c>
      <c r="C2" s="18" t="s">
        <v>5917</v>
      </c>
      <c r="D2" s="18" t="s">
        <v>5918</v>
      </c>
      <c r="E2" s="18" t="s">
        <v>5919</v>
      </c>
      <c r="F2" s="18" t="s">
        <v>5920</v>
      </c>
      <c r="G2" s="15">
        <v>15</v>
      </c>
    </row>
    <row r="3" spans="1:20" ht="15.75" customHeight="1" x14ac:dyDescent="0.15">
      <c r="A3" s="18" t="s">
        <v>1549</v>
      </c>
      <c r="B3" s="224" t="s">
        <v>5921</v>
      </c>
      <c r="C3" s="18" t="s">
        <v>5917</v>
      </c>
      <c r="D3" s="18" t="s">
        <v>5922</v>
      </c>
      <c r="E3" s="18" t="s">
        <v>5923</v>
      </c>
      <c r="F3" s="18" t="s">
        <v>5920</v>
      </c>
      <c r="G3" s="15">
        <v>15</v>
      </c>
    </row>
    <row r="4" spans="1:20" ht="15.75" customHeight="1" x14ac:dyDescent="0.15">
      <c r="A4" s="18" t="s">
        <v>1549</v>
      </c>
      <c r="B4" s="224" t="s">
        <v>5924</v>
      </c>
      <c r="C4" s="18" t="s">
        <v>5917</v>
      </c>
      <c r="D4" s="18" t="s">
        <v>5925</v>
      </c>
      <c r="E4" s="18" t="s">
        <v>5926</v>
      </c>
      <c r="F4" s="18" t="s">
        <v>5920</v>
      </c>
      <c r="G4" s="15">
        <v>15</v>
      </c>
    </row>
    <row r="5" spans="1:20" ht="15.75" customHeight="1" x14ac:dyDescent="0.15">
      <c r="A5" s="18" t="s">
        <v>1549</v>
      </c>
      <c r="B5" s="224" t="s">
        <v>5927</v>
      </c>
      <c r="C5" s="18" t="s">
        <v>5917</v>
      </c>
      <c r="D5" s="18" t="s">
        <v>5928</v>
      </c>
      <c r="E5" s="18" t="s">
        <v>5929</v>
      </c>
      <c r="F5" s="18" t="s">
        <v>5920</v>
      </c>
      <c r="G5" s="15">
        <v>15</v>
      </c>
    </row>
    <row r="6" spans="1:20" ht="15.75" customHeight="1" x14ac:dyDescent="0.15">
      <c r="A6" s="18" t="s">
        <v>1549</v>
      </c>
      <c r="B6" s="224" t="s">
        <v>5930</v>
      </c>
      <c r="C6" s="18" t="s">
        <v>5917</v>
      </c>
      <c r="D6" s="18" t="s">
        <v>5931</v>
      </c>
      <c r="E6" s="18" t="s">
        <v>5932</v>
      </c>
      <c r="F6" s="18" t="s">
        <v>5920</v>
      </c>
      <c r="G6" s="15">
        <v>15</v>
      </c>
    </row>
    <row r="7" spans="1:20" ht="15.75" customHeight="1" x14ac:dyDescent="0.15">
      <c r="A7" s="18" t="s">
        <v>1549</v>
      </c>
      <c r="B7" s="224" t="s">
        <v>5933</v>
      </c>
      <c r="C7" s="18" t="s">
        <v>5917</v>
      </c>
      <c r="D7" s="18" t="s">
        <v>5934</v>
      </c>
      <c r="E7" s="18" t="s">
        <v>5935</v>
      </c>
      <c r="F7" s="18" t="s">
        <v>5920</v>
      </c>
      <c r="G7" s="15">
        <v>15</v>
      </c>
    </row>
    <row r="8" spans="1:20" ht="15.75" customHeight="1" x14ac:dyDescent="0.15">
      <c r="A8" s="18" t="s">
        <v>1549</v>
      </c>
      <c r="B8" s="224" t="s">
        <v>5936</v>
      </c>
      <c r="C8" s="18" t="s">
        <v>5917</v>
      </c>
      <c r="D8" s="18" t="s">
        <v>5937</v>
      </c>
      <c r="E8" s="18" t="s">
        <v>5938</v>
      </c>
      <c r="F8" s="18" t="s">
        <v>5139</v>
      </c>
      <c r="G8" s="15">
        <v>45</v>
      </c>
    </row>
    <row r="9" spans="1:20" ht="15.75" customHeight="1" x14ac:dyDescent="0.15">
      <c r="A9" s="18" t="s">
        <v>1549</v>
      </c>
      <c r="B9" s="224" t="s">
        <v>5939</v>
      </c>
      <c r="C9" s="18" t="s">
        <v>5917</v>
      </c>
      <c r="D9" s="18"/>
      <c r="E9" s="18"/>
      <c r="F9" s="18"/>
      <c r="G9" s="15"/>
    </row>
    <row r="10" spans="1:20" ht="15.75" customHeight="1" x14ac:dyDescent="0.15">
      <c r="A10" s="18" t="s">
        <v>1549</v>
      </c>
      <c r="B10" s="224" t="s">
        <v>5940</v>
      </c>
      <c r="C10" s="18" t="s">
        <v>5917</v>
      </c>
      <c r="D10" s="18"/>
      <c r="E10" s="18"/>
      <c r="F10" s="18"/>
      <c r="G10" s="15"/>
    </row>
    <row r="11" spans="1:20" ht="15.75" customHeight="1" x14ac:dyDescent="0.15">
      <c r="B11" s="18" t="s">
        <v>5941</v>
      </c>
      <c r="C11" s="18" t="s">
        <v>5942</v>
      </c>
      <c r="D11" s="18" t="s">
        <v>5943</v>
      </c>
      <c r="E11" s="18" t="s">
        <v>5944</v>
      </c>
      <c r="F11" s="18" t="s">
        <v>5920</v>
      </c>
      <c r="G11" s="15">
        <v>35</v>
      </c>
    </row>
    <row r="12" spans="1:20" ht="15.75" customHeight="1" x14ac:dyDescent="0.15">
      <c r="A12" s="18"/>
      <c r="B12" s="18" t="s">
        <v>5945</v>
      </c>
      <c r="C12" s="18" t="s">
        <v>5942</v>
      </c>
      <c r="D12" s="18" t="s">
        <v>5946</v>
      </c>
      <c r="E12" s="18" t="s">
        <v>5947</v>
      </c>
      <c r="F12" s="18" t="s">
        <v>5920</v>
      </c>
      <c r="G12" s="15">
        <v>35</v>
      </c>
    </row>
    <row r="13" spans="1:20" ht="15.75" customHeight="1" x14ac:dyDescent="0.15">
      <c r="A13" s="18"/>
      <c r="B13" s="18" t="s">
        <v>5948</v>
      </c>
      <c r="C13" s="18" t="s">
        <v>5942</v>
      </c>
      <c r="D13" s="18" t="s">
        <v>5949</v>
      </c>
      <c r="E13" s="18" t="s">
        <v>5950</v>
      </c>
      <c r="F13" s="18" t="s">
        <v>5920</v>
      </c>
      <c r="G13" s="15">
        <v>35</v>
      </c>
    </row>
    <row r="14" spans="1:20" ht="15.75" customHeight="1" x14ac:dyDescent="0.15">
      <c r="A14" s="18"/>
      <c r="B14" s="18" t="s">
        <v>5951</v>
      </c>
      <c r="C14" s="18" t="s">
        <v>5942</v>
      </c>
      <c r="D14" s="18" t="s">
        <v>5952</v>
      </c>
      <c r="E14" s="18" t="s">
        <v>5953</v>
      </c>
      <c r="F14" s="18" t="s">
        <v>5920</v>
      </c>
      <c r="G14" s="15">
        <v>35</v>
      </c>
    </row>
    <row r="15" spans="1:20" ht="15.75" customHeight="1" x14ac:dyDescent="0.15">
      <c r="A15" s="18"/>
      <c r="B15" s="18"/>
      <c r="C15" s="18"/>
      <c r="D15" s="18"/>
      <c r="E15" s="18"/>
      <c r="F15" s="18"/>
      <c r="G15" s="15"/>
    </row>
    <row r="16" spans="1:20" ht="15.75" customHeight="1" x14ac:dyDescent="0.15">
      <c r="A16" s="18" t="s">
        <v>808</v>
      </c>
      <c r="B16" s="18" t="s">
        <v>5954</v>
      </c>
      <c r="C16" s="18" t="s">
        <v>5955</v>
      </c>
      <c r="D16" s="18" t="s">
        <v>5956</v>
      </c>
      <c r="E16" s="18" t="s">
        <v>5957</v>
      </c>
      <c r="F16" s="18" t="s">
        <v>5139</v>
      </c>
      <c r="G16" s="15">
        <v>300</v>
      </c>
    </row>
    <row r="17" spans="1:7" ht="15.75" customHeight="1" x14ac:dyDescent="0.15">
      <c r="F17" s="18"/>
      <c r="G17" s="15"/>
    </row>
    <row r="18" spans="1:7" ht="15.75" customHeight="1" x14ac:dyDescent="0.15">
      <c r="B18" s="18" t="s">
        <v>5958</v>
      </c>
      <c r="C18" s="18" t="s">
        <v>5959</v>
      </c>
      <c r="D18" s="18" t="s">
        <v>5960</v>
      </c>
      <c r="E18" s="18" t="s">
        <v>5961</v>
      </c>
      <c r="F18" s="18" t="s">
        <v>5920</v>
      </c>
      <c r="G18" s="15">
        <v>65</v>
      </c>
    </row>
    <row r="19" spans="1:7" ht="15.75" customHeight="1" x14ac:dyDescent="0.15">
      <c r="A19" s="18"/>
      <c r="B19" s="18"/>
      <c r="C19" s="18"/>
      <c r="D19" s="18"/>
      <c r="E19" s="18"/>
      <c r="F19" s="18"/>
      <c r="G19" s="15"/>
    </row>
    <row r="20" spans="1:7" ht="15.75" customHeight="1" x14ac:dyDescent="0.15">
      <c r="A20" s="18" t="s">
        <v>808</v>
      </c>
      <c r="B20" s="18" t="s">
        <v>5962</v>
      </c>
      <c r="C20" s="18" t="s">
        <v>5917</v>
      </c>
      <c r="D20" s="18" t="s">
        <v>5963</v>
      </c>
      <c r="E20" s="18" t="s">
        <v>5964</v>
      </c>
      <c r="F20" s="18" t="s">
        <v>5139</v>
      </c>
      <c r="G20" s="15">
        <v>125</v>
      </c>
    </row>
    <row r="21" spans="1:7" ht="15.75" customHeight="1" x14ac:dyDescent="0.15">
      <c r="A21" s="141" t="s">
        <v>808</v>
      </c>
      <c r="B21" s="141" t="s">
        <v>5962</v>
      </c>
      <c r="C21" s="141" t="s">
        <v>5965</v>
      </c>
      <c r="D21" s="141" t="s">
        <v>1436</v>
      </c>
      <c r="E21" s="141" t="s">
        <v>5966</v>
      </c>
      <c r="F21" s="18" t="s">
        <v>5139</v>
      </c>
      <c r="G21" s="15"/>
    </row>
    <row r="22" spans="1:7" ht="15.75" customHeight="1" x14ac:dyDescent="0.15">
      <c r="A22" s="18"/>
      <c r="B22" s="18"/>
      <c r="C22" s="18"/>
      <c r="D22" s="18"/>
      <c r="E22" s="18"/>
      <c r="F22" s="18"/>
      <c r="G22" s="15"/>
    </row>
    <row r="23" spans="1:7" ht="15.75" customHeight="1" x14ac:dyDescent="0.15">
      <c r="A23" s="18"/>
      <c r="B23" s="18" t="s">
        <v>5967</v>
      </c>
      <c r="C23" s="18" t="s">
        <v>5968</v>
      </c>
      <c r="D23" s="18" t="s">
        <v>5969</v>
      </c>
      <c r="E23" s="18" t="s">
        <v>5970</v>
      </c>
      <c r="F23" s="18" t="s">
        <v>5139</v>
      </c>
      <c r="G23" s="15">
        <v>55</v>
      </c>
    </row>
    <row r="24" spans="1:7" ht="15.75" customHeight="1" x14ac:dyDescent="0.15">
      <c r="A24" s="18"/>
      <c r="B24" s="18" t="s">
        <v>5971</v>
      </c>
      <c r="C24" s="18" t="s">
        <v>5968</v>
      </c>
      <c r="D24" s="18" t="s">
        <v>5972</v>
      </c>
      <c r="E24" s="18" t="s">
        <v>5973</v>
      </c>
      <c r="F24" s="18" t="s">
        <v>5139</v>
      </c>
      <c r="G24" s="15">
        <v>100</v>
      </c>
    </row>
    <row r="25" spans="1:7" ht="15.75" customHeight="1" x14ac:dyDescent="0.15">
      <c r="A25" s="141" t="s">
        <v>808</v>
      </c>
      <c r="B25" s="141" t="s">
        <v>5974</v>
      </c>
      <c r="C25" s="141" t="s">
        <v>5917</v>
      </c>
      <c r="D25" s="141"/>
      <c r="E25" s="141" t="s">
        <v>5975</v>
      </c>
      <c r="F25" s="18" t="s">
        <v>5139</v>
      </c>
      <c r="G25" s="15"/>
    </row>
    <row r="26" spans="1:7" ht="15.75" customHeight="1" x14ac:dyDescent="0.15">
      <c r="A26" s="141" t="s">
        <v>808</v>
      </c>
      <c r="B26" s="141" t="s">
        <v>5976</v>
      </c>
      <c r="C26" s="141" t="s">
        <v>5917</v>
      </c>
      <c r="D26" s="141" t="s">
        <v>5977</v>
      </c>
      <c r="E26" s="141" t="s">
        <v>5978</v>
      </c>
      <c r="F26" s="18" t="s">
        <v>5139</v>
      </c>
      <c r="G26" s="15">
        <v>55</v>
      </c>
    </row>
    <row r="27" spans="1:7" ht="15.75" customHeight="1" x14ac:dyDescent="0.15">
      <c r="A27" s="141" t="s">
        <v>808</v>
      </c>
      <c r="B27" s="141" t="s">
        <v>5979</v>
      </c>
      <c r="C27" s="141" t="s">
        <v>5917</v>
      </c>
      <c r="D27" s="141" t="s">
        <v>5980</v>
      </c>
      <c r="E27" s="141" t="s">
        <v>5981</v>
      </c>
      <c r="F27" s="18" t="s">
        <v>5139</v>
      </c>
      <c r="G27" s="15">
        <v>125</v>
      </c>
    </row>
    <row r="28" spans="1:7" ht="15.75" customHeight="1" x14ac:dyDescent="0.15">
      <c r="A28" s="141" t="s">
        <v>1549</v>
      </c>
      <c r="B28" s="141" t="s">
        <v>5982</v>
      </c>
      <c r="C28" s="141" t="s">
        <v>5917</v>
      </c>
      <c r="D28" s="141" t="s">
        <v>5983</v>
      </c>
      <c r="E28" s="141" t="s">
        <v>5984</v>
      </c>
      <c r="F28" s="18" t="s">
        <v>5920</v>
      </c>
      <c r="G28" s="15">
        <v>65</v>
      </c>
    </row>
    <row r="29" spans="1:7" ht="15.75" customHeight="1" x14ac:dyDescent="0.15">
      <c r="A29" s="141" t="s">
        <v>808</v>
      </c>
      <c r="B29" s="141" t="s">
        <v>5985</v>
      </c>
      <c r="C29" s="141" t="s">
        <v>5917</v>
      </c>
      <c r="D29" s="141" t="s">
        <v>5986</v>
      </c>
      <c r="E29" s="141" t="s">
        <v>5987</v>
      </c>
      <c r="F29" s="18" t="s">
        <v>5920</v>
      </c>
      <c r="G29" s="15"/>
    </row>
    <row r="30" spans="1:7" ht="15.75" customHeight="1" x14ac:dyDescent="0.15">
      <c r="A30" s="141" t="s">
        <v>808</v>
      </c>
      <c r="B30" s="141" t="s">
        <v>5988</v>
      </c>
      <c r="C30" s="141" t="s">
        <v>5917</v>
      </c>
      <c r="D30" s="141" t="s">
        <v>5989</v>
      </c>
      <c r="E30" s="141" t="s">
        <v>5990</v>
      </c>
      <c r="F30" s="18" t="s">
        <v>5920</v>
      </c>
      <c r="G30" s="15"/>
    </row>
    <row r="31" spans="1:7" ht="15.75" customHeight="1" x14ac:dyDescent="0.15">
      <c r="A31" s="18"/>
      <c r="B31" s="18"/>
      <c r="C31" s="18"/>
      <c r="D31" s="18"/>
      <c r="E31" s="18"/>
      <c r="F31" s="18"/>
      <c r="G31" s="15"/>
    </row>
    <row r="32" spans="1:7" ht="15.75" customHeight="1" x14ac:dyDescent="0.15">
      <c r="A32" s="18"/>
      <c r="B32" s="18"/>
      <c r="C32" s="18"/>
      <c r="D32" s="18"/>
      <c r="E32" s="18"/>
      <c r="F32" s="18"/>
      <c r="G32" s="15"/>
    </row>
    <row r="33" spans="1:7" ht="15.75" customHeight="1" x14ac:dyDescent="0.15">
      <c r="A33" s="18"/>
      <c r="B33" s="18" t="s">
        <v>5991</v>
      </c>
      <c r="C33" s="18" t="s">
        <v>5992</v>
      </c>
      <c r="D33" s="18" t="s">
        <v>5993</v>
      </c>
      <c r="E33" s="18" t="s">
        <v>5994</v>
      </c>
      <c r="F33" s="18" t="s">
        <v>5139</v>
      </c>
      <c r="G33" s="15">
        <v>55</v>
      </c>
    </row>
    <row r="34" spans="1:7" ht="15.75" customHeight="1" x14ac:dyDescent="0.15">
      <c r="A34" s="18"/>
      <c r="B34" s="18" t="s">
        <v>5995</v>
      </c>
      <c r="C34" s="18" t="s">
        <v>5992</v>
      </c>
      <c r="D34" s="18" t="s">
        <v>5996</v>
      </c>
      <c r="E34" s="18" t="s">
        <v>5997</v>
      </c>
      <c r="F34" s="18" t="s">
        <v>5139</v>
      </c>
      <c r="G34" s="15">
        <v>125</v>
      </c>
    </row>
    <row r="35" spans="1:7" ht="15.75" customHeight="1" x14ac:dyDescent="0.15">
      <c r="A35" s="18"/>
      <c r="B35" s="18" t="s">
        <v>5998</v>
      </c>
      <c r="C35" s="18" t="s">
        <v>5968</v>
      </c>
      <c r="D35" s="18" t="s">
        <v>5999</v>
      </c>
      <c r="E35" s="18" t="s">
        <v>6000</v>
      </c>
      <c r="F35" s="18" t="s">
        <v>5139</v>
      </c>
      <c r="G35" s="15">
        <v>25</v>
      </c>
    </row>
    <row r="36" spans="1:7" ht="15.75" customHeight="1" x14ac:dyDescent="0.15">
      <c r="A36" s="18"/>
      <c r="B36" s="18" t="s">
        <v>6001</v>
      </c>
      <c r="C36" s="18" t="s">
        <v>5968</v>
      </c>
      <c r="D36" s="18" t="s">
        <v>6002</v>
      </c>
      <c r="E36" s="18" t="s">
        <v>6003</v>
      </c>
      <c r="F36" s="18" t="s">
        <v>5139</v>
      </c>
      <c r="G36" s="15">
        <v>55</v>
      </c>
    </row>
    <row r="37" spans="1:7" ht="15.75" customHeight="1" x14ac:dyDescent="0.15">
      <c r="A37" s="18"/>
      <c r="B37" s="18" t="s">
        <v>6004</v>
      </c>
      <c r="C37" s="18" t="s">
        <v>5968</v>
      </c>
      <c r="D37" s="18" t="s">
        <v>6005</v>
      </c>
      <c r="E37" s="18" t="s">
        <v>6006</v>
      </c>
      <c r="F37" s="18" t="s">
        <v>5139</v>
      </c>
      <c r="G37" s="15">
        <v>80</v>
      </c>
    </row>
    <row r="38" spans="1:7" ht="15.75" customHeight="1" x14ac:dyDescent="0.15">
      <c r="A38" s="141" t="s">
        <v>808</v>
      </c>
      <c r="B38" s="141" t="s">
        <v>6007</v>
      </c>
      <c r="C38" s="141" t="s">
        <v>5917</v>
      </c>
      <c r="D38" s="141" t="s">
        <v>6008</v>
      </c>
      <c r="E38" s="141" t="s">
        <v>6009</v>
      </c>
      <c r="F38" s="18" t="s">
        <v>5139</v>
      </c>
      <c r="G38" s="15"/>
    </row>
    <row r="39" spans="1:7" ht="15.75" customHeight="1" x14ac:dyDescent="0.15">
      <c r="A39" s="141" t="s">
        <v>808</v>
      </c>
      <c r="B39" s="141" t="s">
        <v>6010</v>
      </c>
      <c r="C39" s="141" t="s">
        <v>5917</v>
      </c>
      <c r="D39" s="141" t="s">
        <v>6011</v>
      </c>
      <c r="E39" s="141" t="s">
        <v>6012</v>
      </c>
      <c r="F39" s="18" t="s">
        <v>5139</v>
      </c>
      <c r="G39" s="15"/>
    </row>
    <row r="40" spans="1:7" ht="15.75" customHeight="1" x14ac:dyDescent="0.15">
      <c r="B40" s="18" t="s">
        <v>6013</v>
      </c>
      <c r="C40" s="18" t="s">
        <v>5968</v>
      </c>
      <c r="D40" s="18" t="s">
        <v>6014</v>
      </c>
      <c r="E40" s="18" t="s">
        <v>6015</v>
      </c>
      <c r="F40" s="18" t="s">
        <v>5139</v>
      </c>
      <c r="G40" s="15">
        <v>80</v>
      </c>
    </row>
    <row r="41" spans="1:7" ht="15.75" customHeight="1" x14ac:dyDescent="0.15">
      <c r="A41" s="18"/>
      <c r="B41" s="18" t="s">
        <v>6016</v>
      </c>
      <c r="C41" s="18" t="s">
        <v>5968</v>
      </c>
      <c r="D41" s="18" t="s">
        <v>6017</v>
      </c>
      <c r="E41" s="18" t="s">
        <v>6018</v>
      </c>
      <c r="F41" s="18" t="s">
        <v>5920</v>
      </c>
      <c r="G41" s="15">
        <v>45</v>
      </c>
    </row>
    <row r="42" spans="1:7" ht="15.75" customHeight="1" x14ac:dyDescent="0.15">
      <c r="A42" s="18"/>
      <c r="B42" s="18"/>
      <c r="C42" s="18"/>
      <c r="D42" s="18"/>
      <c r="E42" s="18"/>
      <c r="F42" s="18"/>
      <c r="G42" s="15"/>
    </row>
    <row r="43" spans="1:7" ht="15.75" customHeight="1" x14ac:dyDescent="0.15">
      <c r="A43" s="141" t="s">
        <v>6019</v>
      </c>
      <c r="B43" s="141" t="s">
        <v>6020</v>
      </c>
      <c r="C43" s="141" t="s">
        <v>5917</v>
      </c>
      <c r="D43" s="141" t="s">
        <v>6021</v>
      </c>
      <c r="E43" s="141" t="s">
        <v>6022</v>
      </c>
      <c r="F43" s="18" t="s">
        <v>5920</v>
      </c>
      <c r="G43" s="15">
        <v>100</v>
      </c>
    </row>
    <row r="44" spans="1:7" ht="15.75" customHeight="1" x14ac:dyDescent="0.15">
      <c r="A44" s="18"/>
      <c r="B44" s="18"/>
      <c r="C44" s="18"/>
      <c r="D44" s="18"/>
      <c r="E44" s="18"/>
      <c r="F44" s="18"/>
      <c r="G44" s="15"/>
    </row>
    <row r="45" spans="1:7" ht="15.75" customHeight="1" x14ac:dyDescent="0.15">
      <c r="A45" s="18"/>
      <c r="B45" s="18" t="s">
        <v>6023</v>
      </c>
      <c r="C45" s="18" t="s">
        <v>5942</v>
      </c>
      <c r="D45" s="18" t="s">
        <v>6024</v>
      </c>
      <c r="E45" s="18" t="s">
        <v>6025</v>
      </c>
      <c r="F45" s="18" t="s">
        <v>5139</v>
      </c>
      <c r="G45" s="15">
        <v>35</v>
      </c>
    </row>
    <row r="46" spans="1:7" ht="15.75" customHeight="1" x14ac:dyDescent="0.15">
      <c r="A46" s="18"/>
      <c r="B46" s="18" t="s">
        <v>6026</v>
      </c>
      <c r="C46" s="18" t="s">
        <v>5942</v>
      </c>
      <c r="D46" s="18" t="s">
        <v>6027</v>
      </c>
      <c r="E46" s="18" t="s">
        <v>6028</v>
      </c>
      <c r="F46" s="18" t="s">
        <v>5139</v>
      </c>
      <c r="G46" s="15">
        <v>65</v>
      </c>
    </row>
    <row r="47" spans="1:7" ht="15.75" customHeight="1" x14ac:dyDescent="0.15">
      <c r="A47" s="18"/>
      <c r="B47" s="18" t="s">
        <v>6029</v>
      </c>
      <c r="C47" s="18" t="s">
        <v>5942</v>
      </c>
      <c r="D47" s="18" t="s">
        <v>6030</v>
      </c>
      <c r="E47" s="18" t="s">
        <v>6031</v>
      </c>
      <c r="F47" s="18" t="s">
        <v>5139</v>
      </c>
      <c r="G47" s="15">
        <v>125</v>
      </c>
    </row>
    <row r="48" spans="1:7" ht="15.75" customHeight="1" x14ac:dyDescent="0.15">
      <c r="A48" s="18"/>
      <c r="B48" s="18" t="s">
        <v>6032</v>
      </c>
      <c r="C48" s="18" t="s">
        <v>5992</v>
      </c>
      <c r="D48" s="18" t="s">
        <v>6033</v>
      </c>
      <c r="E48" s="18" t="s">
        <v>6034</v>
      </c>
      <c r="F48" s="18" t="s">
        <v>5920</v>
      </c>
      <c r="G48" s="15">
        <v>25</v>
      </c>
    </row>
    <row r="49" spans="1:7" ht="15.75" customHeight="1" x14ac:dyDescent="0.15">
      <c r="A49" s="18"/>
      <c r="B49" s="18" t="s">
        <v>6035</v>
      </c>
      <c r="C49" s="18" t="s">
        <v>5992</v>
      </c>
      <c r="D49" s="18" t="s">
        <v>6036</v>
      </c>
      <c r="E49" s="18" t="s">
        <v>6037</v>
      </c>
      <c r="F49" s="18" t="s">
        <v>5920</v>
      </c>
      <c r="G49" s="15">
        <v>125</v>
      </c>
    </row>
    <row r="50" spans="1:7" ht="15.75" customHeight="1" x14ac:dyDescent="0.15">
      <c r="A50" s="18"/>
      <c r="B50" s="18" t="s">
        <v>6038</v>
      </c>
      <c r="C50" s="18" t="s">
        <v>5992</v>
      </c>
      <c r="D50" s="18" t="s">
        <v>6039</v>
      </c>
      <c r="E50" s="18" t="s">
        <v>6040</v>
      </c>
      <c r="F50" s="18" t="s">
        <v>5139</v>
      </c>
      <c r="G50" s="15">
        <v>100</v>
      </c>
    </row>
    <row r="51" spans="1:7" ht="15.75" customHeight="1" x14ac:dyDescent="0.15">
      <c r="A51" s="18"/>
      <c r="B51" s="18" t="s">
        <v>6041</v>
      </c>
      <c r="C51" s="18" t="s">
        <v>5992</v>
      </c>
      <c r="D51" s="18" t="s">
        <v>6042</v>
      </c>
      <c r="E51" s="18" t="s">
        <v>6043</v>
      </c>
      <c r="F51" s="18" t="s">
        <v>5139</v>
      </c>
      <c r="G51" s="15">
        <v>150</v>
      </c>
    </row>
    <row r="52" spans="1:7" ht="15.75" customHeight="1" x14ac:dyDescent="0.15">
      <c r="A52" s="18"/>
      <c r="B52" s="18"/>
      <c r="C52" s="18"/>
      <c r="D52" s="18"/>
      <c r="E52" s="18"/>
      <c r="F52" s="18"/>
      <c r="G52" s="15"/>
    </row>
    <row r="53" spans="1:7" ht="15.75" customHeight="1" x14ac:dyDescent="0.15">
      <c r="A53" s="141" t="s">
        <v>808</v>
      </c>
      <c r="B53" s="141" t="s">
        <v>6044</v>
      </c>
      <c r="C53" s="141" t="s">
        <v>6045</v>
      </c>
      <c r="D53" s="141" t="s">
        <v>6046</v>
      </c>
      <c r="E53" s="141" t="s">
        <v>6047</v>
      </c>
      <c r="F53" s="18" t="s">
        <v>5139</v>
      </c>
      <c r="G53" s="15">
        <v>175</v>
      </c>
    </row>
    <row r="54" spans="1:7" ht="13" x14ac:dyDescent="0.15">
      <c r="A54" s="141" t="s">
        <v>808</v>
      </c>
      <c r="B54" s="141" t="s">
        <v>6048</v>
      </c>
      <c r="C54" s="141" t="s">
        <v>6045</v>
      </c>
      <c r="D54" s="141" t="s">
        <v>6049</v>
      </c>
      <c r="E54" s="141" t="s">
        <v>6050</v>
      </c>
      <c r="F54" s="18"/>
      <c r="G54" s="15"/>
    </row>
    <row r="55" spans="1:7" ht="13" x14ac:dyDescent="0.15">
      <c r="B55" s="18" t="s">
        <v>6051</v>
      </c>
      <c r="C55" s="18" t="s">
        <v>5942</v>
      </c>
      <c r="D55" s="18" t="s">
        <v>6052</v>
      </c>
      <c r="E55" s="18" t="s">
        <v>6053</v>
      </c>
      <c r="F55" s="18" t="s">
        <v>5139</v>
      </c>
      <c r="G55" s="15">
        <v>125</v>
      </c>
    </row>
    <row r="56" spans="1:7" ht="13" x14ac:dyDescent="0.15">
      <c r="A56" s="18"/>
      <c r="B56" s="18" t="s">
        <v>6054</v>
      </c>
      <c r="C56" s="18" t="s">
        <v>5942</v>
      </c>
      <c r="D56" s="18" t="s">
        <v>6055</v>
      </c>
      <c r="E56" s="18" t="s">
        <v>6056</v>
      </c>
      <c r="F56" s="18" t="s">
        <v>5139</v>
      </c>
      <c r="G56" s="15">
        <v>175</v>
      </c>
    </row>
    <row r="57" spans="1:7" ht="13" x14ac:dyDescent="0.15">
      <c r="A57" s="18"/>
      <c r="B57" s="18" t="s">
        <v>6057</v>
      </c>
      <c r="C57" s="18" t="s">
        <v>5942</v>
      </c>
      <c r="D57" s="18" t="s">
        <v>6058</v>
      </c>
      <c r="E57" s="18" t="s">
        <v>6059</v>
      </c>
      <c r="F57" s="18" t="s">
        <v>5139</v>
      </c>
      <c r="G57" s="15">
        <v>125</v>
      </c>
    </row>
    <row r="58" spans="1:7" ht="13" x14ac:dyDescent="0.15">
      <c r="A58" s="18"/>
      <c r="B58" s="18" t="s">
        <v>6060</v>
      </c>
      <c r="C58" s="18" t="s">
        <v>5942</v>
      </c>
      <c r="D58" s="18" t="s">
        <v>6055</v>
      </c>
      <c r="E58" s="18" t="s">
        <v>6056</v>
      </c>
      <c r="F58" s="18" t="s">
        <v>5139</v>
      </c>
      <c r="G58" s="15">
        <v>175</v>
      </c>
    </row>
    <row r="59" spans="1:7" ht="13" x14ac:dyDescent="0.15">
      <c r="A59" s="18"/>
      <c r="B59" s="18" t="s">
        <v>6061</v>
      </c>
      <c r="C59" s="18" t="s">
        <v>5942</v>
      </c>
      <c r="D59" s="18" t="s">
        <v>6058</v>
      </c>
      <c r="E59" s="18" t="s">
        <v>6059</v>
      </c>
      <c r="F59" s="18" t="s">
        <v>5139</v>
      </c>
      <c r="G59" s="15">
        <v>125</v>
      </c>
    </row>
    <row r="60" spans="1:7" ht="13" x14ac:dyDescent="0.15">
      <c r="A60" s="18"/>
      <c r="B60" s="18" t="s">
        <v>6062</v>
      </c>
      <c r="C60" s="18" t="s">
        <v>5942</v>
      </c>
      <c r="D60" s="18" t="s">
        <v>6055</v>
      </c>
      <c r="E60" s="18" t="s">
        <v>6056</v>
      </c>
      <c r="F60" s="18" t="s">
        <v>5139</v>
      </c>
      <c r="G60" s="15">
        <v>175</v>
      </c>
    </row>
    <row r="61" spans="1:7" ht="13" x14ac:dyDescent="0.15">
      <c r="A61" s="18"/>
      <c r="B61" s="18" t="s">
        <v>6063</v>
      </c>
      <c r="C61" s="18" t="s">
        <v>5942</v>
      </c>
      <c r="D61" s="18" t="s">
        <v>6058</v>
      </c>
      <c r="E61" s="18" t="s">
        <v>6059</v>
      </c>
      <c r="F61" s="18" t="s">
        <v>5139</v>
      </c>
      <c r="G61" s="15">
        <v>125</v>
      </c>
    </row>
    <row r="62" spans="1:7" ht="13" x14ac:dyDescent="0.15">
      <c r="A62" s="18"/>
      <c r="B62" s="18" t="s">
        <v>6064</v>
      </c>
      <c r="C62" s="18" t="s">
        <v>5942</v>
      </c>
      <c r="D62" s="18" t="s">
        <v>6055</v>
      </c>
      <c r="E62" s="18" t="s">
        <v>6056</v>
      </c>
      <c r="F62" s="18" t="s">
        <v>5139</v>
      </c>
      <c r="G62" s="15">
        <v>175</v>
      </c>
    </row>
    <row r="63" spans="1:7" ht="13" x14ac:dyDescent="0.15">
      <c r="A63" s="18"/>
      <c r="B63" s="18" t="s">
        <v>6065</v>
      </c>
      <c r="C63" s="18" t="s">
        <v>5942</v>
      </c>
      <c r="D63" s="18" t="s">
        <v>6058</v>
      </c>
      <c r="E63" s="18" t="s">
        <v>6059</v>
      </c>
      <c r="F63" s="18" t="s">
        <v>5139</v>
      </c>
      <c r="G63" s="15">
        <v>125</v>
      </c>
    </row>
    <row r="64" spans="1:7" ht="13" x14ac:dyDescent="0.15">
      <c r="A64" s="18"/>
      <c r="B64" s="18" t="s">
        <v>6066</v>
      </c>
      <c r="C64" s="18" t="s">
        <v>5942</v>
      </c>
      <c r="D64" s="18" t="s">
        <v>6055</v>
      </c>
      <c r="E64" s="18" t="s">
        <v>6056</v>
      </c>
      <c r="F64" s="18" t="s">
        <v>5139</v>
      </c>
      <c r="G64" s="15">
        <v>175</v>
      </c>
    </row>
    <row r="65" spans="1:20" ht="13" x14ac:dyDescent="0.15">
      <c r="A65" s="18"/>
      <c r="B65" s="18" t="s">
        <v>6067</v>
      </c>
      <c r="C65" s="18" t="s">
        <v>5942</v>
      </c>
      <c r="D65" s="18" t="s">
        <v>6058</v>
      </c>
      <c r="E65" s="18" t="s">
        <v>6059</v>
      </c>
      <c r="F65" s="18" t="s">
        <v>5139</v>
      </c>
      <c r="G65" s="15">
        <v>125</v>
      </c>
    </row>
    <row r="66" spans="1:20" ht="13" x14ac:dyDescent="0.15">
      <c r="A66" s="18"/>
      <c r="B66" s="18" t="s">
        <v>6068</v>
      </c>
      <c r="C66" s="18" t="s">
        <v>5942</v>
      </c>
      <c r="D66" s="18" t="s">
        <v>6069</v>
      </c>
      <c r="E66" s="18" t="s">
        <v>6070</v>
      </c>
      <c r="F66" s="18" t="s">
        <v>5139</v>
      </c>
      <c r="G66" s="15">
        <v>175</v>
      </c>
    </row>
    <row r="67" spans="1:20" ht="13" x14ac:dyDescent="0.15">
      <c r="A67" s="18"/>
      <c r="B67" s="18" t="s">
        <v>6071</v>
      </c>
      <c r="C67" s="18" t="s">
        <v>5942</v>
      </c>
      <c r="D67" s="18" t="s">
        <v>6072</v>
      </c>
      <c r="E67" s="18" t="s">
        <v>6073</v>
      </c>
      <c r="F67" s="18" t="s">
        <v>5139</v>
      </c>
      <c r="G67" s="15">
        <v>125</v>
      </c>
    </row>
    <row r="68" spans="1:20" ht="13" x14ac:dyDescent="0.15">
      <c r="A68" s="18"/>
      <c r="B68" s="18"/>
      <c r="C68" s="18"/>
      <c r="D68" s="18"/>
      <c r="E68" s="18"/>
      <c r="F68" s="18"/>
      <c r="G68" s="15"/>
    </row>
    <row r="69" spans="1:20" ht="13" x14ac:dyDescent="0.15">
      <c r="A69" s="141" t="s">
        <v>808</v>
      </c>
      <c r="B69" s="141" t="s">
        <v>6074</v>
      </c>
      <c r="C69" s="141" t="s">
        <v>5942</v>
      </c>
      <c r="D69" s="141" t="s">
        <v>6075</v>
      </c>
      <c r="E69" s="141" t="s">
        <v>6076</v>
      </c>
      <c r="F69" s="141" t="s">
        <v>5139</v>
      </c>
      <c r="G69" s="636">
        <v>55</v>
      </c>
      <c r="H69" s="141"/>
      <c r="I69" s="141"/>
      <c r="J69" s="141"/>
      <c r="K69" s="141"/>
      <c r="L69" s="141"/>
      <c r="M69" s="141"/>
      <c r="N69" s="141"/>
      <c r="O69" s="141"/>
      <c r="P69" s="141"/>
      <c r="Q69" s="141"/>
      <c r="R69" s="141"/>
      <c r="S69" s="141"/>
      <c r="T69" s="141"/>
    </row>
    <row r="70" spans="1:20" ht="13" x14ac:dyDescent="0.15">
      <c r="A70" s="141" t="s">
        <v>808</v>
      </c>
      <c r="B70" s="141" t="s">
        <v>6077</v>
      </c>
      <c r="C70" s="141" t="s">
        <v>5942</v>
      </c>
      <c r="D70" s="141" t="s">
        <v>6078</v>
      </c>
      <c r="E70" s="141" t="s">
        <v>6079</v>
      </c>
      <c r="F70" s="141" t="s">
        <v>5139</v>
      </c>
      <c r="G70" s="636">
        <v>55</v>
      </c>
      <c r="H70" s="141"/>
      <c r="I70" s="141"/>
      <c r="J70" s="141"/>
      <c r="K70" s="141"/>
      <c r="L70" s="141"/>
      <c r="M70" s="141"/>
      <c r="N70" s="141"/>
      <c r="O70" s="141"/>
      <c r="P70" s="141"/>
      <c r="Q70" s="141"/>
      <c r="R70" s="141"/>
      <c r="S70" s="141"/>
      <c r="T70" s="141"/>
    </row>
    <row r="71" spans="1:20" ht="13" x14ac:dyDescent="0.15">
      <c r="A71" s="141" t="s">
        <v>808</v>
      </c>
      <c r="B71" s="141" t="s">
        <v>6080</v>
      </c>
      <c r="C71" s="141" t="s">
        <v>5942</v>
      </c>
      <c r="D71" s="141" t="s">
        <v>6081</v>
      </c>
      <c r="E71" s="141" t="s">
        <v>6082</v>
      </c>
      <c r="F71" s="141" t="s">
        <v>5139</v>
      </c>
      <c r="G71" s="636">
        <v>55</v>
      </c>
      <c r="H71" s="141"/>
      <c r="I71" s="141"/>
      <c r="J71" s="141"/>
      <c r="K71" s="141"/>
      <c r="L71" s="141"/>
      <c r="M71" s="141"/>
      <c r="N71" s="141"/>
      <c r="O71" s="141"/>
      <c r="P71" s="141"/>
      <c r="Q71" s="141"/>
      <c r="R71" s="141"/>
      <c r="S71" s="141"/>
      <c r="T71" s="141"/>
    </row>
    <row r="72" spans="1:20" ht="13" x14ac:dyDescent="0.15">
      <c r="A72" s="141" t="s">
        <v>808</v>
      </c>
      <c r="B72" s="141" t="s">
        <v>6083</v>
      </c>
      <c r="C72" s="141" t="s">
        <v>5942</v>
      </c>
      <c r="D72" s="141" t="s">
        <v>6084</v>
      </c>
      <c r="E72" s="141" t="s">
        <v>6085</v>
      </c>
      <c r="F72" s="141" t="s">
        <v>5139</v>
      </c>
      <c r="G72" s="636">
        <v>55</v>
      </c>
      <c r="H72" s="141"/>
      <c r="I72" s="141"/>
      <c r="J72" s="141"/>
      <c r="K72" s="141"/>
      <c r="L72" s="141"/>
      <c r="M72" s="141"/>
      <c r="N72" s="141"/>
      <c r="O72" s="141"/>
      <c r="P72" s="141"/>
      <c r="Q72" s="141"/>
      <c r="R72" s="141"/>
      <c r="S72" s="141"/>
      <c r="T72" s="141"/>
    </row>
    <row r="73" spans="1:20" ht="13" x14ac:dyDescent="0.15">
      <c r="A73" s="141" t="s">
        <v>808</v>
      </c>
      <c r="B73" s="141" t="s">
        <v>6086</v>
      </c>
      <c r="C73" s="141" t="s">
        <v>5942</v>
      </c>
      <c r="D73" s="141" t="s">
        <v>6087</v>
      </c>
      <c r="E73" s="141" t="s">
        <v>6088</v>
      </c>
      <c r="F73" s="141" t="s">
        <v>5139</v>
      </c>
      <c r="G73" s="636">
        <v>15</v>
      </c>
      <c r="H73" s="141"/>
      <c r="I73" s="141"/>
      <c r="J73" s="141"/>
      <c r="K73" s="141"/>
      <c r="L73" s="141"/>
      <c r="M73" s="141"/>
      <c r="N73" s="141"/>
      <c r="O73" s="141"/>
      <c r="P73" s="141"/>
      <c r="Q73" s="141"/>
      <c r="R73" s="141"/>
      <c r="S73" s="141"/>
      <c r="T73" s="141"/>
    </row>
    <row r="74" spans="1:20" ht="13" x14ac:dyDescent="0.15">
      <c r="A74" s="141" t="s">
        <v>808</v>
      </c>
      <c r="B74" s="141" t="s">
        <v>6089</v>
      </c>
      <c r="C74" s="141" t="s">
        <v>5942</v>
      </c>
      <c r="D74" s="141" t="s">
        <v>6090</v>
      </c>
      <c r="E74" s="141" t="s">
        <v>6091</v>
      </c>
      <c r="F74" s="141" t="s">
        <v>5139</v>
      </c>
      <c r="G74" s="636">
        <v>15</v>
      </c>
      <c r="H74" s="141"/>
      <c r="I74" s="141"/>
      <c r="J74" s="141"/>
      <c r="K74" s="141"/>
      <c r="L74" s="141"/>
      <c r="M74" s="141"/>
      <c r="N74" s="141"/>
      <c r="O74" s="141"/>
      <c r="P74" s="141"/>
      <c r="Q74" s="141"/>
      <c r="R74" s="141"/>
      <c r="S74" s="141"/>
      <c r="T74" s="141"/>
    </row>
    <row r="75" spans="1:20" ht="13" x14ac:dyDescent="0.15">
      <c r="A75" s="141" t="s">
        <v>808</v>
      </c>
      <c r="B75" s="141" t="s">
        <v>6092</v>
      </c>
      <c r="C75" s="141" t="s">
        <v>5942</v>
      </c>
      <c r="D75" s="141" t="s">
        <v>6093</v>
      </c>
      <c r="E75" s="141" t="s">
        <v>6094</v>
      </c>
      <c r="F75" s="141" t="s">
        <v>5139</v>
      </c>
      <c r="G75" s="636">
        <v>15</v>
      </c>
      <c r="H75" s="141"/>
      <c r="I75" s="141"/>
      <c r="J75" s="141"/>
      <c r="K75" s="141"/>
      <c r="L75" s="141"/>
      <c r="M75" s="141"/>
      <c r="N75" s="141"/>
      <c r="O75" s="141"/>
      <c r="P75" s="141"/>
      <c r="Q75" s="141"/>
      <c r="R75" s="141"/>
      <c r="S75" s="141"/>
      <c r="T75" s="141"/>
    </row>
    <row r="76" spans="1:20" ht="13" x14ac:dyDescent="0.15">
      <c r="A76" s="141" t="s">
        <v>808</v>
      </c>
      <c r="B76" s="141" t="s">
        <v>6095</v>
      </c>
      <c r="C76" s="141" t="s">
        <v>5942</v>
      </c>
      <c r="D76" s="141" t="s">
        <v>6096</v>
      </c>
      <c r="E76" s="141" t="s">
        <v>6097</v>
      </c>
      <c r="F76" s="141" t="s">
        <v>5139</v>
      </c>
      <c r="G76" s="636">
        <v>15</v>
      </c>
      <c r="H76" s="141"/>
      <c r="I76" s="141"/>
      <c r="J76" s="141"/>
      <c r="K76" s="141"/>
      <c r="L76" s="141"/>
      <c r="M76" s="141"/>
      <c r="N76" s="141"/>
      <c r="O76" s="141"/>
      <c r="P76" s="141"/>
      <c r="Q76" s="141"/>
      <c r="R76" s="141"/>
      <c r="S76" s="141"/>
      <c r="T76" s="141"/>
    </row>
    <row r="77" spans="1:20" ht="13" x14ac:dyDescent="0.15">
      <c r="A77" s="18"/>
      <c r="B77" s="18"/>
      <c r="C77" s="18"/>
      <c r="D77" s="18"/>
      <c r="E77" s="18"/>
      <c r="F77" s="18"/>
      <c r="G77" s="15"/>
    </row>
    <row r="78" spans="1:20" ht="13" x14ac:dyDescent="0.15">
      <c r="A78" s="18"/>
      <c r="B78" s="18" t="s">
        <v>6098</v>
      </c>
      <c r="C78" s="18" t="s">
        <v>5942</v>
      </c>
      <c r="D78" s="18" t="s">
        <v>6099</v>
      </c>
      <c r="E78" s="18" t="s">
        <v>6100</v>
      </c>
      <c r="F78" s="18" t="s">
        <v>5139</v>
      </c>
      <c r="G78" s="15">
        <v>15</v>
      </c>
    </row>
    <row r="79" spans="1:20" ht="13" x14ac:dyDescent="0.15">
      <c r="A79" s="18"/>
      <c r="B79" s="18" t="s">
        <v>6101</v>
      </c>
      <c r="C79" s="18" t="s">
        <v>5942</v>
      </c>
      <c r="D79" s="18" t="s">
        <v>6102</v>
      </c>
      <c r="E79" s="18" t="s">
        <v>6103</v>
      </c>
      <c r="F79" s="18" t="s">
        <v>5920</v>
      </c>
      <c r="G79" s="15">
        <v>25</v>
      </c>
    </row>
    <row r="80" spans="1:20" ht="13" x14ac:dyDescent="0.15">
      <c r="A80" s="18"/>
      <c r="B80" s="18" t="s">
        <v>6104</v>
      </c>
      <c r="C80" s="18" t="s">
        <v>5942</v>
      </c>
      <c r="D80" s="18" t="s">
        <v>6105</v>
      </c>
      <c r="E80" s="18" t="s">
        <v>6106</v>
      </c>
      <c r="F80" s="18" t="s">
        <v>5920</v>
      </c>
      <c r="G80" s="15">
        <v>25</v>
      </c>
    </row>
    <row r="81" spans="1:7" ht="13" x14ac:dyDescent="0.15">
      <c r="A81" s="18"/>
      <c r="B81" s="18" t="s">
        <v>6107</v>
      </c>
      <c r="C81" s="18" t="s">
        <v>5942</v>
      </c>
      <c r="D81" s="18" t="s">
        <v>6108</v>
      </c>
      <c r="E81" s="18" t="s">
        <v>6109</v>
      </c>
      <c r="F81" s="18" t="s">
        <v>5920</v>
      </c>
      <c r="G81" s="15">
        <v>25</v>
      </c>
    </row>
    <row r="82" spans="1:7" ht="13" x14ac:dyDescent="0.15">
      <c r="A82" s="18"/>
      <c r="B82" s="18" t="s">
        <v>6110</v>
      </c>
      <c r="C82" s="18" t="s">
        <v>5942</v>
      </c>
      <c r="D82" s="18" t="s">
        <v>6111</v>
      </c>
      <c r="E82" s="18" t="s">
        <v>6112</v>
      </c>
      <c r="F82" s="18" t="s">
        <v>5920</v>
      </c>
      <c r="G82" s="15">
        <v>25</v>
      </c>
    </row>
    <row r="83" spans="1:7" ht="13" x14ac:dyDescent="0.15">
      <c r="A83" s="18"/>
      <c r="B83" s="18" t="s">
        <v>6113</v>
      </c>
      <c r="C83" s="18" t="s">
        <v>5942</v>
      </c>
      <c r="D83" s="18" t="s">
        <v>6114</v>
      </c>
      <c r="E83" s="18" t="s">
        <v>6115</v>
      </c>
      <c r="F83" s="18" t="s">
        <v>5920</v>
      </c>
      <c r="G83" s="15">
        <v>25</v>
      </c>
    </row>
    <row r="84" spans="1:7" ht="13" x14ac:dyDescent="0.15">
      <c r="A84" s="18"/>
      <c r="B84" s="18" t="s">
        <v>6116</v>
      </c>
      <c r="C84" s="18" t="s">
        <v>5942</v>
      </c>
      <c r="D84" s="18" t="s">
        <v>6117</v>
      </c>
      <c r="E84" s="18" t="s">
        <v>6118</v>
      </c>
      <c r="F84" s="18" t="s">
        <v>5920</v>
      </c>
      <c r="G84" s="15">
        <v>25</v>
      </c>
    </row>
    <row r="85" spans="1:7" ht="13" x14ac:dyDescent="0.15">
      <c r="A85" s="18"/>
      <c r="B85" s="18" t="s">
        <v>6119</v>
      </c>
      <c r="C85" s="18" t="s">
        <v>5942</v>
      </c>
      <c r="D85" s="18" t="s">
        <v>6120</v>
      </c>
      <c r="E85" s="18" t="s">
        <v>6121</v>
      </c>
      <c r="F85" s="18" t="s">
        <v>5920</v>
      </c>
      <c r="G85" s="15">
        <v>50</v>
      </c>
    </row>
    <row r="86" spans="1:7" ht="13" x14ac:dyDescent="0.15">
      <c r="A86" s="18"/>
      <c r="B86" s="18" t="s">
        <v>6122</v>
      </c>
      <c r="C86" s="18" t="s">
        <v>5942</v>
      </c>
      <c r="D86" s="18" t="s">
        <v>6123</v>
      </c>
      <c r="E86" s="18" t="s">
        <v>6124</v>
      </c>
      <c r="F86" s="18" t="s">
        <v>5920</v>
      </c>
      <c r="G86" s="15">
        <v>50</v>
      </c>
    </row>
    <row r="87" spans="1:7" ht="13" x14ac:dyDescent="0.15">
      <c r="A87" s="18"/>
      <c r="B87" s="18" t="s">
        <v>6125</v>
      </c>
      <c r="C87" s="18" t="s">
        <v>5942</v>
      </c>
      <c r="D87" s="18" t="s">
        <v>6126</v>
      </c>
      <c r="E87" s="18" t="s">
        <v>6127</v>
      </c>
      <c r="F87" s="18" t="s">
        <v>5920</v>
      </c>
      <c r="G87" s="15">
        <v>50</v>
      </c>
    </row>
    <row r="88" spans="1:7" ht="13" x14ac:dyDescent="0.15">
      <c r="A88" s="18"/>
      <c r="B88" s="18" t="s">
        <v>6128</v>
      </c>
      <c r="C88" s="18" t="s">
        <v>5942</v>
      </c>
      <c r="D88" s="18" t="s">
        <v>6129</v>
      </c>
      <c r="E88" s="18" t="s">
        <v>6130</v>
      </c>
      <c r="F88" s="18" t="s">
        <v>5139</v>
      </c>
      <c r="G88" s="15">
        <v>100</v>
      </c>
    </row>
    <row r="89" spans="1:7" ht="13" x14ac:dyDescent="0.15">
      <c r="A89" s="18"/>
      <c r="B89" s="18" t="s">
        <v>6131</v>
      </c>
      <c r="C89" s="18" t="s">
        <v>5942</v>
      </c>
      <c r="D89" s="18" t="s">
        <v>6132</v>
      </c>
      <c r="E89" s="18" t="s">
        <v>6133</v>
      </c>
      <c r="F89" s="18" t="s">
        <v>5139</v>
      </c>
      <c r="G89" s="15">
        <v>25</v>
      </c>
    </row>
    <row r="90" spans="1:7" ht="13" x14ac:dyDescent="0.15">
      <c r="A90" s="18"/>
      <c r="B90" s="18" t="s">
        <v>6134</v>
      </c>
      <c r="C90" s="18" t="s">
        <v>5942</v>
      </c>
      <c r="D90" s="18" t="s">
        <v>6135</v>
      </c>
      <c r="E90" s="18" t="s">
        <v>6136</v>
      </c>
      <c r="F90" s="18" t="s">
        <v>5139</v>
      </c>
      <c r="G90" s="15">
        <v>125</v>
      </c>
    </row>
    <row r="91" spans="1:7" ht="13" x14ac:dyDescent="0.15">
      <c r="A91" s="18"/>
      <c r="B91" s="18" t="s">
        <v>6137</v>
      </c>
      <c r="C91" s="18" t="s">
        <v>5968</v>
      </c>
      <c r="D91" s="18" t="s">
        <v>6138</v>
      </c>
      <c r="E91" s="18" t="s">
        <v>6139</v>
      </c>
      <c r="F91" s="18" t="s">
        <v>5139</v>
      </c>
      <c r="G91" s="15">
        <v>15</v>
      </c>
    </row>
    <row r="92" spans="1:7" ht="13" x14ac:dyDescent="0.15">
      <c r="A92" s="18"/>
      <c r="B92" s="18" t="s">
        <v>6140</v>
      </c>
      <c r="C92" s="18" t="s">
        <v>5968</v>
      </c>
      <c r="D92" s="18" t="s">
        <v>6141</v>
      </c>
      <c r="E92" s="18" t="s">
        <v>6142</v>
      </c>
      <c r="F92" s="18" t="s">
        <v>5139</v>
      </c>
      <c r="G92" s="15">
        <v>35</v>
      </c>
    </row>
    <row r="93" spans="1:7" ht="13" x14ac:dyDescent="0.15">
      <c r="A93" s="18"/>
      <c r="B93" s="18" t="s">
        <v>6143</v>
      </c>
      <c r="C93" s="18" t="s">
        <v>5968</v>
      </c>
      <c r="D93" s="18" t="s">
        <v>6144</v>
      </c>
      <c r="E93" s="18" t="s">
        <v>6145</v>
      </c>
      <c r="F93" s="18" t="s">
        <v>5139</v>
      </c>
      <c r="G93" s="15">
        <v>15</v>
      </c>
    </row>
    <row r="94" spans="1:7" ht="13" x14ac:dyDescent="0.15">
      <c r="A94" s="18"/>
      <c r="B94" s="18" t="s">
        <v>6146</v>
      </c>
      <c r="C94" s="18" t="s">
        <v>5968</v>
      </c>
      <c r="D94" s="18" t="s">
        <v>6147</v>
      </c>
      <c r="E94" s="18" t="s">
        <v>6148</v>
      </c>
      <c r="F94" s="18" t="s">
        <v>5139</v>
      </c>
      <c r="G94" s="15">
        <v>25</v>
      </c>
    </row>
    <row r="95" spans="1:7" ht="13" x14ac:dyDescent="0.15">
      <c r="A95" s="18"/>
      <c r="B95" s="18" t="s">
        <v>6149</v>
      </c>
      <c r="C95" s="18" t="s">
        <v>5968</v>
      </c>
      <c r="D95" s="18" t="s">
        <v>6150</v>
      </c>
      <c r="E95" s="18" t="s">
        <v>6151</v>
      </c>
      <c r="F95" s="18" t="s">
        <v>5013</v>
      </c>
      <c r="G95" s="15">
        <v>80</v>
      </c>
    </row>
    <row r="96" spans="1:7" ht="13" x14ac:dyDescent="0.15">
      <c r="A96" s="18"/>
      <c r="B96" s="18" t="s">
        <v>6152</v>
      </c>
      <c r="C96" s="18" t="s">
        <v>5968</v>
      </c>
      <c r="D96" s="18" t="s">
        <v>6153</v>
      </c>
      <c r="E96" s="18" t="s">
        <v>6154</v>
      </c>
      <c r="F96" s="18" t="s">
        <v>5139</v>
      </c>
      <c r="G96" s="15">
        <v>100</v>
      </c>
    </row>
    <row r="97" spans="1:7" ht="13" x14ac:dyDescent="0.15">
      <c r="A97" s="18"/>
      <c r="B97" s="18" t="s">
        <v>6155</v>
      </c>
      <c r="C97" s="18" t="s">
        <v>5968</v>
      </c>
      <c r="D97" s="18" t="s">
        <v>6156</v>
      </c>
      <c r="E97" s="18" t="s">
        <v>6157</v>
      </c>
      <c r="F97" s="18" t="s">
        <v>5139</v>
      </c>
      <c r="G97" s="15">
        <v>100</v>
      </c>
    </row>
    <row r="98" spans="1:7" ht="13" x14ac:dyDescent="0.15">
      <c r="A98" s="18"/>
      <c r="B98" s="18" t="s">
        <v>6158</v>
      </c>
      <c r="C98" s="18" t="s">
        <v>5968</v>
      </c>
      <c r="D98" s="18" t="s">
        <v>6159</v>
      </c>
      <c r="E98" s="18" t="s">
        <v>6160</v>
      </c>
      <c r="F98" s="18" t="s">
        <v>5139</v>
      </c>
      <c r="G98" s="15">
        <v>25</v>
      </c>
    </row>
    <row r="99" spans="1:7" ht="13" x14ac:dyDescent="0.15">
      <c r="A99" s="18"/>
      <c r="B99" s="18" t="s">
        <v>6161</v>
      </c>
      <c r="C99" s="18" t="s">
        <v>5968</v>
      </c>
      <c r="D99" s="18" t="s">
        <v>6162</v>
      </c>
      <c r="E99" s="18" t="s">
        <v>6163</v>
      </c>
      <c r="F99" s="18" t="s">
        <v>5139</v>
      </c>
      <c r="G99" s="15">
        <v>65</v>
      </c>
    </row>
    <row r="100" spans="1:7" ht="13" x14ac:dyDescent="0.15">
      <c r="A100" s="18"/>
      <c r="B100" s="18" t="s">
        <v>6164</v>
      </c>
      <c r="C100" s="18" t="s">
        <v>5968</v>
      </c>
      <c r="D100" s="18" t="s">
        <v>6165</v>
      </c>
      <c r="E100" s="18" t="s">
        <v>6166</v>
      </c>
      <c r="F100" s="18" t="s">
        <v>5139</v>
      </c>
      <c r="G100" s="15">
        <v>65</v>
      </c>
    </row>
    <row r="101" spans="1:7" ht="13" x14ac:dyDescent="0.15">
      <c r="A101" s="18"/>
      <c r="B101" s="18" t="s">
        <v>6167</v>
      </c>
      <c r="C101" s="18" t="s">
        <v>5968</v>
      </c>
      <c r="D101" s="18" t="s">
        <v>6168</v>
      </c>
      <c r="E101" s="18" t="s">
        <v>6169</v>
      </c>
      <c r="F101" s="18" t="s">
        <v>5139</v>
      </c>
      <c r="G101" s="15">
        <v>65</v>
      </c>
    </row>
    <row r="102" spans="1:7" ht="13" x14ac:dyDescent="0.15">
      <c r="A102" s="18"/>
      <c r="B102" s="18" t="s">
        <v>6170</v>
      </c>
      <c r="C102" s="18" t="s">
        <v>5968</v>
      </c>
      <c r="D102" s="18" t="s">
        <v>6171</v>
      </c>
      <c r="E102" s="18" t="s">
        <v>6172</v>
      </c>
      <c r="F102" s="18" t="s">
        <v>5013</v>
      </c>
      <c r="G102" s="15">
        <v>100</v>
      </c>
    </row>
    <row r="103" spans="1:7" ht="13" x14ac:dyDescent="0.15">
      <c r="A103" s="18"/>
      <c r="B103" s="18" t="s">
        <v>6173</v>
      </c>
      <c r="C103" s="18" t="s">
        <v>5968</v>
      </c>
      <c r="D103" s="18" t="s">
        <v>6174</v>
      </c>
      <c r="E103" s="18" t="s">
        <v>6175</v>
      </c>
      <c r="F103" s="18" t="s">
        <v>5920</v>
      </c>
      <c r="G103" s="15">
        <v>65</v>
      </c>
    </row>
    <row r="104" spans="1:7" ht="13" x14ac:dyDescent="0.15">
      <c r="A104" s="18"/>
      <c r="B104" s="18" t="s">
        <v>6176</v>
      </c>
      <c r="C104" s="18" t="s">
        <v>5968</v>
      </c>
      <c r="D104" s="18" t="s">
        <v>6177</v>
      </c>
      <c r="E104" s="18" t="s">
        <v>6178</v>
      </c>
      <c r="F104" s="18" t="s">
        <v>5920</v>
      </c>
      <c r="G104" s="15">
        <v>35</v>
      </c>
    </row>
    <row r="105" spans="1:7" ht="13" x14ac:dyDescent="0.15">
      <c r="A105" s="18"/>
      <c r="B105" s="18" t="s">
        <v>6179</v>
      </c>
      <c r="C105" s="18" t="s">
        <v>5968</v>
      </c>
      <c r="D105" s="18" t="s">
        <v>6180</v>
      </c>
      <c r="E105" s="18" t="s">
        <v>6181</v>
      </c>
      <c r="F105" s="18" t="s">
        <v>5139</v>
      </c>
      <c r="G105" s="15">
        <v>65</v>
      </c>
    </row>
    <row r="106" spans="1:7" ht="13" x14ac:dyDescent="0.15">
      <c r="A106" s="18"/>
      <c r="B106" s="18" t="s">
        <v>6182</v>
      </c>
      <c r="C106" s="18" t="s">
        <v>5968</v>
      </c>
      <c r="D106" s="18" t="s">
        <v>6183</v>
      </c>
      <c r="E106" s="18" t="s">
        <v>6184</v>
      </c>
      <c r="F106" s="18" t="s">
        <v>5139</v>
      </c>
      <c r="G106" s="15">
        <v>80</v>
      </c>
    </row>
    <row r="107" spans="1:7" ht="13" x14ac:dyDescent="0.15">
      <c r="A107" s="18"/>
      <c r="B107" s="18" t="s">
        <v>6185</v>
      </c>
      <c r="C107" s="18" t="s">
        <v>5968</v>
      </c>
      <c r="D107" s="18" t="s">
        <v>6186</v>
      </c>
      <c r="E107" s="18" t="s">
        <v>6187</v>
      </c>
      <c r="F107" s="18" t="s">
        <v>5139</v>
      </c>
      <c r="G107" s="15">
        <v>35</v>
      </c>
    </row>
    <row r="108" spans="1:7" ht="13" x14ac:dyDescent="0.15">
      <c r="A108" s="18"/>
      <c r="B108" s="18" t="s">
        <v>6188</v>
      </c>
      <c r="C108" s="18" t="s">
        <v>5968</v>
      </c>
      <c r="D108" s="18" t="s">
        <v>6189</v>
      </c>
      <c r="E108" s="18" t="s">
        <v>6190</v>
      </c>
      <c r="F108" s="18" t="s">
        <v>5139</v>
      </c>
      <c r="G108" s="15">
        <v>25</v>
      </c>
    </row>
    <row r="109" spans="1:7" ht="13" x14ac:dyDescent="0.15">
      <c r="A109" s="18"/>
      <c r="B109" s="18" t="s">
        <v>6191</v>
      </c>
      <c r="C109" s="18" t="s">
        <v>5968</v>
      </c>
      <c r="D109" s="18" t="s">
        <v>6192</v>
      </c>
      <c r="E109" s="18" t="s">
        <v>6193</v>
      </c>
      <c r="F109" s="18" t="s">
        <v>5139</v>
      </c>
      <c r="G109" s="15">
        <v>35</v>
      </c>
    </row>
    <row r="110" spans="1:7" ht="13" x14ac:dyDescent="0.15">
      <c r="A110" s="18"/>
      <c r="B110" s="18" t="s">
        <v>6194</v>
      </c>
      <c r="C110" s="18" t="s">
        <v>5968</v>
      </c>
      <c r="D110" s="18" t="s">
        <v>6195</v>
      </c>
      <c r="E110" s="18" t="s">
        <v>6196</v>
      </c>
      <c r="F110" s="18" t="s">
        <v>5920</v>
      </c>
      <c r="G110" s="15">
        <v>175</v>
      </c>
    </row>
    <row r="111" spans="1:7" ht="13" x14ac:dyDescent="0.15">
      <c r="A111" s="18"/>
      <c r="B111" s="18" t="s">
        <v>6197</v>
      </c>
      <c r="C111" s="18" t="s">
        <v>5968</v>
      </c>
      <c r="D111" s="18" t="s">
        <v>6198</v>
      </c>
      <c r="E111" s="18" t="s">
        <v>6199</v>
      </c>
      <c r="F111" s="18" t="s">
        <v>5139</v>
      </c>
      <c r="G111" s="15">
        <v>25</v>
      </c>
    </row>
    <row r="112" spans="1:7" ht="13" x14ac:dyDescent="0.15">
      <c r="A112" s="18"/>
      <c r="B112" s="18" t="s">
        <v>6200</v>
      </c>
      <c r="C112" s="18" t="s">
        <v>5968</v>
      </c>
      <c r="D112" s="18" t="s">
        <v>6201</v>
      </c>
      <c r="E112" s="18" t="s">
        <v>6202</v>
      </c>
      <c r="F112" s="18" t="s">
        <v>5139</v>
      </c>
      <c r="G112" s="15">
        <v>25</v>
      </c>
    </row>
    <row r="113" spans="1:7" ht="13" x14ac:dyDescent="0.15">
      <c r="A113" s="18"/>
      <c r="B113" s="18" t="s">
        <v>6203</v>
      </c>
      <c r="C113" s="18" t="s">
        <v>5968</v>
      </c>
      <c r="D113" s="18" t="s">
        <v>6204</v>
      </c>
      <c r="E113" s="18" t="s">
        <v>6205</v>
      </c>
      <c r="F113" s="18" t="s">
        <v>5920</v>
      </c>
      <c r="G113" s="15">
        <v>100</v>
      </c>
    </row>
    <row r="114" spans="1:7" ht="13" x14ac:dyDescent="0.15">
      <c r="A114" s="18"/>
      <c r="B114" s="18" t="s">
        <v>6206</v>
      </c>
      <c r="C114" s="18" t="s">
        <v>5968</v>
      </c>
      <c r="D114" s="18" t="s">
        <v>6207</v>
      </c>
      <c r="E114" s="18" t="s">
        <v>6208</v>
      </c>
      <c r="F114" s="18" t="s">
        <v>5920</v>
      </c>
      <c r="G114" s="15">
        <v>125</v>
      </c>
    </row>
    <row r="115" spans="1:7" ht="13" x14ac:dyDescent="0.15">
      <c r="A115" s="18"/>
      <c r="B115" s="18" t="s">
        <v>6209</v>
      </c>
      <c r="C115" s="18" t="s">
        <v>5968</v>
      </c>
      <c r="D115" s="18" t="s">
        <v>6210</v>
      </c>
      <c r="E115" s="18" t="s">
        <v>6211</v>
      </c>
      <c r="F115" s="18" t="s">
        <v>5920</v>
      </c>
      <c r="G115" s="15">
        <v>15</v>
      </c>
    </row>
    <row r="116" spans="1:7" ht="13" x14ac:dyDescent="0.15">
      <c r="A116" s="18"/>
      <c r="B116" s="18" t="s">
        <v>6212</v>
      </c>
      <c r="C116" s="18" t="s">
        <v>5968</v>
      </c>
      <c r="D116" s="18" t="s">
        <v>6213</v>
      </c>
      <c r="E116" s="18" t="s">
        <v>6214</v>
      </c>
      <c r="F116" s="18" t="s">
        <v>5920</v>
      </c>
      <c r="G116" s="15">
        <v>40</v>
      </c>
    </row>
    <row r="117" spans="1:7" ht="13" x14ac:dyDescent="0.15">
      <c r="A117" s="18"/>
      <c r="B117" s="18" t="s">
        <v>6215</v>
      </c>
      <c r="C117" s="18" t="s">
        <v>5968</v>
      </c>
      <c r="D117" s="18" t="s">
        <v>6216</v>
      </c>
      <c r="E117" s="18" t="s">
        <v>6217</v>
      </c>
      <c r="F117" s="18" t="s">
        <v>5139</v>
      </c>
      <c r="G117" s="15">
        <v>55</v>
      </c>
    </row>
    <row r="118" spans="1:7" ht="13" x14ac:dyDescent="0.15">
      <c r="A118" s="18"/>
      <c r="B118" s="18" t="s">
        <v>6218</v>
      </c>
      <c r="C118" s="18" t="s">
        <v>5968</v>
      </c>
      <c r="D118" s="18" t="s">
        <v>6219</v>
      </c>
      <c r="E118" s="18" t="s">
        <v>6220</v>
      </c>
      <c r="F118" s="18" t="s">
        <v>5139</v>
      </c>
      <c r="G118" s="15">
        <v>80</v>
      </c>
    </row>
    <row r="119" spans="1:7" ht="13" x14ac:dyDescent="0.15">
      <c r="A119" s="18"/>
      <c r="B119" s="18" t="s">
        <v>6221</v>
      </c>
      <c r="C119" s="18" t="s">
        <v>5992</v>
      </c>
      <c r="D119" s="18" t="s">
        <v>6222</v>
      </c>
      <c r="E119" s="18" t="s">
        <v>6223</v>
      </c>
      <c r="F119" s="18" t="s">
        <v>5920</v>
      </c>
      <c r="G119" s="15">
        <v>45</v>
      </c>
    </row>
    <row r="120" spans="1:7" ht="13" x14ac:dyDescent="0.15">
      <c r="A120" s="18"/>
      <c r="B120" s="18" t="s">
        <v>6224</v>
      </c>
      <c r="C120" s="18" t="s">
        <v>5992</v>
      </c>
      <c r="D120" s="18" t="s">
        <v>6225</v>
      </c>
      <c r="E120" s="18" t="s">
        <v>6226</v>
      </c>
      <c r="F120" s="18" t="s">
        <v>5920</v>
      </c>
      <c r="G120" s="15">
        <v>45</v>
      </c>
    </row>
    <row r="121" spans="1:7" ht="13" x14ac:dyDescent="0.15">
      <c r="A121" s="18"/>
      <c r="B121" s="18" t="s">
        <v>6227</v>
      </c>
      <c r="C121" s="18" t="s">
        <v>5992</v>
      </c>
      <c r="D121" s="18" t="s">
        <v>6228</v>
      </c>
      <c r="E121" s="18" t="s">
        <v>6229</v>
      </c>
      <c r="F121" s="18" t="s">
        <v>5920</v>
      </c>
      <c r="G121" s="15">
        <v>45</v>
      </c>
    </row>
    <row r="122" spans="1:7" ht="13" x14ac:dyDescent="0.15">
      <c r="A122" s="18"/>
      <c r="B122" s="18" t="s">
        <v>6230</v>
      </c>
      <c r="C122" s="18" t="s">
        <v>5992</v>
      </c>
      <c r="D122" s="18" t="s">
        <v>6231</v>
      </c>
      <c r="E122" s="18" t="s">
        <v>6232</v>
      </c>
      <c r="F122" s="18" t="s">
        <v>5920</v>
      </c>
      <c r="G122" s="15">
        <v>45</v>
      </c>
    </row>
    <row r="123" spans="1:7" ht="13" x14ac:dyDescent="0.15">
      <c r="A123" s="18"/>
      <c r="B123" s="18" t="s">
        <v>6233</v>
      </c>
      <c r="C123" s="18" t="s">
        <v>5992</v>
      </c>
      <c r="D123" s="18" t="s">
        <v>6234</v>
      </c>
      <c r="E123" s="18" t="s">
        <v>6235</v>
      </c>
      <c r="F123" s="18" t="s">
        <v>5920</v>
      </c>
      <c r="G123" s="15">
        <v>45</v>
      </c>
    </row>
    <row r="124" spans="1:7" ht="13" x14ac:dyDescent="0.15">
      <c r="A124" s="18"/>
      <c r="B124" s="18" t="s">
        <v>6236</v>
      </c>
      <c r="C124" s="18" t="s">
        <v>5992</v>
      </c>
      <c r="D124" s="18" t="s">
        <v>6237</v>
      </c>
      <c r="E124" s="18" t="s">
        <v>6238</v>
      </c>
      <c r="F124" s="18" t="s">
        <v>5920</v>
      </c>
      <c r="G124" s="15">
        <v>45</v>
      </c>
    </row>
    <row r="125" spans="1:7" ht="13" x14ac:dyDescent="0.15">
      <c r="A125" s="18"/>
      <c r="B125" s="18" t="s">
        <v>6239</v>
      </c>
      <c r="C125" s="18" t="s">
        <v>5992</v>
      </c>
      <c r="D125" s="18" t="s">
        <v>6240</v>
      </c>
      <c r="E125" s="18" t="s">
        <v>6241</v>
      </c>
      <c r="F125" s="18" t="s">
        <v>5139</v>
      </c>
      <c r="G125" s="15">
        <v>125</v>
      </c>
    </row>
    <row r="126" spans="1:7" ht="13" x14ac:dyDescent="0.15">
      <c r="A126" s="637" t="s">
        <v>808</v>
      </c>
      <c r="B126" s="637" t="s">
        <v>6242</v>
      </c>
      <c r="C126" s="637" t="s">
        <v>5917</v>
      </c>
      <c r="D126" s="637" t="s">
        <v>6243</v>
      </c>
      <c r="E126" s="637" t="s">
        <v>6244</v>
      </c>
      <c r="F126" s="18" t="s">
        <v>5920</v>
      </c>
      <c r="G126" s="15">
        <v>15</v>
      </c>
    </row>
    <row r="127" spans="1:7" ht="13" x14ac:dyDescent="0.15">
      <c r="A127" s="637" t="s">
        <v>808</v>
      </c>
      <c r="B127" s="637" t="s">
        <v>6245</v>
      </c>
      <c r="C127" s="637" t="s">
        <v>5917</v>
      </c>
      <c r="D127" s="637" t="s">
        <v>6246</v>
      </c>
      <c r="E127" s="637" t="s">
        <v>6247</v>
      </c>
      <c r="F127" s="18" t="s">
        <v>5920</v>
      </c>
      <c r="G127" s="15">
        <v>35</v>
      </c>
    </row>
    <row r="128" spans="1:7" ht="13" x14ac:dyDescent="0.15">
      <c r="A128" s="637" t="s">
        <v>808</v>
      </c>
      <c r="B128" s="637" t="s">
        <v>6248</v>
      </c>
      <c r="C128" s="637" t="s">
        <v>5917</v>
      </c>
      <c r="D128" s="637" t="s">
        <v>1140</v>
      </c>
      <c r="E128" s="637" t="s">
        <v>6249</v>
      </c>
      <c r="F128" s="18" t="s">
        <v>5920</v>
      </c>
      <c r="G128" s="15">
        <v>65</v>
      </c>
    </row>
    <row r="129" spans="1:7" ht="13" x14ac:dyDescent="0.15">
      <c r="A129" s="18"/>
      <c r="B129" s="18" t="s">
        <v>6250</v>
      </c>
      <c r="C129" s="18" t="s">
        <v>5992</v>
      </c>
      <c r="D129" s="18" t="s">
        <v>6251</v>
      </c>
      <c r="E129" s="18" t="s">
        <v>6252</v>
      </c>
      <c r="F129" s="18" t="s">
        <v>5920</v>
      </c>
      <c r="G129" s="15">
        <v>125</v>
      </c>
    </row>
    <row r="130" spans="1:7" ht="13" x14ac:dyDescent="0.15">
      <c r="A130" s="18"/>
      <c r="B130" s="18" t="s">
        <v>6253</v>
      </c>
      <c r="C130" s="18" t="s">
        <v>5992</v>
      </c>
      <c r="D130" s="18" t="s">
        <v>6254</v>
      </c>
      <c r="E130" s="18" t="s">
        <v>6255</v>
      </c>
      <c r="F130" s="18" t="s">
        <v>5139</v>
      </c>
      <c r="G130" s="15">
        <v>65</v>
      </c>
    </row>
    <row r="131" spans="1:7" ht="13" x14ac:dyDescent="0.15">
      <c r="A131" s="18"/>
      <c r="B131" s="18" t="s">
        <v>6256</v>
      </c>
      <c r="C131" s="18" t="s">
        <v>5992</v>
      </c>
      <c r="D131" s="18" t="s">
        <v>6257</v>
      </c>
      <c r="E131" s="18" t="s">
        <v>6258</v>
      </c>
      <c r="F131" s="18" t="s">
        <v>5139</v>
      </c>
      <c r="G131" s="15">
        <v>100</v>
      </c>
    </row>
    <row r="132" spans="1:7" ht="13" x14ac:dyDescent="0.15">
      <c r="A132" s="18" t="s">
        <v>808</v>
      </c>
      <c r="B132" s="18" t="s">
        <v>6259</v>
      </c>
      <c r="C132" s="18" t="s">
        <v>5917</v>
      </c>
      <c r="D132" s="18" t="s">
        <v>6260</v>
      </c>
      <c r="E132" s="18" t="s">
        <v>6261</v>
      </c>
      <c r="F132" s="18" t="s">
        <v>5139</v>
      </c>
      <c r="G132" s="15">
        <v>100</v>
      </c>
    </row>
    <row r="133" spans="1:7" ht="13" x14ac:dyDescent="0.15">
      <c r="A133" s="18" t="s">
        <v>808</v>
      </c>
      <c r="B133" s="18" t="s">
        <v>6262</v>
      </c>
      <c r="C133" s="18" t="s">
        <v>5917</v>
      </c>
      <c r="D133" s="18"/>
      <c r="E133" s="18" t="s">
        <v>6263</v>
      </c>
      <c r="F133" s="18"/>
      <c r="G133" s="15"/>
    </row>
    <row r="134" spans="1:7" ht="13" x14ac:dyDescent="0.15">
      <c r="A134" s="18" t="s">
        <v>808</v>
      </c>
      <c r="B134" s="18" t="s">
        <v>6264</v>
      </c>
      <c r="C134" s="18" t="s">
        <v>5917</v>
      </c>
      <c r="D134" s="18" t="s">
        <v>6265</v>
      </c>
      <c r="E134" s="18" t="s">
        <v>6266</v>
      </c>
      <c r="F134" s="18" t="s">
        <v>5139</v>
      </c>
      <c r="G134" s="15">
        <v>100</v>
      </c>
    </row>
    <row r="135" spans="1:7" ht="13" x14ac:dyDescent="0.15">
      <c r="A135" s="18" t="s">
        <v>808</v>
      </c>
      <c r="B135" s="18" t="s">
        <v>6267</v>
      </c>
      <c r="C135" s="18" t="s">
        <v>5917</v>
      </c>
      <c r="D135" s="18"/>
      <c r="E135" s="18"/>
      <c r="F135" s="18"/>
      <c r="G135" s="15"/>
    </row>
    <row r="136" spans="1:7" ht="13" x14ac:dyDescent="0.15">
      <c r="A136" s="18" t="s">
        <v>808</v>
      </c>
      <c r="B136" s="18" t="s">
        <v>6268</v>
      </c>
      <c r="C136" s="18" t="s">
        <v>5917</v>
      </c>
      <c r="D136" s="18"/>
      <c r="E136" s="18"/>
      <c r="F136" s="18"/>
      <c r="G136" s="15"/>
    </row>
    <row r="137" spans="1:7" ht="13" x14ac:dyDescent="0.15">
      <c r="A137" s="18" t="s">
        <v>808</v>
      </c>
      <c r="B137" s="18" t="s">
        <v>6269</v>
      </c>
      <c r="C137" s="18" t="s">
        <v>5917</v>
      </c>
      <c r="D137" s="18"/>
      <c r="E137" s="18"/>
      <c r="F137" s="18"/>
      <c r="G137" s="15"/>
    </row>
    <row r="138" spans="1:7" ht="13" x14ac:dyDescent="0.15">
      <c r="A138" s="18" t="s">
        <v>808</v>
      </c>
      <c r="B138" s="18" t="s">
        <v>6270</v>
      </c>
      <c r="C138" s="18" t="s">
        <v>5917</v>
      </c>
      <c r="D138" s="18"/>
      <c r="E138" s="18"/>
      <c r="F138" s="18"/>
      <c r="G138" s="15"/>
    </row>
    <row r="139" spans="1:7" ht="13" x14ac:dyDescent="0.15">
      <c r="A139" s="18" t="s">
        <v>808</v>
      </c>
      <c r="B139" s="18" t="s">
        <v>6271</v>
      </c>
      <c r="C139" s="18" t="s">
        <v>5917</v>
      </c>
      <c r="D139" s="18"/>
      <c r="E139" s="18"/>
      <c r="F139" s="18"/>
      <c r="G139" s="15"/>
    </row>
    <row r="140" spans="1:7" ht="13" x14ac:dyDescent="0.15">
      <c r="A140" s="18" t="s">
        <v>808</v>
      </c>
      <c r="B140" s="18" t="s">
        <v>6272</v>
      </c>
      <c r="C140" s="18" t="s">
        <v>5917</v>
      </c>
      <c r="D140" s="18"/>
      <c r="E140" s="18"/>
      <c r="F140" s="18"/>
      <c r="G140" s="15"/>
    </row>
    <row r="141" spans="1:7" ht="13" x14ac:dyDescent="0.15">
      <c r="A141" s="18" t="s">
        <v>808</v>
      </c>
      <c r="B141" s="18" t="s">
        <v>6273</v>
      </c>
      <c r="C141" s="18" t="s">
        <v>5917</v>
      </c>
      <c r="D141" s="18"/>
      <c r="E141" s="18"/>
      <c r="F141" s="18"/>
      <c r="G141" s="15"/>
    </row>
    <row r="142" spans="1:7" ht="13" x14ac:dyDescent="0.15">
      <c r="A142" s="18" t="s">
        <v>808</v>
      </c>
      <c r="B142" s="18" t="s">
        <v>6274</v>
      </c>
      <c r="C142" s="18" t="s">
        <v>5917</v>
      </c>
      <c r="D142" s="18"/>
      <c r="E142" s="18"/>
      <c r="F142" s="18"/>
      <c r="G142" s="15"/>
    </row>
    <row r="143" spans="1:7" ht="13" x14ac:dyDescent="0.15">
      <c r="A143" s="18" t="s">
        <v>808</v>
      </c>
      <c r="B143" s="18" t="s">
        <v>6275</v>
      </c>
      <c r="C143" s="18" t="s">
        <v>5917</v>
      </c>
      <c r="D143" s="18"/>
      <c r="E143" s="18"/>
      <c r="F143" s="18"/>
      <c r="G143" s="15"/>
    </row>
    <row r="144" spans="1:7" ht="13" x14ac:dyDescent="0.15">
      <c r="A144" s="18" t="s">
        <v>808</v>
      </c>
      <c r="B144" s="18" t="s">
        <v>6276</v>
      </c>
      <c r="C144" s="18" t="s">
        <v>5917</v>
      </c>
      <c r="D144" s="18"/>
      <c r="E144" s="18"/>
      <c r="F144" s="18"/>
      <c r="G144" s="15"/>
    </row>
    <row r="145" spans="1:7" ht="13" x14ac:dyDescent="0.15">
      <c r="A145" s="18" t="s">
        <v>808</v>
      </c>
      <c r="B145" s="18" t="s">
        <v>6277</v>
      </c>
      <c r="C145" s="18" t="s">
        <v>5917</v>
      </c>
      <c r="D145" s="18"/>
      <c r="E145" s="18"/>
      <c r="F145" s="18"/>
      <c r="G145" s="15"/>
    </row>
    <row r="146" spans="1:7" ht="13" x14ac:dyDescent="0.15">
      <c r="A146" s="18" t="s">
        <v>808</v>
      </c>
      <c r="B146" s="18" t="s">
        <v>6278</v>
      </c>
      <c r="C146" s="18" t="s">
        <v>5917</v>
      </c>
      <c r="D146" s="18"/>
      <c r="E146" s="18"/>
      <c r="F146" s="18"/>
      <c r="G146" s="15"/>
    </row>
    <row r="147" spans="1:7" ht="13" x14ac:dyDescent="0.15">
      <c r="A147" s="18" t="s">
        <v>808</v>
      </c>
      <c r="B147" s="18" t="s">
        <v>6279</v>
      </c>
      <c r="C147" s="18" t="s">
        <v>5917</v>
      </c>
      <c r="D147" s="18"/>
      <c r="E147" s="18"/>
      <c r="F147" s="18"/>
      <c r="G147" s="15"/>
    </row>
    <row r="148" spans="1:7" ht="13" x14ac:dyDescent="0.15">
      <c r="A148" s="18" t="s">
        <v>808</v>
      </c>
      <c r="B148" s="18" t="s">
        <v>6280</v>
      </c>
      <c r="C148" s="18" t="s">
        <v>5917</v>
      </c>
      <c r="D148" s="18"/>
      <c r="E148" s="18"/>
      <c r="F148" s="18"/>
      <c r="G148" s="15"/>
    </row>
    <row r="149" spans="1:7" ht="13" x14ac:dyDescent="0.15">
      <c r="A149" s="18" t="s">
        <v>808</v>
      </c>
      <c r="B149" s="18" t="s">
        <v>6281</v>
      </c>
      <c r="C149" s="18" t="s">
        <v>5917</v>
      </c>
      <c r="D149" s="18"/>
      <c r="E149" s="18"/>
      <c r="F149" s="18"/>
      <c r="G149" s="15"/>
    </row>
    <row r="150" spans="1:7" ht="13" x14ac:dyDescent="0.15">
      <c r="A150" s="18" t="s">
        <v>808</v>
      </c>
      <c r="B150" s="18" t="s">
        <v>6282</v>
      </c>
      <c r="C150" s="18" t="s">
        <v>5917</v>
      </c>
      <c r="D150" s="18" t="s">
        <v>6283</v>
      </c>
      <c r="E150" s="18" t="s">
        <v>6284</v>
      </c>
      <c r="F150" s="18" t="s">
        <v>5139</v>
      </c>
      <c r="G150" s="15">
        <v>25</v>
      </c>
    </row>
    <row r="151" spans="1:7" ht="13" x14ac:dyDescent="0.15">
      <c r="A151" s="18" t="s">
        <v>808</v>
      </c>
      <c r="B151" s="18" t="s">
        <v>6285</v>
      </c>
      <c r="C151" s="18" t="s">
        <v>5917</v>
      </c>
      <c r="D151" s="18"/>
      <c r="E151" s="18"/>
      <c r="F151" s="18"/>
      <c r="G151" s="15"/>
    </row>
    <row r="152" spans="1:7" ht="13" x14ac:dyDescent="0.15">
      <c r="A152" s="18" t="s">
        <v>808</v>
      </c>
      <c r="B152" s="18" t="s">
        <v>6286</v>
      </c>
      <c r="C152" s="18" t="s">
        <v>5917</v>
      </c>
      <c r="D152" s="18" t="s">
        <v>6287</v>
      </c>
      <c r="E152" s="18" t="s">
        <v>6288</v>
      </c>
      <c r="F152" s="18" t="s">
        <v>5139</v>
      </c>
      <c r="G152" s="15">
        <v>25</v>
      </c>
    </row>
    <row r="153" spans="1:7" ht="13" x14ac:dyDescent="0.15">
      <c r="A153" s="18" t="s">
        <v>808</v>
      </c>
      <c r="B153" s="18" t="s">
        <v>6289</v>
      </c>
      <c r="C153" s="18" t="s">
        <v>5917</v>
      </c>
      <c r="D153" s="18"/>
      <c r="E153" s="18"/>
      <c r="F153" s="18"/>
      <c r="G153" s="15"/>
    </row>
    <row r="154" spans="1:7" ht="13" x14ac:dyDescent="0.15">
      <c r="A154" s="18" t="s">
        <v>808</v>
      </c>
      <c r="B154" s="18" t="s">
        <v>6290</v>
      </c>
      <c r="C154" s="18" t="s">
        <v>5917</v>
      </c>
      <c r="D154" s="18" t="s">
        <v>6291</v>
      </c>
      <c r="E154" s="18" t="s">
        <v>6292</v>
      </c>
      <c r="F154" s="18" t="s">
        <v>5139</v>
      </c>
      <c r="G154" s="15">
        <v>25</v>
      </c>
    </row>
    <row r="155" spans="1:7" ht="13" x14ac:dyDescent="0.15">
      <c r="A155" s="18" t="s">
        <v>808</v>
      </c>
      <c r="B155" s="18" t="s">
        <v>6293</v>
      </c>
      <c r="C155" s="18" t="s">
        <v>5917</v>
      </c>
      <c r="D155" s="18"/>
      <c r="E155" s="18"/>
      <c r="F155" s="18"/>
      <c r="G155" s="15"/>
    </row>
    <row r="156" spans="1:7" ht="13" x14ac:dyDescent="0.15">
      <c r="A156" s="18" t="s">
        <v>808</v>
      </c>
      <c r="B156" s="18" t="s">
        <v>6294</v>
      </c>
      <c r="C156" s="18" t="s">
        <v>5917</v>
      </c>
      <c r="D156" s="18" t="s">
        <v>6295</v>
      </c>
      <c r="E156" s="18" t="s">
        <v>6296</v>
      </c>
      <c r="F156" s="18" t="s">
        <v>5920</v>
      </c>
      <c r="G156" s="15">
        <v>65</v>
      </c>
    </row>
    <row r="157" spans="1:7" ht="13" x14ac:dyDescent="0.15">
      <c r="A157" s="18" t="s">
        <v>5483</v>
      </c>
      <c r="B157" s="18" t="s">
        <v>6297</v>
      </c>
      <c r="C157" s="18" t="s">
        <v>5992</v>
      </c>
      <c r="D157" s="18" t="s">
        <v>6298</v>
      </c>
      <c r="E157" s="18" t="s">
        <v>6299</v>
      </c>
      <c r="F157" s="18" t="s">
        <v>5139</v>
      </c>
      <c r="G157" s="15">
        <v>45</v>
      </c>
    </row>
    <row r="158" spans="1:7" ht="13" x14ac:dyDescent="0.15">
      <c r="A158" s="18" t="s">
        <v>5483</v>
      </c>
      <c r="B158" s="18" t="s">
        <v>6300</v>
      </c>
      <c r="C158" s="18" t="s">
        <v>5992</v>
      </c>
      <c r="D158" s="18" t="s">
        <v>6301</v>
      </c>
      <c r="E158" s="18" t="s">
        <v>6302</v>
      </c>
      <c r="F158" s="18" t="s">
        <v>5139</v>
      </c>
      <c r="G158" s="15">
        <v>35</v>
      </c>
    </row>
    <row r="159" spans="1:7" ht="13" x14ac:dyDescent="0.15">
      <c r="A159" s="18" t="s">
        <v>5483</v>
      </c>
      <c r="B159" s="18" t="s">
        <v>6303</v>
      </c>
      <c r="C159" s="18" t="s">
        <v>5992</v>
      </c>
      <c r="D159" s="18" t="s">
        <v>6304</v>
      </c>
      <c r="E159" s="18" t="s">
        <v>6305</v>
      </c>
      <c r="F159" s="18" t="s">
        <v>5139</v>
      </c>
      <c r="G159" s="15">
        <v>45</v>
      </c>
    </row>
    <row r="160" spans="1:7" ht="13" x14ac:dyDescent="0.15">
      <c r="A160" s="18" t="s">
        <v>5483</v>
      </c>
      <c r="B160" s="18" t="s">
        <v>6306</v>
      </c>
      <c r="C160" s="18" t="s">
        <v>5992</v>
      </c>
      <c r="D160" s="18" t="s">
        <v>6307</v>
      </c>
      <c r="E160" s="18" t="s">
        <v>6308</v>
      </c>
      <c r="F160" s="18" t="s">
        <v>5139</v>
      </c>
      <c r="G160" s="15">
        <v>100</v>
      </c>
    </row>
    <row r="161" spans="1:7" ht="13" x14ac:dyDescent="0.15">
      <c r="A161" s="18" t="s">
        <v>5483</v>
      </c>
      <c r="B161" s="18" t="s">
        <v>6309</v>
      </c>
      <c r="C161" s="18" t="s">
        <v>5992</v>
      </c>
      <c r="D161" s="18" t="s">
        <v>6310</v>
      </c>
      <c r="E161" s="18" t="s">
        <v>6311</v>
      </c>
      <c r="F161" s="18" t="s">
        <v>5139</v>
      </c>
      <c r="G161" s="15">
        <v>150</v>
      </c>
    </row>
    <row r="162" spans="1:7" ht="13" x14ac:dyDescent="0.15">
      <c r="A162" s="18" t="s">
        <v>5483</v>
      </c>
      <c r="B162" s="18" t="s">
        <v>6312</v>
      </c>
      <c r="C162" s="18" t="s">
        <v>5992</v>
      </c>
      <c r="D162" s="18" t="s">
        <v>6313</v>
      </c>
      <c r="E162" s="18" t="s">
        <v>6314</v>
      </c>
      <c r="F162" s="18" t="s">
        <v>5139</v>
      </c>
      <c r="G162" s="15">
        <v>125</v>
      </c>
    </row>
    <row r="163" spans="1:7" ht="13" x14ac:dyDescent="0.15">
      <c r="A163" s="18" t="s">
        <v>5483</v>
      </c>
      <c r="B163" s="18" t="s">
        <v>6315</v>
      </c>
      <c r="C163" s="18" t="s">
        <v>5992</v>
      </c>
      <c r="D163" s="18" t="s">
        <v>6316</v>
      </c>
      <c r="E163" s="18" t="s">
        <v>6317</v>
      </c>
      <c r="F163" s="18" t="s">
        <v>5139</v>
      </c>
      <c r="G163" s="15">
        <v>25</v>
      </c>
    </row>
    <row r="164" spans="1:7" ht="13" x14ac:dyDescent="0.15">
      <c r="A164" s="18" t="s">
        <v>5483</v>
      </c>
      <c r="B164" s="18" t="s">
        <v>6318</v>
      </c>
      <c r="C164" s="18" t="s">
        <v>5942</v>
      </c>
      <c r="D164" s="18" t="s">
        <v>6319</v>
      </c>
      <c r="E164" s="18" t="s">
        <v>6320</v>
      </c>
      <c r="F164" s="18" t="s">
        <v>5920</v>
      </c>
      <c r="G164" s="15">
        <v>20</v>
      </c>
    </row>
    <row r="165" spans="1:7" ht="13" x14ac:dyDescent="0.15">
      <c r="A165" s="18" t="s">
        <v>5483</v>
      </c>
      <c r="B165" s="18" t="s">
        <v>6321</v>
      </c>
      <c r="C165" s="18" t="s">
        <v>5942</v>
      </c>
      <c r="D165" s="18" t="s">
        <v>6322</v>
      </c>
      <c r="E165" s="18" t="s">
        <v>6323</v>
      </c>
      <c r="F165" s="18" t="s">
        <v>5920</v>
      </c>
      <c r="G165" s="15">
        <v>20</v>
      </c>
    </row>
    <row r="166" spans="1:7" ht="13" x14ac:dyDescent="0.15">
      <c r="A166" s="18" t="s">
        <v>5483</v>
      </c>
      <c r="B166" s="18" t="s">
        <v>6324</v>
      </c>
      <c r="C166" s="18" t="s">
        <v>5942</v>
      </c>
      <c r="D166" s="18" t="s">
        <v>6325</v>
      </c>
      <c r="E166" s="18" t="s">
        <v>6326</v>
      </c>
      <c r="F166" s="18" t="s">
        <v>5920</v>
      </c>
      <c r="G166" s="15">
        <v>20</v>
      </c>
    </row>
    <row r="167" spans="1:7" ht="13" x14ac:dyDescent="0.15">
      <c r="A167" s="18" t="s">
        <v>5483</v>
      </c>
      <c r="B167" s="18" t="s">
        <v>6327</v>
      </c>
      <c r="C167" s="18" t="s">
        <v>5942</v>
      </c>
      <c r="D167" s="18" t="s">
        <v>6328</v>
      </c>
      <c r="E167" s="18" t="s">
        <v>6329</v>
      </c>
      <c r="F167" s="18" t="s">
        <v>5920</v>
      </c>
      <c r="G167" s="15">
        <v>20</v>
      </c>
    </row>
    <row r="168" spans="1:7" ht="13" x14ac:dyDescent="0.15">
      <c r="A168" s="18" t="s">
        <v>5483</v>
      </c>
      <c r="B168" s="18" t="s">
        <v>6330</v>
      </c>
      <c r="C168" s="18" t="s">
        <v>5942</v>
      </c>
      <c r="D168" s="18" t="s">
        <v>6331</v>
      </c>
      <c r="E168" s="18" t="s">
        <v>6332</v>
      </c>
      <c r="F168" s="18" t="s">
        <v>5920</v>
      </c>
      <c r="G168" s="15">
        <v>20</v>
      </c>
    </row>
    <row r="169" spans="1:7" ht="13" x14ac:dyDescent="0.15">
      <c r="G169" s="15"/>
    </row>
    <row r="170" spans="1:7" ht="13" x14ac:dyDescent="0.15">
      <c r="G170" s="15"/>
    </row>
    <row r="171" spans="1:7" ht="13" x14ac:dyDescent="0.15">
      <c r="G171" s="15"/>
    </row>
    <row r="172" spans="1:7" ht="13" x14ac:dyDescent="0.15">
      <c r="G172" s="15"/>
    </row>
    <row r="173" spans="1:7" ht="13" x14ac:dyDescent="0.15">
      <c r="G173" s="15"/>
    </row>
    <row r="174" spans="1:7" ht="13" x14ac:dyDescent="0.15">
      <c r="G174" s="15"/>
    </row>
    <row r="175" spans="1:7" ht="13" x14ac:dyDescent="0.15">
      <c r="G175" s="15"/>
    </row>
    <row r="176" spans="1:7" ht="13" x14ac:dyDescent="0.15">
      <c r="G176" s="15"/>
    </row>
    <row r="177" spans="7:7" ht="13" x14ac:dyDescent="0.15">
      <c r="G177" s="15"/>
    </row>
    <row r="178" spans="7:7" ht="13" x14ac:dyDescent="0.15">
      <c r="G178" s="15"/>
    </row>
    <row r="179" spans="7:7" ht="13" x14ac:dyDescent="0.15">
      <c r="G179" s="15"/>
    </row>
    <row r="180" spans="7:7" ht="13" x14ac:dyDescent="0.15">
      <c r="G180" s="15"/>
    </row>
    <row r="181" spans="7:7" ht="13" x14ac:dyDescent="0.15">
      <c r="G181" s="15"/>
    </row>
    <row r="182" spans="7:7" ht="13" x14ac:dyDescent="0.15">
      <c r="G182" s="15"/>
    </row>
    <row r="183" spans="7:7" ht="13" x14ac:dyDescent="0.15">
      <c r="G183" s="15"/>
    </row>
    <row r="184" spans="7:7" ht="13" x14ac:dyDescent="0.15">
      <c r="G184" s="15"/>
    </row>
    <row r="185" spans="7:7" ht="13" x14ac:dyDescent="0.15">
      <c r="G185" s="15"/>
    </row>
    <row r="186" spans="7:7" ht="13" x14ac:dyDescent="0.15">
      <c r="G186" s="15"/>
    </row>
    <row r="187" spans="7:7" ht="13" x14ac:dyDescent="0.15">
      <c r="G187" s="15"/>
    </row>
    <row r="188" spans="7:7" ht="13" x14ac:dyDescent="0.15">
      <c r="G188" s="15"/>
    </row>
    <row r="189" spans="7:7" ht="13" x14ac:dyDescent="0.15">
      <c r="G189" s="15"/>
    </row>
    <row r="190" spans="7:7" ht="13" x14ac:dyDescent="0.15">
      <c r="G190" s="15"/>
    </row>
    <row r="191" spans="7:7" ht="13" x14ac:dyDescent="0.15">
      <c r="G191" s="15"/>
    </row>
    <row r="192" spans="7:7" ht="13" x14ac:dyDescent="0.15">
      <c r="G192" s="15"/>
    </row>
    <row r="193" spans="7:7" ht="13" x14ac:dyDescent="0.15">
      <c r="G193" s="15"/>
    </row>
    <row r="194" spans="7:7" ht="13" x14ac:dyDescent="0.15">
      <c r="G194" s="15"/>
    </row>
    <row r="195" spans="7:7" ht="13" x14ac:dyDescent="0.15">
      <c r="G195" s="15"/>
    </row>
    <row r="196" spans="7:7" ht="13" x14ac:dyDescent="0.15">
      <c r="G196" s="15"/>
    </row>
    <row r="197" spans="7:7" ht="13" x14ac:dyDescent="0.15">
      <c r="G197" s="15"/>
    </row>
    <row r="198" spans="7:7" ht="13" x14ac:dyDescent="0.15">
      <c r="G198" s="15"/>
    </row>
    <row r="199" spans="7:7" ht="13" x14ac:dyDescent="0.15">
      <c r="G199" s="15"/>
    </row>
    <row r="200" spans="7:7" ht="13" x14ac:dyDescent="0.15">
      <c r="G200" s="15"/>
    </row>
    <row r="201" spans="7:7" ht="13" x14ac:dyDescent="0.15">
      <c r="G201" s="15"/>
    </row>
    <row r="202" spans="7:7" ht="13" x14ac:dyDescent="0.15">
      <c r="G202" s="15"/>
    </row>
    <row r="203" spans="7:7" ht="13" x14ac:dyDescent="0.15">
      <c r="G203" s="15"/>
    </row>
    <row r="204" spans="7:7" ht="13" x14ac:dyDescent="0.15">
      <c r="G204" s="15"/>
    </row>
    <row r="205" spans="7:7" ht="13" x14ac:dyDescent="0.15">
      <c r="G205" s="15"/>
    </row>
    <row r="206" spans="7:7" ht="13" x14ac:dyDescent="0.15">
      <c r="G206" s="15"/>
    </row>
    <row r="207" spans="7:7" ht="13" x14ac:dyDescent="0.15">
      <c r="G207" s="15"/>
    </row>
    <row r="208" spans="7:7" ht="13" x14ac:dyDescent="0.15">
      <c r="G208" s="15"/>
    </row>
    <row r="209" spans="7:7" ht="13" x14ac:dyDescent="0.15">
      <c r="G209" s="15"/>
    </row>
    <row r="210" spans="7:7" ht="13" x14ac:dyDescent="0.15">
      <c r="G210" s="15"/>
    </row>
    <row r="211" spans="7:7" ht="13" x14ac:dyDescent="0.15">
      <c r="G211" s="15"/>
    </row>
    <row r="212" spans="7:7" ht="13" x14ac:dyDescent="0.15">
      <c r="G212" s="15"/>
    </row>
    <row r="213" spans="7:7" ht="13" x14ac:dyDescent="0.15">
      <c r="G213" s="15"/>
    </row>
    <row r="214" spans="7:7" ht="13" x14ac:dyDescent="0.15">
      <c r="G214" s="15"/>
    </row>
    <row r="215" spans="7:7" ht="13" x14ac:dyDescent="0.15">
      <c r="G215" s="15"/>
    </row>
    <row r="216" spans="7:7" ht="13" x14ac:dyDescent="0.15">
      <c r="G216" s="15"/>
    </row>
    <row r="217" spans="7:7" ht="13" x14ac:dyDescent="0.15">
      <c r="G217" s="15"/>
    </row>
    <row r="218" spans="7:7" ht="13" x14ac:dyDescent="0.15">
      <c r="G218" s="15"/>
    </row>
    <row r="219" spans="7:7" ht="13" x14ac:dyDescent="0.15">
      <c r="G219" s="15"/>
    </row>
    <row r="220" spans="7:7" ht="13" x14ac:dyDescent="0.15">
      <c r="G220" s="15"/>
    </row>
    <row r="221" spans="7:7" ht="13" x14ac:dyDescent="0.15">
      <c r="G221" s="15"/>
    </row>
    <row r="222" spans="7:7" ht="13" x14ac:dyDescent="0.15">
      <c r="G222" s="15"/>
    </row>
    <row r="223" spans="7:7" ht="13" x14ac:dyDescent="0.15">
      <c r="G223" s="15"/>
    </row>
    <row r="224" spans="7:7" ht="13" x14ac:dyDescent="0.15">
      <c r="G224" s="15"/>
    </row>
    <row r="225" spans="7:7" ht="13" x14ac:dyDescent="0.15">
      <c r="G225" s="15"/>
    </row>
    <row r="226" spans="7:7" ht="13" x14ac:dyDescent="0.15">
      <c r="G226" s="15"/>
    </row>
    <row r="227" spans="7:7" ht="13" x14ac:dyDescent="0.15">
      <c r="G227" s="15"/>
    </row>
    <row r="228" spans="7:7" ht="13" x14ac:dyDescent="0.15">
      <c r="G228" s="15"/>
    </row>
    <row r="229" spans="7:7" ht="13" x14ac:dyDescent="0.15">
      <c r="G229" s="15"/>
    </row>
    <row r="230" spans="7:7" ht="13" x14ac:dyDescent="0.15">
      <c r="G230" s="15"/>
    </row>
    <row r="231" spans="7:7" ht="13" x14ac:dyDescent="0.15">
      <c r="G231" s="15"/>
    </row>
    <row r="232" spans="7:7" ht="13" x14ac:dyDescent="0.15">
      <c r="G232" s="15"/>
    </row>
    <row r="233" spans="7:7" ht="13" x14ac:dyDescent="0.15">
      <c r="G233" s="15"/>
    </row>
    <row r="234" spans="7:7" ht="13" x14ac:dyDescent="0.15">
      <c r="G234" s="15"/>
    </row>
    <row r="235" spans="7:7" ht="13" x14ac:dyDescent="0.15">
      <c r="G235" s="15"/>
    </row>
    <row r="236" spans="7:7" ht="13" x14ac:dyDescent="0.15">
      <c r="G236" s="15"/>
    </row>
    <row r="237" spans="7:7" ht="13" x14ac:dyDescent="0.15">
      <c r="G237" s="15"/>
    </row>
    <row r="238" spans="7:7" ht="13" x14ac:dyDescent="0.15">
      <c r="G238" s="15"/>
    </row>
    <row r="239" spans="7:7" ht="13" x14ac:dyDescent="0.15">
      <c r="G239" s="15"/>
    </row>
    <row r="240" spans="7:7" ht="13" x14ac:dyDescent="0.15">
      <c r="G240" s="15"/>
    </row>
    <row r="241" spans="7:7" ht="13" x14ac:dyDescent="0.15">
      <c r="G241" s="15"/>
    </row>
    <row r="242" spans="7:7" ht="13" x14ac:dyDescent="0.15">
      <c r="G242" s="15"/>
    </row>
    <row r="243" spans="7:7" ht="13" x14ac:dyDescent="0.15">
      <c r="G243" s="15"/>
    </row>
    <row r="244" spans="7:7" ht="13" x14ac:dyDescent="0.15">
      <c r="G244" s="15"/>
    </row>
    <row r="245" spans="7:7" ht="13" x14ac:dyDescent="0.15">
      <c r="G245" s="15"/>
    </row>
    <row r="246" spans="7:7" ht="13" x14ac:dyDescent="0.15">
      <c r="G246" s="15"/>
    </row>
    <row r="247" spans="7:7" ht="13" x14ac:dyDescent="0.15">
      <c r="G247" s="15"/>
    </row>
    <row r="248" spans="7:7" ht="13" x14ac:dyDescent="0.15">
      <c r="G248" s="15"/>
    </row>
    <row r="249" spans="7:7" ht="13" x14ac:dyDescent="0.15">
      <c r="G249" s="15"/>
    </row>
    <row r="250" spans="7:7" ht="13" x14ac:dyDescent="0.15">
      <c r="G250" s="15"/>
    </row>
    <row r="251" spans="7:7" ht="13" x14ac:dyDescent="0.15">
      <c r="G251" s="15"/>
    </row>
    <row r="252" spans="7:7" ht="13" x14ac:dyDescent="0.15">
      <c r="G252" s="15"/>
    </row>
    <row r="253" spans="7:7" ht="13" x14ac:dyDescent="0.15">
      <c r="G253" s="15"/>
    </row>
    <row r="254" spans="7:7" ht="13" x14ac:dyDescent="0.15">
      <c r="G254" s="15"/>
    </row>
    <row r="255" spans="7:7" ht="13" x14ac:dyDescent="0.15">
      <c r="G255" s="15"/>
    </row>
    <row r="256" spans="7:7" ht="13" x14ac:dyDescent="0.15">
      <c r="G256" s="15"/>
    </row>
    <row r="257" spans="7:7" ht="13" x14ac:dyDescent="0.15">
      <c r="G257" s="15"/>
    </row>
    <row r="258" spans="7:7" ht="13" x14ac:dyDescent="0.15">
      <c r="G258" s="15"/>
    </row>
    <row r="259" spans="7:7" ht="13" x14ac:dyDescent="0.15">
      <c r="G259" s="15"/>
    </row>
    <row r="260" spans="7:7" ht="13" x14ac:dyDescent="0.15">
      <c r="G260" s="15"/>
    </row>
    <row r="261" spans="7:7" ht="13" x14ac:dyDescent="0.15">
      <c r="G261" s="15"/>
    </row>
    <row r="262" spans="7:7" ht="13" x14ac:dyDescent="0.15">
      <c r="G262" s="15"/>
    </row>
    <row r="263" spans="7:7" ht="13" x14ac:dyDescent="0.15">
      <c r="G263" s="15"/>
    </row>
    <row r="264" spans="7:7" ht="13" x14ac:dyDescent="0.15">
      <c r="G264" s="15"/>
    </row>
    <row r="265" spans="7:7" ht="13" x14ac:dyDescent="0.15">
      <c r="G265" s="15"/>
    </row>
    <row r="266" spans="7:7" ht="13" x14ac:dyDescent="0.15">
      <c r="G266" s="15"/>
    </row>
    <row r="267" spans="7:7" ht="13" x14ac:dyDescent="0.15">
      <c r="G267" s="15"/>
    </row>
    <row r="268" spans="7:7" ht="13" x14ac:dyDescent="0.15">
      <c r="G268" s="15"/>
    </row>
    <row r="269" spans="7:7" ht="13" x14ac:dyDescent="0.15">
      <c r="G269" s="15"/>
    </row>
    <row r="270" spans="7:7" ht="13" x14ac:dyDescent="0.15">
      <c r="G270" s="15"/>
    </row>
    <row r="271" spans="7:7" ht="13" x14ac:dyDescent="0.15">
      <c r="G271" s="15"/>
    </row>
    <row r="272" spans="7:7" ht="13" x14ac:dyDescent="0.15">
      <c r="G272" s="15"/>
    </row>
    <row r="273" spans="7:7" ht="13" x14ac:dyDescent="0.15">
      <c r="G273" s="15"/>
    </row>
    <row r="274" spans="7:7" ht="13" x14ac:dyDescent="0.15">
      <c r="G274" s="15"/>
    </row>
    <row r="275" spans="7:7" ht="13" x14ac:dyDescent="0.15">
      <c r="G275" s="15"/>
    </row>
    <row r="276" spans="7:7" ht="13" x14ac:dyDescent="0.15">
      <c r="G276" s="15"/>
    </row>
    <row r="277" spans="7:7" ht="13" x14ac:dyDescent="0.15">
      <c r="G277" s="15"/>
    </row>
    <row r="278" spans="7:7" ht="13" x14ac:dyDescent="0.15">
      <c r="G278" s="15"/>
    </row>
    <row r="279" spans="7:7" ht="13" x14ac:dyDescent="0.15">
      <c r="G279" s="15"/>
    </row>
    <row r="280" spans="7:7" ht="13" x14ac:dyDescent="0.15">
      <c r="G280" s="15"/>
    </row>
    <row r="281" spans="7:7" ht="13" x14ac:dyDescent="0.15">
      <c r="G281" s="15"/>
    </row>
    <row r="282" spans="7:7" ht="13" x14ac:dyDescent="0.15">
      <c r="G282" s="15"/>
    </row>
    <row r="283" spans="7:7" ht="13" x14ac:dyDescent="0.15">
      <c r="G283" s="15"/>
    </row>
    <row r="284" spans="7:7" ht="13" x14ac:dyDescent="0.15">
      <c r="G284" s="15"/>
    </row>
    <row r="285" spans="7:7" ht="13" x14ac:dyDescent="0.15">
      <c r="G285" s="15"/>
    </row>
    <row r="286" spans="7:7" ht="13" x14ac:dyDescent="0.15">
      <c r="G286" s="15"/>
    </row>
    <row r="287" spans="7:7" ht="13" x14ac:dyDescent="0.15">
      <c r="G287" s="15"/>
    </row>
    <row r="288" spans="7:7" ht="13" x14ac:dyDescent="0.15">
      <c r="G288" s="15"/>
    </row>
    <row r="289" spans="7:7" ht="13" x14ac:dyDescent="0.15">
      <c r="G289" s="15"/>
    </row>
    <row r="290" spans="7:7" ht="13" x14ac:dyDescent="0.15">
      <c r="G290" s="15"/>
    </row>
    <row r="291" spans="7:7" ht="13" x14ac:dyDescent="0.15">
      <c r="G291" s="15"/>
    </row>
    <row r="292" spans="7:7" ht="13" x14ac:dyDescent="0.15">
      <c r="G292" s="15"/>
    </row>
    <row r="293" spans="7:7" ht="13" x14ac:dyDescent="0.15">
      <c r="G293" s="15"/>
    </row>
    <row r="294" spans="7:7" ht="13" x14ac:dyDescent="0.15">
      <c r="G294" s="15"/>
    </row>
    <row r="295" spans="7:7" ht="13" x14ac:dyDescent="0.15">
      <c r="G295" s="15"/>
    </row>
    <row r="296" spans="7:7" ht="13" x14ac:dyDescent="0.15">
      <c r="G296" s="15"/>
    </row>
    <row r="297" spans="7:7" ht="13" x14ac:dyDescent="0.15">
      <c r="G297" s="15"/>
    </row>
    <row r="298" spans="7:7" ht="13" x14ac:dyDescent="0.15">
      <c r="G298" s="15"/>
    </row>
    <row r="299" spans="7:7" ht="13" x14ac:dyDescent="0.15">
      <c r="G299" s="15"/>
    </row>
    <row r="300" spans="7:7" ht="13" x14ac:dyDescent="0.15">
      <c r="G300" s="15"/>
    </row>
    <row r="301" spans="7:7" ht="13" x14ac:dyDescent="0.15">
      <c r="G301" s="15"/>
    </row>
    <row r="302" spans="7:7" ht="13" x14ac:dyDescent="0.15">
      <c r="G302" s="15"/>
    </row>
    <row r="303" spans="7:7" ht="13" x14ac:dyDescent="0.15">
      <c r="G303" s="15"/>
    </row>
    <row r="304" spans="7:7" ht="13" x14ac:dyDescent="0.15">
      <c r="G304" s="15"/>
    </row>
    <row r="305" spans="7:7" ht="13" x14ac:dyDescent="0.15">
      <c r="G305" s="15"/>
    </row>
    <row r="306" spans="7:7" ht="13" x14ac:dyDescent="0.15">
      <c r="G306" s="15"/>
    </row>
    <row r="307" spans="7:7" ht="13" x14ac:dyDescent="0.15">
      <c r="G307" s="15"/>
    </row>
    <row r="308" spans="7:7" ht="13" x14ac:dyDescent="0.15">
      <c r="G308" s="15"/>
    </row>
    <row r="309" spans="7:7" ht="13" x14ac:dyDescent="0.15">
      <c r="G309" s="15"/>
    </row>
    <row r="310" spans="7:7" ht="13" x14ac:dyDescent="0.15">
      <c r="G310" s="15"/>
    </row>
    <row r="311" spans="7:7" ht="13" x14ac:dyDescent="0.15">
      <c r="G311" s="15"/>
    </row>
    <row r="312" spans="7:7" ht="13" x14ac:dyDescent="0.15">
      <c r="G312" s="15"/>
    </row>
    <row r="313" spans="7:7" ht="13" x14ac:dyDescent="0.15">
      <c r="G313" s="15"/>
    </row>
    <row r="314" spans="7:7" ht="13" x14ac:dyDescent="0.15">
      <c r="G314" s="15"/>
    </row>
    <row r="315" spans="7:7" ht="13" x14ac:dyDescent="0.15">
      <c r="G315" s="15"/>
    </row>
    <row r="316" spans="7:7" ht="13" x14ac:dyDescent="0.15">
      <c r="G316" s="15"/>
    </row>
    <row r="317" spans="7:7" ht="13" x14ac:dyDescent="0.15">
      <c r="G317" s="15"/>
    </row>
    <row r="318" spans="7:7" ht="13" x14ac:dyDescent="0.15">
      <c r="G318" s="15"/>
    </row>
    <row r="319" spans="7:7" ht="13" x14ac:dyDescent="0.15">
      <c r="G319" s="15"/>
    </row>
    <row r="320" spans="7:7" ht="13" x14ac:dyDescent="0.15">
      <c r="G320" s="15"/>
    </row>
    <row r="321" spans="7:7" ht="13" x14ac:dyDescent="0.15">
      <c r="G321" s="15"/>
    </row>
    <row r="322" spans="7:7" ht="13" x14ac:dyDescent="0.15">
      <c r="G322" s="15"/>
    </row>
    <row r="323" spans="7:7" ht="13" x14ac:dyDescent="0.15">
      <c r="G323" s="15"/>
    </row>
    <row r="324" spans="7:7" ht="13" x14ac:dyDescent="0.15">
      <c r="G324" s="15"/>
    </row>
    <row r="325" spans="7:7" ht="13" x14ac:dyDescent="0.15">
      <c r="G325" s="15"/>
    </row>
    <row r="326" spans="7:7" ht="13" x14ac:dyDescent="0.15">
      <c r="G326" s="15"/>
    </row>
    <row r="327" spans="7:7" ht="13" x14ac:dyDescent="0.15">
      <c r="G327" s="15"/>
    </row>
    <row r="328" spans="7:7" ht="13" x14ac:dyDescent="0.15">
      <c r="G328" s="15"/>
    </row>
    <row r="329" spans="7:7" ht="13" x14ac:dyDescent="0.15">
      <c r="G329" s="15"/>
    </row>
    <row r="330" spans="7:7" ht="13" x14ac:dyDescent="0.15">
      <c r="G330" s="15"/>
    </row>
    <row r="331" spans="7:7" ht="13" x14ac:dyDescent="0.15">
      <c r="G331" s="15"/>
    </row>
    <row r="332" spans="7:7" ht="13" x14ac:dyDescent="0.15">
      <c r="G332" s="15"/>
    </row>
    <row r="333" spans="7:7" ht="13" x14ac:dyDescent="0.15">
      <c r="G333" s="15"/>
    </row>
    <row r="334" spans="7:7" ht="13" x14ac:dyDescent="0.15">
      <c r="G334" s="15"/>
    </row>
    <row r="335" spans="7:7" ht="13" x14ac:dyDescent="0.15">
      <c r="G335" s="15"/>
    </row>
    <row r="336" spans="7:7" ht="13" x14ac:dyDescent="0.15">
      <c r="G336" s="15"/>
    </row>
    <row r="337" spans="7:7" ht="13" x14ac:dyDescent="0.15">
      <c r="G337" s="15"/>
    </row>
    <row r="338" spans="7:7" ht="13" x14ac:dyDescent="0.15">
      <c r="G338" s="15"/>
    </row>
    <row r="339" spans="7:7" ht="13" x14ac:dyDescent="0.15">
      <c r="G339" s="15"/>
    </row>
    <row r="340" spans="7:7" ht="13" x14ac:dyDescent="0.15">
      <c r="G340" s="15"/>
    </row>
    <row r="341" spans="7:7" ht="13" x14ac:dyDescent="0.15">
      <c r="G341" s="15"/>
    </row>
    <row r="342" spans="7:7" ht="13" x14ac:dyDescent="0.15">
      <c r="G342" s="15"/>
    </row>
    <row r="343" spans="7:7" ht="13" x14ac:dyDescent="0.15">
      <c r="G343" s="15"/>
    </row>
    <row r="344" spans="7:7" ht="13" x14ac:dyDescent="0.15">
      <c r="G344" s="15"/>
    </row>
    <row r="345" spans="7:7" ht="13" x14ac:dyDescent="0.15">
      <c r="G345" s="15"/>
    </row>
    <row r="346" spans="7:7" ht="13" x14ac:dyDescent="0.15">
      <c r="G346" s="15"/>
    </row>
    <row r="347" spans="7:7" ht="13" x14ac:dyDescent="0.15">
      <c r="G347" s="15"/>
    </row>
    <row r="348" spans="7:7" ht="13" x14ac:dyDescent="0.15">
      <c r="G348" s="15"/>
    </row>
    <row r="349" spans="7:7" ht="13" x14ac:dyDescent="0.15">
      <c r="G349" s="15"/>
    </row>
    <row r="350" spans="7:7" ht="13" x14ac:dyDescent="0.15">
      <c r="G350" s="15"/>
    </row>
    <row r="351" spans="7:7" ht="13" x14ac:dyDescent="0.15">
      <c r="G351" s="15"/>
    </row>
    <row r="352" spans="7:7" ht="13" x14ac:dyDescent="0.15">
      <c r="G352" s="15"/>
    </row>
    <row r="353" spans="7:7" ht="13" x14ac:dyDescent="0.15">
      <c r="G353" s="15"/>
    </row>
    <row r="354" spans="7:7" ht="13" x14ac:dyDescent="0.15">
      <c r="G354" s="15"/>
    </row>
    <row r="355" spans="7:7" ht="13" x14ac:dyDescent="0.15">
      <c r="G355" s="15"/>
    </row>
    <row r="356" spans="7:7" ht="13" x14ac:dyDescent="0.15">
      <c r="G356" s="15"/>
    </row>
    <row r="357" spans="7:7" ht="13" x14ac:dyDescent="0.15">
      <c r="G357" s="15"/>
    </row>
    <row r="358" spans="7:7" ht="13" x14ac:dyDescent="0.15">
      <c r="G358" s="15"/>
    </row>
    <row r="359" spans="7:7" ht="13" x14ac:dyDescent="0.15">
      <c r="G359" s="15"/>
    </row>
    <row r="360" spans="7:7" ht="13" x14ac:dyDescent="0.15">
      <c r="G360" s="15"/>
    </row>
    <row r="361" spans="7:7" ht="13" x14ac:dyDescent="0.15">
      <c r="G361" s="15"/>
    </row>
    <row r="362" spans="7:7" ht="13" x14ac:dyDescent="0.15">
      <c r="G362" s="15"/>
    </row>
    <row r="363" spans="7:7" ht="13" x14ac:dyDescent="0.15">
      <c r="G363" s="15"/>
    </row>
    <row r="364" spans="7:7" ht="13" x14ac:dyDescent="0.15">
      <c r="G364" s="15"/>
    </row>
    <row r="365" spans="7:7" ht="13" x14ac:dyDescent="0.15">
      <c r="G365" s="15"/>
    </row>
    <row r="366" spans="7:7" ht="13" x14ac:dyDescent="0.15">
      <c r="G366" s="15"/>
    </row>
    <row r="367" spans="7:7" ht="13" x14ac:dyDescent="0.15">
      <c r="G367" s="15"/>
    </row>
    <row r="368" spans="7:7" ht="13" x14ac:dyDescent="0.15">
      <c r="G368" s="15"/>
    </row>
    <row r="369" spans="7:7" ht="13" x14ac:dyDescent="0.15">
      <c r="G369" s="15"/>
    </row>
    <row r="370" spans="7:7" ht="13" x14ac:dyDescent="0.15">
      <c r="G370" s="15"/>
    </row>
    <row r="371" spans="7:7" ht="13" x14ac:dyDescent="0.15">
      <c r="G371" s="15"/>
    </row>
    <row r="372" spans="7:7" ht="13" x14ac:dyDescent="0.15">
      <c r="G372" s="15"/>
    </row>
    <row r="373" spans="7:7" ht="13" x14ac:dyDescent="0.15">
      <c r="G373" s="15"/>
    </row>
    <row r="374" spans="7:7" ht="13" x14ac:dyDescent="0.15">
      <c r="G374" s="15"/>
    </row>
    <row r="375" spans="7:7" ht="13" x14ac:dyDescent="0.15">
      <c r="G375" s="15"/>
    </row>
    <row r="376" spans="7:7" ht="13" x14ac:dyDescent="0.15">
      <c r="G376" s="15"/>
    </row>
    <row r="377" spans="7:7" ht="13" x14ac:dyDescent="0.15">
      <c r="G377" s="15"/>
    </row>
    <row r="378" spans="7:7" ht="13" x14ac:dyDescent="0.15">
      <c r="G378" s="15"/>
    </row>
    <row r="379" spans="7:7" ht="13" x14ac:dyDescent="0.15">
      <c r="G379" s="15"/>
    </row>
    <row r="380" spans="7:7" ht="13" x14ac:dyDescent="0.15">
      <c r="G380" s="15"/>
    </row>
    <row r="381" spans="7:7" ht="13" x14ac:dyDescent="0.15">
      <c r="G381" s="15"/>
    </row>
    <row r="382" spans="7:7" ht="13" x14ac:dyDescent="0.15">
      <c r="G382" s="15"/>
    </row>
    <row r="383" spans="7:7" ht="13" x14ac:dyDescent="0.15">
      <c r="G383" s="15"/>
    </row>
    <row r="384" spans="7:7" ht="13" x14ac:dyDescent="0.15">
      <c r="G384" s="15"/>
    </row>
    <row r="385" spans="7:7" ht="13" x14ac:dyDescent="0.15">
      <c r="G385" s="15"/>
    </row>
    <row r="386" spans="7:7" ht="13" x14ac:dyDescent="0.15">
      <c r="G386" s="15"/>
    </row>
    <row r="387" spans="7:7" ht="13" x14ac:dyDescent="0.15">
      <c r="G387" s="15"/>
    </row>
    <row r="388" spans="7:7" ht="13" x14ac:dyDescent="0.15">
      <c r="G388" s="15"/>
    </row>
    <row r="389" spans="7:7" ht="13" x14ac:dyDescent="0.15">
      <c r="G389" s="15"/>
    </row>
    <row r="390" spans="7:7" ht="13" x14ac:dyDescent="0.15">
      <c r="G390" s="15"/>
    </row>
    <row r="391" spans="7:7" ht="13" x14ac:dyDescent="0.15">
      <c r="G391" s="15"/>
    </row>
    <row r="392" spans="7:7" ht="13" x14ac:dyDescent="0.15">
      <c r="G392" s="15"/>
    </row>
    <row r="393" spans="7:7" ht="13" x14ac:dyDescent="0.15">
      <c r="G393" s="15"/>
    </row>
    <row r="394" spans="7:7" ht="13" x14ac:dyDescent="0.15">
      <c r="G394" s="15"/>
    </row>
    <row r="395" spans="7:7" ht="13" x14ac:dyDescent="0.15">
      <c r="G395" s="15"/>
    </row>
    <row r="396" spans="7:7" ht="13" x14ac:dyDescent="0.15">
      <c r="G396" s="15"/>
    </row>
    <row r="397" spans="7:7" ht="13" x14ac:dyDescent="0.15">
      <c r="G397" s="15"/>
    </row>
    <row r="398" spans="7:7" ht="13" x14ac:dyDescent="0.15">
      <c r="G398" s="15"/>
    </row>
    <row r="399" spans="7:7" ht="13" x14ac:dyDescent="0.15">
      <c r="G399" s="15"/>
    </row>
    <row r="400" spans="7:7" ht="13" x14ac:dyDescent="0.15">
      <c r="G400" s="15"/>
    </row>
    <row r="401" spans="7:7" ht="13" x14ac:dyDescent="0.15">
      <c r="G401" s="15"/>
    </row>
    <row r="402" spans="7:7" ht="13" x14ac:dyDescent="0.15">
      <c r="G402" s="15"/>
    </row>
    <row r="403" spans="7:7" ht="13" x14ac:dyDescent="0.15">
      <c r="G403" s="15"/>
    </row>
    <row r="404" spans="7:7" ht="13" x14ac:dyDescent="0.15">
      <c r="G404" s="15"/>
    </row>
    <row r="405" spans="7:7" ht="13" x14ac:dyDescent="0.15">
      <c r="G405" s="15"/>
    </row>
    <row r="406" spans="7:7" ht="13" x14ac:dyDescent="0.15">
      <c r="G406" s="15"/>
    </row>
    <row r="407" spans="7:7" ht="13" x14ac:dyDescent="0.15">
      <c r="G407" s="15"/>
    </row>
    <row r="408" spans="7:7" ht="13" x14ac:dyDescent="0.15">
      <c r="G408" s="15"/>
    </row>
    <row r="409" spans="7:7" ht="13" x14ac:dyDescent="0.15">
      <c r="G409" s="15"/>
    </row>
    <row r="410" spans="7:7" ht="13" x14ac:dyDescent="0.15">
      <c r="G410" s="15"/>
    </row>
    <row r="411" spans="7:7" ht="13" x14ac:dyDescent="0.15">
      <c r="G411" s="15"/>
    </row>
    <row r="412" spans="7:7" ht="13" x14ac:dyDescent="0.15">
      <c r="G412" s="15"/>
    </row>
    <row r="413" spans="7:7" ht="13" x14ac:dyDescent="0.15">
      <c r="G413" s="15"/>
    </row>
    <row r="414" spans="7:7" ht="13" x14ac:dyDescent="0.15">
      <c r="G414" s="15"/>
    </row>
    <row r="415" spans="7:7" ht="13" x14ac:dyDescent="0.15">
      <c r="G415" s="15"/>
    </row>
    <row r="416" spans="7:7" ht="13" x14ac:dyDescent="0.15">
      <c r="G416" s="15"/>
    </row>
    <row r="417" spans="7:7" ht="13" x14ac:dyDescent="0.15">
      <c r="G417" s="15"/>
    </row>
    <row r="418" spans="7:7" ht="13" x14ac:dyDescent="0.15">
      <c r="G418" s="15"/>
    </row>
    <row r="419" spans="7:7" ht="13" x14ac:dyDescent="0.15">
      <c r="G419" s="15"/>
    </row>
    <row r="420" spans="7:7" ht="13" x14ac:dyDescent="0.15">
      <c r="G420" s="15"/>
    </row>
    <row r="421" spans="7:7" ht="13" x14ac:dyDescent="0.15">
      <c r="G421" s="15"/>
    </row>
    <row r="422" spans="7:7" ht="13" x14ac:dyDescent="0.15">
      <c r="G422" s="15"/>
    </row>
    <row r="423" spans="7:7" ht="13" x14ac:dyDescent="0.15">
      <c r="G423" s="15"/>
    </row>
    <row r="424" spans="7:7" ht="13" x14ac:dyDescent="0.15">
      <c r="G424" s="15"/>
    </row>
    <row r="425" spans="7:7" ht="13" x14ac:dyDescent="0.15">
      <c r="G425" s="15"/>
    </row>
    <row r="426" spans="7:7" ht="13" x14ac:dyDescent="0.15">
      <c r="G426" s="15"/>
    </row>
    <row r="427" spans="7:7" ht="13" x14ac:dyDescent="0.15">
      <c r="G427" s="15"/>
    </row>
    <row r="428" spans="7:7" ht="13" x14ac:dyDescent="0.15">
      <c r="G428" s="15"/>
    </row>
    <row r="429" spans="7:7" ht="13" x14ac:dyDescent="0.15">
      <c r="G429" s="15"/>
    </row>
    <row r="430" spans="7:7" ht="13" x14ac:dyDescent="0.15">
      <c r="G430" s="15"/>
    </row>
    <row r="431" spans="7:7" ht="13" x14ac:dyDescent="0.15">
      <c r="G431" s="15"/>
    </row>
    <row r="432" spans="7:7" ht="13" x14ac:dyDescent="0.15">
      <c r="G432" s="15"/>
    </row>
    <row r="433" spans="7:7" ht="13" x14ac:dyDescent="0.15">
      <c r="G433" s="15"/>
    </row>
    <row r="434" spans="7:7" ht="13" x14ac:dyDescent="0.15">
      <c r="G434" s="15"/>
    </row>
    <row r="435" spans="7:7" ht="13" x14ac:dyDescent="0.15">
      <c r="G435" s="15"/>
    </row>
    <row r="436" spans="7:7" ht="13" x14ac:dyDescent="0.15">
      <c r="G436" s="15"/>
    </row>
    <row r="437" spans="7:7" ht="13" x14ac:dyDescent="0.15">
      <c r="G437" s="15"/>
    </row>
    <row r="438" spans="7:7" ht="13" x14ac:dyDescent="0.15">
      <c r="G438" s="15"/>
    </row>
    <row r="439" spans="7:7" ht="13" x14ac:dyDescent="0.15">
      <c r="G439" s="15"/>
    </row>
    <row r="440" spans="7:7" ht="13" x14ac:dyDescent="0.15">
      <c r="G440" s="15"/>
    </row>
    <row r="441" spans="7:7" ht="13" x14ac:dyDescent="0.15">
      <c r="G441" s="15"/>
    </row>
    <row r="442" spans="7:7" ht="13" x14ac:dyDescent="0.15">
      <c r="G442" s="15"/>
    </row>
    <row r="443" spans="7:7" ht="13" x14ac:dyDescent="0.15">
      <c r="G443" s="15"/>
    </row>
    <row r="444" spans="7:7" ht="13" x14ac:dyDescent="0.15">
      <c r="G444" s="15"/>
    </row>
    <row r="445" spans="7:7" ht="13" x14ac:dyDescent="0.15">
      <c r="G445" s="15"/>
    </row>
    <row r="446" spans="7:7" ht="13" x14ac:dyDescent="0.15">
      <c r="G446" s="15"/>
    </row>
    <row r="447" spans="7:7" ht="13" x14ac:dyDescent="0.15">
      <c r="G447" s="15"/>
    </row>
    <row r="448" spans="7:7" ht="13" x14ac:dyDescent="0.15">
      <c r="G448" s="15"/>
    </row>
    <row r="449" spans="7:7" ht="13" x14ac:dyDescent="0.15">
      <c r="G449" s="15"/>
    </row>
    <row r="450" spans="7:7" ht="13" x14ac:dyDescent="0.15">
      <c r="G450" s="15"/>
    </row>
    <row r="451" spans="7:7" ht="13" x14ac:dyDescent="0.15">
      <c r="G451" s="15"/>
    </row>
    <row r="452" spans="7:7" ht="13" x14ac:dyDescent="0.15">
      <c r="G452" s="15"/>
    </row>
    <row r="453" spans="7:7" ht="13" x14ac:dyDescent="0.15">
      <c r="G453" s="15"/>
    </row>
    <row r="454" spans="7:7" ht="13" x14ac:dyDescent="0.15">
      <c r="G454" s="15"/>
    </row>
    <row r="455" spans="7:7" ht="13" x14ac:dyDescent="0.15">
      <c r="G455" s="15"/>
    </row>
    <row r="456" spans="7:7" ht="13" x14ac:dyDescent="0.15">
      <c r="G456" s="15"/>
    </row>
    <row r="457" spans="7:7" ht="13" x14ac:dyDescent="0.15">
      <c r="G457" s="15"/>
    </row>
    <row r="458" spans="7:7" ht="13" x14ac:dyDescent="0.15">
      <c r="G458" s="15"/>
    </row>
    <row r="459" spans="7:7" ht="13" x14ac:dyDescent="0.15">
      <c r="G459" s="15"/>
    </row>
    <row r="460" spans="7:7" ht="13" x14ac:dyDescent="0.15">
      <c r="G460" s="15"/>
    </row>
    <row r="461" spans="7:7" ht="13" x14ac:dyDescent="0.15">
      <c r="G461" s="15"/>
    </row>
    <row r="462" spans="7:7" ht="13" x14ac:dyDescent="0.15">
      <c r="G462" s="15"/>
    </row>
    <row r="463" spans="7:7" ht="13" x14ac:dyDescent="0.15">
      <c r="G463" s="15"/>
    </row>
    <row r="464" spans="7:7" ht="13" x14ac:dyDescent="0.15">
      <c r="G464" s="15"/>
    </row>
    <row r="465" spans="7:7" ht="13" x14ac:dyDescent="0.15">
      <c r="G465" s="15"/>
    </row>
    <row r="466" spans="7:7" ht="13" x14ac:dyDescent="0.15">
      <c r="G466" s="15"/>
    </row>
    <row r="467" spans="7:7" ht="13" x14ac:dyDescent="0.15">
      <c r="G467" s="15"/>
    </row>
    <row r="468" spans="7:7" ht="13" x14ac:dyDescent="0.15">
      <c r="G468" s="15"/>
    </row>
    <row r="469" spans="7:7" ht="13" x14ac:dyDescent="0.15">
      <c r="G469" s="15"/>
    </row>
    <row r="470" spans="7:7" ht="13" x14ac:dyDescent="0.15">
      <c r="G470" s="15"/>
    </row>
    <row r="471" spans="7:7" ht="13" x14ac:dyDescent="0.15">
      <c r="G471" s="15"/>
    </row>
    <row r="472" spans="7:7" ht="13" x14ac:dyDescent="0.15">
      <c r="G472" s="15"/>
    </row>
    <row r="473" spans="7:7" ht="13" x14ac:dyDescent="0.15">
      <c r="G473" s="15"/>
    </row>
    <row r="474" spans="7:7" ht="13" x14ac:dyDescent="0.15">
      <c r="G474" s="15"/>
    </row>
    <row r="475" spans="7:7" ht="13" x14ac:dyDescent="0.15">
      <c r="G475" s="15"/>
    </row>
    <row r="476" spans="7:7" ht="13" x14ac:dyDescent="0.15">
      <c r="G476" s="15"/>
    </row>
    <row r="477" spans="7:7" ht="13" x14ac:dyDescent="0.15">
      <c r="G477" s="15"/>
    </row>
    <row r="478" spans="7:7" ht="13" x14ac:dyDescent="0.15">
      <c r="G478" s="15"/>
    </row>
    <row r="479" spans="7:7" ht="13" x14ac:dyDescent="0.15">
      <c r="G479" s="15"/>
    </row>
    <row r="480" spans="7:7" ht="13" x14ac:dyDescent="0.15">
      <c r="G480" s="15"/>
    </row>
    <row r="481" spans="7:7" ht="13" x14ac:dyDescent="0.15">
      <c r="G481" s="15"/>
    </row>
    <row r="482" spans="7:7" ht="13" x14ac:dyDescent="0.15">
      <c r="G482" s="15"/>
    </row>
    <row r="483" spans="7:7" ht="13" x14ac:dyDescent="0.15">
      <c r="G483" s="15"/>
    </row>
    <row r="484" spans="7:7" ht="13" x14ac:dyDescent="0.15">
      <c r="G484" s="15"/>
    </row>
    <row r="485" spans="7:7" ht="13" x14ac:dyDescent="0.15">
      <c r="G485" s="15"/>
    </row>
    <row r="486" spans="7:7" ht="13" x14ac:dyDescent="0.15">
      <c r="G486" s="15"/>
    </row>
    <row r="487" spans="7:7" ht="13" x14ac:dyDescent="0.15">
      <c r="G487" s="15"/>
    </row>
    <row r="488" spans="7:7" ht="13" x14ac:dyDescent="0.15">
      <c r="G488" s="15"/>
    </row>
    <row r="489" spans="7:7" ht="13" x14ac:dyDescent="0.15">
      <c r="G489" s="15"/>
    </row>
    <row r="490" spans="7:7" ht="13" x14ac:dyDescent="0.15">
      <c r="G490" s="15"/>
    </row>
    <row r="491" spans="7:7" ht="13" x14ac:dyDescent="0.15">
      <c r="G491" s="15"/>
    </row>
    <row r="492" spans="7:7" ht="13" x14ac:dyDescent="0.15">
      <c r="G492" s="15"/>
    </row>
    <row r="493" spans="7:7" ht="13" x14ac:dyDescent="0.15">
      <c r="G493" s="15"/>
    </row>
    <row r="494" spans="7:7" ht="13" x14ac:dyDescent="0.15">
      <c r="G494" s="15"/>
    </row>
    <row r="495" spans="7:7" ht="13" x14ac:dyDescent="0.15">
      <c r="G495" s="15"/>
    </row>
    <row r="496" spans="7:7" ht="13" x14ac:dyDescent="0.15">
      <c r="G496" s="15"/>
    </row>
    <row r="497" spans="7:7" ht="13" x14ac:dyDescent="0.15">
      <c r="G497" s="15"/>
    </row>
    <row r="498" spans="7:7" ht="13" x14ac:dyDescent="0.15">
      <c r="G498" s="15"/>
    </row>
    <row r="499" spans="7:7" ht="13" x14ac:dyDescent="0.15">
      <c r="G499" s="15"/>
    </row>
    <row r="500" spans="7:7" ht="13" x14ac:dyDescent="0.15">
      <c r="G500" s="15"/>
    </row>
    <row r="501" spans="7:7" ht="13" x14ac:dyDescent="0.15">
      <c r="G501" s="15"/>
    </row>
    <row r="502" spans="7:7" ht="13" x14ac:dyDescent="0.15">
      <c r="G502" s="15"/>
    </row>
    <row r="503" spans="7:7" ht="13" x14ac:dyDescent="0.15">
      <c r="G503" s="15"/>
    </row>
    <row r="504" spans="7:7" ht="13" x14ac:dyDescent="0.15">
      <c r="G504" s="15"/>
    </row>
    <row r="505" spans="7:7" ht="13" x14ac:dyDescent="0.15">
      <c r="G505" s="15"/>
    </row>
    <row r="506" spans="7:7" ht="13" x14ac:dyDescent="0.15">
      <c r="G506" s="15"/>
    </row>
    <row r="507" spans="7:7" ht="13" x14ac:dyDescent="0.15">
      <c r="G507" s="15"/>
    </row>
    <row r="508" spans="7:7" ht="13" x14ac:dyDescent="0.15">
      <c r="G508" s="15"/>
    </row>
    <row r="509" spans="7:7" ht="13" x14ac:dyDescent="0.15">
      <c r="G509" s="15"/>
    </row>
    <row r="510" spans="7:7" ht="13" x14ac:dyDescent="0.15">
      <c r="G510" s="15"/>
    </row>
    <row r="511" spans="7:7" ht="13" x14ac:dyDescent="0.15">
      <c r="G511" s="15"/>
    </row>
    <row r="512" spans="7:7" ht="13" x14ac:dyDescent="0.15">
      <c r="G512" s="15"/>
    </row>
    <row r="513" spans="7:7" ht="13" x14ac:dyDescent="0.15">
      <c r="G513" s="15"/>
    </row>
    <row r="514" spans="7:7" ht="13" x14ac:dyDescent="0.15">
      <c r="G514" s="15"/>
    </row>
    <row r="515" spans="7:7" ht="13" x14ac:dyDescent="0.15">
      <c r="G515" s="15"/>
    </row>
    <row r="516" spans="7:7" ht="13" x14ac:dyDescent="0.15">
      <c r="G516" s="15"/>
    </row>
    <row r="517" spans="7:7" ht="13" x14ac:dyDescent="0.15">
      <c r="G517" s="15"/>
    </row>
    <row r="518" spans="7:7" ht="13" x14ac:dyDescent="0.15">
      <c r="G518" s="15"/>
    </row>
    <row r="519" spans="7:7" ht="13" x14ac:dyDescent="0.15">
      <c r="G519" s="15"/>
    </row>
    <row r="520" spans="7:7" ht="13" x14ac:dyDescent="0.15">
      <c r="G520" s="15"/>
    </row>
    <row r="521" spans="7:7" ht="13" x14ac:dyDescent="0.15">
      <c r="G521" s="15"/>
    </row>
    <row r="522" spans="7:7" ht="13" x14ac:dyDescent="0.15">
      <c r="G522" s="15"/>
    </row>
    <row r="523" spans="7:7" ht="13" x14ac:dyDescent="0.15">
      <c r="G523" s="15"/>
    </row>
    <row r="524" spans="7:7" ht="13" x14ac:dyDescent="0.15">
      <c r="G524" s="15"/>
    </row>
    <row r="525" spans="7:7" ht="13" x14ac:dyDescent="0.15">
      <c r="G525" s="15"/>
    </row>
    <row r="526" spans="7:7" ht="13" x14ac:dyDescent="0.15">
      <c r="G526" s="15"/>
    </row>
    <row r="527" spans="7:7" ht="13" x14ac:dyDescent="0.15">
      <c r="G527" s="15"/>
    </row>
    <row r="528" spans="7:7" ht="13" x14ac:dyDescent="0.15">
      <c r="G528" s="15"/>
    </row>
    <row r="529" spans="7:7" ht="13" x14ac:dyDescent="0.15">
      <c r="G529" s="15"/>
    </row>
    <row r="530" spans="7:7" ht="13" x14ac:dyDescent="0.15">
      <c r="G530" s="15"/>
    </row>
    <row r="531" spans="7:7" ht="13" x14ac:dyDescent="0.15">
      <c r="G531" s="15"/>
    </row>
    <row r="532" spans="7:7" ht="13" x14ac:dyDescent="0.15">
      <c r="G532" s="15"/>
    </row>
    <row r="533" spans="7:7" ht="13" x14ac:dyDescent="0.15">
      <c r="G533" s="15"/>
    </row>
    <row r="534" spans="7:7" ht="13" x14ac:dyDescent="0.15">
      <c r="G534" s="15"/>
    </row>
    <row r="535" spans="7:7" ht="13" x14ac:dyDescent="0.15">
      <c r="G535" s="15"/>
    </row>
    <row r="536" spans="7:7" ht="13" x14ac:dyDescent="0.15">
      <c r="G536" s="15"/>
    </row>
    <row r="537" spans="7:7" ht="13" x14ac:dyDescent="0.15">
      <c r="G537" s="15"/>
    </row>
    <row r="538" spans="7:7" ht="13" x14ac:dyDescent="0.15">
      <c r="G538" s="15"/>
    </row>
    <row r="539" spans="7:7" ht="13" x14ac:dyDescent="0.15">
      <c r="G539" s="15"/>
    </row>
    <row r="540" spans="7:7" ht="13" x14ac:dyDescent="0.15">
      <c r="G540" s="15"/>
    </row>
    <row r="541" spans="7:7" ht="13" x14ac:dyDescent="0.15">
      <c r="G541" s="15"/>
    </row>
    <row r="542" spans="7:7" ht="13" x14ac:dyDescent="0.15">
      <c r="G542" s="15"/>
    </row>
    <row r="543" spans="7:7" ht="13" x14ac:dyDescent="0.15">
      <c r="G543" s="15"/>
    </row>
    <row r="544" spans="7:7" ht="13" x14ac:dyDescent="0.15">
      <c r="G544" s="15"/>
    </row>
    <row r="545" spans="7:7" ht="13" x14ac:dyDescent="0.15">
      <c r="G545" s="15"/>
    </row>
    <row r="546" spans="7:7" ht="13" x14ac:dyDescent="0.15">
      <c r="G546" s="15"/>
    </row>
    <row r="547" spans="7:7" ht="13" x14ac:dyDescent="0.15">
      <c r="G547" s="15"/>
    </row>
    <row r="548" spans="7:7" ht="13" x14ac:dyDescent="0.15">
      <c r="G548" s="15"/>
    </row>
    <row r="549" spans="7:7" ht="13" x14ac:dyDescent="0.15">
      <c r="G549" s="15"/>
    </row>
    <row r="550" spans="7:7" ht="13" x14ac:dyDescent="0.15">
      <c r="G550" s="15"/>
    </row>
    <row r="551" spans="7:7" ht="13" x14ac:dyDescent="0.15">
      <c r="G551" s="15"/>
    </row>
    <row r="552" spans="7:7" ht="13" x14ac:dyDescent="0.15">
      <c r="G552" s="15"/>
    </row>
    <row r="553" spans="7:7" ht="13" x14ac:dyDescent="0.15">
      <c r="G553" s="15"/>
    </row>
    <row r="554" spans="7:7" ht="13" x14ac:dyDescent="0.15">
      <c r="G554" s="15"/>
    </row>
    <row r="555" spans="7:7" ht="13" x14ac:dyDescent="0.15">
      <c r="G555" s="15"/>
    </row>
    <row r="556" spans="7:7" ht="13" x14ac:dyDescent="0.15">
      <c r="G556" s="15"/>
    </row>
    <row r="557" spans="7:7" ht="13" x14ac:dyDescent="0.15">
      <c r="G557" s="15"/>
    </row>
    <row r="558" spans="7:7" ht="13" x14ac:dyDescent="0.15">
      <c r="G558" s="15"/>
    </row>
    <row r="559" spans="7:7" ht="13" x14ac:dyDescent="0.15">
      <c r="G559" s="15"/>
    </row>
    <row r="560" spans="7:7" ht="13" x14ac:dyDescent="0.15">
      <c r="G560" s="15"/>
    </row>
    <row r="561" spans="7:7" ht="13" x14ac:dyDescent="0.15">
      <c r="G561" s="15"/>
    </row>
    <row r="562" spans="7:7" ht="13" x14ac:dyDescent="0.15">
      <c r="G562" s="15"/>
    </row>
    <row r="563" spans="7:7" ht="13" x14ac:dyDescent="0.15">
      <c r="G563" s="15"/>
    </row>
    <row r="564" spans="7:7" ht="13" x14ac:dyDescent="0.15">
      <c r="G564" s="15"/>
    </row>
    <row r="565" spans="7:7" ht="13" x14ac:dyDescent="0.15">
      <c r="G565" s="15"/>
    </row>
    <row r="566" spans="7:7" ht="13" x14ac:dyDescent="0.15">
      <c r="G566" s="15"/>
    </row>
    <row r="567" spans="7:7" ht="13" x14ac:dyDescent="0.15">
      <c r="G567" s="15"/>
    </row>
    <row r="568" spans="7:7" ht="13" x14ac:dyDescent="0.15">
      <c r="G568" s="15"/>
    </row>
    <row r="569" spans="7:7" ht="13" x14ac:dyDescent="0.15">
      <c r="G569" s="15"/>
    </row>
    <row r="570" spans="7:7" ht="13" x14ac:dyDescent="0.15">
      <c r="G570" s="15"/>
    </row>
    <row r="571" spans="7:7" ht="13" x14ac:dyDescent="0.15">
      <c r="G571" s="15"/>
    </row>
    <row r="572" spans="7:7" ht="13" x14ac:dyDescent="0.15">
      <c r="G572" s="15"/>
    </row>
    <row r="573" spans="7:7" ht="13" x14ac:dyDescent="0.15">
      <c r="G573" s="15"/>
    </row>
    <row r="574" spans="7:7" ht="13" x14ac:dyDescent="0.15">
      <c r="G574" s="15"/>
    </row>
    <row r="575" spans="7:7" ht="13" x14ac:dyDescent="0.15">
      <c r="G575" s="15"/>
    </row>
    <row r="576" spans="7:7" ht="13" x14ac:dyDescent="0.15">
      <c r="G576" s="15"/>
    </row>
    <row r="577" spans="7:7" ht="13" x14ac:dyDescent="0.15">
      <c r="G577" s="15"/>
    </row>
    <row r="578" spans="7:7" ht="13" x14ac:dyDescent="0.15">
      <c r="G578" s="15"/>
    </row>
    <row r="579" spans="7:7" ht="13" x14ac:dyDescent="0.15">
      <c r="G579" s="15"/>
    </row>
    <row r="580" spans="7:7" ht="13" x14ac:dyDescent="0.15">
      <c r="G580" s="15"/>
    </row>
    <row r="581" spans="7:7" ht="13" x14ac:dyDescent="0.15">
      <c r="G581" s="15"/>
    </row>
    <row r="582" spans="7:7" ht="13" x14ac:dyDescent="0.15">
      <c r="G582" s="15"/>
    </row>
    <row r="583" spans="7:7" ht="13" x14ac:dyDescent="0.15">
      <c r="G583" s="15"/>
    </row>
    <row r="584" spans="7:7" ht="13" x14ac:dyDescent="0.15">
      <c r="G584" s="15"/>
    </row>
    <row r="585" spans="7:7" ht="13" x14ac:dyDescent="0.15">
      <c r="G585" s="15"/>
    </row>
    <row r="586" spans="7:7" ht="13" x14ac:dyDescent="0.15">
      <c r="G586" s="15"/>
    </row>
    <row r="587" spans="7:7" ht="13" x14ac:dyDescent="0.15">
      <c r="G587" s="15"/>
    </row>
    <row r="588" spans="7:7" ht="13" x14ac:dyDescent="0.15">
      <c r="G588" s="15"/>
    </row>
    <row r="589" spans="7:7" ht="13" x14ac:dyDescent="0.15">
      <c r="G589" s="15"/>
    </row>
    <row r="590" spans="7:7" ht="13" x14ac:dyDescent="0.15">
      <c r="G590" s="15"/>
    </row>
    <row r="591" spans="7:7" ht="13" x14ac:dyDescent="0.15">
      <c r="G591" s="15"/>
    </row>
    <row r="592" spans="7:7" ht="13" x14ac:dyDescent="0.15">
      <c r="G592" s="15"/>
    </row>
    <row r="593" spans="7:7" ht="13" x14ac:dyDescent="0.15">
      <c r="G593" s="15"/>
    </row>
    <row r="594" spans="7:7" ht="13" x14ac:dyDescent="0.15">
      <c r="G594" s="15"/>
    </row>
    <row r="595" spans="7:7" ht="13" x14ac:dyDescent="0.15">
      <c r="G595" s="15"/>
    </row>
    <row r="596" spans="7:7" ht="13" x14ac:dyDescent="0.15">
      <c r="G596" s="15"/>
    </row>
    <row r="597" spans="7:7" ht="13" x14ac:dyDescent="0.15">
      <c r="G597" s="15"/>
    </row>
    <row r="598" spans="7:7" ht="13" x14ac:dyDescent="0.15">
      <c r="G598" s="15"/>
    </row>
    <row r="599" spans="7:7" ht="13" x14ac:dyDescent="0.15">
      <c r="G599" s="15"/>
    </row>
    <row r="600" spans="7:7" ht="13" x14ac:dyDescent="0.15">
      <c r="G600" s="15"/>
    </row>
    <row r="601" spans="7:7" ht="13" x14ac:dyDescent="0.15">
      <c r="G601" s="15"/>
    </row>
    <row r="602" spans="7:7" ht="13" x14ac:dyDescent="0.15">
      <c r="G602" s="15"/>
    </row>
    <row r="603" spans="7:7" ht="13" x14ac:dyDescent="0.15">
      <c r="G603" s="15"/>
    </row>
    <row r="604" spans="7:7" ht="13" x14ac:dyDescent="0.15">
      <c r="G604" s="15"/>
    </row>
    <row r="605" spans="7:7" ht="13" x14ac:dyDescent="0.15">
      <c r="G605" s="15"/>
    </row>
    <row r="606" spans="7:7" ht="13" x14ac:dyDescent="0.15">
      <c r="G606" s="15"/>
    </row>
    <row r="607" spans="7:7" ht="13" x14ac:dyDescent="0.15">
      <c r="G607" s="15"/>
    </row>
    <row r="608" spans="7:7" ht="13" x14ac:dyDescent="0.15">
      <c r="G608" s="15"/>
    </row>
    <row r="609" spans="7:7" ht="13" x14ac:dyDescent="0.15">
      <c r="G609" s="15"/>
    </row>
    <row r="610" spans="7:7" ht="13" x14ac:dyDescent="0.15">
      <c r="G610" s="15"/>
    </row>
    <row r="611" spans="7:7" ht="13" x14ac:dyDescent="0.15">
      <c r="G611" s="15"/>
    </row>
    <row r="612" spans="7:7" ht="13" x14ac:dyDescent="0.15">
      <c r="G612" s="15"/>
    </row>
    <row r="613" spans="7:7" ht="13" x14ac:dyDescent="0.15">
      <c r="G613" s="15"/>
    </row>
    <row r="614" spans="7:7" ht="13" x14ac:dyDescent="0.15">
      <c r="G614" s="15"/>
    </row>
    <row r="615" spans="7:7" ht="13" x14ac:dyDescent="0.15">
      <c r="G615" s="15"/>
    </row>
    <row r="616" spans="7:7" ht="13" x14ac:dyDescent="0.15">
      <c r="G616" s="15"/>
    </row>
    <row r="617" spans="7:7" ht="13" x14ac:dyDescent="0.15">
      <c r="G617" s="15"/>
    </row>
    <row r="618" spans="7:7" ht="13" x14ac:dyDescent="0.15">
      <c r="G618" s="15"/>
    </row>
    <row r="619" spans="7:7" ht="13" x14ac:dyDescent="0.15">
      <c r="G619" s="15"/>
    </row>
    <row r="620" spans="7:7" ht="13" x14ac:dyDescent="0.15">
      <c r="G620" s="15"/>
    </row>
    <row r="621" spans="7:7" ht="13" x14ac:dyDescent="0.15">
      <c r="G621" s="15"/>
    </row>
    <row r="622" spans="7:7" ht="13" x14ac:dyDescent="0.15">
      <c r="G622" s="15"/>
    </row>
    <row r="623" spans="7:7" ht="13" x14ac:dyDescent="0.15">
      <c r="G623" s="15"/>
    </row>
    <row r="624" spans="7:7" ht="13" x14ac:dyDescent="0.15">
      <c r="G624" s="15"/>
    </row>
    <row r="625" spans="7:7" ht="13" x14ac:dyDescent="0.15">
      <c r="G625" s="15"/>
    </row>
    <row r="626" spans="7:7" ht="13" x14ac:dyDescent="0.15">
      <c r="G626" s="15"/>
    </row>
    <row r="627" spans="7:7" ht="13" x14ac:dyDescent="0.15">
      <c r="G627" s="15"/>
    </row>
    <row r="628" spans="7:7" ht="13" x14ac:dyDescent="0.15">
      <c r="G628" s="15"/>
    </row>
    <row r="629" spans="7:7" ht="13" x14ac:dyDescent="0.15">
      <c r="G629" s="15"/>
    </row>
    <row r="630" spans="7:7" ht="13" x14ac:dyDescent="0.15">
      <c r="G630" s="15"/>
    </row>
    <row r="631" spans="7:7" ht="13" x14ac:dyDescent="0.15">
      <c r="G631" s="15"/>
    </row>
    <row r="632" spans="7:7" ht="13" x14ac:dyDescent="0.15">
      <c r="G632" s="15"/>
    </row>
    <row r="633" spans="7:7" ht="13" x14ac:dyDescent="0.15">
      <c r="G633" s="15"/>
    </row>
    <row r="634" spans="7:7" ht="13" x14ac:dyDescent="0.15">
      <c r="G634" s="15"/>
    </row>
    <row r="635" spans="7:7" ht="13" x14ac:dyDescent="0.15">
      <c r="G635" s="15"/>
    </row>
    <row r="636" spans="7:7" ht="13" x14ac:dyDescent="0.15">
      <c r="G636" s="15"/>
    </row>
    <row r="637" spans="7:7" ht="13" x14ac:dyDescent="0.15">
      <c r="G637" s="15"/>
    </row>
    <row r="638" spans="7:7" ht="13" x14ac:dyDescent="0.15">
      <c r="G638" s="15"/>
    </row>
    <row r="639" spans="7:7" ht="13" x14ac:dyDescent="0.15">
      <c r="G639" s="15"/>
    </row>
    <row r="640" spans="7:7" ht="13" x14ac:dyDescent="0.15">
      <c r="G640" s="15"/>
    </row>
    <row r="641" spans="7:7" ht="13" x14ac:dyDescent="0.15">
      <c r="G641" s="15"/>
    </row>
    <row r="642" spans="7:7" ht="13" x14ac:dyDescent="0.15">
      <c r="G642" s="15"/>
    </row>
    <row r="643" spans="7:7" ht="13" x14ac:dyDescent="0.15">
      <c r="G643" s="15"/>
    </row>
    <row r="644" spans="7:7" ht="13" x14ac:dyDescent="0.15">
      <c r="G644" s="15"/>
    </row>
    <row r="645" spans="7:7" ht="13" x14ac:dyDescent="0.15">
      <c r="G645" s="15"/>
    </row>
    <row r="646" spans="7:7" ht="13" x14ac:dyDescent="0.15">
      <c r="G646" s="15"/>
    </row>
    <row r="647" spans="7:7" ht="13" x14ac:dyDescent="0.15">
      <c r="G647" s="15"/>
    </row>
    <row r="648" spans="7:7" ht="13" x14ac:dyDescent="0.15">
      <c r="G648" s="15"/>
    </row>
    <row r="649" spans="7:7" ht="13" x14ac:dyDescent="0.15">
      <c r="G649" s="15"/>
    </row>
    <row r="650" spans="7:7" ht="13" x14ac:dyDescent="0.15">
      <c r="G650" s="15"/>
    </row>
    <row r="651" spans="7:7" ht="13" x14ac:dyDescent="0.15">
      <c r="G651" s="15"/>
    </row>
    <row r="652" spans="7:7" ht="13" x14ac:dyDescent="0.15">
      <c r="G652" s="15"/>
    </row>
    <row r="653" spans="7:7" ht="13" x14ac:dyDescent="0.15">
      <c r="G653" s="15"/>
    </row>
    <row r="654" spans="7:7" ht="13" x14ac:dyDescent="0.15">
      <c r="G654" s="15"/>
    </row>
    <row r="655" spans="7:7" ht="13" x14ac:dyDescent="0.15">
      <c r="G655" s="15"/>
    </row>
    <row r="656" spans="7:7" ht="13" x14ac:dyDescent="0.15">
      <c r="G656" s="15"/>
    </row>
    <row r="657" spans="7:7" ht="13" x14ac:dyDescent="0.15">
      <c r="G657" s="15"/>
    </row>
    <row r="658" spans="7:7" ht="13" x14ac:dyDescent="0.15">
      <c r="G658" s="15"/>
    </row>
    <row r="659" spans="7:7" ht="13" x14ac:dyDescent="0.15">
      <c r="G659" s="15"/>
    </row>
    <row r="660" spans="7:7" ht="13" x14ac:dyDescent="0.15">
      <c r="G660" s="15"/>
    </row>
    <row r="661" spans="7:7" ht="13" x14ac:dyDescent="0.15">
      <c r="G661" s="15"/>
    </row>
    <row r="662" spans="7:7" ht="13" x14ac:dyDescent="0.15">
      <c r="G662" s="15"/>
    </row>
    <row r="663" spans="7:7" ht="13" x14ac:dyDescent="0.15">
      <c r="G663" s="15"/>
    </row>
    <row r="664" spans="7:7" ht="13" x14ac:dyDescent="0.15">
      <c r="G664" s="15"/>
    </row>
    <row r="665" spans="7:7" ht="13" x14ac:dyDescent="0.15">
      <c r="G665" s="15"/>
    </row>
    <row r="666" spans="7:7" ht="13" x14ac:dyDescent="0.15">
      <c r="G666" s="15"/>
    </row>
    <row r="667" spans="7:7" ht="13" x14ac:dyDescent="0.15">
      <c r="G667" s="15"/>
    </row>
    <row r="668" spans="7:7" ht="13" x14ac:dyDescent="0.15">
      <c r="G668" s="15"/>
    </row>
    <row r="669" spans="7:7" ht="13" x14ac:dyDescent="0.15">
      <c r="G669" s="15"/>
    </row>
    <row r="670" spans="7:7" ht="13" x14ac:dyDescent="0.15">
      <c r="G670" s="15"/>
    </row>
    <row r="671" spans="7:7" ht="13" x14ac:dyDescent="0.15">
      <c r="G671" s="15"/>
    </row>
    <row r="672" spans="7:7" ht="13" x14ac:dyDescent="0.15">
      <c r="G672" s="15"/>
    </row>
    <row r="673" spans="7:7" ht="13" x14ac:dyDescent="0.15">
      <c r="G673" s="15"/>
    </row>
    <row r="674" spans="7:7" ht="13" x14ac:dyDescent="0.15">
      <c r="G674" s="15"/>
    </row>
    <row r="675" spans="7:7" ht="13" x14ac:dyDescent="0.15">
      <c r="G675" s="15"/>
    </row>
    <row r="676" spans="7:7" ht="13" x14ac:dyDescent="0.15">
      <c r="G676" s="15"/>
    </row>
    <row r="677" spans="7:7" ht="13" x14ac:dyDescent="0.15">
      <c r="G677" s="15"/>
    </row>
    <row r="678" spans="7:7" ht="13" x14ac:dyDescent="0.15">
      <c r="G678" s="15"/>
    </row>
    <row r="679" spans="7:7" ht="13" x14ac:dyDescent="0.15">
      <c r="G679" s="15"/>
    </row>
    <row r="680" spans="7:7" ht="13" x14ac:dyDescent="0.15">
      <c r="G680" s="15"/>
    </row>
    <row r="681" spans="7:7" ht="13" x14ac:dyDescent="0.15">
      <c r="G681" s="15"/>
    </row>
    <row r="682" spans="7:7" ht="13" x14ac:dyDescent="0.15">
      <c r="G682" s="15"/>
    </row>
    <row r="683" spans="7:7" ht="13" x14ac:dyDescent="0.15">
      <c r="G683" s="15"/>
    </row>
    <row r="684" spans="7:7" ht="13" x14ac:dyDescent="0.15">
      <c r="G684" s="15"/>
    </row>
    <row r="685" spans="7:7" ht="13" x14ac:dyDescent="0.15">
      <c r="G685" s="15"/>
    </row>
    <row r="686" spans="7:7" ht="13" x14ac:dyDescent="0.15">
      <c r="G686" s="15"/>
    </row>
    <row r="687" spans="7:7" ht="13" x14ac:dyDescent="0.15">
      <c r="G687" s="15"/>
    </row>
    <row r="688" spans="7:7" ht="13" x14ac:dyDescent="0.15">
      <c r="G688" s="15"/>
    </row>
    <row r="689" spans="7:7" ht="13" x14ac:dyDescent="0.15">
      <c r="G689" s="15"/>
    </row>
    <row r="690" spans="7:7" ht="13" x14ac:dyDescent="0.15">
      <c r="G690" s="15"/>
    </row>
    <row r="691" spans="7:7" ht="13" x14ac:dyDescent="0.15">
      <c r="G691" s="15"/>
    </row>
    <row r="692" spans="7:7" ht="13" x14ac:dyDescent="0.15">
      <c r="G692" s="15"/>
    </row>
    <row r="693" spans="7:7" ht="13" x14ac:dyDescent="0.15">
      <c r="G693" s="15"/>
    </row>
    <row r="694" spans="7:7" ht="13" x14ac:dyDescent="0.15">
      <c r="G694" s="15"/>
    </row>
    <row r="695" spans="7:7" ht="13" x14ac:dyDescent="0.15">
      <c r="G695" s="15"/>
    </row>
    <row r="696" spans="7:7" ht="13" x14ac:dyDescent="0.15">
      <c r="G696" s="15"/>
    </row>
    <row r="697" spans="7:7" ht="13" x14ac:dyDescent="0.15">
      <c r="G697" s="15"/>
    </row>
    <row r="698" spans="7:7" ht="13" x14ac:dyDescent="0.15">
      <c r="G698" s="15"/>
    </row>
    <row r="699" spans="7:7" ht="13" x14ac:dyDescent="0.15">
      <c r="G699" s="15"/>
    </row>
    <row r="700" spans="7:7" ht="13" x14ac:dyDescent="0.15">
      <c r="G700" s="15"/>
    </row>
    <row r="701" spans="7:7" ht="13" x14ac:dyDescent="0.15">
      <c r="G701" s="15"/>
    </row>
    <row r="702" spans="7:7" ht="13" x14ac:dyDescent="0.15">
      <c r="G702" s="15"/>
    </row>
    <row r="703" spans="7:7" ht="13" x14ac:dyDescent="0.15">
      <c r="G703" s="15"/>
    </row>
    <row r="704" spans="7:7" ht="13" x14ac:dyDescent="0.15">
      <c r="G704" s="15"/>
    </row>
    <row r="705" spans="7:7" ht="13" x14ac:dyDescent="0.15">
      <c r="G705" s="15"/>
    </row>
    <row r="706" spans="7:7" ht="13" x14ac:dyDescent="0.15">
      <c r="G706" s="15"/>
    </row>
    <row r="707" spans="7:7" ht="13" x14ac:dyDescent="0.15">
      <c r="G707" s="15"/>
    </row>
    <row r="708" spans="7:7" ht="13" x14ac:dyDescent="0.15">
      <c r="G708" s="15"/>
    </row>
    <row r="709" spans="7:7" ht="13" x14ac:dyDescent="0.15">
      <c r="G709" s="15"/>
    </row>
    <row r="710" spans="7:7" ht="13" x14ac:dyDescent="0.15">
      <c r="G710" s="15"/>
    </row>
    <row r="711" spans="7:7" ht="13" x14ac:dyDescent="0.15">
      <c r="G711" s="15"/>
    </row>
    <row r="712" spans="7:7" ht="13" x14ac:dyDescent="0.15">
      <c r="G712" s="15"/>
    </row>
    <row r="713" spans="7:7" ht="13" x14ac:dyDescent="0.15">
      <c r="G713" s="15"/>
    </row>
    <row r="714" spans="7:7" ht="13" x14ac:dyDescent="0.15">
      <c r="G714" s="15"/>
    </row>
    <row r="715" spans="7:7" ht="13" x14ac:dyDescent="0.15">
      <c r="G715" s="15"/>
    </row>
    <row r="716" spans="7:7" ht="13" x14ac:dyDescent="0.15">
      <c r="G716" s="15"/>
    </row>
    <row r="717" spans="7:7" ht="13" x14ac:dyDescent="0.15">
      <c r="G717" s="15"/>
    </row>
    <row r="718" spans="7:7" ht="13" x14ac:dyDescent="0.15">
      <c r="G718" s="15"/>
    </row>
    <row r="719" spans="7:7" ht="13" x14ac:dyDescent="0.15">
      <c r="G719" s="15"/>
    </row>
    <row r="720" spans="7:7" ht="13" x14ac:dyDescent="0.15">
      <c r="G720" s="15"/>
    </row>
    <row r="721" spans="7:7" ht="13" x14ac:dyDescent="0.15">
      <c r="G721" s="15"/>
    </row>
    <row r="722" spans="7:7" ht="13" x14ac:dyDescent="0.15">
      <c r="G722" s="15"/>
    </row>
    <row r="723" spans="7:7" ht="13" x14ac:dyDescent="0.15">
      <c r="G723" s="15"/>
    </row>
    <row r="724" spans="7:7" ht="13" x14ac:dyDescent="0.15">
      <c r="G724" s="15"/>
    </row>
    <row r="725" spans="7:7" ht="13" x14ac:dyDescent="0.15">
      <c r="G725" s="15"/>
    </row>
    <row r="726" spans="7:7" ht="13" x14ac:dyDescent="0.15">
      <c r="G726" s="15"/>
    </row>
    <row r="727" spans="7:7" ht="13" x14ac:dyDescent="0.15">
      <c r="G727" s="15"/>
    </row>
    <row r="728" spans="7:7" ht="13" x14ac:dyDescent="0.15">
      <c r="G728" s="15"/>
    </row>
    <row r="729" spans="7:7" ht="13" x14ac:dyDescent="0.15">
      <c r="G729" s="15"/>
    </row>
    <row r="730" spans="7:7" ht="13" x14ac:dyDescent="0.15">
      <c r="G730" s="15"/>
    </row>
    <row r="731" spans="7:7" ht="13" x14ac:dyDescent="0.15">
      <c r="G731" s="15"/>
    </row>
    <row r="732" spans="7:7" ht="13" x14ac:dyDescent="0.15">
      <c r="G732" s="15"/>
    </row>
    <row r="733" spans="7:7" ht="13" x14ac:dyDescent="0.15">
      <c r="G733" s="15"/>
    </row>
    <row r="734" spans="7:7" ht="13" x14ac:dyDescent="0.15">
      <c r="G734" s="15"/>
    </row>
    <row r="735" spans="7:7" ht="13" x14ac:dyDescent="0.15">
      <c r="G735" s="15"/>
    </row>
    <row r="736" spans="7:7" ht="13" x14ac:dyDescent="0.15">
      <c r="G736" s="15"/>
    </row>
    <row r="737" spans="7:7" ht="13" x14ac:dyDescent="0.15">
      <c r="G737" s="15"/>
    </row>
    <row r="738" spans="7:7" ht="13" x14ac:dyDescent="0.15">
      <c r="G738" s="15"/>
    </row>
    <row r="739" spans="7:7" ht="13" x14ac:dyDescent="0.15">
      <c r="G739" s="15"/>
    </row>
    <row r="740" spans="7:7" ht="13" x14ac:dyDescent="0.15">
      <c r="G740" s="15"/>
    </row>
    <row r="741" spans="7:7" ht="13" x14ac:dyDescent="0.15">
      <c r="G741" s="15"/>
    </row>
    <row r="742" spans="7:7" ht="13" x14ac:dyDescent="0.15">
      <c r="G742" s="15"/>
    </row>
    <row r="743" spans="7:7" ht="13" x14ac:dyDescent="0.15">
      <c r="G743" s="15"/>
    </row>
    <row r="744" spans="7:7" ht="13" x14ac:dyDescent="0.15">
      <c r="G744" s="15"/>
    </row>
    <row r="745" spans="7:7" ht="13" x14ac:dyDescent="0.15">
      <c r="G745" s="15"/>
    </row>
    <row r="746" spans="7:7" ht="13" x14ac:dyDescent="0.15">
      <c r="G746" s="15"/>
    </row>
    <row r="747" spans="7:7" ht="13" x14ac:dyDescent="0.15">
      <c r="G747" s="15"/>
    </row>
    <row r="748" spans="7:7" ht="13" x14ac:dyDescent="0.15">
      <c r="G748" s="15"/>
    </row>
    <row r="749" spans="7:7" ht="13" x14ac:dyDescent="0.15">
      <c r="G749" s="15"/>
    </row>
    <row r="750" spans="7:7" ht="13" x14ac:dyDescent="0.15">
      <c r="G750" s="15"/>
    </row>
    <row r="751" spans="7:7" ht="13" x14ac:dyDescent="0.15">
      <c r="G751" s="15"/>
    </row>
    <row r="752" spans="7:7" ht="13" x14ac:dyDescent="0.15">
      <c r="G752" s="15"/>
    </row>
    <row r="753" spans="7:7" ht="13" x14ac:dyDescent="0.15">
      <c r="G753" s="15"/>
    </row>
    <row r="754" spans="7:7" ht="13" x14ac:dyDescent="0.15">
      <c r="G754" s="15"/>
    </row>
    <row r="755" spans="7:7" ht="13" x14ac:dyDescent="0.15">
      <c r="G755" s="15"/>
    </row>
    <row r="756" spans="7:7" ht="13" x14ac:dyDescent="0.15">
      <c r="G756" s="15"/>
    </row>
    <row r="757" spans="7:7" ht="13" x14ac:dyDescent="0.15">
      <c r="G757" s="15"/>
    </row>
    <row r="758" spans="7:7" ht="13" x14ac:dyDescent="0.15">
      <c r="G758" s="15"/>
    </row>
    <row r="759" spans="7:7" ht="13" x14ac:dyDescent="0.15">
      <c r="G759" s="15"/>
    </row>
    <row r="760" spans="7:7" ht="13" x14ac:dyDescent="0.15">
      <c r="G760" s="15"/>
    </row>
    <row r="761" spans="7:7" ht="13" x14ac:dyDescent="0.15">
      <c r="G761" s="15"/>
    </row>
    <row r="762" spans="7:7" ht="13" x14ac:dyDescent="0.15">
      <c r="G762" s="15"/>
    </row>
    <row r="763" spans="7:7" ht="13" x14ac:dyDescent="0.15">
      <c r="G763" s="15"/>
    </row>
    <row r="764" spans="7:7" ht="13" x14ac:dyDescent="0.15">
      <c r="G764" s="15"/>
    </row>
    <row r="765" spans="7:7" ht="13" x14ac:dyDescent="0.15">
      <c r="G765" s="15"/>
    </row>
    <row r="766" spans="7:7" ht="13" x14ac:dyDescent="0.15">
      <c r="G766" s="15"/>
    </row>
    <row r="767" spans="7:7" ht="13" x14ac:dyDescent="0.15">
      <c r="G767" s="15"/>
    </row>
    <row r="768" spans="7:7" ht="13" x14ac:dyDescent="0.15">
      <c r="G768" s="15"/>
    </row>
    <row r="769" spans="7:7" ht="13" x14ac:dyDescent="0.15">
      <c r="G769" s="15"/>
    </row>
    <row r="770" spans="7:7" ht="13" x14ac:dyDescent="0.15">
      <c r="G770" s="15"/>
    </row>
    <row r="771" spans="7:7" ht="13" x14ac:dyDescent="0.15">
      <c r="G771" s="15"/>
    </row>
    <row r="772" spans="7:7" ht="13" x14ac:dyDescent="0.15">
      <c r="G772" s="15"/>
    </row>
    <row r="773" spans="7:7" ht="13" x14ac:dyDescent="0.15">
      <c r="G773" s="15"/>
    </row>
    <row r="774" spans="7:7" ht="13" x14ac:dyDescent="0.15">
      <c r="G774" s="15"/>
    </row>
    <row r="775" spans="7:7" ht="13" x14ac:dyDescent="0.15">
      <c r="G775" s="15"/>
    </row>
    <row r="776" spans="7:7" ht="13" x14ac:dyDescent="0.15">
      <c r="G776" s="15"/>
    </row>
    <row r="777" spans="7:7" ht="13" x14ac:dyDescent="0.15">
      <c r="G777" s="15"/>
    </row>
    <row r="778" spans="7:7" ht="13" x14ac:dyDescent="0.15">
      <c r="G778" s="15"/>
    </row>
    <row r="779" spans="7:7" ht="13" x14ac:dyDescent="0.15">
      <c r="G779" s="15"/>
    </row>
    <row r="780" spans="7:7" ht="13" x14ac:dyDescent="0.15">
      <c r="G780" s="15"/>
    </row>
    <row r="781" spans="7:7" ht="13" x14ac:dyDescent="0.15">
      <c r="G781" s="15"/>
    </row>
    <row r="782" spans="7:7" ht="13" x14ac:dyDescent="0.15">
      <c r="G782" s="15"/>
    </row>
    <row r="783" spans="7:7" ht="13" x14ac:dyDescent="0.15">
      <c r="G783" s="15"/>
    </row>
    <row r="784" spans="7:7" ht="13" x14ac:dyDescent="0.15">
      <c r="G784" s="15"/>
    </row>
    <row r="785" spans="7:7" ht="13" x14ac:dyDescent="0.15">
      <c r="G785" s="15"/>
    </row>
    <row r="786" spans="7:7" ht="13" x14ac:dyDescent="0.15">
      <c r="G786" s="15"/>
    </row>
    <row r="787" spans="7:7" ht="13" x14ac:dyDescent="0.15">
      <c r="G787" s="15"/>
    </row>
    <row r="788" spans="7:7" ht="13" x14ac:dyDescent="0.15">
      <c r="G788" s="15"/>
    </row>
    <row r="789" spans="7:7" ht="13" x14ac:dyDescent="0.15">
      <c r="G789" s="15"/>
    </row>
    <row r="790" spans="7:7" ht="13" x14ac:dyDescent="0.15">
      <c r="G790" s="15"/>
    </row>
    <row r="791" spans="7:7" ht="13" x14ac:dyDescent="0.15">
      <c r="G791" s="15"/>
    </row>
    <row r="792" spans="7:7" ht="13" x14ac:dyDescent="0.15">
      <c r="G792" s="15"/>
    </row>
    <row r="793" spans="7:7" ht="13" x14ac:dyDescent="0.15">
      <c r="G793" s="15"/>
    </row>
    <row r="794" spans="7:7" ht="13" x14ac:dyDescent="0.15">
      <c r="G794" s="15"/>
    </row>
    <row r="795" spans="7:7" ht="13" x14ac:dyDescent="0.15">
      <c r="G795" s="15"/>
    </row>
    <row r="796" spans="7:7" ht="13" x14ac:dyDescent="0.15">
      <c r="G796" s="15"/>
    </row>
    <row r="797" spans="7:7" ht="13" x14ac:dyDescent="0.15">
      <c r="G797" s="15"/>
    </row>
    <row r="798" spans="7:7" ht="13" x14ac:dyDescent="0.15">
      <c r="G798" s="15"/>
    </row>
    <row r="799" spans="7:7" ht="13" x14ac:dyDescent="0.15">
      <c r="G799" s="15"/>
    </row>
    <row r="800" spans="7:7" ht="13" x14ac:dyDescent="0.15">
      <c r="G800" s="15"/>
    </row>
    <row r="801" spans="7:7" ht="13" x14ac:dyDescent="0.15">
      <c r="G801" s="15"/>
    </row>
    <row r="802" spans="7:7" ht="13" x14ac:dyDescent="0.15">
      <c r="G802" s="15"/>
    </row>
    <row r="803" spans="7:7" ht="13" x14ac:dyDescent="0.15">
      <c r="G803" s="15"/>
    </row>
    <row r="804" spans="7:7" ht="13" x14ac:dyDescent="0.15">
      <c r="G804" s="15"/>
    </row>
    <row r="805" spans="7:7" ht="13" x14ac:dyDescent="0.15">
      <c r="G805" s="15"/>
    </row>
    <row r="806" spans="7:7" ht="13" x14ac:dyDescent="0.15">
      <c r="G806" s="15"/>
    </row>
    <row r="807" spans="7:7" ht="13" x14ac:dyDescent="0.15">
      <c r="G807" s="15"/>
    </row>
    <row r="808" spans="7:7" ht="13" x14ac:dyDescent="0.15">
      <c r="G808" s="15"/>
    </row>
    <row r="809" spans="7:7" ht="13" x14ac:dyDescent="0.15">
      <c r="G809" s="15"/>
    </row>
    <row r="810" spans="7:7" ht="13" x14ac:dyDescent="0.15">
      <c r="G810" s="15"/>
    </row>
    <row r="811" spans="7:7" ht="13" x14ac:dyDescent="0.15">
      <c r="G811" s="15"/>
    </row>
    <row r="812" spans="7:7" ht="13" x14ac:dyDescent="0.15">
      <c r="G812" s="15"/>
    </row>
    <row r="813" spans="7:7" ht="13" x14ac:dyDescent="0.15">
      <c r="G813" s="15"/>
    </row>
    <row r="814" spans="7:7" ht="13" x14ac:dyDescent="0.15">
      <c r="G814" s="15"/>
    </row>
    <row r="815" spans="7:7" ht="13" x14ac:dyDescent="0.15">
      <c r="G815" s="15"/>
    </row>
    <row r="816" spans="7:7" ht="13" x14ac:dyDescent="0.15">
      <c r="G816" s="15"/>
    </row>
    <row r="817" spans="7:7" ht="13" x14ac:dyDescent="0.15">
      <c r="G817" s="15"/>
    </row>
    <row r="818" spans="7:7" ht="13" x14ac:dyDescent="0.15">
      <c r="G818" s="15"/>
    </row>
    <row r="819" spans="7:7" ht="13" x14ac:dyDescent="0.15">
      <c r="G819" s="15"/>
    </row>
    <row r="820" spans="7:7" ht="13" x14ac:dyDescent="0.15">
      <c r="G820" s="15"/>
    </row>
    <row r="821" spans="7:7" ht="13" x14ac:dyDescent="0.15">
      <c r="G821" s="15"/>
    </row>
    <row r="822" spans="7:7" ht="13" x14ac:dyDescent="0.15">
      <c r="G822" s="15"/>
    </row>
    <row r="823" spans="7:7" ht="13" x14ac:dyDescent="0.15">
      <c r="G823" s="15"/>
    </row>
    <row r="824" spans="7:7" ht="13" x14ac:dyDescent="0.15">
      <c r="G824" s="15"/>
    </row>
    <row r="825" spans="7:7" ht="13" x14ac:dyDescent="0.15">
      <c r="G825" s="15"/>
    </row>
    <row r="826" spans="7:7" ht="13" x14ac:dyDescent="0.15">
      <c r="G826" s="15"/>
    </row>
    <row r="827" spans="7:7" ht="13" x14ac:dyDescent="0.15">
      <c r="G827" s="15"/>
    </row>
    <row r="828" spans="7:7" ht="13" x14ac:dyDescent="0.15">
      <c r="G828" s="15"/>
    </row>
    <row r="829" spans="7:7" ht="13" x14ac:dyDescent="0.15">
      <c r="G829" s="15"/>
    </row>
    <row r="830" spans="7:7" ht="13" x14ac:dyDescent="0.15">
      <c r="G830" s="15"/>
    </row>
    <row r="831" spans="7:7" ht="13" x14ac:dyDescent="0.15">
      <c r="G831" s="15"/>
    </row>
    <row r="832" spans="7:7" ht="13" x14ac:dyDescent="0.15">
      <c r="G832" s="15"/>
    </row>
    <row r="833" spans="7:7" ht="13" x14ac:dyDescent="0.15">
      <c r="G833" s="15"/>
    </row>
    <row r="834" spans="7:7" ht="13" x14ac:dyDescent="0.15">
      <c r="G834" s="15"/>
    </row>
    <row r="835" spans="7:7" ht="13" x14ac:dyDescent="0.15">
      <c r="G835" s="15"/>
    </row>
    <row r="836" spans="7:7" ht="13" x14ac:dyDescent="0.15">
      <c r="G836" s="15"/>
    </row>
    <row r="837" spans="7:7" ht="13" x14ac:dyDescent="0.15">
      <c r="G837" s="15"/>
    </row>
    <row r="838" spans="7:7" ht="13" x14ac:dyDescent="0.15">
      <c r="G838" s="15"/>
    </row>
    <row r="839" spans="7:7" ht="13" x14ac:dyDescent="0.15">
      <c r="G839" s="15"/>
    </row>
    <row r="840" spans="7:7" ht="13" x14ac:dyDescent="0.15">
      <c r="G840" s="15"/>
    </row>
    <row r="841" spans="7:7" ht="13" x14ac:dyDescent="0.15">
      <c r="G841" s="15"/>
    </row>
    <row r="842" spans="7:7" ht="13" x14ac:dyDescent="0.15">
      <c r="G842" s="15"/>
    </row>
    <row r="843" spans="7:7" ht="13" x14ac:dyDescent="0.15">
      <c r="G843" s="15"/>
    </row>
    <row r="844" spans="7:7" ht="13" x14ac:dyDescent="0.15">
      <c r="G844" s="15"/>
    </row>
    <row r="845" spans="7:7" ht="13" x14ac:dyDescent="0.15">
      <c r="G845" s="15"/>
    </row>
    <row r="846" spans="7:7" ht="13" x14ac:dyDescent="0.15">
      <c r="G846" s="15"/>
    </row>
    <row r="847" spans="7:7" ht="13" x14ac:dyDescent="0.15">
      <c r="G847" s="15"/>
    </row>
    <row r="848" spans="7:7" ht="13" x14ac:dyDescent="0.15">
      <c r="G848" s="15"/>
    </row>
    <row r="849" spans="7:7" ht="13" x14ac:dyDescent="0.15">
      <c r="G849" s="15"/>
    </row>
    <row r="850" spans="7:7" ht="13" x14ac:dyDescent="0.15">
      <c r="G850" s="15"/>
    </row>
    <row r="851" spans="7:7" ht="13" x14ac:dyDescent="0.15">
      <c r="G851" s="15"/>
    </row>
    <row r="852" spans="7:7" ht="13" x14ac:dyDescent="0.15">
      <c r="G852" s="15"/>
    </row>
    <row r="853" spans="7:7" ht="13" x14ac:dyDescent="0.15">
      <c r="G853" s="15"/>
    </row>
    <row r="854" spans="7:7" ht="13" x14ac:dyDescent="0.15">
      <c r="G854" s="15"/>
    </row>
    <row r="855" spans="7:7" ht="13" x14ac:dyDescent="0.15">
      <c r="G855" s="15"/>
    </row>
    <row r="856" spans="7:7" ht="13" x14ac:dyDescent="0.15">
      <c r="G856" s="15"/>
    </row>
    <row r="857" spans="7:7" ht="13" x14ac:dyDescent="0.15">
      <c r="G857" s="15"/>
    </row>
    <row r="858" spans="7:7" ht="13" x14ac:dyDescent="0.15">
      <c r="G858" s="15"/>
    </row>
    <row r="859" spans="7:7" ht="13" x14ac:dyDescent="0.15">
      <c r="G859" s="15"/>
    </row>
    <row r="860" spans="7:7" ht="13" x14ac:dyDescent="0.15">
      <c r="G860" s="15"/>
    </row>
    <row r="861" spans="7:7" ht="13" x14ac:dyDescent="0.15">
      <c r="G861" s="15"/>
    </row>
    <row r="862" spans="7:7" ht="13" x14ac:dyDescent="0.15">
      <c r="G862" s="15"/>
    </row>
    <row r="863" spans="7:7" ht="13" x14ac:dyDescent="0.15">
      <c r="G863" s="15"/>
    </row>
    <row r="864" spans="7:7" ht="13" x14ac:dyDescent="0.15">
      <c r="G864" s="15"/>
    </row>
    <row r="865" spans="7:7" ht="13" x14ac:dyDescent="0.15">
      <c r="G865" s="15"/>
    </row>
    <row r="866" spans="7:7" ht="13" x14ac:dyDescent="0.15">
      <c r="G866" s="15"/>
    </row>
    <row r="867" spans="7:7" ht="13" x14ac:dyDescent="0.15">
      <c r="G867" s="15"/>
    </row>
    <row r="868" spans="7:7" ht="13" x14ac:dyDescent="0.15">
      <c r="G868" s="15"/>
    </row>
    <row r="869" spans="7:7" ht="13" x14ac:dyDescent="0.15">
      <c r="G869" s="15"/>
    </row>
    <row r="870" spans="7:7" ht="13" x14ac:dyDescent="0.15">
      <c r="G870" s="15"/>
    </row>
    <row r="871" spans="7:7" ht="13" x14ac:dyDescent="0.15">
      <c r="G871" s="15"/>
    </row>
    <row r="872" spans="7:7" ht="13" x14ac:dyDescent="0.15">
      <c r="G872" s="15"/>
    </row>
    <row r="873" spans="7:7" ht="13" x14ac:dyDescent="0.15">
      <c r="G873" s="15"/>
    </row>
    <row r="874" spans="7:7" ht="13" x14ac:dyDescent="0.15">
      <c r="G874" s="15"/>
    </row>
    <row r="875" spans="7:7" ht="13" x14ac:dyDescent="0.15">
      <c r="G875" s="15"/>
    </row>
    <row r="876" spans="7:7" ht="13" x14ac:dyDescent="0.15">
      <c r="G876" s="15"/>
    </row>
    <row r="877" spans="7:7" ht="13" x14ac:dyDescent="0.15">
      <c r="G877" s="15"/>
    </row>
    <row r="878" spans="7:7" ht="13" x14ac:dyDescent="0.15">
      <c r="G878" s="15"/>
    </row>
    <row r="879" spans="7:7" ht="13" x14ac:dyDescent="0.15">
      <c r="G879" s="15"/>
    </row>
    <row r="880" spans="7:7" ht="13" x14ac:dyDescent="0.15">
      <c r="G880" s="15"/>
    </row>
    <row r="881" spans="7:7" ht="13" x14ac:dyDescent="0.15">
      <c r="G881" s="15"/>
    </row>
    <row r="882" spans="7:7" ht="13" x14ac:dyDescent="0.15">
      <c r="G882" s="15"/>
    </row>
    <row r="883" spans="7:7" ht="13" x14ac:dyDescent="0.15">
      <c r="G883" s="15"/>
    </row>
    <row r="884" spans="7:7" ht="13" x14ac:dyDescent="0.15">
      <c r="G884" s="15"/>
    </row>
    <row r="885" spans="7:7" ht="13" x14ac:dyDescent="0.15">
      <c r="G885" s="15"/>
    </row>
    <row r="886" spans="7:7" ht="13" x14ac:dyDescent="0.15">
      <c r="G886" s="15"/>
    </row>
    <row r="887" spans="7:7" ht="13" x14ac:dyDescent="0.15">
      <c r="G887" s="15"/>
    </row>
    <row r="888" spans="7:7" ht="13" x14ac:dyDescent="0.15">
      <c r="G888" s="15"/>
    </row>
    <row r="889" spans="7:7" ht="13" x14ac:dyDescent="0.15">
      <c r="G889" s="15"/>
    </row>
    <row r="890" spans="7:7" ht="13" x14ac:dyDescent="0.15">
      <c r="G890" s="15"/>
    </row>
    <row r="891" spans="7:7" ht="13" x14ac:dyDescent="0.15">
      <c r="G891" s="15"/>
    </row>
    <row r="892" spans="7:7" ht="13" x14ac:dyDescent="0.15">
      <c r="G892" s="15"/>
    </row>
    <row r="893" spans="7:7" ht="13" x14ac:dyDescent="0.15">
      <c r="G893" s="15"/>
    </row>
    <row r="894" spans="7:7" ht="13" x14ac:dyDescent="0.15">
      <c r="G894" s="15"/>
    </row>
    <row r="895" spans="7:7" ht="13" x14ac:dyDescent="0.15">
      <c r="G895" s="15"/>
    </row>
    <row r="896" spans="7:7" ht="13" x14ac:dyDescent="0.15">
      <c r="G896" s="15"/>
    </row>
    <row r="897" spans="7:7" ht="13" x14ac:dyDescent="0.15">
      <c r="G897" s="15"/>
    </row>
    <row r="898" spans="7:7" ht="13" x14ac:dyDescent="0.15">
      <c r="G898" s="15"/>
    </row>
    <row r="899" spans="7:7" ht="13" x14ac:dyDescent="0.15">
      <c r="G899" s="15"/>
    </row>
    <row r="900" spans="7:7" ht="13" x14ac:dyDescent="0.15">
      <c r="G900" s="15"/>
    </row>
    <row r="901" spans="7:7" ht="13" x14ac:dyDescent="0.15">
      <c r="G901" s="15"/>
    </row>
    <row r="902" spans="7:7" ht="13" x14ac:dyDescent="0.15">
      <c r="G902" s="15"/>
    </row>
    <row r="903" spans="7:7" ht="13" x14ac:dyDescent="0.15">
      <c r="G903" s="15"/>
    </row>
    <row r="904" spans="7:7" ht="13" x14ac:dyDescent="0.15">
      <c r="G904" s="15"/>
    </row>
    <row r="905" spans="7:7" ht="13" x14ac:dyDescent="0.15">
      <c r="G905" s="15"/>
    </row>
    <row r="906" spans="7:7" ht="13" x14ac:dyDescent="0.15">
      <c r="G906" s="15"/>
    </row>
    <row r="907" spans="7:7" ht="13" x14ac:dyDescent="0.15">
      <c r="G907" s="15"/>
    </row>
    <row r="908" spans="7:7" ht="13" x14ac:dyDescent="0.15">
      <c r="G908" s="15"/>
    </row>
    <row r="909" spans="7:7" ht="13" x14ac:dyDescent="0.15">
      <c r="G909" s="15"/>
    </row>
    <row r="910" spans="7:7" ht="13" x14ac:dyDescent="0.15">
      <c r="G910" s="15"/>
    </row>
    <row r="911" spans="7:7" ht="13" x14ac:dyDescent="0.15">
      <c r="G911" s="15"/>
    </row>
    <row r="912" spans="7:7" ht="13" x14ac:dyDescent="0.15">
      <c r="G912" s="15"/>
    </row>
    <row r="913" spans="7:7" ht="13" x14ac:dyDescent="0.15">
      <c r="G913" s="15"/>
    </row>
    <row r="914" spans="7:7" ht="13" x14ac:dyDescent="0.15">
      <c r="G914" s="15"/>
    </row>
    <row r="915" spans="7:7" ht="13" x14ac:dyDescent="0.15">
      <c r="G915" s="15"/>
    </row>
    <row r="916" spans="7:7" ht="13" x14ac:dyDescent="0.15">
      <c r="G916" s="15"/>
    </row>
    <row r="917" spans="7:7" ht="13" x14ac:dyDescent="0.15">
      <c r="G917" s="15"/>
    </row>
    <row r="918" spans="7:7" ht="13" x14ac:dyDescent="0.15">
      <c r="G918" s="15"/>
    </row>
    <row r="919" spans="7:7" ht="13" x14ac:dyDescent="0.15">
      <c r="G919" s="15"/>
    </row>
    <row r="920" spans="7:7" ht="13" x14ac:dyDescent="0.15">
      <c r="G920" s="15"/>
    </row>
    <row r="921" spans="7:7" ht="13" x14ac:dyDescent="0.15">
      <c r="G921" s="15"/>
    </row>
    <row r="922" spans="7:7" ht="13" x14ac:dyDescent="0.15">
      <c r="G922" s="15"/>
    </row>
    <row r="923" spans="7:7" ht="13" x14ac:dyDescent="0.15">
      <c r="G923" s="15"/>
    </row>
    <row r="924" spans="7:7" ht="13" x14ac:dyDescent="0.15">
      <c r="G924" s="15"/>
    </row>
    <row r="925" spans="7:7" ht="13" x14ac:dyDescent="0.15">
      <c r="G925" s="15"/>
    </row>
    <row r="926" spans="7:7" ht="13" x14ac:dyDescent="0.15">
      <c r="G926" s="15"/>
    </row>
    <row r="927" spans="7:7" ht="13" x14ac:dyDescent="0.15">
      <c r="G927" s="15"/>
    </row>
    <row r="928" spans="7:7" ht="13" x14ac:dyDescent="0.15">
      <c r="G928" s="15"/>
    </row>
    <row r="929" spans="7:7" ht="13" x14ac:dyDescent="0.15">
      <c r="G929" s="15"/>
    </row>
    <row r="930" spans="7:7" ht="13" x14ac:dyDescent="0.15">
      <c r="G930" s="15"/>
    </row>
    <row r="931" spans="7:7" ht="13" x14ac:dyDescent="0.15">
      <c r="G931" s="15"/>
    </row>
    <row r="932" spans="7:7" ht="13" x14ac:dyDescent="0.15">
      <c r="G932" s="15"/>
    </row>
    <row r="933" spans="7:7" ht="13" x14ac:dyDescent="0.15">
      <c r="G933" s="15"/>
    </row>
    <row r="934" spans="7:7" ht="13" x14ac:dyDescent="0.15">
      <c r="G934" s="15"/>
    </row>
    <row r="935" spans="7:7" ht="13" x14ac:dyDescent="0.15">
      <c r="G935" s="15"/>
    </row>
    <row r="936" spans="7:7" ht="13" x14ac:dyDescent="0.15">
      <c r="G936" s="15"/>
    </row>
    <row r="937" spans="7:7" ht="13" x14ac:dyDescent="0.15">
      <c r="G937" s="15"/>
    </row>
    <row r="938" spans="7:7" ht="13" x14ac:dyDescent="0.15">
      <c r="G938" s="15"/>
    </row>
    <row r="939" spans="7:7" ht="13" x14ac:dyDescent="0.15">
      <c r="G939" s="15"/>
    </row>
    <row r="940" spans="7:7" ht="13" x14ac:dyDescent="0.15">
      <c r="G940" s="15"/>
    </row>
    <row r="941" spans="7:7" ht="13" x14ac:dyDescent="0.15">
      <c r="G941" s="15"/>
    </row>
    <row r="942" spans="7:7" ht="13" x14ac:dyDescent="0.15">
      <c r="G942" s="15"/>
    </row>
    <row r="943" spans="7:7" ht="13" x14ac:dyDescent="0.15">
      <c r="G943" s="15"/>
    </row>
    <row r="944" spans="7:7" ht="13" x14ac:dyDescent="0.15">
      <c r="G944" s="15"/>
    </row>
    <row r="945" spans="7:7" ht="13" x14ac:dyDescent="0.15">
      <c r="G945" s="15"/>
    </row>
    <row r="946" spans="7:7" ht="13" x14ac:dyDescent="0.15">
      <c r="G946" s="15"/>
    </row>
    <row r="947" spans="7:7" ht="13" x14ac:dyDescent="0.15">
      <c r="G947" s="15"/>
    </row>
    <row r="948" spans="7:7" ht="13" x14ac:dyDescent="0.15">
      <c r="G948" s="15"/>
    </row>
    <row r="949" spans="7:7" ht="13" x14ac:dyDescent="0.15">
      <c r="G949" s="15"/>
    </row>
    <row r="950" spans="7:7" ht="13" x14ac:dyDescent="0.15">
      <c r="G950" s="15"/>
    </row>
    <row r="951" spans="7:7" ht="13" x14ac:dyDescent="0.15">
      <c r="G951" s="15"/>
    </row>
    <row r="952" spans="7:7" ht="13" x14ac:dyDescent="0.15">
      <c r="G952" s="15"/>
    </row>
    <row r="953" spans="7:7" ht="13" x14ac:dyDescent="0.15">
      <c r="G953" s="15"/>
    </row>
    <row r="954" spans="7:7" ht="13" x14ac:dyDescent="0.15">
      <c r="G954" s="15"/>
    </row>
    <row r="955" spans="7:7" ht="13" x14ac:dyDescent="0.15">
      <c r="G955" s="15"/>
    </row>
    <row r="956" spans="7:7" ht="13" x14ac:dyDescent="0.15">
      <c r="G956" s="15"/>
    </row>
    <row r="957" spans="7:7" ht="13" x14ac:dyDescent="0.15">
      <c r="G957" s="15"/>
    </row>
    <row r="958" spans="7:7" ht="13" x14ac:dyDescent="0.15">
      <c r="G958" s="15"/>
    </row>
    <row r="959" spans="7:7" ht="13" x14ac:dyDescent="0.15">
      <c r="G959" s="15"/>
    </row>
    <row r="960" spans="7:7" ht="13" x14ac:dyDescent="0.15">
      <c r="G960" s="15"/>
    </row>
    <row r="961" spans="7:7" ht="13" x14ac:dyDescent="0.15">
      <c r="G961" s="15"/>
    </row>
    <row r="962" spans="7:7" ht="13" x14ac:dyDescent="0.15">
      <c r="G962" s="15"/>
    </row>
    <row r="963" spans="7:7" ht="13" x14ac:dyDescent="0.15">
      <c r="G963" s="15"/>
    </row>
    <row r="964" spans="7:7" ht="13" x14ac:dyDescent="0.15">
      <c r="G964" s="15"/>
    </row>
    <row r="965" spans="7:7" ht="13" x14ac:dyDescent="0.15">
      <c r="G965" s="15"/>
    </row>
    <row r="966" spans="7:7" ht="13" x14ac:dyDescent="0.15">
      <c r="G966" s="15"/>
    </row>
    <row r="967" spans="7:7" ht="13" x14ac:dyDescent="0.15">
      <c r="G967" s="15"/>
    </row>
    <row r="968" spans="7:7" ht="13" x14ac:dyDescent="0.15">
      <c r="G968" s="15"/>
    </row>
    <row r="969" spans="7:7" ht="13" x14ac:dyDescent="0.15">
      <c r="G969" s="15"/>
    </row>
    <row r="970" spans="7:7" ht="13" x14ac:dyDescent="0.15">
      <c r="G970" s="15"/>
    </row>
    <row r="971" spans="7:7" ht="13" x14ac:dyDescent="0.15">
      <c r="G971" s="15"/>
    </row>
    <row r="972" spans="7:7" ht="13" x14ac:dyDescent="0.15">
      <c r="G972" s="15"/>
    </row>
    <row r="973" spans="7:7" ht="13" x14ac:dyDescent="0.15">
      <c r="G973" s="15"/>
    </row>
    <row r="974" spans="7:7" ht="13" x14ac:dyDescent="0.15">
      <c r="G974" s="15"/>
    </row>
    <row r="975" spans="7:7" ht="13" x14ac:dyDescent="0.15">
      <c r="G975" s="15"/>
    </row>
    <row r="976" spans="7:7" ht="13" x14ac:dyDescent="0.15">
      <c r="G976" s="15"/>
    </row>
    <row r="977" spans="7:7" ht="13" x14ac:dyDescent="0.15">
      <c r="G977" s="15"/>
    </row>
    <row r="978" spans="7:7" ht="13" x14ac:dyDescent="0.15">
      <c r="G978" s="15"/>
    </row>
    <row r="979" spans="7:7" ht="13" x14ac:dyDescent="0.15">
      <c r="G979" s="15"/>
    </row>
    <row r="980" spans="7:7" ht="13" x14ac:dyDescent="0.15">
      <c r="G980" s="15"/>
    </row>
    <row r="981" spans="7:7" ht="13" x14ac:dyDescent="0.15">
      <c r="G981" s="15"/>
    </row>
    <row r="982" spans="7:7" ht="13" x14ac:dyDescent="0.15">
      <c r="G982" s="15"/>
    </row>
    <row r="983" spans="7:7" ht="13" x14ac:dyDescent="0.15">
      <c r="G983" s="15"/>
    </row>
    <row r="984" spans="7:7" ht="13" x14ac:dyDescent="0.15">
      <c r="G984" s="15"/>
    </row>
    <row r="985" spans="7:7" ht="13" x14ac:dyDescent="0.15">
      <c r="G985" s="15"/>
    </row>
    <row r="986" spans="7:7" ht="13" x14ac:dyDescent="0.15">
      <c r="G986" s="15"/>
    </row>
    <row r="987" spans="7:7" ht="13" x14ac:dyDescent="0.15">
      <c r="G987" s="15"/>
    </row>
    <row r="988" spans="7:7" ht="13" x14ac:dyDescent="0.15">
      <c r="G988" s="15"/>
    </row>
    <row r="989" spans="7:7" ht="13" x14ac:dyDescent="0.15">
      <c r="G989" s="15"/>
    </row>
    <row r="990" spans="7:7" ht="13" x14ac:dyDescent="0.15">
      <c r="G990" s="15"/>
    </row>
    <row r="991" spans="7:7" ht="13" x14ac:dyDescent="0.15">
      <c r="G991" s="15"/>
    </row>
    <row r="992" spans="7:7" ht="13" x14ac:dyDescent="0.15">
      <c r="G992" s="15"/>
    </row>
    <row r="993" spans="7:7" ht="13" x14ac:dyDescent="0.15">
      <c r="G993" s="15"/>
    </row>
    <row r="994" spans="7:7" ht="13" x14ac:dyDescent="0.15">
      <c r="G994" s="15"/>
    </row>
    <row r="995" spans="7:7" ht="13" x14ac:dyDescent="0.15">
      <c r="G995" s="15"/>
    </row>
    <row r="996" spans="7:7" ht="13" x14ac:dyDescent="0.15">
      <c r="G996" s="15"/>
    </row>
    <row r="997" spans="7:7" ht="13" x14ac:dyDescent="0.15">
      <c r="G997" s="15"/>
    </row>
    <row r="998" spans="7:7" ht="13" x14ac:dyDescent="0.15">
      <c r="G998" s="15"/>
    </row>
    <row r="999" spans="7:7" ht="13" x14ac:dyDescent="0.15">
      <c r="G999" s="1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FF00"/>
    <outlinePr summaryBelow="0" summaryRight="0"/>
  </sheetPr>
  <dimension ref="A1:AD944"/>
  <sheetViews>
    <sheetView workbookViewId="0">
      <pane xSplit="3" topLeftCell="D1" activePane="topRight" state="frozen"/>
      <selection activeCell="B3" sqref="B3"/>
      <selection pane="topRight" activeCell="B3" sqref="B3"/>
    </sheetView>
  </sheetViews>
  <sheetFormatPr baseColWidth="10" defaultColWidth="12.6640625" defaultRowHeight="15.75" customHeight="1" x14ac:dyDescent="0.15"/>
  <cols>
    <col min="1" max="1" width="8.1640625" customWidth="1"/>
    <col min="2" max="2" width="4.6640625" customWidth="1"/>
    <col min="3" max="3" width="65.1640625" customWidth="1"/>
    <col min="4" max="4" width="26.1640625" customWidth="1"/>
    <col min="5" max="6" width="27.6640625" customWidth="1"/>
    <col min="7" max="7" width="135.83203125" customWidth="1"/>
    <col min="8" max="8" width="117.5" customWidth="1"/>
  </cols>
  <sheetData>
    <row r="1" spans="1:30" ht="15.75" customHeight="1" x14ac:dyDescent="0.15">
      <c r="A1" s="232" t="s">
        <v>6333</v>
      </c>
      <c r="B1" s="237"/>
      <c r="C1" s="232"/>
      <c r="D1" s="237" t="s">
        <v>6334</v>
      </c>
      <c r="E1" s="234" t="s">
        <v>6</v>
      </c>
      <c r="F1" s="234" t="s">
        <v>6335</v>
      </c>
      <c r="G1" s="638" t="s">
        <v>6336</v>
      </c>
      <c r="H1" s="639" t="s">
        <v>6337</v>
      </c>
      <c r="I1" s="234"/>
      <c r="J1" s="234"/>
      <c r="K1" s="234"/>
      <c r="L1" s="234"/>
      <c r="M1" s="234"/>
      <c r="N1" s="234"/>
      <c r="O1" s="234"/>
      <c r="P1" s="234"/>
      <c r="Q1" s="234"/>
      <c r="R1" s="234"/>
      <c r="S1" s="234"/>
      <c r="T1" s="234"/>
      <c r="U1" s="234"/>
      <c r="V1" s="234"/>
      <c r="W1" s="234"/>
      <c r="X1" s="234"/>
      <c r="Y1" s="234"/>
      <c r="Z1" s="234"/>
      <c r="AA1" s="234"/>
      <c r="AB1" s="234"/>
      <c r="AC1" s="234"/>
      <c r="AD1" s="234"/>
    </row>
    <row r="2" spans="1:30" ht="15.75" customHeight="1" x14ac:dyDescent="0.15">
      <c r="A2" s="640"/>
      <c r="B2" s="235" t="s">
        <v>5536</v>
      </c>
      <c r="C2" s="14" t="s">
        <v>6338</v>
      </c>
      <c r="D2" s="14" t="s">
        <v>6338</v>
      </c>
      <c r="E2" s="18" t="s">
        <v>6339</v>
      </c>
      <c r="F2" s="18" t="s">
        <v>5920</v>
      </c>
      <c r="G2" s="13" t="s">
        <v>6339</v>
      </c>
      <c r="H2" s="641"/>
    </row>
    <row r="3" spans="1:30" ht="15.75" customHeight="1" x14ac:dyDescent="0.15">
      <c r="A3" s="794" t="s">
        <v>6340</v>
      </c>
      <c r="B3" s="235" t="s">
        <v>6341</v>
      </c>
      <c r="C3" s="14" t="s">
        <v>6342</v>
      </c>
      <c r="D3" s="235" t="s">
        <v>6343</v>
      </c>
      <c r="E3" s="18" t="s">
        <v>6344</v>
      </c>
      <c r="F3" s="18" t="s">
        <v>6345</v>
      </c>
      <c r="G3" s="13" t="s">
        <v>6346</v>
      </c>
      <c r="H3" s="641" t="s">
        <v>6347</v>
      </c>
    </row>
    <row r="4" spans="1:30" ht="15.75" customHeight="1" x14ac:dyDescent="0.15">
      <c r="A4" s="773"/>
      <c r="B4" s="642"/>
      <c r="C4" s="643" t="s">
        <v>6348</v>
      </c>
      <c r="D4" s="644" t="s">
        <v>6349</v>
      </c>
      <c r="E4" s="643"/>
      <c r="F4" s="643" t="s">
        <v>5920</v>
      </c>
      <c r="G4" s="11" t="s">
        <v>6350</v>
      </c>
      <c r="H4" s="641" t="s">
        <v>6351</v>
      </c>
    </row>
    <row r="5" spans="1:30" ht="15.75" customHeight="1" x14ac:dyDescent="0.15">
      <c r="A5" s="773"/>
      <c r="B5" s="235"/>
      <c r="C5" s="643" t="s">
        <v>6352</v>
      </c>
      <c r="D5" s="642" t="s">
        <v>5557</v>
      </c>
      <c r="E5" s="643" t="s">
        <v>6353</v>
      </c>
      <c r="F5" s="645" t="s">
        <v>5920</v>
      </c>
      <c r="G5" s="11" t="s">
        <v>6354</v>
      </c>
      <c r="H5" s="641" t="s">
        <v>6355</v>
      </c>
    </row>
    <row r="6" spans="1:30" ht="15.75" customHeight="1" x14ac:dyDescent="0.15">
      <c r="A6" s="773"/>
      <c r="B6" s="235" t="s">
        <v>5487</v>
      </c>
      <c r="C6" s="14" t="s">
        <v>6356</v>
      </c>
      <c r="D6" s="235" t="s">
        <v>5545</v>
      </c>
      <c r="E6" s="14" t="s">
        <v>6353</v>
      </c>
      <c r="F6" s="646" t="s">
        <v>6357</v>
      </c>
      <c r="G6" s="11" t="s">
        <v>6358</v>
      </c>
      <c r="H6" s="641" t="s">
        <v>6351</v>
      </c>
    </row>
    <row r="7" spans="1:30" ht="15.75" customHeight="1" x14ac:dyDescent="0.15">
      <c r="A7" s="794" t="s">
        <v>6359</v>
      </c>
      <c r="B7" s="235" t="s">
        <v>5488</v>
      </c>
      <c r="C7" s="14" t="s">
        <v>6360</v>
      </c>
      <c r="D7" s="647" t="s">
        <v>5545</v>
      </c>
      <c r="E7" s="647" t="s">
        <v>6361</v>
      </c>
      <c r="F7" s="648" t="s">
        <v>5920</v>
      </c>
      <c r="G7" s="11" t="s">
        <v>6362</v>
      </c>
      <c r="H7" s="641" t="s">
        <v>6355</v>
      </c>
    </row>
    <row r="8" spans="1:30" ht="15.75" customHeight="1" x14ac:dyDescent="0.15">
      <c r="A8" s="773"/>
      <c r="B8" s="642"/>
      <c r="C8" s="643" t="s">
        <v>6363</v>
      </c>
      <c r="D8" s="642" t="s">
        <v>5540</v>
      </c>
      <c r="E8" s="649" t="s">
        <v>6361</v>
      </c>
      <c r="F8" s="650" t="s">
        <v>6364</v>
      </c>
      <c r="G8" s="651" t="s">
        <v>6365</v>
      </c>
      <c r="H8" s="652" t="s">
        <v>6366</v>
      </c>
      <c r="I8" s="563"/>
      <c r="J8" s="563"/>
      <c r="K8" s="563"/>
      <c r="L8" s="563"/>
      <c r="M8" s="563"/>
      <c r="N8" s="563"/>
      <c r="O8" s="563"/>
      <c r="P8" s="563"/>
      <c r="Q8" s="563"/>
      <c r="R8" s="563"/>
      <c r="S8" s="563"/>
      <c r="T8" s="563"/>
      <c r="U8" s="563"/>
      <c r="V8" s="563"/>
      <c r="W8" s="563"/>
      <c r="X8" s="563"/>
      <c r="Y8" s="563"/>
      <c r="Z8" s="563"/>
      <c r="AA8" s="563"/>
      <c r="AB8" s="563"/>
      <c r="AC8" s="563"/>
      <c r="AD8" s="563"/>
    </row>
    <row r="9" spans="1:30" ht="15.75" customHeight="1" x14ac:dyDescent="0.15">
      <c r="A9" s="773"/>
      <c r="B9" s="235" t="s">
        <v>5489</v>
      </c>
      <c r="C9" s="14" t="s">
        <v>6367</v>
      </c>
      <c r="D9" s="647" t="s">
        <v>4978</v>
      </c>
      <c r="E9" s="14" t="s">
        <v>6353</v>
      </c>
      <c r="F9" s="653" t="s">
        <v>6364</v>
      </c>
      <c r="G9" s="13" t="s">
        <v>6368</v>
      </c>
      <c r="H9" s="641" t="s">
        <v>6366</v>
      </c>
    </row>
    <row r="10" spans="1:30" ht="15.75" customHeight="1" x14ac:dyDescent="0.15">
      <c r="A10" s="773"/>
      <c r="B10" s="642"/>
      <c r="C10" s="643" t="s">
        <v>6369</v>
      </c>
      <c r="D10" s="642" t="s">
        <v>5536</v>
      </c>
      <c r="E10" s="649" t="s">
        <v>6361</v>
      </c>
      <c r="F10" s="643" t="s">
        <v>5920</v>
      </c>
      <c r="G10" s="651" t="s">
        <v>6365</v>
      </c>
      <c r="H10" s="652" t="s">
        <v>6366</v>
      </c>
      <c r="I10" s="563"/>
      <c r="J10" s="563"/>
      <c r="K10" s="563"/>
      <c r="L10" s="563"/>
      <c r="M10" s="563"/>
      <c r="N10" s="563"/>
      <c r="O10" s="563"/>
      <c r="P10" s="563"/>
      <c r="Q10" s="563"/>
      <c r="R10" s="563"/>
      <c r="S10" s="563"/>
      <c r="T10" s="563"/>
      <c r="U10" s="563"/>
      <c r="V10" s="563"/>
      <c r="W10" s="563"/>
      <c r="X10" s="563"/>
      <c r="Y10" s="563"/>
      <c r="Z10" s="563"/>
      <c r="AA10" s="563"/>
      <c r="AB10" s="563"/>
      <c r="AC10" s="563"/>
      <c r="AD10" s="563"/>
    </row>
    <row r="11" spans="1:30" ht="15.75" customHeight="1" x14ac:dyDescent="0.15">
      <c r="A11" s="773"/>
      <c r="B11" s="235" t="s">
        <v>5490</v>
      </c>
      <c r="C11" s="14" t="s">
        <v>6370</v>
      </c>
      <c r="D11" s="647" t="s">
        <v>4974</v>
      </c>
      <c r="E11" s="14" t="s">
        <v>6353</v>
      </c>
      <c r="F11" s="14" t="s">
        <v>5920</v>
      </c>
      <c r="G11" s="13" t="s">
        <v>6368</v>
      </c>
      <c r="H11" s="641" t="s">
        <v>6366</v>
      </c>
    </row>
    <row r="12" spans="1:30" ht="15.75" customHeight="1" x14ac:dyDescent="0.15">
      <c r="A12" s="773"/>
      <c r="B12" s="642"/>
      <c r="C12" s="643" t="s">
        <v>6371</v>
      </c>
      <c r="D12" s="642" t="s">
        <v>5545</v>
      </c>
      <c r="E12" s="649" t="s">
        <v>6361</v>
      </c>
      <c r="F12" s="643" t="s">
        <v>5920</v>
      </c>
      <c r="G12" s="651" t="s">
        <v>6365</v>
      </c>
      <c r="H12" s="652" t="s">
        <v>6366</v>
      </c>
      <c r="I12" s="563"/>
      <c r="J12" s="563"/>
      <c r="K12" s="563"/>
      <c r="L12" s="563"/>
      <c r="M12" s="563"/>
      <c r="N12" s="563"/>
      <c r="O12" s="563"/>
      <c r="P12" s="563"/>
      <c r="Q12" s="563"/>
      <c r="R12" s="563"/>
      <c r="S12" s="563"/>
      <c r="T12" s="563"/>
      <c r="U12" s="563"/>
      <c r="V12" s="563"/>
      <c r="W12" s="563"/>
      <c r="X12" s="563"/>
      <c r="Y12" s="563"/>
      <c r="Z12" s="563"/>
      <c r="AA12" s="563"/>
      <c r="AB12" s="563"/>
      <c r="AC12" s="563"/>
      <c r="AD12" s="563"/>
    </row>
    <row r="13" spans="1:30" ht="15.75" customHeight="1" x14ac:dyDescent="0.15">
      <c r="A13" s="773"/>
      <c r="B13" s="235" t="s">
        <v>5491</v>
      </c>
      <c r="C13" s="14" t="s">
        <v>6372</v>
      </c>
      <c r="D13" s="647" t="s">
        <v>4977</v>
      </c>
      <c r="E13" s="14" t="s">
        <v>6353</v>
      </c>
      <c r="F13" s="14" t="s">
        <v>5920</v>
      </c>
      <c r="G13" s="13" t="s">
        <v>6368</v>
      </c>
      <c r="H13" s="641" t="s">
        <v>6366</v>
      </c>
    </row>
    <row r="14" spans="1:30" ht="15.75" customHeight="1" x14ac:dyDescent="0.15">
      <c r="A14" s="773"/>
      <c r="B14" s="642"/>
      <c r="C14" s="643" t="s">
        <v>6373</v>
      </c>
      <c r="D14" s="642" t="s">
        <v>5536</v>
      </c>
      <c r="E14" s="649" t="s">
        <v>6361</v>
      </c>
      <c r="F14" s="643" t="s">
        <v>5920</v>
      </c>
      <c r="G14" s="651" t="s">
        <v>6365</v>
      </c>
      <c r="H14" s="652" t="s">
        <v>6366</v>
      </c>
      <c r="I14" s="563"/>
      <c r="J14" s="563"/>
      <c r="K14" s="563"/>
      <c r="L14" s="563"/>
      <c r="M14" s="563"/>
      <c r="N14" s="563"/>
      <c r="O14" s="563"/>
      <c r="P14" s="563"/>
      <c r="Q14" s="563"/>
      <c r="R14" s="563"/>
      <c r="S14" s="563"/>
      <c r="T14" s="563"/>
      <c r="U14" s="563"/>
      <c r="V14" s="563"/>
      <c r="W14" s="563"/>
      <c r="X14" s="563"/>
      <c r="Y14" s="563"/>
      <c r="Z14" s="563"/>
      <c r="AA14" s="563"/>
      <c r="AB14" s="563"/>
      <c r="AC14" s="563"/>
      <c r="AD14" s="563"/>
    </row>
    <row r="15" spans="1:30" ht="15.75" customHeight="1" x14ac:dyDescent="0.15">
      <c r="A15" s="773"/>
      <c r="B15" s="235"/>
      <c r="C15" s="643" t="s">
        <v>6374</v>
      </c>
      <c r="D15" s="654" t="s">
        <v>5545</v>
      </c>
      <c r="E15" s="643" t="s">
        <v>6353</v>
      </c>
      <c r="F15" s="643" t="s">
        <v>5920</v>
      </c>
      <c r="G15" s="651" t="s">
        <v>6368</v>
      </c>
      <c r="H15" s="641" t="s">
        <v>6366</v>
      </c>
    </row>
    <row r="16" spans="1:30" ht="15.75" customHeight="1" x14ac:dyDescent="0.15">
      <c r="A16" s="773"/>
      <c r="B16" s="235" t="s">
        <v>5492</v>
      </c>
      <c r="C16" s="14" t="s">
        <v>6375</v>
      </c>
      <c r="D16" s="647" t="s">
        <v>5531</v>
      </c>
      <c r="E16" s="14" t="s">
        <v>6353</v>
      </c>
      <c r="F16" s="648" t="s">
        <v>5920</v>
      </c>
      <c r="G16" s="11" t="s">
        <v>6376</v>
      </c>
      <c r="H16" s="641" t="s">
        <v>6355</v>
      </c>
    </row>
    <row r="17" spans="1:30" ht="15.75" customHeight="1" x14ac:dyDescent="0.15">
      <c r="A17" s="773"/>
      <c r="B17" s="235" t="s">
        <v>5493</v>
      </c>
      <c r="C17" s="14" t="s">
        <v>6377</v>
      </c>
      <c r="D17" s="647" t="s">
        <v>5561</v>
      </c>
      <c r="E17" s="14" t="s">
        <v>6353</v>
      </c>
      <c r="F17" s="653" t="s">
        <v>5920</v>
      </c>
      <c r="G17" s="11" t="s">
        <v>6376</v>
      </c>
      <c r="H17" s="641" t="s">
        <v>6355</v>
      </c>
    </row>
    <row r="18" spans="1:30" ht="15.75" customHeight="1" x14ac:dyDescent="0.15">
      <c r="A18" s="773"/>
      <c r="B18" s="235" t="s">
        <v>5494</v>
      </c>
      <c r="C18" s="14" t="s">
        <v>5522</v>
      </c>
      <c r="D18" s="647" t="s">
        <v>4974</v>
      </c>
      <c r="E18" s="14" t="s">
        <v>6353</v>
      </c>
      <c r="F18" s="14" t="s">
        <v>5920</v>
      </c>
      <c r="G18" s="11" t="s">
        <v>6378</v>
      </c>
      <c r="H18" s="641" t="s">
        <v>6379</v>
      </c>
    </row>
    <row r="19" spans="1:30" ht="15.75" customHeight="1" x14ac:dyDescent="0.15">
      <c r="A19" s="773"/>
      <c r="B19" s="642"/>
      <c r="C19" s="643" t="s">
        <v>5523</v>
      </c>
      <c r="D19" s="642" t="s">
        <v>5536</v>
      </c>
      <c r="E19" s="643" t="s">
        <v>6353</v>
      </c>
      <c r="F19" s="643" t="s">
        <v>5920</v>
      </c>
      <c r="G19" s="655" t="s">
        <v>6378</v>
      </c>
      <c r="H19" s="652" t="s">
        <v>6379</v>
      </c>
      <c r="I19" s="563"/>
      <c r="J19" s="563"/>
      <c r="K19" s="563"/>
      <c r="L19" s="563"/>
      <c r="M19" s="563"/>
      <c r="N19" s="563"/>
      <c r="O19" s="563"/>
      <c r="P19" s="563"/>
      <c r="Q19" s="563"/>
      <c r="R19" s="563"/>
      <c r="S19" s="563"/>
      <c r="T19" s="563"/>
      <c r="U19" s="563"/>
      <c r="V19" s="563"/>
      <c r="W19" s="563"/>
      <c r="X19" s="563"/>
      <c r="Y19" s="563"/>
      <c r="Z19" s="563"/>
      <c r="AA19" s="563"/>
      <c r="AB19" s="563"/>
      <c r="AC19" s="563"/>
      <c r="AD19" s="563"/>
    </row>
    <row r="20" spans="1:30" ht="15.75" customHeight="1" x14ac:dyDescent="0.15">
      <c r="A20" s="773"/>
      <c r="B20" s="235" t="s">
        <v>5495</v>
      </c>
      <c r="C20" s="14" t="s">
        <v>5524</v>
      </c>
      <c r="D20" s="647" t="s">
        <v>5545</v>
      </c>
      <c r="E20" s="14" t="s">
        <v>6353</v>
      </c>
      <c r="F20" s="14" t="s">
        <v>5920</v>
      </c>
      <c r="G20" s="11" t="s">
        <v>6378</v>
      </c>
      <c r="H20" s="641" t="s">
        <v>6379</v>
      </c>
    </row>
    <row r="21" spans="1:30" ht="15.75" customHeight="1" x14ac:dyDescent="0.15">
      <c r="A21" s="773"/>
      <c r="B21" s="642"/>
      <c r="C21" s="643" t="s">
        <v>5525</v>
      </c>
      <c r="D21" s="642" t="s">
        <v>5540</v>
      </c>
      <c r="E21" s="643" t="s">
        <v>6353</v>
      </c>
      <c r="F21" s="643" t="s">
        <v>5920</v>
      </c>
      <c r="G21" s="655" t="s">
        <v>6378</v>
      </c>
      <c r="H21" s="652" t="s">
        <v>6379</v>
      </c>
      <c r="I21" s="563"/>
      <c r="J21" s="563"/>
      <c r="K21" s="563"/>
      <c r="L21" s="563"/>
      <c r="M21" s="563"/>
      <c r="N21" s="563"/>
      <c r="O21" s="563"/>
      <c r="P21" s="563"/>
      <c r="Q21" s="563"/>
      <c r="R21" s="563"/>
      <c r="S21" s="563"/>
      <c r="T21" s="563"/>
      <c r="U21" s="563"/>
      <c r="V21" s="563"/>
      <c r="W21" s="563"/>
      <c r="X21" s="563"/>
      <c r="Y21" s="563"/>
      <c r="Z21" s="563"/>
      <c r="AA21" s="563"/>
      <c r="AB21" s="563"/>
      <c r="AC21" s="563"/>
      <c r="AD21" s="563"/>
    </row>
    <row r="22" spans="1:30" ht="15.75" customHeight="1" x14ac:dyDescent="0.15">
      <c r="A22" s="773"/>
      <c r="B22" s="235" t="s">
        <v>5496</v>
      </c>
      <c r="C22" s="14" t="s">
        <v>5526</v>
      </c>
      <c r="D22" s="647" t="s">
        <v>5531</v>
      </c>
      <c r="E22" s="14" t="s">
        <v>6353</v>
      </c>
      <c r="F22" s="14" t="s">
        <v>5920</v>
      </c>
      <c r="G22" s="11" t="s">
        <v>6378</v>
      </c>
      <c r="H22" s="641" t="s">
        <v>6379</v>
      </c>
    </row>
    <row r="23" spans="1:30" ht="15.75" customHeight="1" x14ac:dyDescent="0.15">
      <c r="A23" s="773"/>
      <c r="B23" s="642"/>
      <c r="C23" s="643" t="s">
        <v>5527</v>
      </c>
      <c r="D23" s="642" t="s">
        <v>5531</v>
      </c>
      <c r="E23" s="643" t="s">
        <v>6353</v>
      </c>
      <c r="F23" s="643" t="s">
        <v>5920</v>
      </c>
      <c r="G23" s="655" t="s">
        <v>6378</v>
      </c>
      <c r="H23" s="652" t="s">
        <v>6379</v>
      </c>
      <c r="I23" s="563"/>
      <c r="J23" s="563"/>
      <c r="K23" s="563"/>
      <c r="L23" s="563"/>
      <c r="M23" s="563"/>
      <c r="N23" s="563"/>
      <c r="O23" s="563"/>
      <c r="P23" s="563"/>
      <c r="Q23" s="563"/>
      <c r="R23" s="563"/>
      <c r="S23" s="563"/>
      <c r="T23" s="563"/>
      <c r="U23" s="563"/>
      <c r="V23" s="563"/>
      <c r="W23" s="563"/>
      <c r="X23" s="563"/>
      <c r="Y23" s="563"/>
      <c r="Z23" s="563"/>
      <c r="AA23" s="563"/>
      <c r="AB23" s="563"/>
      <c r="AC23" s="563"/>
      <c r="AD23" s="563"/>
    </row>
    <row r="24" spans="1:30" ht="15.75" customHeight="1" x14ac:dyDescent="0.15">
      <c r="A24" s="773"/>
      <c r="B24" s="235" t="s">
        <v>5497</v>
      </c>
      <c r="C24" s="14" t="s">
        <v>5528</v>
      </c>
      <c r="D24" s="647" t="s">
        <v>5531</v>
      </c>
      <c r="E24" s="14" t="s">
        <v>6353</v>
      </c>
      <c r="F24" s="14" t="s">
        <v>5920</v>
      </c>
      <c r="G24" s="11" t="s">
        <v>6378</v>
      </c>
      <c r="H24" s="641" t="s">
        <v>6379</v>
      </c>
    </row>
    <row r="25" spans="1:30" ht="15.75" customHeight="1" x14ac:dyDescent="0.15">
      <c r="A25" s="773"/>
      <c r="B25" s="642"/>
      <c r="C25" s="643" t="s">
        <v>5529</v>
      </c>
      <c r="D25" s="642" t="s">
        <v>5531</v>
      </c>
      <c r="E25" s="643" t="s">
        <v>6353</v>
      </c>
      <c r="F25" s="643" t="s">
        <v>5920</v>
      </c>
      <c r="G25" s="655" t="s">
        <v>6378</v>
      </c>
      <c r="H25" s="652" t="s">
        <v>6379</v>
      </c>
      <c r="I25" s="563"/>
      <c r="J25" s="563"/>
      <c r="K25" s="563"/>
      <c r="L25" s="563"/>
      <c r="M25" s="563"/>
      <c r="N25" s="563"/>
      <c r="O25" s="563"/>
      <c r="P25" s="563"/>
      <c r="Q25" s="563"/>
      <c r="R25" s="563"/>
      <c r="S25" s="563"/>
      <c r="T25" s="563"/>
      <c r="U25" s="563"/>
      <c r="V25" s="563"/>
      <c r="W25" s="563"/>
      <c r="X25" s="563"/>
      <c r="Y25" s="563"/>
      <c r="Z25" s="563"/>
      <c r="AA25" s="563"/>
      <c r="AB25" s="563"/>
      <c r="AC25" s="563"/>
      <c r="AD25" s="563"/>
    </row>
    <row r="26" spans="1:30" ht="15.75" customHeight="1" x14ac:dyDescent="0.15">
      <c r="A26" s="773"/>
      <c r="B26" s="235" t="s">
        <v>5498</v>
      </c>
      <c r="C26" s="14" t="s">
        <v>5530</v>
      </c>
      <c r="D26" s="647" t="s">
        <v>5545</v>
      </c>
      <c r="E26" s="14" t="s">
        <v>6353</v>
      </c>
      <c r="F26" s="656" t="s">
        <v>5920</v>
      </c>
      <c r="G26" s="11" t="s">
        <v>6380</v>
      </c>
      <c r="H26" s="641" t="s">
        <v>6355</v>
      </c>
    </row>
    <row r="27" spans="1:30" ht="15.75" customHeight="1" x14ac:dyDescent="0.15">
      <c r="A27" s="234"/>
      <c r="B27" s="236"/>
      <c r="D27" s="236"/>
      <c r="G27" s="13"/>
      <c r="H27" s="641"/>
    </row>
    <row r="28" spans="1:30" ht="15.75" customHeight="1" x14ac:dyDescent="0.15">
      <c r="A28" s="234"/>
      <c r="B28" s="233"/>
      <c r="C28" s="234" t="s">
        <v>6381</v>
      </c>
      <c r="D28" s="236"/>
      <c r="G28" s="154" t="s">
        <v>6382</v>
      </c>
      <c r="H28" s="641"/>
    </row>
    <row r="29" spans="1:30" ht="15.75" customHeight="1" x14ac:dyDescent="0.15">
      <c r="A29" s="234"/>
      <c r="B29" s="236"/>
      <c r="C29" s="18" t="str">
        <f>CONCATENATE(D2,D3,D6,D7,D9,D11,D13,D16,D17,D18,D20,D22,D24,D26)</f>
        <v>0XF0000000000000000000000033EAD07A3003</v>
      </c>
      <c r="D29" s="236">
        <f>LEN(C29)</f>
        <v>38</v>
      </c>
      <c r="G29" s="13"/>
      <c r="H29" s="641"/>
    </row>
    <row r="30" spans="1:30" ht="15.75" customHeight="1" x14ac:dyDescent="0.15">
      <c r="A30" s="234"/>
      <c r="B30" s="236"/>
      <c r="D30" s="236"/>
      <c r="G30" s="657" t="s">
        <v>6383</v>
      </c>
      <c r="H30" s="641"/>
    </row>
    <row r="31" spans="1:30" ht="15.75" customHeight="1" x14ac:dyDescent="0.15">
      <c r="A31" s="234"/>
      <c r="B31" s="236"/>
      <c r="D31" s="236"/>
      <c r="E31" s="658"/>
      <c r="F31" s="658" t="s">
        <v>6384</v>
      </c>
      <c r="G31" s="13"/>
      <c r="H31" s="641"/>
    </row>
    <row r="32" spans="1:30" ht="15.75" customHeight="1" x14ac:dyDescent="0.15">
      <c r="A32" s="234"/>
      <c r="B32" s="236"/>
      <c r="D32" s="236"/>
      <c r="E32" s="659"/>
      <c r="F32" s="659" t="s">
        <v>6385</v>
      </c>
      <c r="G32" s="13"/>
      <c r="H32" s="641"/>
    </row>
    <row r="33" spans="1:8" ht="15.75" customHeight="1" x14ac:dyDescent="0.15">
      <c r="A33" s="234"/>
      <c r="B33" s="236"/>
      <c r="D33" s="236"/>
      <c r="E33" s="18"/>
      <c r="F33" s="18" t="s">
        <v>6386</v>
      </c>
      <c r="G33" s="13"/>
      <c r="H33" s="641"/>
    </row>
    <row r="34" spans="1:8" x14ac:dyDescent="0.2">
      <c r="A34" s="234"/>
      <c r="B34" s="236"/>
      <c r="C34" s="660"/>
      <c r="D34" s="236"/>
      <c r="G34" s="13"/>
      <c r="H34" s="641"/>
    </row>
    <row r="35" spans="1:8" x14ac:dyDescent="0.2">
      <c r="A35" s="234"/>
      <c r="B35" s="236"/>
      <c r="C35" s="660"/>
      <c r="D35" s="236"/>
      <c r="G35" s="13"/>
      <c r="H35" s="641"/>
    </row>
    <row r="36" spans="1:8" x14ac:dyDescent="0.2">
      <c r="A36" s="234"/>
      <c r="B36" s="236"/>
      <c r="C36" s="660" t="s">
        <v>6387</v>
      </c>
      <c r="D36" s="236"/>
      <c r="G36" s="13"/>
      <c r="H36" s="641"/>
    </row>
    <row r="37" spans="1:8" x14ac:dyDescent="0.2">
      <c r="A37" s="234"/>
      <c r="B37" s="236"/>
      <c r="C37" s="661" t="s">
        <v>6388</v>
      </c>
      <c r="D37" s="236"/>
      <c r="G37" s="13"/>
      <c r="H37" s="641"/>
    </row>
    <row r="38" spans="1:8" x14ac:dyDescent="0.2">
      <c r="A38" s="234"/>
      <c r="B38" s="236"/>
      <c r="C38" s="660"/>
      <c r="D38" s="236"/>
      <c r="G38" s="13"/>
      <c r="H38" s="641"/>
    </row>
    <row r="39" spans="1:8" ht="15.75" customHeight="1" x14ac:dyDescent="0.15">
      <c r="A39" s="234"/>
      <c r="B39" s="236"/>
      <c r="D39" s="236"/>
      <c r="G39" s="13"/>
      <c r="H39" s="641"/>
    </row>
    <row r="40" spans="1:8" ht="15.75" customHeight="1" x14ac:dyDescent="0.15">
      <c r="A40" s="234"/>
      <c r="B40" s="236"/>
      <c r="D40" s="236"/>
      <c r="G40" s="13"/>
      <c r="H40" s="641"/>
    </row>
    <row r="41" spans="1:8" ht="15.75" customHeight="1" x14ac:dyDescent="0.15">
      <c r="A41" s="234"/>
      <c r="B41" s="236"/>
      <c r="D41" s="236"/>
      <c r="G41" s="13"/>
      <c r="H41" s="641"/>
    </row>
    <row r="42" spans="1:8" ht="15.75" customHeight="1" x14ac:dyDescent="0.15">
      <c r="A42" s="234"/>
      <c r="B42" s="236"/>
      <c r="D42" s="236"/>
      <c r="G42" s="13"/>
      <c r="H42" s="641"/>
    </row>
    <row r="43" spans="1:8" ht="15.75" customHeight="1" x14ac:dyDescent="0.15">
      <c r="A43" s="234"/>
      <c r="B43" s="236"/>
      <c r="D43" s="236"/>
      <c r="G43" s="13"/>
      <c r="H43" s="641"/>
    </row>
    <row r="44" spans="1:8" ht="15.75" customHeight="1" x14ac:dyDescent="0.15">
      <c r="A44" s="234"/>
      <c r="B44" s="236"/>
      <c r="D44" s="236"/>
      <c r="G44" s="13"/>
      <c r="H44" s="641"/>
    </row>
    <row r="45" spans="1:8" ht="15.75" customHeight="1" x14ac:dyDescent="0.15">
      <c r="A45" s="234"/>
      <c r="B45" s="236"/>
      <c r="D45" s="236"/>
      <c r="G45" s="13"/>
      <c r="H45" s="641"/>
    </row>
    <row r="46" spans="1:8" ht="15.75" customHeight="1" x14ac:dyDescent="0.15">
      <c r="A46" s="234"/>
      <c r="B46" s="236"/>
      <c r="D46" s="236"/>
      <c r="G46" s="13"/>
      <c r="H46" s="641"/>
    </row>
    <row r="47" spans="1:8" ht="15.75" customHeight="1" x14ac:dyDescent="0.15">
      <c r="A47" s="234"/>
      <c r="B47" s="236"/>
      <c r="D47" s="236"/>
      <c r="G47" s="13"/>
      <c r="H47" s="641"/>
    </row>
    <row r="48" spans="1:8" ht="15.75" customHeight="1" x14ac:dyDescent="0.15">
      <c r="A48" s="234"/>
      <c r="B48" s="236"/>
      <c r="D48" s="236"/>
      <c r="G48" s="13"/>
      <c r="H48" s="641"/>
    </row>
    <row r="49" spans="1:8" ht="15.75" customHeight="1" x14ac:dyDescent="0.15">
      <c r="A49" s="234"/>
      <c r="B49" s="236"/>
      <c r="D49" s="236"/>
      <c r="G49" s="13"/>
      <c r="H49" s="641"/>
    </row>
    <row r="50" spans="1:8" ht="15.75" customHeight="1" x14ac:dyDescent="0.15">
      <c r="A50" s="234"/>
      <c r="B50" s="236"/>
      <c r="D50" s="236"/>
      <c r="G50" s="13"/>
      <c r="H50" s="641"/>
    </row>
    <row r="51" spans="1:8" ht="13" x14ac:dyDescent="0.15">
      <c r="A51" s="234"/>
      <c r="B51" s="236"/>
      <c r="D51" s="236"/>
      <c r="G51" s="13"/>
      <c r="H51" s="641"/>
    </row>
    <row r="52" spans="1:8" ht="13" x14ac:dyDescent="0.15">
      <c r="A52" s="234"/>
      <c r="B52" s="236"/>
      <c r="D52" s="236"/>
      <c r="G52" s="13"/>
      <c r="H52" s="641"/>
    </row>
    <row r="53" spans="1:8" ht="13" x14ac:dyDescent="0.15">
      <c r="A53" s="234"/>
      <c r="B53" s="236"/>
      <c r="D53" s="236"/>
      <c r="G53" s="13"/>
      <c r="H53" s="641"/>
    </row>
    <row r="54" spans="1:8" ht="13" x14ac:dyDescent="0.15">
      <c r="A54" s="234"/>
      <c r="B54" s="236"/>
      <c r="D54" s="236"/>
      <c r="G54" s="13"/>
      <c r="H54" s="641"/>
    </row>
    <row r="55" spans="1:8" ht="13" x14ac:dyDescent="0.15">
      <c r="A55" s="234"/>
      <c r="B55" s="236"/>
      <c r="D55" s="236"/>
      <c r="G55" s="13"/>
      <c r="H55" s="641"/>
    </row>
    <row r="56" spans="1:8" ht="13" x14ac:dyDescent="0.15">
      <c r="A56" s="234"/>
      <c r="B56" s="236"/>
      <c r="D56" s="236"/>
      <c r="G56" s="13"/>
      <c r="H56" s="641"/>
    </row>
    <row r="57" spans="1:8" ht="13" x14ac:dyDescent="0.15">
      <c r="A57" s="234"/>
      <c r="B57" s="236"/>
      <c r="D57" s="236"/>
      <c r="G57" s="13"/>
      <c r="H57" s="641"/>
    </row>
    <row r="58" spans="1:8" ht="13" x14ac:dyDescent="0.15">
      <c r="A58" s="234"/>
      <c r="B58" s="236"/>
      <c r="D58" s="236"/>
      <c r="G58" s="13"/>
      <c r="H58" s="641"/>
    </row>
    <row r="59" spans="1:8" ht="13" x14ac:dyDescent="0.15">
      <c r="A59" s="234"/>
      <c r="B59" s="236"/>
      <c r="D59" s="236"/>
      <c r="G59" s="13"/>
      <c r="H59" s="641"/>
    </row>
    <row r="60" spans="1:8" ht="13" x14ac:dyDescent="0.15">
      <c r="A60" s="234"/>
      <c r="B60" s="236"/>
      <c r="D60" s="236"/>
      <c r="G60" s="13"/>
      <c r="H60" s="641"/>
    </row>
    <row r="61" spans="1:8" ht="13" x14ac:dyDescent="0.15">
      <c r="A61" s="234"/>
      <c r="B61" s="236"/>
      <c r="D61" s="236"/>
      <c r="G61" s="13"/>
      <c r="H61" s="641"/>
    </row>
    <row r="62" spans="1:8" ht="13" x14ac:dyDescent="0.15">
      <c r="A62" s="234"/>
      <c r="B62" s="236"/>
      <c r="D62" s="236"/>
      <c r="G62" s="13"/>
      <c r="H62" s="641"/>
    </row>
    <row r="63" spans="1:8" ht="13" x14ac:dyDescent="0.15">
      <c r="A63" s="234"/>
      <c r="B63" s="236"/>
      <c r="D63" s="236"/>
      <c r="G63" s="13"/>
      <c r="H63" s="641"/>
    </row>
    <row r="64" spans="1:8" ht="13" x14ac:dyDescent="0.15">
      <c r="A64" s="234"/>
      <c r="B64" s="236"/>
      <c r="D64" s="236"/>
      <c r="G64" s="13"/>
      <c r="H64" s="641"/>
    </row>
    <row r="65" spans="1:8" ht="13" x14ac:dyDescent="0.15">
      <c r="A65" s="234"/>
      <c r="B65" s="236"/>
      <c r="D65" s="236"/>
      <c r="G65" s="13"/>
      <c r="H65" s="641"/>
    </row>
    <row r="66" spans="1:8" ht="13" x14ac:dyDescent="0.15">
      <c r="A66" s="234"/>
      <c r="B66" s="236"/>
      <c r="D66" s="236"/>
      <c r="G66" s="13"/>
      <c r="H66" s="641"/>
    </row>
    <row r="67" spans="1:8" ht="13" x14ac:dyDescent="0.15">
      <c r="A67" s="234"/>
      <c r="B67" s="236"/>
      <c r="D67" s="236"/>
      <c r="G67" s="13"/>
      <c r="H67" s="641"/>
    </row>
    <row r="68" spans="1:8" ht="13" x14ac:dyDescent="0.15">
      <c r="A68" s="234"/>
      <c r="B68" s="236"/>
      <c r="D68" s="236"/>
      <c r="G68" s="13"/>
      <c r="H68" s="641"/>
    </row>
    <row r="69" spans="1:8" ht="13" x14ac:dyDescent="0.15">
      <c r="A69" s="234"/>
      <c r="B69" s="236"/>
      <c r="D69" s="236"/>
      <c r="G69" s="13"/>
      <c r="H69" s="641"/>
    </row>
    <row r="70" spans="1:8" ht="13" x14ac:dyDescent="0.15">
      <c r="A70" s="234"/>
      <c r="B70" s="236"/>
      <c r="D70" s="236"/>
      <c r="G70" s="13"/>
      <c r="H70" s="641"/>
    </row>
    <row r="71" spans="1:8" ht="13" x14ac:dyDescent="0.15">
      <c r="A71" s="234"/>
      <c r="B71" s="236"/>
      <c r="D71" s="236"/>
      <c r="G71" s="13"/>
      <c r="H71" s="641"/>
    </row>
    <row r="72" spans="1:8" ht="13" x14ac:dyDescent="0.15">
      <c r="A72" s="234"/>
      <c r="B72" s="236"/>
      <c r="D72" s="236"/>
      <c r="G72" s="13"/>
      <c r="H72" s="641"/>
    </row>
    <row r="73" spans="1:8" ht="13" x14ac:dyDescent="0.15">
      <c r="A73" s="234"/>
      <c r="B73" s="236"/>
      <c r="D73" s="236"/>
      <c r="G73" s="13"/>
      <c r="H73" s="641"/>
    </row>
    <row r="74" spans="1:8" ht="13" x14ac:dyDescent="0.15">
      <c r="A74" s="234"/>
      <c r="B74" s="236"/>
      <c r="D74" s="236"/>
      <c r="G74" s="13"/>
      <c r="H74" s="641"/>
    </row>
    <row r="75" spans="1:8" ht="13" x14ac:dyDescent="0.15">
      <c r="A75" s="234"/>
      <c r="B75" s="236"/>
      <c r="D75" s="236"/>
      <c r="G75" s="13"/>
      <c r="H75" s="641"/>
    </row>
    <row r="76" spans="1:8" ht="13" x14ac:dyDescent="0.15">
      <c r="A76" s="234"/>
      <c r="B76" s="236"/>
      <c r="D76" s="236"/>
      <c r="G76" s="13"/>
      <c r="H76" s="641"/>
    </row>
    <row r="77" spans="1:8" ht="13" x14ac:dyDescent="0.15">
      <c r="A77" s="234"/>
      <c r="B77" s="236"/>
      <c r="D77" s="236"/>
      <c r="G77" s="13"/>
      <c r="H77" s="641"/>
    </row>
    <row r="78" spans="1:8" ht="13" x14ac:dyDescent="0.15">
      <c r="A78" s="234"/>
      <c r="B78" s="236"/>
      <c r="D78" s="236"/>
      <c r="G78" s="13"/>
      <c r="H78" s="641"/>
    </row>
    <row r="79" spans="1:8" ht="13" x14ac:dyDescent="0.15">
      <c r="A79" s="234"/>
      <c r="B79" s="236"/>
      <c r="D79" s="236"/>
      <c r="G79" s="13"/>
      <c r="H79" s="641"/>
    </row>
    <row r="80" spans="1:8" ht="13" x14ac:dyDescent="0.15">
      <c r="A80" s="234"/>
      <c r="B80" s="236"/>
      <c r="D80" s="236"/>
      <c r="G80" s="13"/>
      <c r="H80" s="641"/>
    </row>
    <row r="81" spans="1:8" ht="13" x14ac:dyDescent="0.15">
      <c r="A81" s="234"/>
      <c r="B81" s="236"/>
      <c r="D81" s="236"/>
      <c r="G81" s="13"/>
      <c r="H81" s="641"/>
    </row>
    <row r="82" spans="1:8" ht="13" x14ac:dyDescent="0.15">
      <c r="A82" s="234"/>
      <c r="B82" s="236"/>
      <c r="D82" s="236"/>
      <c r="G82" s="13"/>
      <c r="H82" s="641"/>
    </row>
    <row r="83" spans="1:8" ht="13" x14ac:dyDescent="0.15">
      <c r="A83" s="234"/>
      <c r="B83" s="236"/>
      <c r="D83" s="236"/>
      <c r="G83" s="13"/>
      <c r="H83" s="641"/>
    </row>
    <row r="84" spans="1:8" ht="13" x14ac:dyDescent="0.15">
      <c r="A84" s="234"/>
      <c r="B84" s="236"/>
      <c r="D84" s="236"/>
      <c r="G84" s="13"/>
      <c r="H84" s="641"/>
    </row>
    <row r="85" spans="1:8" ht="13" x14ac:dyDescent="0.15">
      <c r="A85" s="234"/>
      <c r="B85" s="236"/>
      <c r="D85" s="236"/>
      <c r="G85" s="13"/>
      <c r="H85" s="641"/>
    </row>
    <row r="86" spans="1:8" ht="13" x14ac:dyDescent="0.15">
      <c r="A86" s="234"/>
      <c r="B86" s="236"/>
      <c r="D86" s="236"/>
      <c r="G86" s="13"/>
      <c r="H86" s="641"/>
    </row>
    <row r="87" spans="1:8" ht="13" x14ac:dyDescent="0.15">
      <c r="A87" s="234"/>
      <c r="B87" s="236"/>
      <c r="D87" s="236"/>
      <c r="G87" s="13"/>
      <c r="H87" s="641"/>
    </row>
    <row r="88" spans="1:8" ht="13" x14ac:dyDescent="0.15">
      <c r="A88" s="234"/>
      <c r="B88" s="236"/>
      <c r="D88" s="236"/>
      <c r="G88" s="13"/>
      <c r="H88" s="641"/>
    </row>
    <row r="89" spans="1:8" ht="13" x14ac:dyDescent="0.15">
      <c r="A89" s="234"/>
      <c r="B89" s="236"/>
      <c r="D89" s="236"/>
      <c r="G89" s="13"/>
      <c r="H89" s="641"/>
    </row>
    <row r="90" spans="1:8" ht="13" x14ac:dyDescent="0.15">
      <c r="A90" s="234"/>
      <c r="B90" s="236"/>
      <c r="D90" s="236"/>
      <c r="G90" s="13"/>
      <c r="H90" s="641"/>
    </row>
    <row r="91" spans="1:8" ht="13" x14ac:dyDescent="0.15">
      <c r="A91" s="234"/>
      <c r="B91" s="236"/>
      <c r="D91" s="236"/>
      <c r="G91" s="13"/>
      <c r="H91" s="641"/>
    </row>
    <row r="92" spans="1:8" ht="13" x14ac:dyDescent="0.15">
      <c r="A92" s="234"/>
      <c r="B92" s="236"/>
      <c r="D92" s="236"/>
      <c r="G92" s="13"/>
      <c r="H92" s="641"/>
    </row>
    <row r="93" spans="1:8" ht="13" x14ac:dyDescent="0.15">
      <c r="A93" s="234"/>
      <c r="B93" s="236"/>
      <c r="D93" s="236"/>
      <c r="G93" s="13"/>
      <c r="H93" s="641"/>
    </row>
    <row r="94" spans="1:8" ht="13" x14ac:dyDescent="0.15">
      <c r="A94" s="234"/>
      <c r="B94" s="236"/>
      <c r="D94" s="236"/>
      <c r="G94" s="13"/>
      <c r="H94" s="641"/>
    </row>
    <row r="95" spans="1:8" ht="13" x14ac:dyDescent="0.15">
      <c r="A95" s="234"/>
      <c r="B95" s="236"/>
      <c r="D95" s="236"/>
      <c r="G95" s="13"/>
      <c r="H95" s="641"/>
    </row>
    <row r="96" spans="1:8" ht="13" x14ac:dyDescent="0.15">
      <c r="A96" s="234"/>
      <c r="B96" s="236"/>
      <c r="D96" s="236"/>
      <c r="G96" s="13"/>
      <c r="H96" s="641"/>
    </row>
    <row r="97" spans="1:8" ht="13" x14ac:dyDescent="0.15">
      <c r="A97" s="234"/>
      <c r="B97" s="236"/>
      <c r="D97" s="236"/>
      <c r="G97" s="13"/>
      <c r="H97" s="641"/>
    </row>
    <row r="98" spans="1:8" ht="13" x14ac:dyDescent="0.15">
      <c r="A98" s="234"/>
      <c r="B98" s="236"/>
      <c r="D98" s="236"/>
      <c r="G98" s="13"/>
      <c r="H98" s="641"/>
    </row>
    <row r="99" spans="1:8" ht="13" x14ac:dyDescent="0.15">
      <c r="A99" s="234"/>
      <c r="B99" s="236"/>
      <c r="D99" s="236"/>
      <c r="G99" s="13"/>
      <c r="H99" s="641"/>
    </row>
    <row r="100" spans="1:8" ht="13" x14ac:dyDescent="0.15">
      <c r="A100" s="234"/>
      <c r="B100" s="236"/>
      <c r="D100" s="236"/>
      <c r="G100" s="13"/>
      <c r="H100" s="641"/>
    </row>
    <row r="101" spans="1:8" ht="13" x14ac:dyDescent="0.15">
      <c r="A101" s="234"/>
      <c r="B101" s="236"/>
      <c r="D101" s="236"/>
      <c r="G101" s="13"/>
      <c r="H101" s="641"/>
    </row>
    <row r="102" spans="1:8" ht="13" x14ac:dyDescent="0.15">
      <c r="A102" s="234"/>
      <c r="B102" s="236"/>
      <c r="D102" s="236"/>
      <c r="G102" s="13"/>
      <c r="H102" s="641"/>
    </row>
    <row r="103" spans="1:8" ht="13" x14ac:dyDescent="0.15">
      <c r="A103" s="234"/>
      <c r="B103" s="236"/>
      <c r="D103" s="236"/>
      <c r="G103" s="13"/>
      <c r="H103" s="641"/>
    </row>
    <row r="104" spans="1:8" ht="13" x14ac:dyDescent="0.15">
      <c r="A104" s="234"/>
      <c r="B104" s="236"/>
      <c r="D104" s="236"/>
      <c r="G104" s="13"/>
      <c r="H104" s="641"/>
    </row>
    <row r="105" spans="1:8" ht="13" x14ac:dyDescent="0.15">
      <c r="A105" s="234"/>
      <c r="B105" s="236"/>
      <c r="D105" s="236"/>
      <c r="G105" s="13"/>
      <c r="H105" s="641"/>
    </row>
    <row r="106" spans="1:8" ht="13" x14ac:dyDescent="0.15">
      <c r="A106" s="234"/>
      <c r="B106" s="236"/>
      <c r="D106" s="236"/>
      <c r="G106" s="13"/>
      <c r="H106" s="641"/>
    </row>
    <row r="107" spans="1:8" ht="13" x14ac:dyDescent="0.15">
      <c r="A107" s="234"/>
      <c r="B107" s="236"/>
      <c r="D107" s="236"/>
      <c r="G107" s="13"/>
      <c r="H107" s="641"/>
    </row>
    <row r="108" spans="1:8" ht="13" x14ac:dyDescent="0.15">
      <c r="A108" s="234"/>
      <c r="B108" s="236"/>
      <c r="D108" s="236"/>
      <c r="G108" s="13"/>
      <c r="H108" s="641"/>
    </row>
    <row r="109" spans="1:8" ht="13" x14ac:dyDescent="0.15">
      <c r="A109" s="234"/>
      <c r="B109" s="236"/>
      <c r="D109" s="236"/>
      <c r="G109" s="13"/>
      <c r="H109" s="641"/>
    </row>
    <row r="110" spans="1:8" ht="13" x14ac:dyDescent="0.15">
      <c r="A110" s="234"/>
      <c r="B110" s="236"/>
      <c r="D110" s="236"/>
      <c r="G110" s="13"/>
      <c r="H110" s="641"/>
    </row>
    <row r="111" spans="1:8" ht="13" x14ac:dyDescent="0.15">
      <c r="A111" s="234"/>
      <c r="B111" s="236"/>
      <c r="D111" s="236"/>
      <c r="G111" s="13"/>
      <c r="H111" s="641"/>
    </row>
    <row r="112" spans="1:8" ht="13" x14ac:dyDescent="0.15">
      <c r="A112" s="234"/>
      <c r="B112" s="236"/>
      <c r="D112" s="236"/>
      <c r="G112" s="13"/>
      <c r="H112" s="641"/>
    </row>
    <row r="113" spans="1:8" ht="13" x14ac:dyDescent="0.15">
      <c r="A113" s="234"/>
      <c r="B113" s="236"/>
      <c r="D113" s="236"/>
      <c r="G113" s="13"/>
      <c r="H113" s="641"/>
    </row>
    <row r="114" spans="1:8" ht="13" x14ac:dyDescent="0.15">
      <c r="A114" s="234"/>
      <c r="B114" s="236"/>
      <c r="D114" s="236"/>
      <c r="G114" s="13"/>
      <c r="H114" s="641"/>
    </row>
    <row r="115" spans="1:8" ht="13" x14ac:dyDescent="0.15">
      <c r="A115" s="234"/>
      <c r="B115" s="236"/>
      <c r="D115" s="236"/>
      <c r="G115" s="13"/>
      <c r="H115" s="641"/>
    </row>
    <row r="116" spans="1:8" ht="13" x14ac:dyDescent="0.15">
      <c r="A116" s="234"/>
      <c r="B116" s="236"/>
      <c r="D116" s="236"/>
      <c r="G116" s="13"/>
      <c r="H116" s="641"/>
    </row>
    <row r="117" spans="1:8" ht="13" x14ac:dyDescent="0.15">
      <c r="A117" s="234"/>
      <c r="B117" s="236"/>
      <c r="D117" s="236"/>
      <c r="G117" s="13"/>
      <c r="H117" s="641"/>
    </row>
    <row r="118" spans="1:8" ht="13" x14ac:dyDescent="0.15">
      <c r="A118" s="234"/>
      <c r="B118" s="236"/>
      <c r="D118" s="236"/>
      <c r="G118" s="13"/>
      <c r="H118" s="641"/>
    </row>
    <row r="119" spans="1:8" ht="13" x14ac:dyDescent="0.15">
      <c r="A119" s="234"/>
      <c r="B119" s="236"/>
      <c r="D119" s="236"/>
      <c r="G119" s="13"/>
      <c r="H119" s="641"/>
    </row>
    <row r="120" spans="1:8" ht="13" x14ac:dyDescent="0.15">
      <c r="A120" s="234"/>
      <c r="B120" s="236"/>
      <c r="D120" s="236"/>
      <c r="G120" s="13"/>
      <c r="H120" s="641"/>
    </row>
    <row r="121" spans="1:8" ht="13" x14ac:dyDescent="0.15">
      <c r="A121" s="234"/>
      <c r="B121" s="236"/>
      <c r="D121" s="236"/>
      <c r="G121" s="13"/>
      <c r="H121" s="641"/>
    </row>
    <row r="122" spans="1:8" ht="13" x14ac:dyDescent="0.15">
      <c r="A122" s="234"/>
      <c r="B122" s="236"/>
      <c r="D122" s="236"/>
      <c r="G122" s="13"/>
      <c r="H122" s="641"/>
    </row>
    <row r="123" spans="1:8" ht="13" x14ac:dyDescent="0.15">
      <c r="A123" s="234"/>
      <c r="B123" s="236"/>
      <c r="D123" s="236"/>
      <c r="G123" s="13"/>
      <c r="H123" s="641"/>
    </row>
    <row r="124" spans="1:8" ht="13" x14ac:dyDescent="0.15">
      <c r="A124" s="234"/>
      <c r="B124" s="236"/>
      <c r="D124" s="236"/>
      <c r="G124" s="13"/>
      <c r="H124" s="641"/>
    </row>
    <row r="125" spans="1:8" ht="13" x14ac:dyDescent="0.15">
      <c r="A125" s="234"/>
      <c r="B125" s="236"/>
      <c r="D125" s="236"/>
      <c r="G125" s="13"/>
      <c r="H125" s="641"/>
    </row>
    <row r="126" spans="1:8" ht="13" x14ac:dyDescent="0.15">
      <c r="A126" s="234"/>
      <c r="B126" s="236"/>
      <c r="D126" s="236"/>
      <c r="G126" s="13"/>
      <c r="H126" s="641"/>
    </row>
    <row r="127" spans="1:8" ht="13" x14ac:dyDescent="0.15">
      <c r="A127" s="234"/>
      <c r="B127" s="236"/>
      <c r="D127" s="236"/>
      <c r="G127" s="13"/>
      <c r="H127" s="641"/>
    </row>
    <row r="128" spans="1:8" ht="13" x14ac:dyDescent="0.15">
      <c r="A128" s="234"/>
      <c r="B128" s="236"/>
      <c r="D128" s="236"/>
      <c r="G128" s="13"/>
      <c r="H128" s="641"/>
    </row>
    <row r="129" spans="1:8" ht="13" x14ac:dyDescent="0.15">
      <c r="A129" s="234"/>
      <c r="B129" s="236"/>
      <c r="D129" s="236"/>
      <c r="G129" s="13"/>
      <c r="H129" s="641"/>
    </row>
    <row r="130" spans="1:8" ht="13" x14ac:dyDescent="0.15">
      <c r="A130" s="234"/>
      <c r="B130" s="236"/>
      <c r="D130" s="236"/>
      <c r="G130" s="13"/>
      <c r="H130" s="641"/>
    </row>
    <row r="131" spans="1:8" ht="13" x14ac:dyDescent="0.15">
      <c r="A131" s="234"/>
      <c r="B131" s="236"/>
      <c r="D131" s="236"/>
      <c r="G131" s="13"/>
      <c r="H131" s="641"/>
    </row>
    <row r="132" spans="1:8" ht="13" x14ac:dyDescent="0.15">
      <c r="A132" s="234"/>
      <c r="B132" s="236"/>
      <c r="D132" s="236"/>
      <c r="G132" s="13"/>
      <c r="H132" s="641"/>
    </row>
    <row r="133" spans="1:8" ht="13" x14ac:dyDescent="0.15">
      <c r="A133" s="234"/>
      <c r="B133" s="236"/>
      <c r="D133" s="236"/>
      <c r="G133" s="13"/>
      <c r="H133" s="641"/>
    </row>
    <row r="134" spans="1:8" ht="13" x14ac:dyDescent="0.15">
      <c r="A134" s="234"/>
      <c r="B134" s="236"/>
      <c r="D134" s="236"/>
      <c r="G134" s="13"/>
      <c r="H134" s="641"/>
    </row>
    <row r="135" spans="1:8" ht="13" x14ac:dyDescent="0.15">
      <c r="A135" s="234"/>
      <c r="B135" s="236"/>
      <c r="D135" s="236"/>
      <c r="G135" s="13"/>
      <c r="H135" s="641"/>
    </row>
    <row r="136" spans="1:8" ht="13" x14ac:dyDescent="0.15">
      <c r="A136" s="234"/>
      <c r="B136" s="236"/>
      <c r="D136" s="236"/>
      <c r="G136" s="13"/>
      <c r="H136" s="641"/>
    </row>
    <row r="137" spans="1:8" ht="13" x14ac:dyDescent="0.15">
      <c r="A137" s="234"/>
      <c r="B137" s="236"/>
      <c r="D137" s="236"/>
      <c r="G137" s="13"/>
      <c r="H137" s="641"/>
    </row>
    <row r="138" spans="1:8" ht="13" x14ac:dyDescent="0.15">
      <c r="A138" s="234"/>
      <c r="B138" s="236"/>
      <c r="D138" s="236"/>
      <c r="G138" s="13"/>
      <c r="H138" s="641"/>
    </row>
    <row r="139" spans="1:8" ht="13" x14ac:dyDescent="0.15">
      <c r="A139" s="234"/>
      <c r="B139" s="236"/>
      <c r="D139" s="236"/>
      <c r="G139" s="13"/>
      <c r="H139" s="641"/>
    </row>
    <row r="140" spans="1:8" ht="13" x14ac:dyDescent="0.15">
      <c r="A140" s="234"/>
      <c r="B140" s="236"/>
      <c r="D140" s="236"/>
      <c r="G140" s="13"/>
      <c r="H140" s="641"/>
    </row>
    <row r="141" spans="1:8" ht="13" x14ac:dyDescent="0.15">
      <c r="A141" s="234"/>
      <c r="B141" s="236"/>
      <c r="D141" s="236"/>
      <c r="G141" s="13"/>
      <c r="H141" s="641"/>
    </row>
    <row r="142" spans="1:8" ht="13" x14ac:dyDescent="0.15">
      <c r="A142" s="234"/>
      <c r="B142" s="236"/>
      <c r="D142" s="236"/>
      <c r="G142" s="13"/>
      <c r="H142" s="641"/>
    </row>
    <row r="143" spans="1:8" ht="13" x14ac:dyDescent="0.15">
      <c r="A143" s="234"/>
      <c r="B143" s="236"/>
      <c r="D143" s="236"/>
      <c r="G143" s="13"/>
      <c r="H143" s="641"/>
    </row>
    <row r="144" spans="1:8" ht="13" x14ac:dyDescent="0.15">
      <c r="A144" s="234"/>
      <c r="B144" s="236"/>
      <c r="D144" s="236"/>
      <c r="G144" s="13"/>
      <c r="H144" s="641"/>
    </row>
    <row r="145" spans="1:8" ht="13" x14ac:dyDescent="0.15">
      <c r="A145" s="234"/>
      <c r="B145" s="236"/>
      <c r="D145" s="236"/>
      <c r="G145" s="13"/>
      <c r="H145" s="641"/>
    </row>
    <row r="146" spans="1:8" ht="13" x14ac:dyDescent="0.15">
      <c r="A146" s="234"/>
      <c r="B146" s="236"/>
      <c r="D146" s="236"/>
      <c r="G146" s="13"/>
      <c r="H146" s="641"/>
    </row>
    <row r="147" spans="1:8" ht="13" x14ac:dyDescent="0.15">
      <c r="A147" s="234"/>
      <c r="B147" s="236"/>
      <c r="D147" s="236"/>
      <c r="G147" s="13"/>
      <c r="H147" s="641"/>
    </row>
    <row r="148" spans="1:8" ht="13" x14ac:dyDescent="0.15">
      <c r="A148" s="234"/>
      <c r="B148" s="236"/>
      <c r="D148" s="236"/>
      <c r="G148" s="13"/>
      <c r="H148" s="641"/>
    </row>
    <row r="149" spans="1:8" ht="13" x14ac:dyDescent="0.15">
      <c r="A149" s="234"/>
      <c r="B149" s="236"/>
      <c r="D149" s="236"/>
      <c r="G149" s="13"/>
      <c r="H149" s="641"/>
    </row>
    <row r="150" spans="1:8" ht="13" x14ac:dyDescent="0.15">
      <c r="A150" s="234"/>
      <c r="B150" s="236"/>
      <c r="D150" s="236"/>
      <c r="G150" s="13"/>
      <c r="H150" s="641"/>
    </row>
    <row r="151" spans="1:8" ht="13" x14ac:dyDescent="0.15">
      <c r="A151" s="234"/>
      <c r="B151" s="236"/>
      <c r="D151" s="236"/>
      <c r="G151" s="13"/>
      <c r="H151" s="641"/>
    </row>
    <row r="152" spans="1:8" ht="13" x14ac:dyDescent="0.15">
      <c r="A152" s="234"/>
      <c r="B152" s="236"/>
      <c r="D152" s="236"/>
      <c r="G152" s="13"/>
      <c r="H152" s="641"/>
    </row>
    <row r="153" spans="1:8" ht="13" x14ac:dyDescent="0.15">
      <c r="A153" s="234"/>
      <c r="B153" s="236"/>
      <c r="D153" s="236"/>
      <c r="G153" s="13"/>
      <c r="H153" s="641"/>
    </row>
    <row r="154" spans="1:8" ht="13" x14ac:dyDescent="0.15">
      <c r="A154" s="234"/>
      <c r="B154" s="236"/>
      <c r="D154" s="236"/>
      <c r="G154" s="13"/>
      <c r="H154" s="641"/>
    </row>
    <row r="155" spans="1:8" ht="13" x14ac:dyDescent="0.15">
      <c r="A155" s="234"/>
      <c r="B155" s="236"/>
      <c r="D155" s="236"/>
      <c r="G155" s="13"/>
      <c r="H155" s="641"/>
    </row>
    <row r="156" spans="1:8" ht="13" x14ac:dyDescent="0.15">
      <c r="A156" s="234"/>
      <c r="B156" s="236"/>
      <c r="D156" s="236"/>
      <c r="G156" s="13"/>
      <c r="H156" s="641"/>
    </row>
    <row r="157" spans="1:8" ht="13" x14ac:dyDescent="0.15">
      <c r="A157" s="234"/>
      <c r="B157" s="236"/>
      <c r="D157" s="236"/>
      <c r="G157" s="13"/>
      <c r="H157" s="641"/>
    </row>
    <row r="158" spans="1:8" ht="13" x14ac:dyDescent="0.15">
      <c r="A158" s="234"/>
      <c r="B158" s="236"/>
      <c r="D158" s="236"/>
      <c r="G158" s="13"/>
      <c r="H158" s="641"/>
    </row>
    <row r="159" spans="1:8" ht="13" x14ac:dyDescent="0.15">
      <c r="A159" s="234"/>
      <c r="B159" s="236"/>
      <c r="D159" s="236"/>
      <c r="G159" s="13"/>
      <c r="H159" s="641"/>
    </row>
    <row r="160" spans="1:8" ht="13" x14ac:dyDescent="0.15">
      <c r="A160" s="234"/>
      <c r="B160" s="236"/>
      <c r="D160" s="236"/>
      <c r="G160" s="13"/>
      <c r="H160" s="641"/>
    </row>
    <row r="161" spans="1:8" ht="13" x14ac:dyDescent="0.15">
      <c r="A161" s="234"/>
      <c r="B161" s="236"/>
      <c r="D161" s="236"/>
      <c r="G161" s="13"/>
      <c r="H161" s="641"/>
    </row>
    <row r="162" spans="1:8" ht="13" x14ac:dyDescent="0.15">
      <c r="A162" s="234"/>
      <c r="B162" s="236"/>
      <c r="D162" s="236"/>
      <c r="G162" s="13"/>
      <c r="H162" s="641"/>
    </row>
    <row r="163" spans="1:8" ht="13" x14ac:dyDescent="0.15">
      <c r="A163" s="234"/>
      <c r="B163" s="236"/>
      <c r="D163" s="236"/>
      <c r="G163" s="13"/>
      <c r="H163" s="641"/>
    </row>
    <row r="164" spans="1:8" ht="13" x14ac:dyDescent="0.15">
      <c r="A164" s="234"/>
      <c r="B164" s="236"/>
      <c r="D164" s="236"/>
      <c r="G164" s="13"/>
      <c r="H164" s="641"/>
    </row>
    <row r="165" spans="1:8" ht="13" x14ac:dyDescent="0.15">
      <c r="A165" s="234"/>
      <c r="B165" s="236"/>
      <c r="D165" s="236"/>
      <c r="G165" s="13"/>
      <c r="H165" s="641"/>
    </row>
    <row r="166" spans="1:8" ht="13" x14ac:dyDescent="0.15">
      <c r="A166" s="234"/>
      <c r="B166" s="236"/>
      <c r="D166" s="236"/>
      <c r="G166" s="13"/>
      <c r="H166" s="641"/>
    </row>
    <row r="167" spans="1:8" ht="13" x14ac:dyDescent="0.15">
      <c r="A167" s="234"/>
      <c r="B167" s="236"/>
      <c r="D167" s="236"/>
      <c r="G167" s="13"/>
      <c r="H167" s="641"/>
    </row>
    <row r="168" spans="1:8" ht="13" x14ac:dyDescent="0.15">
      <c r="A168" s="234"/>
      <c r="B168" s="236"/>
      <c r="D168" s="236"/>
      <c r="G168" s="13"/>
      <c r="H168" s="641"/>
    </row>
    <row r="169" spans="1:8" ht="13" x14ac:dyDescent="0.15">
      <c r="A169" s="234"/>
      <c r="B169" s="236"/>
      <c r="D169" s="236"/>
      <c r="G169" s="13"/>
      <c r="H169" s="641"/>
    </row>
    <row r="170" spans="1:8" ht="13" x14ac:dyDescent="0.15">
      <c r="A170" s="234"/>
      <c r="B170" s="236"/>
      <c r="D170" s="236"/>
      <c r="G170" s="13"/>
      <c r="H170" s="641"/>
    </row>
    <row r="171" spans="1:8" ht="13" x14ac:dyDescent="0.15">
      <c r="A171" s="234"/>
      <c r="B171" s="236"/>
      <c r="D171" s="236"/>
      <c r="G171" s="13"/>
      <c r="H171" s="641"/>
    </row>
    <row r="172" spans="1:8" ht="13" x14ac:dyDescent="0.15">
      <c r="A172" s="234"/>
      <c r="B172" s="236"/>
      <c r="D172" s="236"/>
      <c r="G172" s="13"/>
      <c r="H172" s="641"/>
    </row>
    <row r="173" spans="1:8" ht="13" x14ac:dyDescent="0.15">
      <c r="A173" s="234"/>
      <c r="B173" s="236"/>
      <c r="D173" s="236"/>
      <c r="G173" s="13"/>
      <c r="H173" s="641"/>
    </row>
    <row r="174" spans="1:8" ht="13" x14ac:dyDescent="0.15">
      <c r="A174" s="234"/>
      <c r="B174" s="236"/>
      <c r="D174" s="236"/>
      <c r="G174" s="13"/>
      <c r="H174" s="641"/>
    </row>
    <row r="175" spans="1:8" ht="13" x14ac:dyDescent="0.15">
      <c r="A175" s="234"/>
      <c r="B175" s="236"/>
      <c r="D175" s="236"/>
      <c r="G175" s="13"/>
      <c r="H175" s="641"/>
    </row>
    <row r="176" spans="1:8" ht="13" x14ac:dyDescent="0.15">
      <c r="A176" s="234"/>
      <c r="B176" s="236"/>
      <c r="D176" s="236"/>
      <c r="G176" s="13"/>
      <c r="H176" s="641"/>
    </row>
    <row r="177" spans="1:8" ht="13" x14ac:dyDescent="0.15">
      <c r="A177" s="234"/>
      <c r="B177" s="236"/>
      <c r="D177" s="236"/>
      <c r="G177" s="13"/>
      <c r="H177" s="641"/>
    </row>
    <row r="178" spans="1:8" ht="13" x14ac:dyDescent="0.15">
      <c r="A178" s="234"/>
      <c r="B178" s="236"/>
      <c r="D178" s="236"/>
      <c r="G178" s="13"/>
      <c r="H178" s="641"/>
    </row>
    <row r="179" spans="1:8" ht="13" x14ac:dyDescent="0.15">
      <c r="A179" s="234"/>
      <c r="B179" s="236"/>
      <c r="D179" s="236"/>
      <c r="G179" s="13"/>
      <c r="H179" s="641"/>
    </row>
    <row r="180" spans="1:8" ht="13" x14ac:dyDescent="0.15">
      <c r="A180" s="234"/>
      <c r="B180" s="236"/>
      <c r="D180" s="236"/>
      <c r="G180" s="13"/>
      <c r="H180" s="641"/>
    </row>
    <row r="181" spans="1:8" ht="13" x14ac:dyDescent="0.15">
      <c r="A181" s="234"/>
      <c r="B181" s="236"/>
      <c r="D181" s="236"/>
      <c r="G181" s="13"/>
      <c r="H181" s="641"/>
    </row>
    <row r="182" spans="1:8" ht="13" x14ac:dyDescent="0.15">
      <c r="A182" s="234"/>
      <c r="B182" s="236"/>
      <c r="D182" s="236"/>
      <c r="G182" s="13"/>
      <c r="H182" s="641"/>
    </row>
    <row r="183" spans="1:8" ht="13" x14ac:dyDescent="0.15">
      <c r="A183" s="234"/>
      <c r="B183" s="236"/>
      <c r="D183" s="236"/>
      <c r="G183" s="13"/>
      <c r="H183" s="641"/>
    </row>
    <row r="184" spans="1:8" ht="13" x14ac:dyDescent="0.15">
      <c r="A184" s="234"/>
      <c r="B184" s="236"/>
      <c r="D184" s="236"/>
      <c r="G184" s="13"/>
      <c r="H184" s="641"/>
    </row>
    <row r="185" spans="1:8" ht="13" x14ac:dyDescent="0.15">
      <c r="A185" s="234"/>
      <c r="B185" s="236"/>
      <c r="D185" s="236"/>
      <c r="G185" s="13"/>
      <c r="H185" s="641"/>
    </row>
    <row r="186" spans="1:8" ht="13" x14ac:dyDescent="0.15">
      <c r="A186" s="234"/>
      <c r="B186" s="236"/>
      <c r="D186" s="236"/>
      <c r="G186" s="13"/>
      <c r="H186" s="641"/>
    </row>
    <row r="187" spans="1:8" ht="13" x14ac:dyDescent="0.15">
      <c r="A187" s="234"/>
      <c r="B187" s="236"/>
      <c r="D187" s="236"/>
      <c r="G187" s="13"/>
      <c r="H187" s="641"/>
    </row>
    <row r="188" spans="1:8" ht="13" x14ac:dyDescent="0.15">
      <c r="A188" s="234"/>
      <c r="B188" s="236"/>
      <c r="D188" s="236"/>
      <c r="G188" s="13"/>
      <c r="H188" s="641"/>
    </row>
    <row r="189" spans="1:8" ht="13" x14ac:dyDescent="0.15">
      <c r="A189" s="234"/>
      <c r="B189" s="236"/>
      <c r="D189" s="236"/>
      <c r="G189" s="13"/>
      <c r="H189" s="641"/>
    </row>
    <row r="190" spans="1:8" ht="13" x14ac:dyDescent="0.15">
      <c r="A190" s="234"/>
      <c r="B190" s="236"/>
      <c r="D190" s="236"/>
      <c r="G190" s="13"/>
      <c r="H190" s="641"/>
    </row>
    <row r="191" spans="1:8" ht="13" x14ac:dyDescent="0.15">
      <c r="A191" s="234"/>
      <c r="B191" s="236"/>
      <c r="D191" s="236"/>
      <c r="G191" s="13"/>
      <c r="H191" s="641"/>
    </row>
    <row r="192" spans="1:8" ht="13" x14ac:dyDescent="0.15">
      <c r="A192" s="234"/>
      <c r="B192" s="236"/>
      <c r="D192" s="236"/>
      <c r="G192" s="13"/>
      <c r="H192" s="641"/>
    </row>
    <row r="193" spans="1:8" ht="13" x14ac:dyDescent="0.15">
      <c r="A193" s="234"/>
      <c r="B193" s="236"/>
      <c r="D193" s="236"/>
      <c r="G193" s="13"/>
      <c r="H193" s="641"/>
    </row>
    <row r="194" spans="1:8" ht="13" x14ac:dyDescent="0.15">
      <c r="A194" s="234"/>
      <c r="B194" s="236"/>
      <c r="D194" s="236"/>
      <c r="G194" s="13"/>
      <c r="H194" s="641"/>
    </row>
    <row r="195" spans="1:8" ht="13" x14ac:dyDescent="0.15">
      <c r="A195" s="234"/>
      <c r="B195" s="236"/>
      <c r="D195" s="236"/>
      <c r="G195" s="13"/>
      <c r="H195" s="641"/>
    </row>
    <row r="196" spans="1:8" ht="13" x14ac:dyDescent="0.15">
      <c r="A196" s="234"/>
      <c r="B196" s="236"/>
      <c r="D196" s="236"/>
      <c r="G196" s="13"/>
      <c r="H196" s="641"/>
    </row>
    <row r="197" spans="1:8" ht="13" x14ac:dyDescent="0.15">
      <c r="A197" s="234"/>
      <c r="B197" s="236"/>
      <c r="D197" s="236"/>
      <c r="G197" s="13"/>
      <c r="H197" s="641"/>
    </row>
    <row r="198" spans="1:8" ht="13" x14ac:dyDescent="0.15">
      <c r="A198" s="234"/>
      <c r="B198" s="236"/>
      <c r="D198" s="236"/>
      <c r="G198" s="13"/>
      <c r="H198" s="641"/>
    </row>
    <row r="199" spans="1:8" ht="13" x14ac:dyDescent="0.15">
      <c r="A199" s="234"/>
      <c r="B199" s="236"/>
      <c r="D199" s="236"/>
      <c r="G199" s="13"/>
      <c r="H199" s="641"/>
    </row>
    <row r="200" spans="1:8" ht="13" x14ac:dyDescent="0.15">
      <c r="A200" s="234"/>
      <c r="B200" s="236"/>
      <c r="D200" s="236"/>
      <c r="G200" s="13"/>
      <c r="H200" s="641"/>
    </row>
    <row r="201" spans="1:8" ht="13" x14ac:dyDescent="0.15">
      <c r="A201" s="234"/>
      <c r="B201" s="236"/>
      <c r="D201" s="236"/>
      <c r="G201" s="13"/>
      <c r="H201" s="641"/>
    </row>
    <row r="202" spans="1:8" ht="13" x14ac:dyDescent="0.15">
      <c r="A202" s="234"/>
      <c r="B202" s="236"/>
      <c r="D202" s="236"/>
      <c r="G202" s="13"/>
      <c r="H202" s="641"/>
    </row>
    <row r="203" spans="1:8" ht="13" x14ac:dyDescent="0.15">
      <c r="A203" s="234"/>
      <c r="B203" s="236"/>
      <c r="D203" s="236"/>
      <c r="G203" s="13"/>
      <c r="H203" s="641"/>
    </row>
    <row r="204" spans="1:8" ht="13" x14ac:dyDescent="0.15">
      <c r="A204" s="234"/>
      <c r="B204" s="236"/>
      <c r="D204" s="236"/>
      <c r="G204" s="13"/>
      <c r="H204" s="641"/>
    </row>
    <row r="205" spans="1:8" ht="13" x14ac:dyDescent="0.15">
      <c r="A205" s="234"/>
      <c r="B205" s="236"/>
      <c r="D205" s="236"/>
      <c r="G205" s="13"/>
      <c r="H205" s="641"/>
    </row>
    <row r="206" spans="1:8" ht="13" x14ac:dyDescent="0.15">
      <c r="A206" s="234"/>
      <c r="B206" s="236"/>
      <c r="D206" s="236"/>
      <c r="G206" s="13"/>
      <c r="H206" s="641"/>
    </row>
    <row r="207" spans="1:8" ht="13" x14ac:dyDescent="0.15">
      <c r="A207" s="234"/>
      <c r="B207" s="236"/>
      <c r="D207" s="236"/>
      <c r="G207" s="13"/>
      <c r="H207" s="641"/>
    </row>
    <row r="208" spans="1:8" ht="13" x14ac:dyDescent="0.15">
      <c r="A208" s="234"/>
      <c r="B208" s="236"/>
      <c r="D208" s="236"/>
      <c r="G208" s="13"/>
      <c r="H208" s="641"/>
    </row>
    <row r="209" spans="1:8" ht="13" x14ac:dyDescent="0.15">
      <c r="A209" s="234"/>
      <c r="B209" s="236"/>
      <c r="D209" s="236"/>
      <c r="G209" s="13"/>
      <c r="H209" s="641"/>
    </row>
    <row r="210" spans="1:8" ht="13" x14ac:dyDescent="0.15">
      <c r="A210" s="234"/>
      <c r="B210" s="236"/>
      <c r="D210" s="236"/>
      <c r="G210" s="13"/>
      <c r="H210" s="641"/>
    </row>
    <row r="211" spans="1:8" ht="13" x14ac:dyDescent="0.15">
      <c r="A211" s="234"/>
      <c r="B211" s="236"/>
      <c r="D211" s="236"/>
      <c r="G211" s="13"/>
      <c r="H211" s="641"/>
    </row>
    <row r="212" spans="1:8" ht="13" x14ac:dyDescent="0.15">
      <c r="A212" s="234"/>
      <c r="B212" s="236"/>
      <c r="D212" s="236"/>
      <c r="G212" s="13"/>
      <c r="H212" s="641"/>
    </row>
    <row r="213" spans="1:8" ht="13" x14ac:dyDescent="0.15">
      <c r="A213" s="234"/>
      <c r="B213" s="236"/>
      <c r="D213" s="236"/>
      <c r="G213" s="13"/>
      <c r="H213" s="641"/>
    </row>
    <row r="214" spans="1:8" ht="13" x14ac:dyDescent="0.15">
      <c r="A214" s="234"/>
      <c r="B214" s="236"/>
      <c r="D214" s="236"/>
      <c r="G214" s="13"/>
      <c r="H214" s="641"/>
    </row>
    <row r="215" spans="1:8" ht="13" x14ac:dyDescent="0.15">
      <c r="A215" s="234"/>
      <c r="B215" s="236"/>
      <c r="D215" s="236"/>
      <c r="G215" s="13"/>
      <c r="H215" s="641"/>
    </row>
    <row r="216" spans="1:8" ht="13" x14ac:dyDescent="0.15">
      <c r="A216" s="234"/>
      <c r="B216" s="236"/>
      <c r="D216" s="236"/>
      <c r="G216" s="13"/>
      <c r="H216" s="641"/>
    </row>
    <row r="217" spans="1:8" ht="13" x14ac:dyDescent="0.15">
      <c r="A217" s="234"/>
      <c r="B217" s="236"/>
      <c r="D217" s="236"/>
      <c r="G217" s="13"/>
      <c r="H217" s="641"/>
    </row>
    <row r="218" spans="1:8" ht="13" x14ac:dyDescent="0.15">
      <c r="A218" s="234"/>
      <c r="B218" s="236"/>
      <c r="D218" s="236"/>
      <c r="G218" s="13"/>
      <c r="H218" s="641"/>
    </row>
    <row r="219" spans="1:8" ht="13" x14ac:dyDescent="0.15">
      <c r="A219" s="234"/>
      <c r="B219" s="236"/>
      <c r="D219" s="236"/>
      <c r="G219" s="13"/>
      <c r="H219" s="641"/>
    </row>
    <row r="220" spans="1:8" ht="13" x14ac:dyDescent="0.15">
      <c r="A220" s="234"/>
      <c r="B220" s="236"/>
      <c r="D220" s="236"/>
      <c r="G220" s="13"/>
      <c r="H220" s="641"/>
    </row>
    <row r="221" spans="1:8" ht="13" x14ac:dyDescent="0.15">
      <c r="A221" s="234"/>
      <c r="B221" s="236"/>
      <c r="D221" s="236"/>
      <c r="G221" s="13"/>
      <c r="H221" s="641"/>
    </row>
    <row r="222" spans="1:8" ht="13" x14ac:dyDescent="0.15">
      <c r="A222" s="234"/>
      <c r="B222" s="236"/>
      <c r="D222" s="236"/>
      <c r="G222" s="13"/>
      <c r="H222" s="641"/>
    </row>
    <row r="223" spans="1:8" ht="13" x14ac:dyDescent="0.15">
      <c r="A223" s="234"/>
      <c r="B223" s="236"/>
      <c r="D223" s="236"/>
      <c r="G223" s="13"/>
      <c r="H223" s="641"/>
    </row>
    <row r="224" spans="1:8" ht="13" x14ac:dyDescent="0.15">
      <c r="A224" s="234"/>
      <c r="B224" s="236"/>
      <c r="D224" s="236"/>
      <c r="G224" s="13"/>
      <c r="H224" s="641"/>
    </row>
    <row r="225" spans="1:8" ht="13" x14ac:dyDescent="0.15">
      <c r="A225" s="234"/>
      <c r="B225" s="236"/>
      <c r="D225" s="236"/>
      <c r="G225" s="13"/>
      <c r="H225" s="641"/>
    </row>
    <row r="226" spans="1:8" ht="13" x14ac:dyDescent="0.15">
      <c r="A226" s="234"/>
      <c r="B226" s="236"/>
      <c r="D226" s="236"/>
      <c r="G226" s="13"/>
      <c r="H226" s="641"/>
    </row>
    <row r="227" spans="1:8" ht="13" x14ac:dyDescent="0.15">
      <c r="A227" s="234"/>
      <c r="B227" s="236"/>
      <c r="D227" s="236"/>
      <c r="G227" s="13"/>
      <c r="H227" s="641"/>
    </row>
    <row r="228" spans="1:8" ht="13" x14ac:dyDescent="0.15">
      <c r="A228" s="234"/>
      <c r="B228" s="236"/>
      <c r="D228" s="236"/>
      <c r="G228" s="13"/>
      <c r="H228" s="641"/>
    </row>
    <row r="229" spans="1:8" ht="13" x14ac:dyDescent="0.15">
      <c r="A229" s="234"/>
      <c r="B229" s="236"/>
      <c r="D229" s="236"/>
      <c r="G229" s="13"/>
      <c r="H229" s="641"/>
    </row>
    <row r="230" spans="1:8" ht="13" x14ac:dyDescent="0.15">
      <c r="A230" s="234"/>
      <c r="B230" s="236"/>
      <c r="D230" s="236"/>
      <c r="G230" s="13"/>
      <c r="H230" s="641"/>
    </row>
    <row r="231" spans="1:8" ht="13" x14ac:dyDescent="0.15">
      <c r="A231" s="234"/>
      <c r="B231" s="236"/>
      <c r="D231" s="236"/>
      <c r="G231" s="13"/>
      <c r="H231" s="641"/>
    </row>
    <row r="232" spans="1:8" ht="13" x14ac:dyDescent="0.15">
      <c r="A232" s="234"/>
      <c r="B232" s="236"/>
      <c r="D232" s="236"/>
      <c r="G232" s="13"/>
      <c r="H232" s="641"/>
    </row>
    <row r="233" spans="1:8" ht="13" x14ac:dyDescent="0.15">
      <c r="A233" s="234"/>
      <c r="B233" s="236"/>
      <c r="D233" s="236"/>
      <c r="G233" s="13"/>
      <c r="H233" s="641"/>
    </row>
    <row r="234" spans="1:8" ht="13" x14ac:dyDescent="0.15">
      <c r="A234" s="234"/>
      <c r="B234" s="236"/>
      <c r="D234" s="236"/>
      <c r="G234" s="13"/>
      <c r="H234" s="641"/>
    </row>
    <row r="235" spans="1:8" ht="13" x14ac:dyDescent="0.15">
      <c r="A235" s="234"/>
      <c r="B235" s="236"/>
      <c r="D235" s="236"/>
      <c r="G235" s="13"/>
      <c r="H235" s="641"/>
    </row>
    <row r="236" spans="1:8" ht="13" x14ac:dyDescent="0.15">
      <c r="A236" s="234"/>
      <c r="B236" s="236"/>
      <c r="D236" s="236"/>
      <c r="G236" s="13"/>
      <c r="H236" s="641"/>
    </row>
    <row r="237" spans="1:8" ht="13" x14ac:dyDescent="0.15">
      <c r="A237" s="234"/>
      <c r="B237" s="236"/>
      <c r="D237" s="236"/>
      <c r="G237" s="13"/>
      <c r="H237" s="641"/>
    </row>
    <row r="238" spans="1:8" ht="13" x14ac:dyDescent="0.15">
      <c r="A238" s="234"/>
      <c r="B238" s="236"/>
      <c r="D238" s="236"/>
      <c r="G238" s="13"/>
      <c r="H238" s="641"/>
    </row>
    <row r="239" spans="1:8" ht="13" x14ac:dyDescent="0.15">
      <c r="A239" s="234"/>
      <c r="B239" s="236"/>
      <c r="D239" s="236"/>
      <c r="G239" s="13"/>
      <c r="H239" s="641"/>
    </row>
    <row r="240" spans="1:8" ht="13" x14ac:dyDescent="0.15">
      <c r="A240" s="234"/>
      <c r="B240" s="236"/>
      <c r="D240" s="236"/>
      <c r="G240" s="13"/>
      <c r="H240" s="641"/>
    </row>
    <row r="241" spans="1:8" ht="13" x14ac:dyDescent="0.15">
      <c r="A241" s="234"/>
      <c r="B241" s="236"/>
      <c r="D241" s="236"/>
      <c r="G241" s="13"/>
      <c r="H241" s="641"/>
    </row>
    <row r="242" spans="1:8" ht="13" x14ac:dyDescent="0.15">
      <c r="A242" s="234"/>
      <c r="B242" s="236"/>
      <c r="D242" s="236"/>
      <c r="G242" s="13"/>
      <c r="H242" s="641"/>
    </row>
    <row r="243" spans="1:8" ht="13" x14ac:dyDescent="0.15">
      <c r="A243" s="234"/>
      <c r="B243" s="236"/>
      <c r="D243" s="236"/>
      <c r="G243" s="13"/>
      <c r="H243" s="641"/>
    </row>
    <row r="244" spans="1:8" ht="13" x14ac:dyDescent="0.15">
      <c r="A244" s="234"/>
      <c r="B244" s="236"/>
      <c r="D244" s="236"/>
      <c r="G244" s="13"/>
      <c r="H244" s="641"/>
    </row>
    <row r="245" spans="1:8" ht="13" x14ac:dyDescent="0.15">
      <c r="A245" s="234"/>
      <c r="B245" s="236"/>
      <c r="D245" s="236"/>
      <c r="G245" s="13"/>
      <c r="H245" s="641"/>
    </row>
    <row r="246" spans="1:8" ht="13" x14ac:dyDescent="0.15">
      <c r="A246" s="234"/>
      <c r="B246" s="236"/>
      <c r="D246" s="236"/>
      <c r="G246" s="13"/>
      <c r="H246" s="641"/>
    </row>
    <row r="247" spans="1:8" ht="13" x14ac:dyDescent="0.15">
      <c r="A247" s="234"/>
      <c r="B247" s="236"/>
      <c r="D247" s="236"/>
      <c r="G247" s="13"/>
      <c r="H247" s="641"/>
    </row>
    <row r="248" spans="1:8" ht="13" x14ac:dyDescent="0.15">
      <c r="A248" s="234"/>
      <c r="B248" s="236"/>
      <c r="D248" s="236"/>
      <c r="G248" s="13"/>
      <c r="H248" s="641"/>
    </row>
    <row r="249" spans="1:8" ht="13" x14ac:dyDescent="0.15">
      <c r="A249" s="234"/>
      <c r="B249" s="236"/>
      <c r="D249" s="236"/>
      <c r="G249" s="13"/>
      <c r="H249" s="641"/>
    </row>
    <row r="250" spans="1:8" ht="13" x14ac:dyDescent="0.15">
      <c r="A250" s="234"/>
      <c r="B250" s="236"/>
      <c r="D250" s="236"/>
      <c r="G250" s="13"/>
      <c r="H250" s="641"/>
    </row>
    <row r="251" spans="1:8" ht="13" x14ac:dyDescent="0.15">
      <c r="A251" s="234"/>
      <c r="B251" s="236"/>
      <c r="D251" s="236"/>
      <c r="G251" s="13"/>
      <c r="H251" s="641"/>
    </row>
    <row r="252" spans="1:8" ht="13" x14ac:dyDescent="0.15">
      <c r="A252" s="234"/>
      <c r="B252" s="236"/>
      <c r="D252" s="236"/>
      <c r="G252" s="13"/>
      <c r="H252" s="641"/>
    </row>
    <row r="253" spans="1:8" ht="13" x14ac:dyDescent="0.15">
      <c r="A253" s="234"/>
      <c r="B253" s="236"/>
      <c r="D253" s="236"/>
      <c r="G253" s="13"/>
      <c r="H253" s="641"/>
    </row>
    <row r="254" spans="1:8" ht="13" x14ac:dyDescent="0.15">
      <c r="A254" s="234"/>
      <c r="B254" s="236"/>
      <c r="D254" s="236"/>
      <c r="G254" s="13"/>
      <c r="H254" s="641"/>
    </row>
    <row r="255" spans="1:8" ht="13" x14ac:dyDescent="0.15">
      <c r="A255" s="234"/>
      <c r="B255" s="236"/>
      <c r="D255" s="236"/>
      <c r="G255" s="13"/>
      <c r="H255" s="641"/>
    </row>
    <row r="256" spans="1:8" ht="13" x14ac:dyDescent="0.15">
      <c r="A256" s="234"/>
      <c r="B256" s="236"/>
      <c r="D256" s="236"/>
      <c r="G256" s="13"/>
      <c r="H256" s="641"/>
    </row>
    <row r="257" spans="1:8" ht="13" x14ac:dyDescent="0.15">
      <c r="A257" s="234"/>
      <c r="B257" s="236"/>
      <c r="D257" s="236"/>
      <c r="G257" s="13"/>
      <c r="H257" s="641"/>
    </row>
    <row r="258" spans="1:8" ht="13" x14ac:dyDescent="0.15">
      <c r="A258" s="234"/>
      <c r="B258" s="236"/>
      <c r="D258" s="236"/>
      <c r="G258" s="13"/>
      <c r="H258" s="641"/>
    </row>
    <row r="259" spans="1:8" ht="13" x14ac:dyDescent="0.15">
      <c r="A259" s="234"/>
      <c r="B259" s="236"/>
      <c r="D259" s="236"/>
      <c r="G259" s="13"/>
      <c r="H259" s="641"/>
    </row>
    <row r="260" spans="1:8" ht="13" x14ac:dyDescent="0.15">
      <c r="A260" s="234"/>
      <c r="B260" s="236"/>
      <c r="D260" s="236"/>
      <c r="G260" s="13"/>
      <c r="H260" s="641"/>
    </row>
    <row r="261" spans="1:8" ht="13" x14ac:dyDescent="0.15">
      <c r="A261" s="234"/>
      <c r="B261" s="236"/>
      <c r="D261" s="236"/>
      <c r="G261" s="13"/>
      <c r="H261" s="641"/>
    </row>
    <row r="262" spans="1:8" ht="13" x14ac:dyDescent="0.15">
      <c r="A262" s="234"/>
      <c r="B262" s="236"/>
      <c r="D262" s="236"/>
      <c r="G262" s="13"/>
      <c r="H262" s="641"/>
    </row>
    <row r="263" spans="1:8" ht="13" x14ac:dyDescent="0.15">
      <c r="A263" s="234"/>
      <c r="B263" s="236"/>
      <c r="D263" s="236"/>
      <c r="G263" s="13"/>
      <c r="H263" s="641"/>
    </row>
    <row r="264" spans="1:8" ht="13" x14ac:dyDescent="0.15">
      <c r="A264" s="234"/>
      <c r="B264" s="236"/>
      <c r="D264" s="236"/>
      <c r="G264" s="13"/>
      <c r="H264" s="641"/>
    </row>
    <row r="265" spans="1:8" ht="13" x14ac:dyDescent="0.15">
      <c r="A265" s="234"/>
      <c r="B265" s="236"/>
      <c r="D265" s="236"/>
      <c r="G265" s="13"/>
      <c r="H265" s="641"/>
    </row>
    <row r="266" spans="1:8" ht="13" x14ac:dyDescent="0.15">
      <c r="A266" s="234"/>
      <c r="B266" s="236"/>
      <c r="D266" s="236"/>
      <c r="G266" s="13"/>
      <c r="H266" s="641"/>
    </row>
    <row r="267" spans="1:8" ht="13" x14ac:dyDescent="0.15">
      <c r="A267" s="234"/>
      <c r="B267" s="236"/>
      <c r="D267" s="236"/>
      <c r="G267" s="13"/>
      <c r="H267" s="641"/>
    </row>
    <row r="268" spans="1:8" ht="13" x14ac:dyDescent="0.15">
      <c r="A268" s="234"/>
      <c r="B268" s="236"/>
      <c r="D268" s="236"/>
      <c r="G268" s="13"/>
      <c r="H268" s="641"/>
    </row>
    <row r="269" spans="1:8" ht="13" x14ac:dyDescent="0.15">
      <c r="A269" s="234"/>
      <c r="B269" s="236"/>
      <c r="D269" s="236"/>
      <c r="G269" s="13"/>
      <c r="H269" s="641"/>
    </row>
    <row r="270" spans="1:8" ht="13" x14ac:dyDescent="0.15">
      <c r="A270" s="234"/>
      <c r="B270" s="236"/>
      <c r="D270" s="236"/>
      <c r="G270" s="13"/>
      <c r="H270" s="641"/>
    </row>
    <row r="271" spans="1:8" ht="13" x14ac:dyDescent="0.15">
      <c r="A271" s="234"/>
      <c r="B271" s="236"/>
      <c r="D271" s="236"/>
      <c r="G271" s="13"/>
      <c r="H271" s="641"/>
    </row>
    <row r="272" spans="1:8" ht="13" x14ac:dyDescent="0.15">
      <c r="A272" s="234"/>
      <c r="B272" s="236"/>
      <c r="D272" s="236"/>
      <c r="G272" s="13"/>
      <c r="H272" s="641"/>
    </row>
    <row r="273" spans="1:8" ht="13" x14ac:dyDescent="0.15">
      <c r="A273" s="234"/>
      <c r="B273" s="236"/>
      <c r="D273" s="236"/>
      <c r="G273" s="13"/>
      <c r="H273" s="641"/>
    </row>
    <row r="274" spans="1:8" ht="13" x14ac:dyDescent="0.15">
      <c r="A274" s="234"/>
      <c r="B274" s="236"/>
      <c r="D274" s="236"/>
      <c r="G274" s="13"/>
      <c r="H274" s="641"/>
    </row>
    <row r="275" spans="1:8" ht="13" x14ac:dyDescent="0.15">
      <c r="A275" s="234"/>
      <c r="B275" s="236"/>
      <c r="D275" s="236"/>
      <c r="G275" s="13"/>
      <c r="H275" s="641"/>
    </row>
    <row r="276" spans="1:8" ht="13" x14ac:dyDescent="0.15">
      <c r="A276" s="234"/>
      <c r="B276" s="236"/>
      <c r="D276" s="236"/>
      <c r="G276" s="13"/>
      <c r="H276" s="641"/>
    </row>
    <row r="277" spans="1:8" ht="13" x14ac:dyDescent="0.15">
      <c r="A277" s="234"/>
      <c r="B277" s="236"/>
      <c r="D277" s="236"/>
      <c r="G277" s="13"/>
      <c r="H277" s="641"/>
    </row>
    <row r="278" spans="1:8" ht="13" x14ac:dyDescent="0.15">
      <c r="A278" s="234"/>
      <c r="B278" s="236"/>
      <c r="D278" s="236"/>
      <c r="G278" s="13"/>
      <c r="H278" s="641"/>
    </row>
    <row r="279" spans="1:8" ht="13" x14ac:dyDescent="0.15">
      <c r="A279" s="234"/>
      <c r="B279" s="236"/>
      <c r="D279" s="236"/>
      <c r="G279" s="13"/>
      <c r="H279" s="641"/>
    </row>
    <row r="280" spans="1:8" ht="13" x14ac:dyDescent="0.15">
      <c r="A280" s="234"/>
      <c r="B280" s="236"/>
      <c r="D280" s="236"/>
      <c r="G280" s="13"/>
      <c r="H280" s="641"/>
    </row>
    <row r="281" spans="1:8" ht="13" x14ac:dyDescent="0.15">
      <c r="A281" s="234"/>
      <c r="B281" s="236"/>
      <c r="D281" s="236"/>
      <c r="G281" s="13"/>
      <c r="H281" s="641"/>
    </row>
    <row r="282" spans="1:8" ht="13" x14ac:dyDescent="0.15">
      <c r="A282" s="234"/>
      <c r="B282" s="236"/>
      <c r="D282" s="236"/>
      <c r="G282" s="13"/>
      <c r="H282" s="641"/>
    </row>
    <row r="283" spans="1:8" ht="13" x14ac:dyDescent="0.15">
      <c r="A283" s="234"/>
      <c r="B283" s="236"/>
      <c r="D283" s="236"/>
      <c r="G283" s="13"/>
      <c r="H283" s="641"/>
    </row>
    <row r="284" spans="1:8" ht="13" x14ac:dyDescent="0.15">
      <c r="A284" s="234"/>
      <c r="B284" s="236"/>
      <c r="D284" s="236"/>
      <c r="G284" s="13"/>
      <c r="H284" s="641"/>
    </row>
    <row r="285" spans="1:8" ht="13" x14ac:dyDescent="0.15">
      <c r="A285" s="234"/>
      <c r="B285" s="236"/>
      <c r="D285" s="236"/>
      <c r="G285" s="13"/>
      <c r="H285" s="641"/>
    </row>
    <row r="286" spans="1:8" ht="13" x14ac:dyDescent="0.15">
      <c r="A286" s="234"/>
      <c r="B286" s="236"/>
      <c r="D286" s="236"/>
      <c r="G286" s="13"/>
      <c r="H286" s="641"/>
    </row>
    <row r="287" spans="1:8" ht="13" x14ac:dyDescent="0.15">
      <c r="A287" s="234"/>
      <c r="B287" s="236"/>
      <c r="D287" s="236"/>
      <c r="G287" s="13"/>
      <c r="H287" s="641"/>
    </row>
    <row r="288" spans="1:8" ht="13" x14ac:dyDescent="0.15">
      <c r="A288" s="234"/>
      <c r="B288" s="236"/>
      <c r="D288" s="236"/>
      <c r="G288" s="13"/>
      <c r="H288" s="641"/>
    </row>
    <row r="289" spans="1:8" ht="13" x14ac:dyDescent="0.15">
      <c r="A289" s="234"/>
      <c r="B289" s="236"/>
      <c r="D289" s="236"/>
      <c r="G289" s="13"/>
      <c r="H289" s="641"/>
    </row>
    <row r="290" spans="1:8" ht="13" x14ac:dyDescent="0.15">
      <c r="A290" s="234"/>
      <c r="B290" s="236"/>
      <c r="D290" s="236"/>
      <c r="G290" s="13"/>
      <c r="H290" s="641"/>
    </row>
    <row r="291" spans="1:8" ht="13" x14ac:dyDescent="0.15">
      <c r="A291" s="234"/>
      <c r="B291" s="236"/>
      <c r="D291" s="236"/>
      <c r="G291" s="13"/>
      <c r="H291" s="641"/>
    </row>
    <row r="292" spans="1:8" ht="13" x14ac:dyDescent="0.15">
      <c r="A292" s="234"/>
      <c r="B292" s="236"/>
      <c r="D292" s="236"/>
      <c r="G292" s="13"/>
      <c r="H292" s="641"/>
    </row>
    <row r="293" spans="1:8" ht="13" x14ac:dyDescent="0.15">
      <c r="A293" s="234"/>
      <c r="B293" s="236"/>
      <c r="D293" s="236"/>
      <c r="G293" s="13"/>
      <c r="H293" s="641"/>
    </row>
    <row r="294" spans="1:8" ht="13" x14ac:dyDescent="0.15">
      <c r="A294" s="234"/>
      <c r="B294" s="236"/>
      <c r="D294" s="236"/>
      <c r="G294" s="13"/>
      <c r="H294" s="641"/>
    </row>
    <row r="295" spans="1:8" ht="13" x14ac:dyDescent="0.15">
      <c r="A295" s="234"/>
      <c r="B295" s="236"/>
      <c r="D295" s="236"/>
      <c r="G295" s="13"/>
      <c r="H295" s="641"/>
    </row>
    <row r="296" spans="1:8" ht="13" x14ac:dyDescent="0.15">
      <c r="A296" s="234"/>
      <c r="B296" s="236"/>
      <c r="D296" s="236"/>
      <c r="G296" s="13"/>
      <c r="H296" s="641"/>
    </row>
    <row r="297" spans="1:8" ht="13" x14ac:dyDescent="0.15">
      <c r="A297" s="234"/>
      <c r="B297" s="236"/>
      <c r="D297" s="236"/>
      <c r="G297" s="13"/>
      <c r="H297" s="641"/>
    </row>
    <row r="298" spans="1:8" ht="13" x14ac:dyDescent="0.15">
      <c r="A298" s="234"/>
      <c r="B298" s="236"/>
      <c r="D298" s="236"/>
      <c r="G298" s="13"/>
      <c r="H298" s="641"/>
    </row>
    <row r="299" spans="1:8" ht="13" x14ac:dyDescent="0.15">
      <c r="A299" s="234"/>
      <c r="B299" s="236"/>
      <c r="D299" s="236"/>
      <c r="G299" s="13"/>
      <c r="H299" s="641"/>
    </row>
    <row r="300" spans="1:8" ht="13" x14ac:dyDescent="0.15">
      <c r="A300" s="234"/>
      <c r="B300" s="236"/>
      <c r="D300" s="236"/>
      <c r="G300" s="13"/>
      <c r="H300" s="641"/>
    </row>
    <row r="301" spans="1:8" ht="13" x14ac:dyDescent="0.15">
      <c r="A301" s="234"/>
      <c r="B301" s="236"/>
      <c r="D301" s="236"/>
      <c r="G301" s="13"/>
      <c r="H301" s="641"/>
    </row>
    <row r="302" spans="1:8" ht="13" x14ac:dyDescent="0.15">
      <c r="A302" s="234"/>
      <c r="B302" s="236"/>
      <c r="D302" s="236"/>
      <c r="G302" s="13"/>
      <c r="H302" s="641"/>
    </row>
    <row r="303" spans="1:8" ht="13" x14ac:dyDescent="0.15">
      <c r="A303" s="234"/>
      <c r="B303" s="236"/>
      <c r="D303" s="236"/>
      <c r="G303" s="13"/>
      <c r="H303" s="641"/>
    </row>
    <row r="304" spans="1:8" ht="13" x14ac:dyDescent="0.15">
      <c r="A304" s="234"/>
      <c r="B304" s="236"/>
      <c r="D304" s="236"/>
      <c r="G304" s="13"/>
      <c r="H304" s="641"/>
    </row>
    <row r="305" spans="1:8" ht="13" x14ac:dyDescent="0.15">
      <c r="A305" s="234"/>
      <c r="B305" s="236"/>
      <c r="D305" s="236"/>
      <c r="G305" s="13"/>
      <c r="H305" s="641"/>
    </row>
    <row r="306" spans="1:8" ht="13" x14ac:dyDescent="0.15">
      <c r="A306" s="234"/>
      <c r="B306" s="236"/>
      <c r="D306" s="236"/>
      <c r="G306" s="13"/>
      <c r="H306" s="641"/>
    </row>
    <row r="307" spans="1:8" ht="13" x14ac:dyDescent="0.15">
      <c r="A307" s="234"/>
      <c r="B307" s="236"/>
      <c r="D307" s="236"/>
      <c r="G307" s="13"/>
      <c r="H307" s="641"/>
    </row>
    <row r="308" spans="1:8" ht="13" x14ac:dyDescent="0.15">
      <c r="A308" s="234"/>
      <c r="B308" s="236"/>
      <c r="D308" s="236"/>
      <c r="G308" s="13"/>
      <c r="H308" s="641"/>
    </row>
    <row r="309" spans="1:8" ht="13" x14ac:dyDescent="0.15">
      <c r="A309" s="234"/>
      <c r="B309" s="236"/>
      <c r="D309" s="236"/>
      <c r="G309" s="13"/>
      <c r="H309" s="641"/>
    </row>
    <row r="310" spans="1:8" ht="13" x14ac:dyDescent="0.15">
      <c r="A310" s="234"/>
      <c r="B310" s="236"/>
      <c r="D310" s="236"/>
      <c r="G310" s="13"/>
      <c r="H310" s="641"/>
    </row>
    <row r="311" spans="1:8" ht="13" x14ac:dyDescent="0.15">
      <c r="A311" s="234"/>
      <c r="B311" s="236"/>
      <c r="D311" s="236"/>
      <c r="G311" s="13"/>
      <c r="H311" s="641"/>
    </row>
    <row r="312" spans="1:8" ht="13" x14ac:dyDescent="0.15">
      <c r="A312" s="234"/>
      <c r="B312" s="236"/>
      <c r="D312" s="236"/>
      <c r="G312" s="13"/>
      <c r="H312" s="641"/>
    </row>
    <row r="313" spans="1:8" ht="13" x14ac:dyDescent="0.15">
      <c r="A313" s="234"/>
      <c r="B313" s="236"/>
      <c r="D313" s="236"/>
      <c r="G313" s="13"/>
      <c r="H313" s="641"/>
    </row>
    <row r="314" spans="1:8" ht="13" x14ac:dyDescent="0.15">
      <c r="A314" s="234"/>
      <c r="B314" s="236"/>
      <c r="D314" s="236"/>
      <c r="G314" s="13"/>
      <c r="H314" s="641"/>
    </row>
    <row r="315" spans="1:8" ht="13" x14ac:dyDescent="0.15">
      <c r="A315" s="234"/>
      <c r="B315" s="236"/>
      <c r="D315" s="236"/>
      <c r="G315" s="13"/>
      <c r="H315" s="641"/>
    </row>
    <row r="316" spans="1:8" ht="13" x14ac:dyDescent="0.15">
      <c r="A316" s="234"/>
      <c r="B316" s="236"/>
      <c r="D316" s="236"/>
      <c r="G316" s="13"/>
      <c r="H316" s="641"/>
    </row>
    <row r="317" spans="1:8" ht="13" x14ac:dyDescent="0.15">
      <c r="A317" s="234"/>
      <c r="B317" s="236"/>
      <c r="D317" s="236"/>
      <c r="G317" s="13"/>
      <c r="H317" s="641"/>
    </row>
    <row r="318" spans="1:8" ht="13" x14ac:dyDescent="0.15">
      <c r="A318" s="234"/>
      <c r="B318" s="236"/>
      <c r="D318" s="236"/>
      <c r="G318" s="13"/>
      <c r="H318" s="641"/>
    </row>
    <row r="319" spans="1:8" ht="13" x14ac:dyDescent="0.15">
      <c r="A319" s="234"/>
      <c r="B319" s="236"/>
      <c r="D319" s="236"/>
      <c r="G319" s="13"/>
      <c r="H319" s="641"/>
    </row>
    <row r="320" spans="1:8" ht="13" x14ac:dyDescent="0.15">
      <c r="A320" s="234"/>
      <c r="B320" s="236"/>
      <c r="D320" s="236"/>
      <c r="G320" s="13"/>
      <c r="H320" s="641"/>
    </row>
    <row r="321" spans="1:8" ht="13" x14ac:dyDescent="0.15">
      <c r="A321" s="234"/>
      <c r="B321" s="236"/>
      <c r="D321" s="236"/>
      <c r="G321" s="13"/>
      <c r="H321" s="641"/>
    </row>
    <row r="322" spans="1:8" ht="13" x14ac:dyDescent="0.15">
      <c r="A322" s="234"/>
      <c r="B322" s="236"/>
      <c r="D322" s="236"/>
      <c r="G322" s="13"/>
      <c r="H322" s="641"/>
    </row>
    <row r="323" spans="1:8" ht="13" x14ac:dyDescent="0.15">
      <c r="A323" s="234"/>
      <c r="B323" s="236"/>
      <c r="D323" s="236"/>
      <c r="G323" s="13"/>
      <c r="H323" s="641"/>
    </row>
    <row r="324" spans="1:8" ht="13" x14ac:dyDescent="0.15">
      <c r="A324" s="234"/>
      <c r="B324" s="236"/>
      <c r="D324" s="236"/>
      <c r="G324" s="13"/>
      <c r="H324" s="641"/>
    </row>
    <row r="325" spans="1:8" ht="13" x14ac:dyDescent="0.15">
      <c r="A325" s="234"/>
      <c r="B325" s="236"/>
      <c r="D325" s="236"/>
      <c r="G325" s="13"/>
      <c r="H325" s="641"/>
    </row>
    <row r="326" spans="1:8" ht="13" x14ac:dyDescent="0.15">
      <c r="A326" s="234"/>
      <c r="B326" s="236"/>
      <c r="D326" s="236"/>
      <c r="G326" s="13"/>
      <c r="H326" s="641"/>
    </row>
    <row r="327" spans="1:8" ht="13" x14ac:dyDescent="0.15">
      <c r="A327" s="234"/>
      <c r="B327" s="236"/>
      <c r="D327" s="236"/>
      <c r="G327" s="13"/>
      <c r="H327" s="641"/>
    </row>
    <row r="328" spans="1:8" ht="13" x14ac:dyDescent="0.15">
      <c r="A328" s="234"/>
      <c r="B328" s="236"/>
      <c r="D328" s="236"/>
      <c r="G328" s="13"/>
      <c r="H328" s="641"/>
    </row>
    <row r="329" spans="1:8" ht="13" x14ac:dyDescent="0.15">
      <c r="A329" s="234"/>
      <c r="B329" s="236"/>
      <c r="D329" s="236"/>
      <c r="G329" s="13"/>
      <c r="H329" s="641"/>
    </row>
    <row r="330" spans="1:8" ht="13" x14ac:dyDescent="0.15">
      <c r="A330" s="234"/>
      <c r="B330" s="236"/>
      <c r="D330" s="236"/>
      <c r="G330" s="13"/>
      <c r="H330" s="641"/>
    </row>
    <row r="331" spans="1:8" ht="13" x14ac:dyDescent="0.15">
      <c r="A331" s="234"/>
      <c r="B331" s="236"/>
      <c r="D331" s="236"/>
      <c r="G331" s="13"/>
      <c r="H331" s="641"/>
    </row>
    <row r="332" spans="1:8" ht="13" x14ac:dyDescent="0.15">
      <c r="A332" s="234"/>
      <c r="B332" s="236"/>
      <c r="D332" s="236"/>
      <c r="G332" s="13"/>
      <c r="H332" s="641"/>
    </row>
    <row r="333" spans="1:8" ht="13" x14ac:dyDescent="0.15">
      <c r="A333" s="234"/>
      <c r="B333" s="236"/>
      <c r="D333" s="236"/>
      <c r="G333" s="13"/>
      <c r="H333" s="641"/>
    </row>
    <row r="334" spans="1:8" ht="13" x14ac:dyDescent="0.15">
      <c r="A334" s="234"/>
      <c r="B334" s="236"/>
      <c r="D334" s="236"/>
      <c r="G334" s="13"/>
      <c r="H334" s="641"/>
    </row>
    <row r="335" spans="1:8" ht="13" x14ac:dyDescent="0.15">
      <c r="A335" s="234"/>
      <c r="B335" s="236"/>
      <c r="D335" s="236"/>
      <c r="G335" s="13"/>
      <c r="H335" s="641"/>
    </row>
    <row r="336" spans="1:8" ht="13" x14ac:dyDescent="0.15">
      <c r="A336" s="234"/>
      <c r="B336" s="236"/>
      <c r="D336" s="236"/>
      <c r="G336" s="13"/>
      <c r="H336" s="641"/>
    </row>
    <row r="337" spans="1:8" ht="13" x14ac:dyDescent="0.15">
      <c r="A337" s="234"/>
      <c r="B337" s="236"/>
      <c r="D337" s="236"/>
      <c r="G337" s="13"/>
      <c r="H337" s="641"/>
    </row>
    <row r="338" spans="1:8" ht="13" x14ac:dyDescent="0.15">
      <c r="A338" s="234"/>
      <c r="B338" s="236"/>
      <c r="D338" s="236"/>
      <c r="G338" s="13"/>
      <c r="H338" s="641"/>
    </row>
    <row r="339" spans="1:8" ht="13" x14ac:dyDescent="0.15">
      <c r="A339" s="234"/>
      <c r="B339" s="236"/>
      <c r="D339" s="236"/>
      <c r="G339" s="13"/>
      <c r="H339" s="641"/>
    </row>
    <row r="340" spans="1:8" ht="13" x14ac:dyDescent="0.15">
      <c r="A340" s="234"/>
      <c r="B340" s="236"/>
      <c r="D340" s="236"/>
      <c r="G340" s="13"/>
      <c r="H340" s="641"/>
    </row>
    <row r="341" spans="1:8" ht="13" x14ac:dyDescent="0.15">
      <c r="A341" s="234"/>
      <c r="B341" s="236"/>
      <c r="D341" s="236"/>
      <c r="G341" s="13"/>
      <c r="H341" s="641"/>
    </row>
    <row r="342" spans="1:8" ht="13" x14ac:dyDescent="0.15">
      <c r="A342" s="234"/>
      <c r="B342" s="236"/>
      <c r="D342" s="236"/>
      <c r="G342" s="13"/>
      <c r="H342" s="641"/>
    </row>
    <row r="343" spans="1:8" ht="13" x14ac:dyDescent="0.15">
      <c r="A343" s="234"/>
      <c r="B343" s="236"/>
      <c r="D343" s="236"/>
      <c r="G343" s="13"/>
      <c r="H343" s="641"/>
    </row>
    <row r="344" spans="1:8" ht="13" x14ac:dyDescent="0.15">
      <c r="A344" s="234"/>
      <c r="B344" s="236"/>
      <c r="D344" s="236"/>
      <c r="G344" s="13"/>
      <c r="H344" s="641"/>
    </row>
    <row r="345" spans="1:8" ht="13" x14ac:dyDescent="0.15">
      <c r="A345" s="234"/>
      <c r="B345" s="236"/>
      <c r="D345" s="236"/>
      <c r="G345" s="13"/>
      <c r="H345" s="641"/>
    </row>
    <row r="346" spans="1:8" ht="13" x14ac:dyDescent="0.15">
      <c r="A346" s="234"/>
      <c r="B346" s="236"/>
      <c r="D346" s="236"/>
      <c r="G346" s="13"/>
      <c r="H346" s="641"/>
    </row>
    <row r="347" spans="1:8" ht="13" x14ac:dyDescent="0.15">
      <c r="A347" s="234"/>
      <c r="B347" s="236"/>
      <c r="D347" s="236"/>
      <c r="G347" s="13"/>
      <c r="H347" s="641"/>
    </row>
    <row r="348" spans="1:8" ht="13" x14ac:dyDescent="0.15">
      <c r="A348" s="234"/>
      <c r="B348" s="236"/>
      <c r="D348" s="236"/>
      <c r="G348" s="13"/>
      <c r="H348" s="641"/>
    </row>
    <row r="349" spans="1:8" ht="13" x14ac:dyDescent="0.15">
      <c r="A349" s="234"/>
      <c r="B349" s="236"/>
      <c r="D349" s="236"/>
      <c r="G349" s="13"/>
      <c r="H349" s="641"/>
    </row>
    <row r="350" spans="1:8" ht="13" x14ac:dyDescent="0.15">
      <c r="A350" s="234"/>
      <c r="B350" s="236"/>
      <c r="D350" s="236"/>
      <c r="G350" s="13"/>
      <c r="H350" s="641"/>
    </row>
    <row r="351" spans="1:8" ht="13" x14ac:dyDescent="0.15">
      <c r="A351" s="234"/>
      <c r="B351" s="236"/>
      <c r="D351" s="236"/>
      <c r="G351" s="13"/>
      <c r="H351" s="641"/>
    </row>
    <row r="352" spans="1:8" ht="13" x14ac:dyDescent="0.15">
      <c r="A352" s="234"/>
      <c r="B352" s="236"/>
      <c r="D352" s="236"/>
      <c r="G352" s="13"/>
      <c r="H352" s="641"/>
    </row>
    <row r="353" spans="1:8" ht="13" x14ac:dyDescent="0.15">
      <c r="A353" s="234"/>
      <c r="B353" s="236"/>
      <c r="D353" s="236"/>
      <c r="G353" s="13"/>
      <c r="H353" s="641"/>
    </row>
    <row r="354" spans="1:8" ht="13" x14ac:dyDescent="0.15">
      <c r="A354" s="234"/>
      <c r="B354" s="236"/>
      <c r="D354" s="236"/>
      <c r="G354" s="13"/>
      <c r="H354" s="641"/>
    </row>
    <row r="355" spans="1:8" ht="13" x14ac:dyDescent="0.15">
      <c r="A355" s="234"/>
      <c r="B355" s="236"/>
      <c r="D355" s="236"/>
      <c r="G355" s="13"/>
      <c r="H355" s="641"/>
    </row>
    <row r="356" spans="1:8" ht="13" x14ac:dyDescent="0.15">
      <c r="A356" s="234"/>
      <c r="B356" s="236"/>
      <c r="D356" s="236"/>
      <c r="G356" s="13"/>
      <c r="H356" s="641"/>
    </row>
    <row r="357" spans="1:8" ht="13" x14ac:dyDescent="0.15">
      <c r="A357" s="234"/>
      <c r="B357" s="236"/>
      <c r="D357" s="236"/>
      <c r="G357" s="13"/>
      <c r="H357" s="641"/>
    </row>
    <row r="358" spans="1:8" ht="13" x14ac:dyDescent="0.15">
      <c r="A358" s="234"/>
      <c r="B358" s="236"/>
      <c r="D358" s="236"/>
      <c r="G358" s="13"/>
      <c r="H358" s="641"/>
    </row>
    <row r="359" spans="1:8" ht="13" x14ac:dyDescent="0.15">
      <c r="A359" s="234"/>
      <c r="B359" s="236"/>
      <c r="D359" s="236"/>
      <c r="G359" s="13"/>
      <c r="H359" s="641"/>
    </row>
    <row r="360" spans="1:8" ht="13" x14ac:dyDescent="0.15">
      <c r="A360" s="234"/>
      <c r="B360" s="236"/>
      <c r="D360" s="236"/>
      <c r="G360" s="13"/>
      <c r="H360" s="641"/>
    </row>
    <row r="361" spans="1:8" ht="13" x14ac:dyDescent="0.15">
      <c r="A361" s="234"/>
      <c r="B361" s="236"/>
      <c r="D361" s="236"/>
      <c r="G361" s="13"/>
      <c r="H361" s="641"/>
    </row>
    <row r="362" spans="1:8" ht="13" x14ac:dyDescent="0.15">
      <c r="A362" s="234"/>
      <c r="B362" s="236"/>
      <c r="D362" s="236"/>
      <c r="G362" s="13"/>
      <c r="H362" s="641"/>
    </row>
    <row r="363" spans="1:8" ht="13" x14ac:dyDescent="0.15">
      <c r="A363" s="234"/>
      <c r="B363" s="236"/>
      <c r="D363" s="236"/>
      <c r="G363" s="13"/>
      <c r="H363" s="641"/>
    </row>
    <row r="364" spans="1:8" ht="13" x14ac:dyDescent="0.15">
      <c r="A364" s="234"/>
      <c r="B364" s="236"/>
      <c r="D364" s="236"/>
      <c r="G364" s="13"/>
      <c r="H364" s="641"/>
    </row>
    <row r="365" spans="1:8" ht="13" x14ac:dyDescent="0.15">
      <c r="A365" s="234"/>
      <c r="B365" s="236"/>
      <c r="D365" s="236"/>
      <c r="G365" s="13"/>
      <c r="H365" s="641"/>
    </row>
    <row r="366" spans="1:8" ht="13" x14ac:dyDescent="0.15">
      <c r="A366" s="234"/>
      <c r="B366" s="236"/>
      <c r="D366" s="236"/>
      <c r="G366" s="13"/>
      <c r="H366" s="641"/>
    </row>
    <row r="367" spans="1:8" ht="13" x14ac:dyDescent="0.15">
      <c r="A367" s="234"/>
      <c r="B367" s="236"/>
      <c r="D367" s="236"/>
      <c r="G367" s="13"/>
      <c r="H367" s="641"/>
    </row>
    <row r="368" spans="1:8" ht="13" x14ac:dyDescent="0.15">
      <c r="A368" s="234"/>
      <c r="B368" s="236"/>
      <c r="D368" s="236"/>
      <c r="G368" s="13"/>
      <c r="H368" s="641"/>
    </row>
    <row r="369" spans="1:8" ht="13" x14ac:dyDescent="0.15">
      <c r="A369" s="234"/>
      <c r="B369" s="236"/>
      <c r="D369" s="236"/>
      <c r="G369" s="13"/>
      <c r="H369" s="641"/>
    </row>
    <row r="370" spans="1:8" ht="13" x14ac:dyDescent="0.15">
      <c r="A370" s="234"/>
      <c r="B370" s="236"/>
      <c r="D370" s="236"/>
      <c r="G370" s="13"/>
      <c r="H370" s="641"/>
    </row>
    <row r="371" spans="1:8" ht="13" x14ac:dyDescent="0.15">
      <c r="A371" s="234"/>
      <c r="B371" s="236"/>
      <c r="D371" s="236"/>
      <c r="G371" s="13"/>
      <c r="H371" s="641"/>
    </row>
    <row r="372" spans="1:8" ht="13" x14ac:dyDescent="0.15">
      <c r="A372" s="234"/>
      <c r="B372" s="236"/>
      <c r="D372" s="236"/>
      <c r="G372" s="13"/>
      <c r="H372" s="641"/>
    </row>
    <row r="373" spans="1:8" ht="13" x14ac:dyDescent="0.15">
      <c r="A373" s="234"/>
      <c r="B373" s="236"/>
      <c r="D373" s="236"/>
      <c r="G373" s="13"/>
      <c r="H373" s="641"/>
    </row>
    <row r="374" spans="1:8" ht="13" x14ac:dyDescent="0.15">
      <c r="A374" s="234"/>
      <c r="B374" s="236"/>
      <c r="D374" s="236"/>
      <c r="G374" s="13"/>
      <c r="H374" s="641"/>
    </row>
    <row r="375" spans="1:8" ht="13" x14ac:dyDescent="0.15">
      <c r="A375" s="234"/>
      <c r="B375" s="236"/>
      <c r="D375" s="236"/>
      <c r="G375" s="13"/>
      <c r="H375" s="641"/>
    </row>
    <row r="376" spans="1:8" ht="13" x14ac:dyDescent="0.15">
      <c r="A376" s="234"/>
      <c r="B376" s="236"/>
      <c r="D376" s="236"/>
      <c r="G376" s="13"/>
      <c r="H376" s="641"/>
    </row>
    <row r="377" spans="1:8" ht="13" x14ac:dyDescent="0.15">
      <c r="A377" s="234"/>
      <c r="B377" s="236"/>
      <c r="D377" s="236"/>
      <c r="G377" s="13"/>
      <c r="H377" s="641"/>
    </row>
    <row r="378" spans="1:8" ht="13" x14ac:dyDescent="0.15">
      <c r="A378" s="234"/>
      <c r="B378" s="236"/>
      <c r="D378" s="236"/>
      <c r="G378" s="13"/>
      <c r="H378" s="641"/>
    </row>
    <row r="379" spans="1:8" ht="13" x14ac:dyDescent="0.15">
      <c r="A379" s="234"/>
      <c r="B379" s="236"/>
      <c r="D379" s="236"/>
      <c r="G379" s="13"/>
      <c r="H379" s="641"/>
    </row>
    <row r="380" spans="1:8" ht="13" x14ac:dyDescent="0.15">
      <c r="A380" s="234"/>
      <c r="B380" s="236"/>
      <c r="D380" s="236"/>
      <c r="G380" s="13"/>
      <c r="H380" s="641"/>
    </row>
    <row r="381" spans="1:8" ht="13" x14ac:dyDescent="0.15">
      <c r="A381" s="234"/>
      <c r="B381" s="236"/>
      <c r="D381" s="236"/>
      <c r="G381" s="13"/>
      <c r="H381" s="641"/>
    </row>
    <row r="382" spans="1:8" ht="13" x14ac:dyDescent="0.15">
      <c r="A382" s="234"/>
      <c r="B382" s="236"/>
      <c r="D382" s="236"/>
      <c r="G382" s="13"/>
      <c r="H382" s="641"/>
    </row>
    <row r="383" spans="1:8" ht="13" x14ac:dyDescent="0.15">
      <c r="A383" s="234"/>
      <c r="B383" s="236"/>
      <c r="D383" s="236"/>
      <c r="G383" s="13"/>
      <c r="H383" s="641"/>
    </row>
    <row r="384" spans="1:8" ht="13" x14ac:dyDescent="0.15">
      <c r="A384" s="234"/>
      <c r="B384" s="236"/>
      <c r="D384" s="236"/>
      <c r="G384" s="13"/>
      <c r="H384" s="641"/>
    </row>
    <row r="385" spans="1:8" ht="13" x14ac:dyDescent="0.15">
      <c r="A385" s="234"/>
      <c r="B385" s="236"/>
      <c r="D385" s="236"/>
      <c r="G385" s="13"/>
      <c r="H385" s="641"/>
    </row>
    <row r="386" spans="1:8" ht="13" x14ac:dyDescent="0.15">
      <c r="A386" s="234"/>
      <c r="B386" s="236"/>
      <c r="D386" s="236"/>
      <c r="G386" s="13"/>
      <c r="H386" s="641"/>
    </row>
    <row r="387" spans="1:8" ht="13" x14ac:dyDescent="0.15">
      <c r="A387" s="234"/>
      <c r="B387" s="236"/>
      <c r="D387" s="236"/>
      <c r="G387" s="13"/>
      <c r="H387" s="641"/>
    </row>
    <row r="388" spans="1:8" ht="13" x14ac:dyDescent="0.15">
      <c r="A388" s="234"/>
      <c r="B388" s="236"/>
      <c r="D388" s="236"/>
      <c r="G388" s="13"/>
      <c r="H388" s="641"/>
    </row>
    <row r="389" spans="1:8" ht="13" x14ac:dyDescent="0.15">
      <c r="A389" s="234"/>
      <c r="B389" s="236"/>
      <c r="D389" s="236"/>
      <c r="G389" s="13"/>
      <c r="H389" s="641"/>
    </row>
    <row r="390" spans="1:8" ht="13" x14ac:dyDescent="0.15">
      <c r="A390" s="234"/>
      <c r="B390" s="236"/>
      <c r="D390" s="236"/>
      <c r="G390" s="13"/>
      <c r="H390" s="641"/>
    </row>
    <row r="391" spans="1:8" ht="13" x14ac:dyDescent="0.15">
      <c r="A391" s="234"/>
      <c r="B391" s="236"/>
      <c r="D391" s="236"/>
      <c r="G391" s="13"/>
      <c r="H391" s="641"/>
    </row>
    <row r="392" spans="1:8" ht="13" x14ac:dyDescent="0.15">
      <c r="A392" s="234"/>
      <c r="B392" s="236"/>
      <c r="D392" s="236"/>
      <c r="G392" s="13"/>
      <c r="H392" s="641"/>
    </row>
    <row r="393" spans="1:8" ht="13" x14ac:dyDescent="0.15">
      <c r="A393" s="234"/>
      <c r="B393" s="236"/>
      <c r="D393" s="236"/>
      <c r="G393" s="13"/>
      <c r="H393" s="641"/>
    </row>
    <row r="394" spans="1:8" ht="13" x14ac:dyDescent="0.15">
      <c r="A394" s="234"/>
      <c r="B394" s="236"/>
      <c r="D394" s="236"/>
      <c r="G394" s="13"/>
      <c r="H394" s="641"/>
    </row>
    <row r="395" spans="1:8" ht="13" x14ac:dyDescent="0.15">
      <c r="A395" s="234"/>
      <c r="B395" s="236"/>
      <c r="D395" s="236"/>
      <c r="G395" s="13"/>
      <c r="H395" s="641"/>
    </row>
    <row r="396" spans="1:8" ht="13" x14ac:dyDescent="0.15">
      <c r="A396" s="234"/>
      <c r="B396" s="236"/>
      <c r="D396" s="236"/>
      <c r="G396" s="13"/>
      <c r="H396" s="641"/>
    </row>
    <row r="397" spans="1:8" ht="13" x14ac:dyDescent="0.15">
      <c r="A397" s="234"/>
      <c r="B397" s="236"/>
      <c r="D397" s="236"/>
      <c r="G397" s="13"/>
      <c r="H397" s="641"/>
    </row>
    <row r="398" spans="1:8" ht="13" x14ac:dyDescent="0.15">
      <c r="A398" s="234"/>
      <c r="B398" s="236"/>
      <c r="D398" s="236"/>
      <c r="G398" s="13"/>
      <c r="H398" s="641"/>
    </row>
    <row r="399" spans="1:8" ht="13" x14ac:dyDescent="0.15">
      <c r="A399" s="234"/>
      <c r="B399" s="236"/>
      <c r="D399" s="236"/>
      <c r="G399" s="13"/>
      <c r="H399" s="641"/>
    </row>
    <row r="400" spans="1:8" ht="13" x14ac:dyDescent="0.15">
      <c r="A400" s="234"/>
      <c r="B400" s="236"/>
      <c r="D400" s="236"/>
      <c r="G400" s="13"/>
      <c r="H400" s="641"/>
    </row>
    <row r="401" spans="1:8" ht="13" x14ac:dyDescent="0.15">
      <c r="A401" s="234"/>
      <c r="B401" s="236"/>
      <c r="D401" s="236"/>
      <c r="G401" s="13"/>
      <c r="H401" s="641"/>
    </row>
    <row r="402" spans="1:8" ht="13" x14ac:dyDescent="0.15">
      <c r="A402" s="234"/>
      <c r="B402" s="236"/>
      <c r="D402" s="236"/>
      <c r="G402" s="13"/>
      <c r="H402" s="641"/>
    </row>
    <row r="403" spans="1:8" ht="13" x14ac:dyDescent="0.15">
      <c r="A403" s="234"/>
      <c r="B403" s="236"/>
      <c r="D403" s="236"/>
      <c r="G403" s="13"/>
      <c r="H403" s="641"/>
    </row>
    <row r="404" spans="1:8" ht="13" x14ac:dyDescent="0.15">
      <c r="A404" s="234"/>
      <c r="B404" s="236"/>
      <c r="D404" s="236"/>
      <c r="G404" s="13"/>
      <c r="H404" s="641"/>
    </row>
    <row r="405" spans="1:8" ht="13" x14ac:dyDescent="0.15">
      <c r="A405" s="234"/>
      <c r="B405" s="236"/>
      <c r="D405" s="236"/>
      <c r="G405" s="13"/>
      <c r="H405" s="641"/>
    </row>
    <row r="406" spans="1:8" ht="13" x14ac:dyDescent="0.15">
      <c r="A406" s="234"/>
      <c r="B406" s="236"/>
      <c r="D406" s="236"/>
      <c r="G406" s="13"/>
      <c r="H406" s="641"/>
    </row>
    <row r="407" spans="1:8" ht="13" x14ac:dyDescent="0.15">
      <c r="A407" s="234"/>
      <c r="B407" s="236"/>
      <c r="D407" s="236"/>
      <c r="G407" s="13"/>
      <c r="H407" s="641"/>
    </row>
    <row r="408" spans="1:8" ht="13" x14ac:dyDescent="0.15">
      <c r="A408" s="234"/>
      <c r="B408" s="236"/>
      <c r="D408" s="236"/>
      <c r="G408" s="13"/>
      <c r="H408" s="641"/>
    </row>
    <row r="409" spans="1:8" ht="13" x14ac:dyDescent="0.15">
      <c r="A409" s="234"/>
      <c r="B409" s="236"/>
      <c r="D409" s="236"/>
      <c r="G409" s="13"/>
      <c r="H409" s="641"/>
    </row>
    <row r="410" spans="1:8" ht="13" x14ac:dyDescent="0.15">
      <c r="A410" s="234"/>
      <c r="B410" s="236"/>
      <c r="D410" s="236"/>
      <c r="G410" s="13"/>
      <c r="H410" s="641"/>
    </row>
    <row r="411" spans="1:8" ht="13" x14ac:dyDescent="0.15">
      <c r="A411" s="234"/>
      <c r="B411" s="236"/>
      <c r="D411" s="236"/>
      <c r="G411" s="13"/>
      <c r="H411" s="641"/>
    </row>
    <row r="412" spans="1:8" ht="13" x14ac:dyDescent="0.15">
      <c r="A412" s="234"/>
      <c r="B412" s="236"/>
      <c r="D412" s="236"/>
      <c r="G412" s="13"/>
      <c r="H412" s="641"/>
    </row>
    <row r="413" spans="1:8" ht="13" x14ac:dyDescent="0.15">
      <c r="A413" s="234"/>
      <c r="B413" s="236"/>
      <c r="D413" s="236"/>
      <c r="G413" s="13"/>
      <c r="H413" s="641"/>
    </row>
    <row r="414" spans="1:8" ht="13" x14ac:dyDescent="0.15">
      <c r="A414" s="234"/>
      <c r="B414" s="236"/>
      <c r="D414" s="236"/>
      <c r="G414" s="13"/>
      <c r="H414" s="641"/>
    </row>
    <row r="415" spans="1:8" ht="13" x14ac:dyDescent="0.15">
      <c r="A415" s="234"/>
      <c r="B415" s="236"/>
      <c r="D415" s="236"/>
      <c r="G415" s="13"/>
      <c r="H415" s="641"/>
    </row>
    <row r="416" spans="1:8" ht="13" x14ac:dyDescent="0.15">
      <c r="A416" s="234"/>
      <c r="B416" s="236"/>
      <c r="D416" s="236"/>
      <c r="G416" s="13"/>
      <c r="H416" s="641"/>
    </row>
    <row r="417" spans="1:8" ht="13" x14ac:dyDescent="0.15">
      <c r="A417" s="234"/>
      <c r="B417" s="236"/>
      <c r="D417" s="236"/>
      <c r="G417" s="13"/>
      <c r="H417" s="641"/>
    </row>
    <row r="418" spans="1:8" ht="13" x14ac:dyDescent="0.15">
      <c r="A418" s="234"/>
      <c r="B418" s="236"/>
      <c r="D418" s="236"/>
      <c r="G418" s="13"/>
      <c r="H418" s="641"/>
    </row>
    <row r="419" spans="1:8" ht="13" x14ac:dyDescent="0.15">
      <c r="A419" s="234"/>
      <c r="B419" s="236"/>
      <c r="D419" s="236"/>
      <c r="G419" s="13"/>
      <c r="H419" s="641"/>
    </row>
    <row r="420" spans="1:8" ht="13" x14ac:dyDescent="0.15">
      <c r="A420" s="234"/>
      <c r="B420" s="236"/>
      <c r="D420" s="236"/>
      <c r="G420" s="13"/>
      <c r="H420" s="641"/>
    </row>
    <row r="421" spans="1:8" ht="13" x14ac:dyDescent="0.15">
      <c r="A421" s="234"/>
      <c r="B421" s="236"/>
      <c r="D421" s="236"/>
      <c r="G421" s="13"/>
      <c r="H421" s="641"/>
    </row>
    <row r="422" spans="1:8" ht="13" x14ac:dyDescent="0.15">
      <c r="A422" s="234"/>
      <c r="B422" s="236"/>
      <c r="D422" s="236"/>
      <c r="G422" s="13"/>
      <c r="H422" s="641"/>
    </row>
    <row r="423" spans="1:8" ht="13" x14ac:dyDescent="0.15">
      <c r="A423" s="234"/>
      <c r="B423" s="236"/>
      <c r="D423" s="236"/>
      <c r="G423" s="13"/>
      <c r="H423" s="641"/>
    </row>
    <row r="424" spans="1:8" ht="13" x14ac:dyDescent="0.15">
      <c r="A424" s="234"/>
      <c r="B424" s="236"/>
      <c r="D424" s="236"/>
      <c r="G424" s="13"/>
      <c r="H424" s="641"/>
    </row>
    <row r="425" spans="1:8" ht="13" x14ac:dyDescent="0.15">
      <c r="A425" s="234"/>
      <c r="B425" s="236"/>
      <c r="D425" s="236"/>
      <c r="G425" s="13"/>
      <c r="H425" s="641"/>
    </row>
    <row r="426" spans="1:8" ht="13" x14ac:dyDescent="0.15">
      <c r="A426" s="234"/>
      <c r="B426" s="236"/>
      <c r="D426" s="236"/>
      <c r="G426" s="13"/>
      <c r="H426" s="641"/>
    </row>
    <row r="427" spans="1:8" ht="13" x14ac:dyDescent="0.15">
      <c r="A427" s="234"/>
      <c r="B427" s="236"/>
      <c r="D427" s="236"/>
      <c r="G427" s="13"/>
      <c r="H427" s="641"/>
    </row>
    <row r="428" spans="1:8" ht="13" x14ac:dyDescent="0.15">
      <c r="A428" s="234"/>
      <c r="B428" s="236"/>
      <c r="D428" s="236"/>
      <c r="G428" s="13"/>
      <c r="H428" s="641"/>
    </row>
    <row r="429" spans="1:8" ht="13" x14ac:dyDescent="0.15">
      <c r="A429" s="234"/>
      <c r="B429" s="236"/>
      <c r="D429" s="236"/>
      <c r="G429" s="13"/>
      <c r="H429" s="641"/>
    </row>
    <row r="430" spans="1:8" ht="13" x14ac:dyDescent="0.15">
      <c r="A430" s="234"/>
      <c r="B430" s="236"/>
      <c r="D430" s="236"/>
      <c r="G430" s="13"/>
      <c r="H430" s="641"/>
    </row>
    <row r="431" spans="1:8" ht="13" x14ac:dyDescent="0.15">
      <c r="A431" s="234"/>
      <c r="B431" s="236"/>
      <c r="D431" s="236"/>
      <c r="G431" s="13"/>
      <c r="H431" s="641"/>
    </row>
    <row r="432" spans="1:8" ht="13" x14ac:dyDescent="0.15">
      <c r="A432" s="234"/>
      <c r="B432" s="236"/>
      <c r="D432" s="236"/>
      <c r="G432" s="13"/>
      <c r="H432" s="641"/>
    </row>
    <row r="433" spans="1:8" ht="13" x14ac:dyDescent="0.15">
      <c r="A433" s="234"/>
      <c r="B433" s="236"/>
      <c r="D433" s="236"/>
      <c r="G433" s="13"/>
      <c r="H433" s="641"/>
    </row>
    <row r="434" spans="1:8" ht="13" x14ac:dyDescent="0.15">
      <c r="A434" s="234"/>
      <c r="B434" s="236"/>
      <c r="D434" s="236"/>
      <c r="G434" s="13"/>
      <c r="H434" s="641"/>
    </row>
    <row r="435" spans="1:8" ht="13" x14ac:dyDescent="0.15">
      <c r="A435" s="234"/>
      <c r="B435" s="236"/>
      <c r="D435" s="236"/>
      <c r="G435" s="13"/>
      <c r="H435" s="641"/>
    </row>
    <row r="436" spans="1:8" ht="13" x14ac:dyDescent="0.15">
      <c r="A436" s="234"/>
      <c r="B436" s="236"/>
      <c r="D436" s="236"/>
      <c r="G436" s="13"/>
      <c r="H436" s="641"/>
    </row>
    <row r="437" spans="1:8" ht="13" x14ac:dyDescent="0.15">
      <c r="A437" s="234"/>
      <c r="B437" s="236"/>
      <c r="D437" s="236"/>
      <c r="G437" s="13"/>
      <c r="H437" s="641"/>
    </row>
    <row r="438" spans="1:8" ht="13" x14ac:dyDescent="0.15">
      <c r="A438" s="234"/>
      <c r="B438" s="236"/>
      <c r="D438" s="236"/>
      <c r="G438" s="13"/>
      <c r="H438" s="641"/>
    </row>
    <row r="439" spans="1:8" ht="13" x14ac:dyDescent="0.15">
      <c r="A439" s="234"/>
      <c r="B439" s="236"/>
      <c r="D439" s="236"/>
      <c r="G439" s="13"/>
      <c r="H439" s="641"/>
    </row>
    <row r="440" spans="1:8" ht="13" x14ac:dyDescent="0.15">
      <c r="A440" s="234"/>
      <c r="B440" s="236"/>
      <c r="D440" s="236"/>
      <c r="G440" s="13"/>
      <c r="H440" s="641"/>
    </row>
    <row r="441" spans="1:8" ht="13" x14ac:dyDescent="0.15">
      <c r="A441" s="234"/>
      <c r="B441" s="236"/>
      <c r="D441" s="236"/>
      <c r="G441" s="13"/>
      <c r="H441" s="641"/>
    </row>
    <row r="442" spans="1:8" ht="13" x14ac:dyDescent="0.15">
      <c r="A442" s="234"/>
      <c r="B442" s="236"/>
      <c r="D442" s="236"/>
      <c r="G442" s="13"/>
      <c r="H442" s="641"/>
    </row>
    <row r="443" spans="1:8" ht="13" x14ac:dyDescent="0.15">
      <c r="A443" s="234"/>
      <c r="B443" s="236"/>
      <c r="D443" s="236"/>
      <c r="G443" s="13"/>
      <c r="H443" s="641"/>
    </row>
    <row r="444" spans="1:8" ht="13" x14ac:dyDescent="0.15">
      <c r="A444" s="234"/>
      <c r="B444" s="236"/>
      <c r="D444" s="236"/>
      <c r="G444" s="13"/>
      <c r="H444" s="641"/>
    </row>
    <row r="445" spans="1:8" ht="13" x14ac:dyDescent="0.15">
      <c r="A445" s="234"/>
      <c r="B445" s="236"/>
      <c r="D445" s="236"/>
      <c r="G445" s="13"/>
      <c r="H445" s="641"/>
    </row>
    <row r="446" spans="1:8" ht="13" x14ac:dyDescent="0.15">
      <c r="A446" s="234"/>
      <c r="B446" s="236"/>
      <c r="D446" s="236"/>
      <c r="G446" s="13"/>
      <c r="H446" s="641"/>
    </row>
    <row r="447" spans="1:8" ht="13" x14ac:dyDescent="0.15">
      <c r="A447" s="234"/>
      <c r="B447" s="236"/>
      <c r="D447" s="236"/>
      <c r="G447" s="13"/>
      <c r="H447" s="641"/>
    </row>
    <row r="448" spans="1:8" ht="13" x14ac:dyDescent="0.15">
      <c r="A448" s="234"/>
      <c r="B448" s="236"/>
      <c r="D448" s="236"/>
      <c r="G448" s="13"/>
      <c r="H448" s="641"/>
    </row>
    <row r="449" spans="1:8" ht="13" x14ac:dyDescent="0.15">
      <c r="A449" s="234"/>
      <c r="B449" s="236"/>
      <c r="D449" s="236"/>
      <c r="G449" s="13"/>
      <c r="H449" s="641"/>
    </row>
    <row r="450" spans="1:8" ht="13" x14ac:dyDescent="0.15">
      <c r="A450" s="234"/>
      <c r="B450" s="236"/>
      <c r="D450" s="236"/>
      <c r="G450" s="13"/>
      <c r="H450" s="641"/>
    </row>
    <row r="451" spans="1:8" ht="13" x14ac:dyDescent="0.15">
      <c r="A451" s="234"/>
      <c r="B451" s="236"/>
      <c r="D451" s="236"/>
      <c r="G451" s="13"/>
      <c r="H451" s="641"/>
    </row>
    <row r="452" spans="1:8" ht="13" x14ac:dyDescent="0.15">
      <c r="A452" s="234"/>
      <c r="B452" s="236"/>
      <c r="D452" s="236"/>
      <c r="G452" s="13"/>
      <c r="H452" s="641"/>
    </row>
    <row r="453" spans="1:8" ht="13" x14ac:dyDescent="0.15">
      <c r="A453" s="234"/>
      <c r="B453" s="236"/>
      <c r="D453" s="236"/>
      <c r="G453" s="13"/>
      <c r="H453" s="641"/>
    </row>
    <row r="454" spans="1:8" ht="13" x14ac:dyDescent="0.15">
      <c r="A454" s="234"/>
      <c r="B454" s="236"/>
      <c r="D454" s="236"/>
      <c r="G454" s="13"/>
      <c r="H454" s="641"/>
    </row>
    <row r="455" spans="1:8" ht="13" x14ac:dyDescent="0.15">
      <c r="A455" s="234"/>
      <c r="B455" s="236"/>
      <c r="D455" s="236"/>
      <c r="G455" s="13"/>
      <c r="H455" s="641"/>
    </row>
    <row r="456" spans="1:8" ht="13" x14ac:dyDescent="0.15">
      <c r="A456" s="234"/>
      <c r="B456" s="236"/>
      <c r="D456" s="236"/>
      <c r="G456" s="13"/>
      <c r="H456" s="641"/>
    </row>
    <row r="457" spans="1:8" ht="13" x14ac:dyDescent="0.15">
      <c r="A457" s="234"/>
      <c r="B457" s="236"/>
      <c r="D457" s="236"/>
      <c r="G457" s="13"/>
      <c r="H457" s="641"/>
    </row>
    <row r="458" spans="1:8" ht="13" x14ac:dyDescent="0.15">
      <c r="A458" s="234"/>
      <c r="B458" s="236"/>
      <c r="D458" s="236"/>
      <c r="G458" s="13"/>
      <c r="H458" s="641"/>
    </row>
    <row r="459" spans="1:8" ht="13" x14ac:dyDescent="0.15">
      <c r="A459" s="234"/>
      <c r="B459" s="236"/>
      <c r="D459" s="236"/>
      <c r="G459" s="13"/>
      <c r="H459" s="641"/>
    </row>
    <row r="460" spans="1:8" ht="13" x14ac:dyDescent="0.15">
      <c r="A460" s="234"/>
      <c r="B460" s="236"/>
      <c r="D460" s="236"/>
      <c r="G460" s="13"/>
      <c r="H460" s="641"/>
    </row>
    <row r="461" spans="1:8" ht="13" x14ac:dyDescent="0.15">
      <c r="A461" s="234"/>
      <c r="B461" s="236"/>
      <c r="D461" s="236"/>
      <c r="G461" s="13"/>
      <c r="H461" s="641"/>
    </row>
    <row r="462" spans="1:8" ht="13" x14ac:dyDescent="0.15">
      <c r="A462" s="234"/>
      <c r="B462" s="236"/>
      <c r="D462" s="236"/>
      <c r="G462" s="13"/>
      <c r="H462" s="641"/>
    </row>
    <row r="463" spans="1:8" ht="13" x14ac:dyDescent="0.15">
      <c r="A463" s="234"/>
      <c r="B463" s="236"/>
      <c r="D463" s="236"/>
      <c r="G463" s="13"/>
      <c r="H463" s="641"/>
    </row>
    <row r="464" spans="1:8" ht="13" x14ac:dyDescent="0.15">
      <c r="A464" s="234"/>
      <c r="B464" s="236"/>
      <c r="D464" s="236"/>
      <c r="G464" s="13"/>
      <c r="H464" s="641"/>
    </row>
    <row r="465" spans="1:8" ht="13" x14ac:dyDescent="0.15">
      <c r="A465" s="234"/>
      <c r="B465" s="236"/>
      <c r="D465" s="236"/>
      <c r="G465" s="13"/>
      <c r="H465" s="641"/>
    </row>
    <row r="466" spans="1:8" ht="13" x14ac:dyDescent="0.15">
      <c r="A466" s="234"/>
      <c r="B466" s="236"/>
      <c r="D466" s="236"/>
      <c r="G466" s="13"/>
      <c r="H466" s="641"/>
    </row>
    <row r="467" spans="1:8" ht="13" x14ac:dyDescent="0.15">
      <c r="A467" s="234"/>
      <c r="B467" s="236"/>
      <c r="D467" s="236"/>
      <c r="G467" s="13"/>
      <c r="H467" s="641"/>
    </row>
    <row r="468" spans="1:8" ht="13" x14ac:dyDescent="0.15">
      <c r="A468" s="234"/>
      <c r="B468" s="236"/>
      <c r="D468" s="236"/>
      <c r="G468" s="13"/>
      <c r="H468" s="641"/>
    </row>
    <row r="469" spans="1:8" ht="13" x14ac:dyDescent="0.15">
      <c r="A469" s="234"/>
      <c r="B469" s="236"/>
      <c r="D469" s="236"/>
      <c r="G469" s="13"/>
      <c r="H469" s="641"/>
    </row>
    <row r="470" spans="1:8" ht="13" x14ac:dyDescent="0.15">
      <c r="A470" s="234"/>
      <c r="B470" s="236"/>
      <c r="D470" s="236"/>
      <c r="G470" s="13"/>
      <c r="H470" s="641"/>
    </row>
    <row r="471" spans="1:8" ht="13" x14ac:dyDescent="0.15">
      <c r="A471" s="234"/>
      <c r="B471" s="236"/>
      <c r="D471" s="236"/>
      <c r="G471" s="13"/>
      <c r="H471" s="641"/>
    </row>
    <row r="472" spans="1:8" ht="13" x14ac:dyDescent="0.15">
      <c r="A472" s="234"/>
      <c r="B472" s="236"/>
      <c r="D472" s="236"/>
      <c r="G472" s="13"/>
      <c r="H472" s="641"/>
    </row>
    <row r="473" spans="1:8" ht="13" x14ac:dyDescent="0.15">
      <c r="A473" s="234"/>
      <c r="B473" s="236"/>
      <c r="D473" s="236"/>
      <c r="G473" s="13"/>
      <c r="H473" s="641"/>
    </row>
    <row r="474" spans="1:8" ht="13" x14ac:dyDescent="0.15">
      <c r="A474" s="234"/>
      <c r="B474" s="236"/>
      <c r="D474" s="236"/>
      <c r="G474" s="13"/>
      <c r="H474" s="641"/>
    </row>
    <row r="475" spans="1:8" ht="13" x14ac:dyDescent="0.15">
      <c r="A475" s="234"/>
      <c r="B475" s="236"/>
      <c r="D475" s="236"/>
      <c r="G475" s="13"/>
      <c r="H475" s="641"/>
    </row>
    <row r="476" spans="1:8" ht="13" x14ac:dyDescent="0.15">
      <c r="A476" s="234"/>
      <c r="B476" s="236"/>
      <c r="D476" s="236"/>
      <c r="G476" s="13"/>
      <c r="H476" s="641"/>
    </row>
    <row r="477" spans="1:8" ht="13" x14ac:dyDescent="0.15">
      <c r="A477" s="234"/>
      <c r="B477" s="236"/>
      <c r="D477" s="236"/>
      <c r="G477" s="13"/>
      <c r="H477" s="641"/>
    </row>
    <row r="478" spans="1:8" ht="13" x14ac:dyDescent="0.15">
      <c r="A478" s="234"/>
      <c r="B478" s="236"/>
      <c r="D478" s="236"/>
      <c r="G478" s="13"/>
      <c r="H478" s="641"/>
    </row>
    <row r="479" spans="1:8" ht="13" x14ac:dyDescent="0.15">
      <c r="A479" s="234"/>
      <c r="B479" s="236"/>
      <c r="D479" s="236"/>
      <c r="G479" s="13"/>
      <c r="H479" s="641"/>
    </row>
    <row r="480" spans="1:8" ht="13" x14ac:dyDescent="0.15">
      <c r="A480" s="234"/>
      <c r="B480" s="236"/>
      <c r="D480" s="236"/>
      <c r="G480" s="13"/>
      <c r="H480" s="641"/>
    </row>
    <row r="481" spans="1:8" ht="13" x14ac:dyDescent="0.15">
      <c r="A481" s="234"/>
      <c r="B481" s="236"/>
      <c r="D481" s="236"/>
      <c r="G481" s="13"/>
      <c r="H481" s="641"/>
    </row>
    <row r="482" spans="1:8" ht="13" x14ac:dyDescent="0.15">
      <c r="A482" s="234"/>
      <c r="B482" s="236"/>
      <c r="D482" s="236"/>
      <c r="G482" s="13"/>
      <c r="H482" s="641"/>
    </row>
    <row r="483" spans="1:8" ht="13" x14ac:dyDescent="0.15">
      <c r="A483" s="234"/>
      <c r="B483" s="236"/>
      <c r="D483" s="236"/>
      <c r="G483" s="13"/>
      <c r="H483" s="641"/>
    </row>
    <row r="484" spans="1:8" ht="13" x14ac:dyDescent="0.15">
      <c r="A484" s="234"/>
      <c r="B484" s="236"/>
      <c r="D484" s="236"/>
      <c r="G484" s="13"/>
      <c r="H484" s="641"/>
    </row>
    <row r="485" spans="1:8" ht="13" x14ac:dyDescent="0.15">
      <c r="A485" s="234"/>
      <c r="B485" s="236"/>
      <c r="D485" s="236"/>
      <c r="G485" s="13"/>
      <c r="H485" s="641"/>
    </row>
    <row r="486" spans="1:8" ht="13" x14ac:dyDescent="0.15">
      <c r="A486" s="234"/>
      <c r="B486" s="236"/>
      <c r="D486" s="236"/>
      <c r="G486" s="13"/>
      <c r="H486" s="641"/>
    </row>
    <row r="487" spans="1:8" ht="13" x14ac:dyDescent="0.15">
      <c r="A487" s="234"/>
      <c r="B487" s="236"/>
      <c r="D487" s="236"/>
      <c r="G487" s="13"/>
      <c r="H487" s="641"/>
    </row>
    <row r="488" spans="1:8" ht="13" x14ac:dyDescent="0.15">
      <c r="A488" s="234"/>
      <c r="B488" s="236"/>
      <c r="D488" s="236"/>
      <c r="G488" s="13"/>
      <c r="H488" s="641"/>
    </row>
    <row r="489" spans="1:8" ht="13" x14ac:dyDescent="0.15">
      <c r="A489" s="234"/>
      <c r="B489" s="236"/>
      <c r="D489" s="236"/>
      <c r="G489" s="13"/>
      <c r="H489" s="641"/>
    </row>
    <row r="490" spans="1:8" ht="13" x14ac:dyDescent="0.15">
      <c r="A490" s="234"/>
      <c r="B490" s="236"/>
      <c r="D490" s="236"/>
      <c r="G490" s="13"/>
      <c r="H490" s="641"/>
    </row>
    <row r="491" spans="1:8" ht="13" x14ac:dyDescent="0.15">
      <c r="A491" s="234"/>
      <c r="B491" s="236"/>
      <c r="D491" s="236"/>
      <c r="G491" s="13"/>
      <c r="H491" s="641"/>
    </row>
    <row r="492" spans="1:8" ht="13" x14ac:dyDescent="0.15">
      <c r="A492" s="234"/>
      <c r="B492" s="236"/>
      <c r="D492" s="236"/>
      <c r="G492" s="13"/>
      <c r="H492" s="641"/>
    </row>
    <row r="493" spans="1:8" ht="13" x14ac:dyDescent="0.15">
      <c r="A493" s="234"/>
      <c r="B493" s="236"/>
      <c r="D493" s="236"/>
      <c r="G493" s="13"/>
      <c r="H493" s="641"/>
    </row>
    <row r="494" spans="1:8" ht="13" x14ac:dyDescent="0.15">
      <c r="A494" s="234"/>
      <c r="B494" s="236"/>
      <c r="D494" s="236"/>
      <c r="G494" s="13"/>
      <c r="H494" s="641"/>
    </row>
    <row r="495" spans="1:8" ht="13" x14ac:dyDescent="0.15">
      <c r="A495" s="234"/>
      <c r="B495" s="236"/>
      <c r="D495" s="236"/>
      <c r="G495" s="13"/>
      <c r="H495" s="641"/>
    </row>
    <row r="496" spans="1:8" ht="13" x14ac:dyDescent="0.15">
      <c r="A496" s="234"/>
      <c r="B496" s="236"/>
      <c r="D496" s="236"/>
      <c r="G496" s="13"/>
      <c r="H496" s="641"/>
    </row>
    <row r="497" spans="1:8" ht="13" x14ac:dyDescent="0.15">
      <c r="A497" s="234"/>
      <c r="B497" s="236"/>
      <c r="D497" s="236"/>
      <c r="G497" s="13"/>
      <c r="H497" s="641"/>
    </row>
    <row r="498" spans="1:8" ht="13" x14ac:dyDescent="0.15">
      <c r="A498" s="234"/>
      <c r="B498" s="236"/>
      <c r="D498" s="236"/>
      <c r="G498" s="13"/>
      <c r="H498" s="641"/>
    </row>
    <row r="499" spans="1:8" ht="13" x14ac:dyDescent="0.15">
      <c r="A499" s="234"/>
      <c r="B499" s="236"/>
      <c r="D499" s="236"/>
      <c r="G499" s="13"/>
      <c r="H499" s="641"/>
    </row>
    <row r="500" spans="1:8" ht="13" x14ac:dyDescent="0.15">
      <c r="A500" s="234"/>
      <c r="B500" s="236"/>
      <c r="D500" s="236"/>
      <c r="G500" s="13"/>
      <c r="H500" s="641"/>
    </row>
    <row r="501" spans="1:8" ht="13" x14ac:dyDescent="0.15">
      <c r="A501" s="234"/>
      <c r="B501" s="236"/>
      <c r="D501" s="236"/>
      <c r="G501" s="13"/>
      <c r="H501" s="641"/>
    </row>
    <row r="502" spans="1:8" ht="13" x14ac:dyDescent="0.15">
      <c r="A502" s="234"/>
      <c r="B502" s="236"/>
      <c r="D502" s="236"/>
      <c r="G502" s="13"/>
      <c r="H502" s="641"/>
    </row>
    <row r="503" spans="1:8" ht="13" x14ac:dyDescent="0.15">
      <c r="A503" s="234"/>
      <c r="B503" s="236"/>
      <c r="D503" s="236"/>
      <c r="G503" s="13"/>
      <c r="H503" s="641"/>
    </row>
    <row r="504" spans="1:8" ht="13" x14ac:dyDescent="0.15">
      <c r="A504" s="234"/>
      <c r="B504" s="236"/>
      <c r="D504" s="236"/>
      <c r="G504" s="13"/>
      <c r="H504" s="641"/>
    </row>
    <row r="505" spans="1:8" ht="13" x14ac:dyDescent="0.15">
      <c r="A505" s="234"/>
      <c r="B505" s="236"/>
      <c r="D505" s="236"/>
      <c r="G505" s="13"/>
      <c r="H505" s="641"/>
    </row>
    <row r="506" spans="1:8" ht="13" x14ac:dyDescent="0.15">
      <c r="A506" s="234"/>
      <c r="B506" s="236"/>
      <c r="D506" s="236"/>
      <c r="G506" s="13"/>
      <c r="H506" s="641"/>
    </row>
    <row r="507" spans="1:8" ht="13" x14ac:dyDescent="0.15">
      <c r="A507" s="234"/>
      <c r="B507" s="236"/>
      <c r="D507" s="236"/>
      <c r="G507" s="13"/>
      <c r="H507" s="641"/>
    </row>
    <row r="508" spans="1:8" ht="13" x14ac:dyDescent="0.15">
      <c r="A508" s="234"/>
      <c r="B508" s="236"/>
      <c r="D508" s="236"/>
      <c r="G508" s="13"/>
      <c r="H508" s="641"/>
    </row>
    <row r="509" spans="1:8" ht="13" x14ac:dyDescent="0.15">
      <c r="A509" s="234"/>
      <c r="B509" s="236"/>
      <c r="D509" s="236"/>
      <c r="G509" s="13"/>
      <c r="H509" s="641"/>
    </row>
    <row r="510" spans="1:8" ht="13" x14ac:dyDescent="0.15">
      <c r="A510" s="234"/>
      <c r="B510" s="236"/>
      <c r="D510" s="236"/>
      <c r="G510" s="13"/>
      <c r="H510" s="641"/>
    </row>
    <row r="511" spans="1:8" ht="13" x14ac:dyDescent="0.15">
      <c r="A511" s="234"/>
      <c r="B511" s="236"/>
      <c r="D511" s="236"/>
      <c r="G511" s="13"/>
      <c r="H511" s="641"/>
    </row>
    <row r="512" spans="1:8" ht="13" x14ac:dyDescent="0.15">
      <c r="A512" s="234"/>
      <c r="B512" s="236"/>
      <c r="D512" s="236"/>
      <c r="G512" s="13"/>
      <c r="H512" s="641"/>
    </row>
    <row r="513" spans="1:8" ht="13" x14ac:dyDescent="0.15">
      <c r="A513" s="234"/>
      <c r="B513" s="236"/>
      <c r="D513" s="236"/>
      <c r="G513" s="13"/>
      <c r="H513" s="641"/>
    </row>
    <row r="514" spans="1:8" ht="13" x14ac:dyDescent="0.15">
      <c r="A514" s="234"/>
      <c r="B514" s="236"/>
      <c r="D514" s="236"/>
      <c r="G514" s="13"/>
      <c r="H514" s="641"/>
    </row>
    <row r="515" spans="1:8" ht="13" x14ac:dyDescent="0.15">
      <c r="A515" s="234"/>
      <c r="B515" s="236"/>
      <c r="D515" s="236"/>
      <c r="G515" s="13"/>
      <c r="H515" s="641"/>
    </row>
    <row r="516" spans="1:8" ht="13" x14ac:dyDescent="0.15">
      <c r="A516" s="234"/>
      <c r="B516" s="236"/>
      <c r="D516" s="236"/>
      <c r="G516" s="13"/>
      <c r="H516" s="641"/>
    </row>
    <row r="517" spans="1:8" ht="13" x14ac:dyDescent="0.15">
      <c r="A517" s="234"/>
      <c r="B517" s="236"/>
      <c r="D517" s="236"/>
      <c r="G517" s="13"/>
      <c r="H517" s="641"/>
    </row>
    <row r="518" spans="1:8" ht="13" x14ac:dyDescent="0.15">
      <c r="A518" s="234"/>
      <c r="B518" s="236"/>
      <c r="D518" s="236"/>
      <c r="G518" s="13"/>
      <c r="H518" s="641"/>
    </row>
    <row r="519" spans="1:8" ht="13" x14ac:dyDescent="0.15">
      <c r="A519" s="234"/>
      <c r="B519" s="236"/>
      <c r="D519" s="236"/>
      <c r="G519" s="13"/>
      <c r="H519" s="641"/>
    </row>
    <row r="520" spans="1:8" ht="13" x14ac:dyDescent="0.15">
      <c r="A520" s="234"/>
      <c r="B520" s="236"/>
      <c r="D520" s="236"/>
      <c r="G520" s="13"/>
      <c r="H520" s="641"/>
    </row>
    <row r="521" spans="1:8" ht="13" x14ac:dyDescent="0.15">
      <c r="A521" s="234"/>
      <c r="B521" s="236"/>
      <c r="D521" s="236"/>
      <c r="G521" s="13"/>
      <c r="H521" s="641"/>
    </row>
    <row r="522" spans="1:8" ht="13" x14ac:dyDescent="0.15">
      <c r="A522" s="234"/>
      <c r="B522" s="236"/>
      <c r="D522" s="236"/>
      <c r="G522" s="13"/>
      <c r="H522" s="641"/>
    </row>
    <row r="523" spans="1:8" ht="13" x14ac:dyDescent="0.15">
      <c r="A523" s="234"/>
      <c r="B523" s="236"/>
      <c r="D523" s="236"/>
      <c r="G523" s="13"/>
      <c r="H523" s="641"/>
    </row>
    <row r="524" spans="1:8" ht="13" x14ac:dyDescent="0.15">
      <c r="A524" s="234"/>
      <c r="B524" s="236"/>
      <c r="D524" s="236"/>
      <c r="G524" s="13"/>
      <c r="H524" s="641"/>
    </row>
    <row r="525" spans="1:8" ht="13" x14ac:dyDescent="0.15">
      <c r="A525" s="234"/>
      <c r="B525" s="236"/>
      <c r="D525" s="236"/>
      <c r="G525" s="13"/>
      <c r="H525" s="641"/>
    </row>
    <row r="526" spans="1:8" ht="13" x14ac:dyDescent="0.15">
      <c r="A526" s="234"/>
      <c r="B526" s="236"/>
      <c r="D526" s="236"/>
      <c r="G526" s="13"/>
      <c r="H526" s="641"/>
    </row>
    <row r="527" spans="1:8" ht="13" x14ac:dyDescent="0.15">
      <c r="A527" s="234"/>
      <c r="B527" s="236"/>
      <c r="D527" s="236"/>
      <c r="G527" s="13"/>
      <c r="H527" s="641"/>
    </row>
    <row r="528" spans="1:8" ht="13" x14ac:dyDescent="0.15">
      <c r="A528" s="234"/>
      <c r="B528" s="236"/>
      <c r="D528" s="236"/>
      <c r="G528" s="13"/>
      <c r="H528" s="641"/>
    </row>
    <row r="529" spans="1:8" ht="13" x14ac:dyDescent="0.15">
      <c r="A529" s="234"/>
      <c r="B529" s="236"/>
      <c r="D529" s="236"/>
      <c r="G529" s="13"/>
      <c r="H529" s="641"/>
    </row>
    <row r="530" spans="1:8" ht="13" x14ac:dyDescent="0.15">
      <c r="A530" s="234"/>
      <c r="B530" s="236"/>
      <c r="D530" s="236"/>
      <c r="G530" s="13"/>
      <c r="H530" s="641"/>
    </row>
    <row r="531" spans="1:8" ht="13" x14ac:dyDescent="0.15">
      <c r="A531" s="234"/>
      <c r="B531" s="236"/>
      <c r="D531" s="236"/>
      <c r="G531" s="13"/>
      <c r="H531" s="641"/>
    </row>
    <row r="532" spans="1:8" ht="13" x14ac:dyDescent="0.15">
      <c r="A532" s="234"/>
      <c r="B532" s="236"/>
      <c r="D532" s="236"/>
      <c r="G532" s="13"/>
      <c r="H532" s="641"/>
    </row>
    <row r="533" spans="1:8" ht="13" x14ac:dyDescent="0.15">
      <c r="A533" s="234"/>
      <c r="B533" s="236"/>
      <c r="D533" s="236"/>
      <c r="G533" s="13"/>
      <c r="H533" s="641"/>
    </row>
    <row r="534" spans="1:8" ht="13" x14ac:dyDescent="0.15">
      <c r="A534" s="234"/>
      <c r="B534" s="236"/>
      <c r="D534" s="236"/>
      <c r="G534" s="13"/>
      <c r="H534" s="641"/>
    </row>
    <row r="535" spans="1:8" ht="13" x14ac:dyDescent="0.15">
      <c r="A535" s="234"/>
      <c r="B535" s="236"/>
      <c r="D535" s="236"/>
      <c r="G535" s="13"/>
      <c r="H535" s="641"/>
    </row>
    <row r="536" spans="1:8" ht="13" x14ac:dyDescent="0.15">
      <c r="A536" s="234"/>
      <c r="B536" s="236"/>
      <c r="D536" s="236"/>
      <c r="G536" s="13"/>
      <c r="H536" s="641"/>
    </row>
    <row r="537" spans="1:8" ht="13" x14ac:dyDescent="0.15">
      <c r="A537" s="234"/>
      <c r="B537" s="236"/>
      <c r="D537" s="236"/>
      <c r="G537" s="13"/>
      <c r="H537" s="641"/>
    </row>
    <row r="538" spans="1:8" ht="13" x14ac:dyDescent="0.15">
      <c r="A538" s="234"/>
      <c r="B538" s="236"/>
      <c r="D538" s="236"/>
      <c r="G538" s="13"/>
      <c r="H538" s="641"/>
    </row>
    <row r="539" spans="1:8" ht="13" x14ac:dyDescent="0.15">
      <c r="A539" s="234"/>
      <c r="B539" s="236"/>
      <c r="D539" s="236"/>
      <c r="G539" s="13"/>
      <c r="H539" s="641"/>
    </row>
    <row r="540" spans="1:8" ht="13" x14ac:dyDescent="0.15">
      <c r="A540" s="234"/>
      <c r="B540" s="236"/>
      <c r="D540" s="236"/>
      <c r="G540" s="13"/>
      <c r="H540" s="641"/>
    </row>
    <row r="541" spans="1:8" ht="13" x14ac:dyDescent="0.15">
      <c r="A541" s="234"/>
      <c r="B541" s="236"/>
      <c r="D541" s="236"/>
      <c r="G541" s="13"/>
      <c r="H541" s="641"/>
    </row>
    <row r="542" spans="1:8" ht="13" x14ac:dyDescent="0.15">
      <c r="A542" s="234"/>
      <c r="B542" s="236"/>
      <c r="D542" s="236"/>
      <c r="G542" s="13"/>
      <c r="H542" s="641"/>
    </row>
    <row r="543" spans="1:8" ht="13" x14ac:dyDescent="0.15">
      <c r="A543" s="234"/>
      <c r="B543" s="236"/>
      <c r="D543" s="236"/>
      <c r="G543" s="13"/>
      <c r="H543" s="641"/>
    </row>
    <row r="544" spans="1:8" ht="13" x14ac:dyDescent="0.15">
      <c r="A544" s="234"/>
      <c r="B544" s="236"/>
      <c r="D544" s="236"/>
      <c r="G544" s="13"/>
      <c r="H544" s="641"/>
    </row>
    <row r="545" spans="1:8" ht="13" x14ac:dyDescent="0.15">
      <c r="A545" s="234"/>
      <c r="B545" s="236"/>
      <c r="D545" s="236"/>
      <c r="G545" s="13"/>
      <c r="H545" s="641"/>
    </row>
    <row r="546" spans="1:8" ht="13" x14ac:dyDescent="0.15">
      <c r="A546" s="234"/>
      <c r="B546" s="236"/>
      <c r="D546" s="236"/>
      <c r="G546" s="13"/>
      <c r="H546" s="641"/>
    </row>
    <row r="547" spans="1:8" ht="13" x14ac:dyDescent="0.15">
      <c r="A547" s="234"/>
      <c r="B547" s="236"/>
      <c r="D547" s="236"/>
      <c r="G547" s="13"/>
      <c r="H547" s="641"/>
    </row>
    <row r="548" spans="1:8" ht="13" x14ac:dyDescent="0.15">
      <c r="A548" s="234"/>
      <c r="B548" s="236"/>
      <c r="D548" s="236"/>
      <c r="G548" s="13"/>
      <c r="H548" s="641"/>
    </row>
    <row r="549" spans="1:8" ht="13" x14ac:dyDescent="0.15">
      <c r="A549" s="234"/>
      <c r="B549" s="236"/>
      <c r="D549" s="236"/>
      <c r="G549" s="13"/>
      <c r="H549" s="641"/>
    </row>
    <row r="550" spans="1:8" ht="13" x14ac:dyDescent="0.15">
      <c r="A550" s="234"/>
      <c r="B550" s="236"/>
      <c r="D550" s="236"/>
      <c r="G550" s="13"/>
      <c r="H550" s="641"/>
    </row>
    <row r="551" spans="1:8" ht="13" x14ac:dyDescent="0.15">
      <c r="A551" s="234"/>
      <c r="B551" s="236"/>
      <c r="D551" s="236"/>
      <c r="G551" s="13"/>
      <c r="H551" s="641"/>
    </row>
    <row r="552" spans="1:8" ht="13" x14ac:dyDescent="0.15">
      <c r="A552" s="234"/>
      <c r="B552" s="236"/>
      <c r="D552" s="236"/>
      <c r="G552" s="13"/>
      <c r="H552" s="641"/>
    </row>
    <row r="553" spans="1:8" ht="13" x14ac:dyDescent="0.15">
      <c r="A553" s="234"/>
      <c r="B553" s="236"/>
      <c r="D553" s="236"/>
      <c r="G553" s="13"/>
      <c r="H553" s="641"/>
    </row>
    <row r="554" spans="1:8" ht="13" x14ac:dyDescent="0.15">
      <c r="A554" s="234"/>
      <c r="B554" s="236"/>
      <c r="D554" s="236"/>
      <c r="G554" s="13"/>
      <c r="H554" s="641"/>
    </row>
    <row r="555" spans="1:8" ht="13" x14ac:dyDescent="0.15">
      <c r="A555" s="234"/>
      <c r="B555" s="236"/>
      <c r="D555" s="236"/>
      <c r="G555" s="13"/>
      <c r="H555" s="641"/>
    </row>
    <row r="556" spans="1:8" ht="13" x14ac:dyDescent="0.15">
      <c r="A556" s="234"/>
      <c r="B556" s="236"/>
      <c r="D556" s="236"/>
      <c r="G556" s="13"/>
      <c r="H556" s="641"/>
    </row>
    <row r="557" spans="1:8" ht="13" x14ac:dyDescent="0.15">
      <c r="A557" s="234"/>
      <c r="B557" s="236"/>
      <c r="D557" s="236"/>
      <c r="G557" s="13"/>
      <c r="H557" s="641"/>
    </row>
    <row r="558" spans="1:8" ht="13" x14ac:dyDescent="0.15">
      <c r="A558" s="234"/>
      <c r="B558" s="236"/>
      <c r="D558" s="236"/>
      <c r="G558" s="13"/>
      <c r="H558" s="641"/>
    </row>
    <row r="559" spans="1:8" ht="13" x14ac:dyDescent="0.15">
      <c r="A559" s="234"/>
      <c r="B559" s="236"/>
      <c r="D559" s="236"/>
      <c r="G559" s="13"/>
      <c r="H559" s="641"/>
    </row>
    <row r="560" spans="1:8" ht="13" x14ac:dyDescent="0.15">
      <c r="A560" s="234"/>
      <c r="B560" s="236"/>
      <c r="D560" s="236"/>
      <c r="G560" s="13"/>
      <c r="H560" s="641"/>
    </row>
    <row r="561" spans="1:8" ht="13" x14ac:dyDescent="0.15">
      <c r="A561" s="234"/>
      <c r="B561" s="236"/>
      <c r="D561" s="236"/>
      <c r="G561" s="13"/>
      <c r="H561" s="641"/>
    </row>
    <row r="562" spans="1:8" ht="13" x14ac:dyDescent="0.15">
      <c r="A562" s="234"/>
      <c r="B562" s="236"/>
      <c r="D562" s="236"/>
      <c r="G562" s="13"/>
      <c r="H562" s="641"/>
    </row>
    <row r="563" spans="1:8" ht="13" x14ac:dyDescent="0.15">
      <c r="A563" s="234"/>
      <c r="B563" s="236"/>
      <c r="D563" s="236"/>
      <c r="G563" s="13"/>
      <c r="H563" s="641"/>
    </row>
    <row r="564" spans="1:8" ht="13" x14ac:dyDescent="0.15">
      <c r="A564" s="234"/>
      <c r="B564" s="236"/>
      <c r="D564" s="236"/>
      <c r="G564" s="13"/>
      <c r="H564" s="641"/>
    </row>
    <row r="565" spans="1:8" ht="13" x14ac:dyDescent="0.15">
      <c r="A565" s="234"/>
      <c r="B565" s="236"/>
      <c r="D565" s="236"/>
      <c r="G565" s="13"/>
      <c r="H565" s="641"/>
    </row>
    <row r="566" spans="1:8" ht="13" x14ac:dyDescent="0.15">
      <c r="A566" s="234"/>
      <c r="B566" s="236"/>
      <c r="D566" s="236"/>
      <c r="G566" s="13"/>
      <c r="H566" s="641"/>
    </row>
    <row r="567" spans="1:8" ht="13" x14ac:dyDescent="0.15">
      <c r="A567" s="234"/>
      <c r="B567" s="236"/>
      <c r="D567" s="236"/>
      <c r="G567" s="13"/>
      <c r="H567" s="641"/>
    </row>
    <row r="568" spans="1:8" ht="13" x14ac:dyDescent="0.15">
      <c r="A568" s="234"/>
      <c r="B568" s="236"/>
      <c r="D568" s="236"/>
      <c r="G568" s="13"/>
      <c r="H568" s="641"/>
    </row>
    <row r="569" spans="1:8" ht="13" x14ac:dyDescent="0.15">
      <c r="A569" s="234"/>
      <c r="B569" s="236"/>
      <c r="D569" s="236"/>
      <c r="G569" s="13"/>
      <c r="H569" s="641"/>
    </row>
    <row r="570" spans="1:8" ht="13" x14ac:dyDescent="0.15">
      <c r="A570" s="234"/>
      <c r="B570" s="236"/>
      <c r="D570" s="236"/>
      <c r="G570" s="13"/>
      <c r="H570" s="641"/>
    </row>
    <row r="571" spans="1:8" ht="13" x14ac:dyDescent="0.15">
      <c r="A571" s="234"/>
      <c r="B571" s="236"/>
      <c r="D571" s="236"/>
      <c r="G571" s="13"/>
      <c r="H571" s="641"/>
    </row>
    <row r="572" spans="1:8" ht="13" x14ac:dyDescent="0.15">
      <c r="A572" s="234"/>
      <c r="B572" s="236"/>
      <c r="D572" s="236"/>
      <c r="G572" s="13"/>
      <c r="H572" s="641"/>
    </row>
    <row r="573" spans="1:8" ht="13" x14ac:dyDescent="0.15">
      <c r="A573" s="234"/>
      <c r="B573" s="236"/>
      <c r="D573" s="236"/>
      <c r="G573" s="13"/>
      <c r="H573" s="641"/>
    </row>
    <row r="574" spans="1:8" ht="13" x14ac:dyDescent="0.15">
      <c r="A574" s="234"/>
      <c r="B574" s="236"/>
      <c r="D574" s="236"/>
      <c r="G574" s="13"/>
      <c r="H574" s="641"/>
    </row>
    <row r="575" spans="1:8" ht="13" x14ac:dyDescent="0.15">
      <c r="A575" s="234"/>
      <c r="B575" s="236"/>
      <c r="D575" s="236"/>
      <c r="G575" s="13"/>
      <c r="H575" s="641"/>
    </row>
    <row r="576" spans="1:8" ht="13" x14ac:dyDescent="0.15">
      <c r="A576" s="234"/>
      <c r="B576" s="236"/>
      <c r="D576" s="236"/>
      <c r="G576" s="13"/>
      <c r="H576" s="641"/>
    </row>
    <row r="577" spans="1:8" ht="13" x14ac:dyDescent="0.15">
      <c r="A577" s="234"/>
      <c r="B577" s="236"/>
      <c r="D577" s="236"/>
      <c r="G577" s="13"/>
      <c r="H577" s="641"/>
    </row>
    <row r="578" spans="1:8" ht="13" x14ac:dyDescent="0.15">
      <c r="A578" s="234"/>
      <c r="B578" s="236"/>
      <c r="D578" s="236"/>
      <c r="G578" s="13"/>
      <c r="H578" s="641"/>
    </row>
    <row r="579" spans="1:8" ht="13" x14ac:dyDescent="0.15">
      <c r="A579" s="234"/>
      <c r="B579" s="236"/>
      <c r="D579" s="236"/>
      <c r="G579" s="13"/>
      <c r="H579" s="641"/>
    </row>
    <row r="580" spans="1:8" ht="13" x14ac:dyDescent="0.15">
      <c r="A580" s="234"/>
      <c r="B580" s="236"/>
      <c r="D580" s="236"/>
      <c r="G580" s="13"/>
      <c r="H580" s="641"/>
    </row>
    <row r="581" spans="1:8" ht="13" x14ac:dyDescent="0.15">
      <c r="A581" s="234"/>
      <c r="B581" s="236"/>
      <c r="D581" s="236"/>
      <c r="G581" s="13"/>
      <c r="H581" s="641"/>
    </row>
    <row r="582" spans="1:8" ht="13" x14ac:dyDescent="0.15">
      <c r="A582" s="234"/>
      <c r="B582" s="236"/>
      <c r="D582" s="236"/>
      <c r="G582" s="13"/>
      <c r="H582" s="641"/>
    </row>
    <row r="583" spans="1:8" ht="13" x14ac:dyDescent="0.15">
      <c r="A583" s="234"/>
      <c r="B583" s="236"/>
      <c r="D583" s="236"/>
      <c r="G583" s="13"/>
      <c r="H583" s="641"/>
    </row>
    <row r="584" spans="1:8" ht="13" x14ac:dyDescent="0.15">
      <c r="A584" s="234"/>
      <c r="B584" s="236"/>
      <c r="D584" s="236"/>
      <c r="G584" s="13"/>
      <c r="H584" s="641"/>
    </row>
    <row r="585" spans="1:8" ht="13" x14ac:dyDescent="0.15">
      <c r="A585" s="234"/>
      <c r="B585" s="236"/>
      <c r="D585" s="236"/>
      <c r="G585" s="13"/>
      <c r="H585" s="641"/>
    </row>
    <row r="586" spans="1:8" ht="13" x14ac:dyDescent="0.15">
      <c r="A586" s="234"/>
      <c r="B586" s="236"/>
      <c r="D586" s="236"/>
      <c r="G586" s="13"/>
      <c r="H586" s="641"/>
    </row>
    <row r="587" spans="1:8" ht="13" x14ac:dyDescent="0.15">
      <c r="A587" s="234"/>
      <c r="B587" s="236"/>
      <c r="D587" s="236"/>
      <c r="G587" s="13"/>
      <c r="H587" s="641"/>
    </row>
    <row r="588" spans="1:8" ht="13" x14ac:dyDescent="0.15">
      <c r="A588" s="234"/>
      <c r="B588" s="236"/>
      <c r="D588" s="236"/>
      <c r="G588" s="13"/>
      <c r="H588" s="641"/>
    </row>
    <row r="589" spans="1:8" ht="13" x14ac:dyDescent="0.15">
      <c r="A589" s="234"/>
      <c r="B589" s="236"/>
      <c r="D589" s="236"/>
      <c r="G589" s="13"/>
      <c r="H589" s="641"/>
    </row>
    <row r="590" spans="1:8" ht="13" x14ac:dyDescent="0.15">
      <c r="A590" s="234"/>
      <c r="B590" s="236"/>
      <c r="D590" s="236"/>
      <c r="G590" s="13"/>
      <c r="H590" s="641"/>
    </row>
    <row r="591" spans="1:8" ht="13" x14ac:dyDescent="0.15">
      <c r="A591" s="234"/>
      <c r="B591" s="236"/>
      <c r="D591" s="236"/>
      <c r="G591" s="13"/>
      <c r="H591" s="641"/>
    </row>
    <row r="592" spans="1:8" ht="13" x14ac:dyDescent="0.15">
      <c r="A592" s="234"/>
      <c r="B592" s="236"/>
      <c r="D592" s="236"/>
      <c r="G592" s="13"/>
      <c r="H592" s="641"/>
    </row>
    <row r="593" spans="1:8" ht="13" x14ac:dyDescent="0.15">
      <c r="A593" s="234"/>
      <c r="B593" s="236"/>
      <c r="D593" s="236"/>
      <c r="G593" s="13"/>
      <c r="H593" s="641"/>
    </row>
    <row r="594" spans="1:8" ht="13" x14ac:dyDescent="0.15">
      <c r="A594" s="234"/>
      <c r="B594" s="236"/>
      <c r="D594" s="236"/>
      <c r="G594" s="13"/>
      <c r="H594" s="641"/>
    </row>
    <row r="595" spans="1:8" ht="13" x14ac:dyDescent="0.15">
      <c r="A595" s="234"/>
      <c r="B595" s="236"/>
      <c r="D595" s="236"/>
      <c r="G595" s="13"/>
      <c r="H595" s="641"/>
    </row>
    <row r="596" spans="1:8" ht="13" x14ac:dyDescent="0.15">
      <c r="A596" s="234"/>
      <c r="B596" s="236"/>
      <c r="D596" s="236"/>
      <c r="G596" s="13"/>
      <c r="H596" s="641"/>
    </row>
    <row r="597" spans="1:8" ht="13" x14ac:dyDescent="0.15">
      <c r="A597" s="234"/>
      <c r="B597" s="236"/>
      <c r="D597" s="236"/>
      <c r="G597" s="13"/>
      <c r="H597" s="641"/>
    </row>
    <row r="598" spans="1:8" ht="13" x14ac:dyDescent="0.15">
      <c r="A598" s="234"/>
      <c r="B598" s="236"/>
      <c r="D598" s="236"/>
      <c r="G598" s="13"/>
      <c r="H598" s="641"/>
    </row>
    <row r="599" spans="1:8" ht="13" x14ac:dyDescent="0.15">
      <c r="A599" s="234"/>
      <c r="B599" s="236"/>
      <c r="D599" s="236"/>
      <c r="G599" s="13"/>
      <c r="H599" s="641"/>
    </row>
    <row r="600" spans="1:8" ht="13" x14ac:dyDescent="0.15">
      <c r="A600" s="234"/>
      <c r="B600" s="236"/>
      <c r="D600" s="236"/>
      <c r="G600" s="13"/>
      <c r="H600" s="641"/>
    </row>
    <row r="601" spans="1:8" ht="13" x14ac:dyDescent="0.15">
      <c r="A601" s="234"/>
      <c r="B601" s="236"/>
      <c r="D601" s="236"/>
      <c r="G601" s="13"/>
      <c r="H601" s="641"/>
    </row>
    <row r="602" spans="1:8" ht="13" x14ac:dyDescent="0.15">
      <c r="A602" s="234"/>
      <c r="B602" s="236"/>
      <c r="D602" s="236"/>
      <c r="G602" s="13"/>
      <c r="H602" s="641"/>
    </row>
    <row r="603" spans="1:8" ht="13" x14ac:dyDescent="0.15">
      <c r="A603" s="234"/>
      <c r="B603" s="236"/>
      <c r="D603" s="236"/>
      <c r="G603" s="13"/>
      <c r="H603" s="641"/>
    </row>
    <row r="604" spans="1:8" ht="13" x14ac:dyDescent="0.15">
      <c r="A604" s="234"/>
      <c r="B604" s="236"/>
      <c r="D604" s="236"/>
      <c r="G604" s="13"/>
      <c r="H604" s="641"/>
    </row>
    <row r="605" spans="1:8" ht="13" x14ac:dyDescent="0.15">
      <c r="A605" s="234"/>
      <c r="B605" s="236"/>
      <c r="D605" s="236"/>
      <c r="G605" s="13"/>
      <c r="H605" s="641"/>
    </row>
    <row r="606" spans="1:8" ht="13" x14ac:dyDescent="0.15">
      <c r="A606" s="234"/>
      <c r="B606" s="236"/>
      <c r="D606" s="236"/>
      <c r="G606" s="13"/>
      <c r="H606" s="641"/>
    </row>
    <row r="607" spans="1:8" ht="13" x14ac:dyDescent="0.15">
      <c r="A607" s="234"/>
      <c r="B607" s="236"/>
      <c r="D607" s="236"/>
      <c r="G607" s="13"/>
      <c r="H607" s="641"/>
    </row>
    <row r="608" spans="1:8" ht="13" x14ac:dyDescent="0.15">
      <c r="A608" s="234"/>
      <c r="B608" s="236"/>
      <c r="D608" s="236"/>
      <c r="G608" s="13"/>
      <c r="H608" s="641"/>
    </row>
    <row r="609" spans="1:8" ht="13" x14ac:dyDescent="0.15">
      <c r="A609" s="234"/>
      <c r="B609" s="236"/>
      <c r="D609" s="236"/>
      <c r="G609" s="13"/>
      <c r="H609" s="641"/>
    </row>
    <row r="610" spans="1:8" ht="13" x14ac:dyDescent="0.15">
      <c r="A610" s="234"/>
      <c r="B610" s="236"/>
      <c r="D610" s="236"/>
      <c r="G610" s="13"/>
      <c r="H610" s="641"/>
    </row>
    <row r="611" spans="1:8" ht="13" x14ac:dyDescent="0.15">
      <c r="A611" s="234"/>
      <c r="B611" s="236"/>
      <c r="D611" s="236"/>
      <c r="G611" s="13"/>
      <c r="H611" s="641"/>
    </row>
    <row r="612" spans="1:8" ht="13" x14ac:dyDescent="0.15">
      <c r="A612" s="234"/>
      <c r="B612" s="236"/>
      <c r="D612" s="236"/>
      <c r="G612" s="13"/>
      <c r="H612" s="641"/>
    </row>
    <row r="613" spans="1:8" ht="13" x14ac:dyDescent="0.15">
      <c r="A613" s="234"/>
      <c r="B613" s="236"/>
      <c r="D613" s="236"/>
      <c r="G613" s="13"/>
      <c r="H613" s="641"/>
    </row>
    <row r="614" spans="1:8" ht="13" x14ac:dyDescent="0.15">
      <c r="A614" s="234"/>
      <c r="B614" s="236"/>
      <c r="D614" s="236"/>
      <c r="G614" s="13"/>
      <c r="H614" s="641"/>
    </row>
    <row r="615" spans="1:8" ht="13" x14ac:dyDescent="0.15">
      <c r="A615" s="234"/>
      <c r="B615" s="236"/>
      <c r="D615" s="236"/>
      <c r="G615" s="13"/>
      <c r="H615" s="641"/>
    </row>
    <row r="616" spans="1:8" ht="13" x14ac:dyDescent="0.15">
      <c r="A616" s="234"/>
      <c r="B616" s="236"/>
      <c r="D616" s="236"/>
      <c r="G616" s="13"/>
      <c r="H616" s="641"/>
    </row>
    <row r="617" spans="1:8" ht="13" x14ac:dyDescent="0.15">
      <c r="A617" s="234"/>
      <c r="B617" s="236"/>
      <c r="D617" s="236"/>
      <c r="G617" s="13"/>
      <c r="H617" s="641"/>
    </row>
    <row r="618" spans="1:8" ht="13" x14ac:dyDescent="0.15">
      <c r="A618" s="234"/>
      <c r="B618" s="236"/>
      <c r="D618" s="236"/>
      <c r="G618" s="13"/>
      <c r="H618" s="641"/>
    </row>
    <row r="619" spans="1:8" ht="13" x14ac:dyDescent="0.15">
      <c r="A619" s="234"/>
      <c r="B619" s="236"/>
      <c r="D619" s="236"/>
      <c r="G619" s="13"/>
      <c r="H619" s="641"/>
    </row>
    <row r="620" spans="1:8" ht="13" x14ac:dyDescent="0.15">
      <c r="A620" s="234"/>
      <c r="B620" s="236"/>
      <c r="D620" s="236"/>
      <c r="G620" s="13"/>
      <c r="H620" s="641"/>
    </row>
    <row r="621" spans="1:8" ht="13" x14ac:dyDescent="0.15">
      <c r="A621" s="234"/>
      <c r="B621" s="236"/>
      <c r="D621" s="236"/>
      <c r="G621" s="13"/>
      <c r="H621" s="641"/>
    </row>
    <row r="622" spans="1:8" ht="13" x14ac:dyDescent="0.15">
      <c r="A622" s="234"/>
      <c r="B622" s="236"/>
      <c r="D622" s="236"/>
      <c r="G622" s="13"/>
      <c r="H622" s="641"/>
    </row>
    <row r="623" spans="1:8" ht="13" x14ac:dyDescent="0.15">
      <c r="A623" s="234"/>
      <c r="B623" s="236"/>
      <c r="D623" s="236"/>
      <c r="G623" s="13"/>
      <c r="H623" s="641"/>
    </row>
    <row r="624" spans="1:8" ht="13" x14ac:dyDescent="0.15">
      <c r="A624" s="234"/>
      <c r="B624" s="236"/>
      <c r="D624" s="236"/>
      <c r="G624" s="13"/>
      <c r="H624" s="641"/>
    </row>
    <row r="625" spans="1:8" ht="13" x14ac:dyDescent="0.15">
      <c r="A625" s="234"/>
      <c r="B625" s="236"/>
      <c r="D625" s="236"/>
      <c r="G625" s="13"/>
      <c r="H625" s="641"/>
    </row>
    <row r="626" spans="1:8" ht="13" x14ac:dyDescent="0.15">
      <c r="A626" s="234"/>
      <c r="B626" s="236"/>
      <c r="D626" s="236"/>
      <c r="G626" s="13"/>
      <c r="H626" s="641"/>
    </row>
    <row r="627" spans="1:8" ht="13" x14ac:dyDescent="0.15">
      <c r="A627" s="234"/>
      <c r="B627" s="236"/>
      <c r="D627" s="236"/>
      <c r="G627" s="13"/>
      <c r="H627" s="641"/>
    </row>
    <row r="628" spans="1:8" ht="13" x14ac:dyDescent="0.15">
      <c r="A628" s="234"/>
      <c r="B628" s="236"/>
      <c r="D628" s="236"/>
      <c r="G628" s="13"/>
      <c r="H628" s="641"/>
    </row>
    <row r="629" spans="1:8" ht="13" x14ac:dyDescent="0.15">
      <c r="A629" s="234"/>
      <c r="B629" s="236"/>
      <c r="D629" s="236"/>
      <c r="G629" s="13"/>
      <c r="H629" s="641"/>
    </row>
    <row r="630" spans="1:8" ht="13" x14ac:dyDescent="0.15">
      <c r="A630" s="234"/>
      <c r="B630" s="236"/>
      <c r="D630" s="236"/>
      <c r="G630" s="13"/>
      <c r="H630" s="641"/>
    </row>
    <row r="631" spans="1:8" ht="13" x14ac:dyDescent="0.15">
      <c r="A631" s="234"/>
      <c r="B631" s="236"/>
      <c r="D631" s="236"/>
      <c r="G631" s="13"/>
      <c r="H631" s="641"/>
    </row>
    <row r="632" spans="1:8" ht="13" x14ac:dyDescent="0.15">
      <c r="A632" s="234"/>
      <c r="B632" s="236"/>
      <c r="D632" s="236"/>
      <c r="G632" s="13"/>
      <c r="H632" s="641"/>
    </row>
    <row r="633" spans="1:8" ht="13" x14ac:dyDescent="0.15">
      <c r="A633" s="234"/>
      <c r="B633" s="236"/>
      <c r="D633" s="236"/>
      <c r="G633" s="13"/>
      <c r="H633" s="641"/>
    </row>
    <row r="634" spans="1:8" ht="13" x14ac:dyDescent="0.15">
      <c r="A634" s="234"/>
      <c r="B634" s="236"/>
      <c r="D634" s="236"/>
      <c r="G634" s="13"/>
      <c r="H634" s="641"/>
    </row>
    <row r="635" spans="1:8" ht="13" x14ac:dyDescent="0.15">
      <c r="A635" s="234"/>
      <c r="B635" s="236"/>
      <c r="D635" s="236"/>
      <c r="G635" s="13"/>
      <c r="H635" s="641"/>
    </row>
    <row r="636" spans="1:8" ht="13" x14ac:dyDescent="0.15">
      <c r="A636" s="234"/>
      <c r="B636" s="236"/>
      <c r="D636" s="236"/>
      <c r="G636" s="13"/>
      <c r="H636" s="641"/>
    </row>
    <row r="637" spans="1:8" ht="13" x14ac:dyDescent="0.15">
      <c r="A637" s="234"/>
      <c r="B637" s="236"/>
      <c r="D637" s="236"/>
      <c r="G637" s="13"/>
      <c r="H637" s="641"/>
    </row>
    <row r="638" spans="1:8" ht="13" x14ac:dyDescent="0.15">
      <c r="A638" s="234"/>
      <c r="B638" s="236"/>
      <c r="D638" s="236"/>
      <c r="G638" s="13"/>
      <c r="H638" s="641"/>
    </row>
    <row r="639" spans="1:8" ht="13" x14ac:dyDescent="0.15">
      <c r="A639" s="234"/>
      <c r="B639" s="236"/>
      <c r="D639" s="236"/>
      <c r="G639" s="13"/>
      <c r="H639" s="641"/>
    </row>
    <row r="640" spans="1:8" ht="13" x14ac:dyDescent="0.15">
      <c r="A640" s="234"/>
      <c r="B640" s="236"/>
      <c r="D640" s="236"/>
      <c r="G640" s="13"/>
      <c r="H640" s="641"/>
    </row>
    <row r="641" spans="1:8" ht="13" x14ac:dyDescent="0.15">
      <c r="A641" s="234"/>
      <c r="B641" s="236"/>
      <c r="D641" s="236"/>
      <c r="G641" s="13"/>
      <c r="H641" s="641"/>
    </row>
    <row r="642" spans="1:8" ht="13" x14ac:dyDescent="0.15">
      <c r="A642" s="234"/>
      <c r="B642" s="236"/>
      <c r="D642" s="236"/>
      <c r="G642" s="13"/>
      <c r="H642" s="641"/>
    </row>
    <row r="643" spans="1:8" ht="13" x14ac:dyDescent="0.15">
      <c r="A643" s="234"/>
      <c r="B643" s="236"/>
      <c r="D643" s="236"/>
      <c r="G643" s="13"/>
      <c r="H643" s="641"/>
    </row>
    <row r="644" spans="1:8" ht="13" x14ac:dyDescent="0.15">
      <c r="A644" s="234"/>
      <c r="B644" s="236"/>
      <c r="D644" s="236"/>
      <c r="G644" s="13"/>
      <c r="H644" s="641"/>
    </row>
    <row r="645" spans="1:8" ht="13" x14ac:dyDescent="0.15">
      <c r="A645" s="234"/>
      <c r="B645" s="236"/>
      <c r="D645" s="236"/>
      <c r="G645" s="13"/>
      <c r="H645" s="641"/>
    </row>
    <row r="646" spans="1:8" ht="13" x14ac:dyDescent="0.15">
      <c r="A646" s="234"/>
      <c r="B646" s="236"/>
      <c r="D646" s="236"/>
      <c r="G646" s="13"/>
      <c r="H646" s="641"/>
    </row>
    <row r="647" spans="1:8" ht="13" x14ac:dyDescent="0.15">
      <c r="A647" s="234"/>
      <c r="B647" s="236"/>
      <c r="D647" s="236"/>
      <c r="G647" s="13"/>
      <c r="H647" s="641"/>
    </row>
    <row r="648" spans="1:8" ht="13" x14ac:dyDescent="0.15">
      <c r="A648" s="234"/>
      <c r="B648" s="236"/>
      <c r="D648" s="236"/>
      <c r="G648" s="13"/>
      <c r="H648" s="641"/>
    </row>
    <row r="649" spans="1:8" ht="13" x14ac:dyDescent="0.15">
      <c r="A649" s="234"/>
      <c r="B649" s="236"/>
      <c r="D649" s="236"/>
      <c r="G649" s="13"/>
      <c r="H649" s="641"/>
    </row>
    <row r="650" spans="1:8" ht="13" x14ac:dyDescent="0.15">
      <c r="A650" s="234"/>
      <c r="B650" s="236"/>
      <c r="D650" s="236"/>
      <c r="G650" s="13"/>
      <c r="H650" s="641"/>
    </row>
    <row r="651" spans="1:8" ht="13" x14ac:dyDescent="0.15">
      <c r="A651" s="234"/>
      <c r="B651" s="236"/>
      <c r="D651" s="236"/>
      <c r="G651" s="13"/>
      <c r="H651" s="641"/>
    </row>
    <row r="652" spans="1:8" ht="13" x14ac:dyDescent="0.15">
      <c r="A652" s="234"/>
      <c r="B652" s="236"/>
      <c r="D652" s="236"/>
      <c r="G652" s="13"/>
      <c r="H652" s="641"/>
    </row>
    <row r="653" spans="1:8" ht="13" x14ac:dyDescent="0.15">
      <c r="A653" s="234"/>
      <c r="B653" s="236"/>
      <c r="D653" s="236"/>
      <c r="G653" s="13"/>
      <c r="H653" s="641"/>
    </row>
    <row r="654" spans="1:8" ht="13" x14ac:dyDescent="0.15">
      <c r="A654" s="234"/>
      <c r="B654" s="236"/>
      <c r="D654" s="236"/>
      <c r="G654" s="13"/>
      <c r="H654" s="641"/>
    </row>
    <row r="655" spans="1:8" ht="13" x14ac:dyDescent="0.15">
      <c r="A655" s="234"/>
      <c r="B655" s="236"/>
      <c r="D655" s="236"/>
      <c r="G655" s="13"/>
      <c r="H655" s="641"/>
    </row>
    <row r="656" spans="1:8" ht="13" x14ac:dyDescent="0.15">
      <c r="A656" s="234"/>
      <c r="B656" s="236"/>
      <c r="D656" s="236"/>
      <c r="G656" s="13"/>
      <c r="H656" s="641"/>
    </row>
    <row r="657" spans="1:8" ht="13" x14ac:dyDescent="0.15">
      <c r="A657" s="234"/>
      <c r="B657" s="236"/>
      <c r="D657" s="236"/>
      <c r="G657" s="13"/>
      <c r="H657" s="641"/>
    </row>
    <row r="658" spans="1:8" ht="13" x14ac:dyDescent="0.15">
      <c r="A658" s="234"/>
      <c r="B658" s="236"/>
      <c r="D658" s="236"/>
      <c r="G658" s="13"/>
      <c r="H658" s="641"/>
    </row>
    <row r="659" spans="1:8" ht="13" x14ac:dyDescent="0.15">
      <c r="A659" s="234"/>
      <c r="B659" s="236"/>
      <c r="D659" s="236"/>
      <c r="G659" s="13"/>
      <c r="H659" s="641"/>
    </row>
    <row r="660" spans="1:8" ht="13" x14ac:dyDescent="0.15">
      <c r="A660" s="234"/>
      <c r="B660" s="236"/>
      <c r="D660" s="236"/>
      <c r="G660" s="13"/>
      <c r="H660" s="641"/>
    </row>
    <row r="661" spans="1:8" ht="13" x14ac:dyDescent="0.15">
      <c r="A661" s="234"/>
      <c r="B661" s="236"/>
      <c r="D661" s="236"/>
      <c r="G661" s="13"/>
      <c r="H661" s="641"/>
    </row>
    <row r="662" spans="1:8" ht="13" x14ac:dyDescent="0.15">
      <c r="A662" s="234"/>
      <c r="B662" s="236"/>
      <c r="D662" s="236"/>
      <c r="G662" s="13"/>
      <c r="H662" s="641"/>
    </row>
    <row r="663" spans="1:8" ht="13" x14ac:dyDescent="0.15">
      <c r="A663" s="234"/>
      <c r="B663" s="236"/>
      <c r="D663" s="236"/>
      <c r="G663" s="13"/>
      <c r="H663" s="641"/>
    </row>
    <row r="664" spans="1:8" ht="13" x14ac:dyDescent="0.15">
      <c r="A664" s="234"/>
      <c r="B664" s="236"/>
      <c r="D664" s="236"/>
      <c r="G664" s="13"/>
      <c r="H664" s="641"/>
    </row>
    <row r="665" spans="1:8" ht="13" x14ac:dyDescent="0.15">
      <c r="A665" s="234"/>
      <c r="B665" s="236"/>
      <c r="D665" s="236"/>
      <c r="G665" s="13"/>
      <c r="H665" s="641"/>
    </row>
    <row r="666" spans="1:8" ht="13" x14ac:dyDescent="0.15">
      <c r="A666" s="234"/>
      <c r="B666" s="236"/>
      <c r="D666" s="236"/>
      <c r="G666" s="13"/>
      <c r="H666" s="641"/>
    </row>
    <row r="667" spans="1:8" ht="13" x14ac:dyDescent="0.15">
      <c r="A667" s="234"/>
      <c r="B667" s="236"/>
      <c r="D667" s="236"/>
      <c r="G667" s="13"/>
      <c r="H667" s="641"/>
    </row>
    <row r="668" spans="1:8" ht="13" x14ac:dyDescent="0.15">
      <c r="A668" s="234"/>
      <c r="B668" s="236"/>
      <c r="D668" s="236"/>
      <c r="G668" s="13"/>
      <c r="H668" s="641"/>
    </row>
    <row r="669" spans="1:8" ht="13" x14ac:dyDescent="0.15">
      <c r="A669" s="234"/>
      <c r="B669" s="236"/>
      <c r="D669" s="236"/>
      <c r="G669" s="13"/>
      <c r="H669" s="641"/>
    </row>
    <row r="670" spans="1:8" ht="13" x14ac:dyDescent="0.15">
      <c r="A670" s="234"/>
      <c r="B670" s="236"/>
      <c r="D670" s="236"/>
      <c r="G670" s="13"/>
      <c r="H670" s="641"/>
    </row>
    <row r="671" spans="1:8" ht="13" x14ac:dyDescent="0.15">
      <c r="A671" s="234"/>
      <c r="B671" s="236"/>
      <c r="D671" s="236"/>
      <c r="G671" s="13"/>
      <c r="H671" s="641"/>
    </row>
    <row r="672" spans="1:8" ht="13" x14ac:dyDescent="0.15">
      <c r="A672" s="234"/>
      <c r="B672" s="236"/>
      <c r="D672" s="236"/>
      <c r="G672" s="13"/>
      <c r="H672" s="641"/>
    </row>
    <row r="673" spans="1:8" ht="13" x14ac:dyDescent="0.15">
      <c r="A673" s="234"/>
      <c r="B673" s="236"/>
      <c r="D673" s="236"/>
      <c r="G673" s="13"/>
      <c r="H673" s="641"/>
    </row>
    <row r="674" spans="1:8" ht="13" x14ac:dyDescent="0.15">
      <c r="A674" s="234"/>
      <c r="B674" s="236"/>
      <c r="D674" s="236"/>
      <c r="G674" s="13"/>
      <c r="H674" s="641"/>
    </row>
    <row r="675" spans="1:8" ht="13" x14ac:dyDescent="0.15">
      <c r="A675" s="234"/>
      <c r="B675" s="236"/>
      <c r="D675" s="236"/>
      <c r="G675" s="13"/>
      <c r="H675" s="641"/>
    </row>
    <row r="676" spans="1:8" ht="13" x14ac:dyDescent="0.15">
      <c r="A676" s="234"/>
      <c r="B676" s="236"/>
      <c r="D676" s="236"/>
      <c r="G676" s="13"/>
      <c r="H676" s="641"/>
    </row>
    <row r="677" spans="1:8" ht="13" x14ac:dyDescent="0.15">
      <c r="A677" s="234"/>
      <c r="B677" s="236"/>
      <c r="D677" s="236"/>
      <c r="G677" s="13"/>
      <c r="H677" s="641"/>
    </row>
    <row r="678" spans="1:8" ht="13" x14ac:dyDescent="0.15">
      <c r="A678" s="234"/>
      <c r="B678" s="236"/>
      <c r="D678" s="236"/>
      <c r="G678" s="13"/>
      <c r="H678" s="641"/>
    </row>
    <row r="679" spans="1:8" ht="13" x14ac:dyDescent="0.15">
      <c r="A679" s="234"/>
      <c r="B679" s="236"/>
      <c r="D679" s="236"/>
      <c r="G679" s="13"/>
      <c r="H679" s="641"/>
    </row>
    <row r="680" spans="1:8" ht="13" x14ac:dyDescent="0.15">
      <c r="A680" s="234"/>
      <c r="B680" s="236"/>
      <c r="D680" s="236"/>
      <c r="G680" s="13"/>
      <c r="H680" s="641"/>
    </row>
    <row r="681" spans="1:8" ht="13" x14ac:dyDescent="0.15">
      <c r="A681" s="234"/>
      <c r="B681" s="236"/>
      <c r="D681" s="236"/>
      <c r="G681" s="13"/>
      <c r="H681" s="641"/>
    </row>
    <row r="682" spans="1:8" ht="13" x14ac:dyDescent="0.15">
      <c r="A682" s="234"/>
      <c r="B682" s="236"/>
      <c r="D682" s="236"/>
      <c r="G682" s="13"/>
      <c r="H682" s="641"/>
    </row>
    <row r="683" spans="1:8" ht="13" x14ac:dyDescent="0.15">
      <c r="A683" s="234"/>
      <c r="B683" s="236"/>
      <c r="D683" s="236"/>
      <c r="G683" s="13"/>
      <c r="H683" s="641"/>
    </row>
    <row r="684" spans="1:8" ht="13" x14ac:dyDescent="0.15">
      <c r="A684" s="234"/>
      <c r="B684" s="236"/>
      <c r="D684" s="236"/>
      <c r="G684" s="13"/>
      <c r="H684" s="641"/>
    </row>
    <row r="685" spans="1:8" ht="13" x14ac:dyDescent="0.15">
      <c r="A685" s="234"/>
      <c r="B685" s="236"/>
      <c r="D685" s="236"/>
      <c r="G685" s="13"/>
      <c r="H685" s="641"/>
    </row>
    <row r="686" spans="1:8" ht="13" x14ac:dyDescent="0.15">
      <c r="A686" s="234"/>
      <c r="B686" s="236"/>
      <c r="D686" s="236"/>
      <c r="G686" s="13"/>
      <c r="H686" s="641"/>
    </row>
    <row r="687" spans="1:8" ht="13" x14ac:dyDescent="0.15">
      <c r="A687" s="234"/>
      <c r="B687" s="236"/>
      <c r="D687" s="236"/>
      <c r="G687" s="13"/>
      <c r="H687" s="641"/>
    </row>
    <row r="688" spans="1:8" ht="13" x14ac:dyDescent="0.15">
      <c r="A688" s="234"/>
      <c r="B688" s="236"/>
      <c r="D688" s="236"/>
      <c r="G688" s="13"/>
      <c r="H688" s="641"/>
    </row>
    <row r="689" spans="1:8" ht="13" x14ac:dyDescent="0.15">
      <c r="A689" s="234"/>
      <c r="B689" s="236"/>
      <c r="D689" s="236"/>
      <c r="G689" s="13"/>
      <c r="H689" s="641"/>
    </row>
    <row r="690" spans="1:8" ht="13" x14ac:dyDescent="0.15">
      <c r="A690" s="234"/>
      <c r="B690" s="236"/>
      <c r="D690" s="236"/>
      <c r="G690" s="13"/>
      <c r="H690" s="641"/>
    </row>
    <row r="691" spans="1:8" ht="13" x14ac:dyDescent="0.15">
      <c r="A691" s="234"/>
      <c r="B691" s="236"/>
      <c r="D691" s="236"/>
      <c r="G691" s="13"/>
      <c r="H691" s="641"/>
    </row>
    <row r="692" spans="1:8" ht="13" x14ac:dyDescent="0.15">
      <c r="A692" s="234"/>
      <c r="B692" s="236"/>
      <c r="D692" s="236"/>
      <c r="G692" s="13"/>
      <c r="H692" s="641"/>
    </row>
    <row r="693" spans="1:8" ht="13" x14ac:dyDescent="0.15">
      <c r="A693" s="234"/>
      <c r="B693" s="236"/>
      <c r="D693" s="236"/>
      <c r="G693" s="13"/>
      <c r="H693" s="641"/>
    </row>
    <row r="694" spans="1:8" ht="13" x14ac:dyDescent="0.15">
      <c r="A694" s="234"/>
      <c r="B694" s="236"/>
      <c r="D694" s="236"/>
      <c r="G694" s="13"/>
      <c r="H694" s="641"/>
    </row>
    <row r="695" spans="1:8" ht="13" x14ac:dyDescent="0.15">
      <c r="A695" s="234"/>
      <c r="B695" s="236"/>
      <c r="D695" s="236"/>
      <c r="G695" s="13"/>
      <c r="H695" s="641"/>
    </row>
    <row r="696" spans="1:8" ht="13" x14ac:dyDescent="0.15">
      <c r="A696" s="234"/>
      <c r="B696" s="236"/>
      <c r="D696" s="236"/>
      <c r="G696" s="13"/>
      <c r="H696" s="641"/>
    </row>
    <row r="697" spans="1:8" ht="13" x14ac:dyDescent="0.15">
      <c r="A697" s="234"/>
      <c r="B697" s="236"/>
      <c r="D697" s="236"/>
      <c r="G697" s="13"/>
      <c r="H697" s="641"/>
    </row>
    <row r="698" spans="1:8" ht="13" x14ac:dyDescent="0.15">
      <c r="A698" s="234"/>
      <c r="B698" s="236"/>
      <c r="D698" s="236"/>
      <c r="G698" s="13"/>
      <c r="H698" s="641"/>
    </row>
    <row r="699" spans="1:8" ht="13" x14ac:dyDescent="0.15">
      <c r="A699" s="234"/>
      <c r="B699" s="236"/>
      <c r="D699" s="236"/>
      <c r="G699" s="13"/>
      <c r="H699" s="641"/>
    </row>
    <row r="700" spans="1:8" ht="13" x14ac:dyDescent="0.15">
      <c r="A700" s="234"/>
      <c r="B700" s="236"/>
      <c r="D700" s="236"/>
      <c r="G700" s="13"/>
      <c r="H700" s="641"/>
    </row>
    <row r="701" spans="1:8" ht="13" x14ac:dyDescent="0.15">
      <c r="A701" s="234"/>
      <c r="B701" s="236"/>
      <c r="D701" s="236"/>
      <c r="G701" s="13"/>
      <c r="H701" s="641"/>
    </row>
    <row r="702" spans="1:8" ht="13" x14ac:dyDescent="0.15">
      <c r="A702" s="234"/>
      <c r="B702" s="236"/>
      <c r="D702" s="236"/>
      <c r="G702" s="13"/>
      <c r="H702" s="641"/>
    </row>
    <row r="703" spans="1:8" ht="13" x14ac:dyDescent="0.15">
      <c r="A703" s="234"/>
      <c r="B703" s="236"/>
      <c r="D703" s="236"/>
      <c r="G703" s="13"/>
      <c r="H703" s="641"/>
    </row>
    <row r="704" spans="1:8" ht="13" x14ac:dyDescent="0.15">
      <c r="A704" s="234"/>
      <c r="B704" s="236"/>
      <c r="D704" s="236"/>
      <c r="G704" s="13"/>
      <c r="H704" s="641"/>
    </row>
    <row r="705" spans="1:8" ht="13" x14ac:dyDescent="0.15">
      <c r="A705" s="234"/>
      <c r="B705" s="236"/>
      <c r="D705" s="236"/>
      <c r="G705" s="13"/>
      <c r="H705" s="641"/>
    </row>
    <row r="706" spans="1:8" ht="13" x14ac:dyDescent="0.15">
      <c r="A706" s="234"/>
      <c r="B706" s="236"/>
      <c r="D706" s="236"/>
      <c r="G706" s="13"/>
      <c r="H706" s="641"/>
    </row>
    <row r="707" spans="1:8" ht="13" x14ac:dyDescent="0.15">
      <c r="A707" s="234"/>
      <c r="B707" s="236"/>
      <c r="D707" s="236"/>
      <c r="G707" s="13"/>
      <c r="H707" s="641"/>
    </row>
    <row r="708" spans="1:8" ht="13" x14ac:dyDescent="0.15">
      <c r="A708" s="234"/>
      <c r="B708" s="236"/>
      <c r="D708" s="236"/>
      <c r="G708" s="13"/>
      <c r="H708" s="641"/>
    </row>
    <row r="709" spans="1:8" ht="13" x14ac:dyDescent="0.15">
      <c r="A709" s="234"/>
      <c r="B709" s="236"/>
      <c r="D709" s="236"/>
      <c r="G709" s="13"/>
      <c r="H709" s="641"/>
    </row>
    <row r="710" spans="1:8" ht="13" x14ac:dyDescent="0.15">
      <c r="A710" s="234"/>
      <c r="B710" s="236"/>
      <c r="D710" s="236"/>
      <c r="G710" s="13"/>
      <c r="H710" s="641"/>
    </row>
    <row r="711" spans="1:8" ht="13" x14ac:dyDescent="0.15">
      <c r="A711" s="234"/>
      <c r="B711" s="236"/>
      <c r="D711" s="236"/>
      <c r="G711" s="13"/>
      <c r="H711" s="641"/>
    </row>
    <row r="712" spans="1:8" ht="13" x14ac:dyDescent="0.15">
      <c r="A712" s="234"/>
      <c r="B712" s="236"/>
      <c r="D712" s="236"/>
      <c r="G712" s="13"/>
      <c r="H712" s="641"/>
    </row>
    <row r="713" spans="1:8" ht="13" x14ac:dyDescent="0.15">
      <c r="A713" s="234"/>
      <c r="B713" s="236"/>
      <c r="D713" s="236"/>
      <c r="G713" s="13"/>
      <c r="H713" s="641"/>
    </row>
    <row r="714" spans="1:8" ht="13" x14ac:dyDescent="0.15">
      <c r="A714" s="234"/>
      <c r="B714" s="236"/>
      <c r="D714" s="236"/>
      <c r="G714" s="13"/>
      <c r="H714" s="641"/>
    </row>
    <row r="715" spans="1:8" ht="13" x14ac:dyDescent="0.15">
      <c r="A715" s="234"/>
      <c r="B715" s="236"/>
      <c r="D715" s="236"/>
      <c r="G715" s="13"/>
      <c r="H715" s="641"/>
    </row>
    <row r="716" spans="1:8" ht="13" x14ac:dyDescent="0.15">
      <c r="A716" s="234"/>
      <c r="B716" s="236"/>
      <c r="D716" s="236"/>
      <c r="G716" s="13"/>
      <c r="H716" s="641"/>
    </row>
    <row r="717" spans="1:8" ht="13" x14ac:dyDescent="0.15">
      <c r="A717" s="234"/>
      <c r="B717" s="236"/>
      <c r="D717" s="236"/>
      <c r="G717" s="13"/>
      <c r="H717" s="641"/>
    </row>
    <row r="718" spans="1:8" ht="13" x14ac:dyDescent="0.15">
      <c r="A718" s="234"/>
      <c r="B718" s="236"/>
      <c r="D718" s="236"/>
      <c r="G718" s="13"/>
      <c r="H718" s="641"/>
    </row>
    <row r="719" spans="1:8" ht="13" x14ac:dyDescent="0.15">
      <c r="A719" s="234"/>
      <c r="B719" s="236"/>
      <c r="D719" s="236"/>
      <c r="G719" s="13"/>
      <c r="H719" s="641"/>
    </row>
    <row r="720" spans="1:8" ht="13" x14ac:dyDescent="0.15">
      <c r="A720" s="234"/>
      <c r="B720" s="236"/>
      <c r="D720" s="236"/>
      <c r="G720" s="13"/>
      <c r="H720" s="641"/>
    </row>
    <row r="721" spans="1:8" ht="13" x14ac:dyDescent="0.15">
      <c r="A721" s="234"/>
      <c r="B721" s="236"/>
      <c r="D721" s="236"/>
      <c r="G721" s="13"/>
      <c r="H721" s="641"/>
    </row>
    <row r="722" spans="1:8" ht="13" x14ac:dyDescent="0.15">
      <c r="A722" s="234"/>
      <c r="B722" s="236"/>
      <c r="D722" s="236"/>
      <c r="G722" s="13"/>
      <c r="H722" s="641"/>
    </row>
    <row r="723" spans="1:8" ht="13" x14ac:dyDescent="0.15">
      <c r="A723" s="234"/>
      <c r="B723" s="236"/>
      <c r="D723" s="236"/>
      <c r="G723" s="13"/>
      <c r="H723" s="641"/>
    </row>
    <row r="724" spans="1:8" ht="13" x14ac:dyDescent="0.15">
      <c r="A724" s="234"/>
      <c r="B724" s="236"/>
      <c r="D724" s="236"/>
      <c r="G724" s="13"/>
      <c r="H724" s="641"/>
    </row>
    <row r="725" spans="1:8" ht="13" x14ac:dyDescent="0.15">
      <c r="A725" s="234"/>
      <c r="B725" s="236"/>
      <c r="D725" s="236"/>
      <c r="G725" s="13"/>
      <c r="H725" s="641"/>
    </row>
    <row r="726" spans="1:8" ht="13" x14ac:dyDescent="0.15">
      <c r="A726" s="234"/>
      <c r="B726" s="236"/>
      <c r="D726" s="236"/>
      <c r="G726" s="13"/>
      <c r="H726" s="641"/>
    </row>
    <row r="727" spans="1:8" ht="13" x14ac:dyDescent="0.15">
      <c r="A727" s="234"/>
      <c r="B727" s="236"/>
      <c r="D727" s="236"/>
      <c r="G727" s="13"/>
      <c r="H727" s="641"/>
    </row>
    <row r="728" spans="1:8" ht="13" x14ac:dyDescent="0.15">
      <c r="A728" s="234"/>
      <c r="B728" s="236"/>
      <c r="D728" s="236"/>
      <c r="G728" s="13"/>
      <c r="H728" s="641"/>
    </row>
    <row r="729" spans="1:8" ht="13" x14ac:dyDescent="0.15">
      <c r="A729" s="234"/>
      <c r="B729" s="236"/>
      <c r="D729" s="236"/>
      <c r="G729" s="13"/>
      <c r="H729" s="641"/>
    </row>
    <row r="730" spans="1:8" ht="13" x14ac:dyDescent="0.15">
      <c r="A730" s="234"/>
      <c r="B730" s="236"/>
      <c r="D730" s="236"/>
      <c r="G730" s="13"/>
      <c r="H730" s="641"/>
    </row>
    <row r="731" spans="1:8" ht="13" x14ac:dyDescent="0.15">
      <c r="A731" s="234"/>
      <c r="B731" s="236"/>
      <c r="D731" s="236"/>
      <c r="G731" s="13"/>
      <c r="H731" s="641"/>
    </row>
    <row r="732" spans="1:8" ht="13" x14ac:dyDescent="0.15">
      <c r="A732" s="234"/>
      <c r="B732" s="236"/>
      <c r="D732" s="236"/>
      <c r="G732" s="13"/>
      <c r="H732" s="641"/>
    </row>
    <row r="733" spans="1:8" ht="13" x14ac:dyDescent="0.15">
      <c r="A733" s="234"/>
      <c r="B733" s="236"/>
      <c r="D733" s="236"/>
      <c r="G733" s="13"/>
      <c r="H733" s="641"/>
    </row>
    <row r="734" spans="1:8" ht="13" x14ac:dyDescent="0.15">
      <c r="A734" s="234"/>
      <c r="B734" s="236"/>
      <c r="D734" s="236"/>
      <c r="G734" s="13"/>
      <c r="H734" s="641"/>
    </row>
    <row r="735" spans="1:8" ht="13" x14ac:dyDescent="0.15">
      <c r="A735" s="234"/>
      <c r="B735" s="236"/>
      <c r="D735" s="236"/>
      <c r="G735" s="13"/>
      <c r="H735" s="641"/>
    </row>
    <row r="736" spans="1:8" ht="13" x14ac:dyDescent="0.15">
      <c r="A736" s="234"/>
      <c r="B736" s="236"/>
      <c r="D736" s="236"/>
      <c r="G736" s="13"/>
      <c r="H736" s="641"/>
    </row>
    <row r="737" spans="1:8" ht="13" x14ac:dyDescent="0.15">
      <c r="A737" s="234"/>
      <c r="B737" s="236"/>
      <c r="D737" s="236"/>
      <c r="G737" s="13"/>
      <c r="H737" s="641"/>
    </row>
    <row r="738" spans="1:8" ht="13" x14ac:dyDescent="0.15">
      <c r="A738" s="234"/>
      <c r="B738" s="236"/>
      <c r="D738" s="236"/>
      <c r="G738" s="13"/>
      <c r="H738" s="641"/>
    </row>
    <row r="739" spans="1:8" ht="13" x14ac:dyDescent="0.15">
      <c r="A739" s="234"/>
      <c r="B739" s="236"/>
      <c r="D739" s="236"/>
      <c r="G739" s="13"/>
      <c r="H739" s="641"/>
    </row>
    <row r="740" spans="1:8" ht="13" x14ac:dyDescent="0.15">
      <c r="A740" s="234"/>
      <c r="B740" s="236"/>
      <c r="D740" s="236"/>
      <c r="G740" s="13"/>
      <c r="H740" s="641"/>
    </row>
    <row r="741" spans="1:8" ht="13" x14ac:dyDescent="0.15">
      <c r="A741" s="234"/>
      <c r="B741" s="236"/>
      <c r="D741" s="236"/>
      <c r="G741" s="13"/>
      <c r="H741" s="641"/>
    </row>
    <row r="742" spans="1:8" ht="13" x14ac:dyDescent="0.15">
      <c r="A742" s="234"/>
      <c r="B742" s="236"/>
      <c r="D742" s="236"/>
      <c r="G742" s="13"/>
      <c r="H742" s="641"/>
    </row>
    <row r="743" spans="1:8" ht="13" x14ac:dyDescent="0.15">
      <c r="A743" s="234"/>
      <c r="B743" s="236"/>
      <c r="D743" s="236"/>
      <c r="G743" s="13"/>
      <c r="H743" s="641"/>
    </row>
    <row r="744" spans="1:8" ht="13" x14ac:dyDescent="0.15">
      <c r="A744" s="234"/>
      <c r="B744" s="236"/>
      <c r="D744" s="236"/>
      <c r="G744" s="13"/>
      <c r="H744" s="641"/>
    </row>
    <row r="745" spans="1:8" ht="13" x14ac:dyDescent="0.15">
      <c r="A745" s="234"/>
      <c r="B745" s="236"/>
      <c r="D745" s="236"/>
      <c r="G745" s="13"/>
      <c r="H745" s="641"/>
    </row>
    <row r="746" spans="1:8" ht="13" x14ac:dyDescent="0.15">
      <c r="A746" s="234"/>
      <c r="B746" s="236"/>
      <c r="D746" s="236"/>
      <c r="G746" s="13"/>
      <c r="H746" s="641"/>
    </row>
    <row r="747" spans="1:8" ht="13" x14ac:dyDescent="0.15">
      <c r="A747" s="234"/>
      <c r="B747" s="236"/>
      <c r="D747" s="236"/>
      <c r="G747" s="13"/>
      <c r="H747" s="641"/>
    </row>
    <row r="748" spans="1:8" ht="13" x14ac:dyDescent="0.15">
      <c r="A748" s="234"/>
      <c r="B748" s="236"/>
      <c r="D748" s="236"/>
      <c r="G748" s="13"/>
      <c r="H748" s="641"/>
    </row>
    <row r="749" spans="1:8" ht="13" x14ac:dyDescent="0.15">
      <c r="A749" s="234"/>
      <c r="B749" s="236"/>
      <c r="D749" s="236"/>
      <c r="G749" s="13"/>
      <c r="H749" s="641"/>
    </row>
    <row r="750" spans="1:8" ht="13" x14ac:dyDescent="0.15">
      <c r="A750" s="234"/>
      <c r="B750" s="236"/>
      <c r="D750" s="236"/>
      <c r="G750" s="13"/>
      <c r="H750" s="641"/>
    </row>
    <row r="751" spans="1:8" ht="13" x14ac:dyDescent="0.15">
      <c r="A751" s="234"/>
      <c r="B751" s="236"/>
      <c r="D751" s="236"/>
      <c r="G751" s="13"/>
      <c r="H751" s="641"/>
    </row>
    <row r="752" spans="1:8" ht="13" x14ac:dyDescent="0.15">
      <c r="A752" s="234"/>
      <c r="B752" s="236"/>
      <c r="D752" s="236"/>
      <c r="G752" s="13"/>
      <c r="H752" s="641"/>
    </row>
    <row r="753" spans="1:8" ht="13" x14ac:dyDescent="0.15">
      <c r="A753" s="234"/>
      <c r="B753" s="236"/>
      <c r="D753" s="236"/>
      <c r="G753" s="13"/>
      <c r="H753" s="641"/>
    </row>
    <row r="754" spans="1:8" ht="13" x14ac:dyDescent="0.15">
      <c r="A754" s="234"/>
      <c r="B754" s="236"/>
      <c r="D754" s="236"/>
      <c r="G754" s="13"/>
      <c r="H754" s="641"/>
    </row>
    <row r="755" spans="1:8" ht="13" x14ac:dyDescent="0.15">
      <c r="A755" s="234"/>
      <c r="B755" s="236"/>
      <c r="D755" s="236"/>
      <c r="G755" s="13"/>
      <c r="H755" s="641"/>
    </row>
    <row r="756" spans="1:8" ht="13" x14ac:dyDescent="0.15">
      <c r="A756" s="234"/>
      <c r="B756" s="236"/>
      <c r="D756" s="236"/>
      <c r="G756" s="13"/>
      <c r="H756" s="641"/>
    </row>
    <row r="757" spans="1:8" ht="13" x14ac:dyDescent="0.15">
      <c r="A757" s="234"/>
      <c r="B757" s="236"/>
      <c r="D757" s="236"/>
      <c r="G757" s="13"/>
      <c r="H757" s="641"/>
    </row>
    <row r="758" spans="1:8" ht="13" x14ac:dyDescent="0.15">
      <c r="A758" s="234"/>
      <c r="B758" s="236"/>
      <c r="D758" s="236"/>
      <c r="G758" s="13"/>
      <c r="H758" s="641"/>
    </row>
    <row r="759" spans="1:8" ht="13" x14ac:dyDescent="0.15">
      <c r="A759" s="234"/>
      <c r="B759" s="236"/>
      <c r="D759" s="236"/>
      <c r="G759" s="13"/>
      <c r="H759" s="641"/>
    </row>
    <row r="760" spans="1:8" ht="13" x14ac:dyDescent="0.15">
      <c r="A760" s="234"/>
      <c r="B760" s="236"/>
      <c r="D760" s="236"/>
      <c r="G760" s="13"/>
      <c r="H760" s="641"/>
    </row>
    <row r="761" spans="1:8" ht="13" x14ac:dyDescent="0.15">
      <c r="A761" s="234"/>
      <c r="B761" s="236"/>
      <c r="D761" s="236"/>
      <c r="G761" s="13"/>
      <c r="H761" s="641"/>
    </row>
    <row r="762" spans="1:8" ht="13" x14ac:dyDescent="0.15">
      <c r="A762" s="234"/>
      <c r="B762" s="236"/>
      <c r="D762" s="236"/>
      <c r="G762" s="13"/>
      <c r="H762" s="641"/>
    </row>
    <row r="763" spans="1:8" ht="13" x14ac:dyDescent="0.15">
      <c r="A763" s="234"/>
      <c r="B763" s="236"/>
      <c r="D763" s="236"/>
      <c r="G763" s="13"/>
      <c r="H763" s="641"/>
    </row>
    <row r="764" spans="1:8" ht="13" x14ac:dyDescent="0.15">
      <c r="A764" s="234"/>
      <c r="B764" s="236"/>
      <c r="D764" s="236"/>
      <c r="G764" s="13"/>
      <c r="H764" s="641"/>
    </row>
    <row r="765" spans="1:8" ht="13" x14ac:dyDescent="0.15">
      <c r="A765" s="234"/>
      <c r="B765" s="236"/>
      <c r="D765" s="236"/>
      <c r="G765" s="13"/>
      <c r="H765" s="641"/>
    </row>
    <row r="766" spans="1:8" ht="13" x14ac:dyDescent="0.15">
      <c r="A766" s="234"/>
      <c r="B766" s="236"/>
      <c r="D766" s="236"/>
      <c r="G766" s="13"/>
      <c r="H766" s="641"/>
    </row>
    <row r="767" spans="1:8" ht="13" x14ac:dyDescent="0.15">
      <c r="A767" s="234"/>
      <c r="B767" s="236"/>
      <c r="D767" s="236"/>
      <c r="G767" s="13"/>
      <c r="H767" s="641"/>
    </row>
    <row r="768" spans="1:8" ht="13" x14ac:dyDescent="0.15">
      <c r="A768" s="234"/>
      <c r="B768" s="236"/>
      <c r="D768" s="236"/>
      <c r="G768" s="13"/>
      <c r="H768" s="641"/>
    </row>
    <row r="769" spans="1:8" ht="13" x14ac:dyDescent="0.15">
      <c r="A769" s="234"/>
      <c r="B769" s="236"/>
      <c r="D769" s="236"/>
      <c r="G769" s="13"/>
      <c r="H769" s="641"/>
    </row>
    <row r="770" spans="1:8" ht="13" x14ac:dyDescent="0.15">
      <c r="A770" s="234"/>
      <c r="B770" s="236"/>
      <c r="D770" s="236"/>
      <c r="G770" s="13"/>
      <c r="H770" s="641"/>
    </row>
    <row r="771" spans="1:8" ht="13" x14ac:dyDescent="0.15">
      <c r="A771" s="234"/>
      <c r="B771" s="236"/>
      <c r="D771" s="236"/>
      <c r="G771" s="13"/>
      <c r="H771" s="641"/>
    </row>
    <row r="772" spans="1:8" ht="13" x14ac:dyDescent="0.15">
      <c r="A772" s="234"/>
      <c r="B772" s="236"/>
      <c r="D772" s="236"/>
      <c r="G772" s="13"/>
      <c r="H772" s="641"/>
    </row>
    <row r="773" spans="1:8" ht="13" x14ac:dyDescent="0.15">
      <c r="A773" s="234"/>
      <c r="B773" s="236"/>
      <c r="D773" s="236"/>
      <c r="G773" s="13"/>
      <c r="H773" s="641"/>
    </row>
    <row r="774" spans="1:8" ht="13" x14ac:dyDescent="0.15">
      <c r="A774" s="234"/>
      <c r="B774" s="236"/>
      <c r="D774" s="236"/>
      <c r="G774" s="13"/>
      <c r="H774" s="641"/>
    </row>
    <row r="775" spans="1:8" ht="13" x14ac:dyDescent="0.15">
      <c r="A775" s="234"/>
      <c r="B775" s="236"/>
      <c r="D775" s="236"/>
      <c r="G775" s="13"/>
      <c r="H775" s="641"/>
    </row>
    <row r="776" spans="1:8" ht="13" x14ac:dyDescent="0.15">
      <c r="A776" s="234"/>
      <c r="B776" s="236"/>
      <c r="D776" s="236"/>
      <c r="G776" s="13"/>
      <c r="H776" s="641"/>
    </row>
    <row r="777" spans="1:8" ht="13" x14ac:dyDescent="0.15">
      <c r="A777" s="234"/>
      <c r="B777" s="236"/>
      <c r="D777" s="236"/>
      <c r="G777" s="13"/>
      <c r="H777" s="641"/>
    </row>
    <row r="778" spans="1:8" ht="13" x14ac:dyDescent="0.15">
      <c r="A778" s="234"/>
      <c r="B778" s="236"/>
      <c r="D778" s="236"/>
      <c r="G778" s="13"/>
      <c r="H778" s="641"/>
    </row>
    <row r="779" spans="1:8" ht="13" x14ac:dyDescent="0.15">
      <c r="A779" s="234"/>
      <c r="B779" s="236"/>
      <c r="D779" s="236"/>
      <c r="G779" s="13"/>
      <c r="H779" s="641"/>
    </row>
    <row r="780" spans="1:8" ht="13" x14ac:dyDescent="0.15">
      <c r="A780" s="234"/>
      <c r="B780" s="236"/>
      <c r="D780" s="236"/>
      <c r="G780" s="13"/>
      <c r="H780" s="641"/>
    </row>
    <row r="781" spans="1:8" ht="13" x14ac:dyDescent="0.15">
      <c r="A781" s="234"/>
      <c r="B781" s="236"/>
      <c r="D781" s="236"/>
      <c r="G781" s="13"/>
      <c r="H781" s="641"/>
    </row>
    <row r="782" spans="1:8" ht="13" x14ac:dyDescent="0.15">
      <c r="A782" s="234"/>
      <c r="B782" s="236"/>
      <c r="D782" s="236"/>
      <c r="G782" s="13"/>
      <c r="H782" s="641"/>
    </row>
    <row r="783" spans="1:8" ht="13" x14ac:dyDescent="0.15">
      <c r="A783" s="234"/>
      <c r="B783" s="236"/>
      <c r="D783" s="236"/>
      <c r="G783" s="13"/>
      <c r="H783" s="641"/>
    </row>
    <row r="784" spans="1:8" ht="13" x14ac:dyDescent="0.15">
      <c r="A784" s="234"/>
      <c r="B784" s="236"/>
      <c r="D784" s="236"/>
      <c r="G784" s="13"/>
      <c r="H784" s="641"/>
    </row>
    <row r="785" spans="1:8" ht="13" x14ac:dyDescent="0.15">
      <c r="A785" s="234"/>
      <c r="B785" s="236"/>
      <c r="D785" s="236"/>
      <c r="G785" s="13"/>
      <c r="H785" s="641"/>
    </row>
    <row r="786" spans="1:8" ht="13" x14ac:dyDescent="0.15">
      <c r="A786" s="234"/>
      <c r="B786" s="236"/>
      <c r="D786" s="236"/>
      <c r="G786" s="13"/>
      <c r="H786" s="641"/>
    </row>
    <row r="787" spans="1:8" ht="13" x14ac:dyDescent="0.15">
      <c r="A787" s="234"/>
      <c r="B787" s="236"/>
      <c r="D787" s="236"/>
      <c r="G787" s="13"/>
      <c r="H787" s="641"/>
    </row>
    <row r="788" spans="1:8" ht="13" x14ac:dyDescent="0.15">
      <c r="A788" s="234"/>
      <c r="B788" s="236"/>
      <c r="D788" s="236"/>
      <c r="G788" s="13"/>
      <c r="H788" s="641"/>
    </row>
    <row r="789" spans="1:8" ht="13" x14ac:dyDescent="0.15">
      <c r="A789" s="234"/>
      <c r="B789" s="236"/>
      <c r="D789" s="236"/>
      <c r="G789" s="13"/>
      <c r="H789" s="641"/>
    </row>
    <row r="790" spans="1:8" ht="13" x14ac:dyDescent="0.15">
      <c r="A790" s="234"/>
      <c r="B790" s="236"/>
      <c r="D790" s="236"/>
      <c r="G790" s="13"/>
      <c r="H790" s="641"/>
    </row>
    <row r="791" spans="1:8" ht="13" x14ac:dyDescent="0.15">
      <c r="A791" s="234"/>
      <c r="B791" s="236"/>
      <c r="D791" s="236"/>
      <c r="G791" s="13"/>
      <c r="H791" s="641"/>
    </row>
    <row r="792" spans="1:8" ht="13" x14ac:dyDescent="0.15">
      <c r="A792" s="234"/>
      <c r="B792" s="236"/>
      <c r="D792" s="236"/>
      <c r="G792" s="13"/>
      <c r="H792" s="641"/>
    </row>
    <row r="793" spans="1:8" ht="13" x14ac:dyDescent="0.15">
      <c r="A793" s="234"/>
      <c r="B793" s="236"/>
      <c r="D793" s="236"/>
      <c r="G793" s="13"/>
      <c r="H793" s="641"/>
    </row>
    <row r="794" spans="1:8" ht="13" x14ac:dyDescent="0.15">
      <c r="A794" s="234"/>
      <c r="B794" s="236"/>
      <c r="D794" s="236"/>
      <c r="G794" s="13"/>
      <c r="H794" s="641"/>
    </row>
    <row r="795" spans="1:8" ht="13" x14ac:dyDescent="0.15">
      <c r="A795" s="234"/>
      <c r="B795" s="236"/>
      <c r="D795" s="236"/>
      <c r="G795" s="13"/>
      <c r="H795" s="641"/>
    </row>
    <row r="796" spans="1:8" ht="13" x14ac:dyDescent="0.15">
      <c r="A796" s="234"/>
      <c r="B796" s="236"/>
      <c r="D796" s="236"/>
      <c r="G796" s="13"/>
      <c r="H796" s="641"/>
    </row>
    <row r="797" spans="1:8" ht="13" x14ac:dyDescent="0.15">
      <c r="A797" s="234"/>
      <c r="B797" s="236"/>
      <c r="D797" s="236"/>
      <c r="G797" s="13"/>
      <c r="H797" s="641"/>
    </row>
    <row r="798" spans="1:8" ht="13" x14ac:dyDescent="0.15">
      <c r="A798" s="234"/>
      <c r="B798" s="236"/>
      <c r="D798" s="236"/>
      <c r="G798" s="13"/>
      <c r="H798" s="641"/>
    </row>
    <row r="799" spans="1:8" ht="13" x14ac:dyDescent="0.15">
      <c r="A799" s="234"/>
      <c r="B799" s="236"/>
      <c r="D799" s="236"/>
      <c r="G799" s="13"/>
      <c r="H799" s="641"/>
    </row>
    <row r="800" spans="1:8" ht="13" x14ac:dyDescent="0.15">
      <c r="A800" s="234"/>
      <c r="B800" s="236"/>
      <c r="D800" s="236"/>
      <c r="G800" s="13"/>
      <c r="H800" s="641"/>
    </row>
    <row r="801" spans="1:8" ht="13" x14ac:dyDescent="0.15">
      <c r="A801" s="234"/>
      <c r="B801" s="236"/>
      <c r="D801" s="236"/>
      <c r="G801" s="13"/>
      <c r="H801" s="641"/>
    </row>
    <row r="802" spans="1:8" ht="13" x14ac:dyDescent="0.15">
      <c r="A802" s="234"/>
      <c r="B802" s="236"/>
      <c r="D802" s="236"/>
      <c r="G802" s="13"/>
      <c r="H802" s="641"/>
    </row>
    <row r="803" spans="1:8" ht="13" x14ac:dyDescent="0.15">
      <c r="A803" s="234"/>
      <c r="B803" s="236"/>
      <c r="D803" s="236"/>
      <c r="G803" s="13"/>
      <c r="H803" s="641"/>
    </row>
    <row r="804" spans="1:8" ht="13" x14ac:dyDescent="0.15">
      <c r="A804" s="234"/>
      <c r="B804" s="236"/>
      <c r="D804" s="236"/>
      <c r="G804" s="13"/>
      <c r="H804" s="641"/>
    </row>
    <row r="805" spans="1:8" ht="13" x14ac:dyDescent="0.15">
      <c r="A805" s="234"/>
      <c r="B805" s="236"/>
      <c r="D805" s="236"/>
      <c r="G805" s="13"/>
      <c r="H805" s="641"/>
    </row>
    <row r="806" spans="1:8" ht="13" x14ac:dyDescent="0.15">
      <c r="A806" s="234"/>
      <c r="B806" s="236"/>
      <c r="D806" s="236"/>
      <c r="G806" s="13"/>
      <c r="H806" s="641"/>
    </row>
    <row r="807" spans="1:8" ht="13" x14ac:dyDescent="0.15">
      <c r="A807" s="234"/>
      <c r="B807" s="236"/>
      <c r="D807" s="236"/>
      <c r="G807" s="13"/>
      <c r="H807" s="641"/>
    </row>
    <row r="808" spans="1:8" ht="13" x14ac:dyDescent="0.15">
      <c r="A808" s="234"/>
      <c r="B808" s="236"/>
      <c r="D808" s="236"/>
      <c r="G808" s="13"/>
      <c r="H808" s="641"/>
    </row>
    <row r="809" spans="1:8" ht="13" x14ac:dyDescent="0.15">
      <c r="A809" s="234"/>
      <c r="B809" s="236"/>
      <c r="D809" s="236"/>
      <c r="G809" s="13"/>
      <c r="H809" s="641"/>
    </row>
    <row r="810" spans="1:8" ht="13" x14ac:dyDescent="0.15">
      <c r="A810" s="234"/>
      <c r="B810" s="236"/>
      <c r="D810" s="236"/>
      <c r="G810" s="13"/>
      <c r="H810" s="641"/>
    </row>
    <row r="811" spans="1:8" ht="13" x14ac:dyDescent="0.15">
      <c r="A811" s="234"/>
      <c r="B811" s="236"/>
      <c r="D811" s="236"/>
      <c r="G811" s="13"/>
      <c r="H811" s="641"/>
    </row>
    <row r="812" spans="1:8" ht="13" x14ac:dyDescent="0.15">
      <c r="A812" s="234"/>
      <c r="B812" s="236"/>
      <c r="D812" s="236"/>
      <c r="G812" s="13"/>
      <c r="H812" s="641"/>
    </row>
    <row r="813" spans="1:8" ht="13" x14ac:dyDescent="0.15">
      <c r="A813" s="234"/>
      <c r="B813" s="236"/>
      <c r="D813" s="236"/>
      <c r="G813" s="13"/>
      <c r="H813" s="641"/>
    </row>
    <row r="814" spans="1:8" ht="13" x14ac:dyDescent="0.15">
      <c r="A814" s="234"/>
      <c r="B814" s="236"/>
      <c r="D814" s="236"/>
      <c r="G814" s="13"/>
      <c r="H814" s="641"/>
    </row>
    <row r="815" spans="1:8" ht="13" x14ac:dyDescent="0.15">
      <c r="A815" s="234"/>
      <c r="B815" s="236"/>
      <c r="D815" s="236"/>
      <c r="G815" s="13"/>
      <c r="H815" s="641"/>
    </row>
    <row r="816" spans="1:8" ht="13" x14ac:dyDescent="0.15">
      <c r="A816" s="234"/>
      <c r="B816" s="236"/>
      <c r="D816" s="236"/>
      <c r="G816" s="13"/>
      <c r="H816" s="641"/>
    </row>
    <row r="817" spans="1:8" ht="13" x14ac:dyDescent="0.15">
      <c r="A817" s="234"/>
      <c r="B817" s="236"/>
      <c r="D817" s="236"/>
      <c r="G817" s="13"/>
      <c r="H817" s="641"/>
    </row>
    <row r="818" spans="1:8" ht="13" x14ac:dyDescent="0.15">
      <c r="A818" s="234"/>
      <c r="B818" s="236"/>
      <c r="D818" s="236"/>
      <c r="G818" s="13"/>
      <c r="H818" s="641"/>
    </row>
    <row r="819" spans="1:8" ht="13" x14ac:dyDescent="0.15">
      <c r="A819" s="234"/>
      <c r="B819" s="236"/>
      <c r="D819" s="236"/>
      <c r="G819" s="13"/>
      <c r="H819" s="641"/>
    </row>
    <row r="820" spans="1:8" ht="13" x14ac:dyDescent="0.15">
      <c r="A820" s="234"/>
      <c r="B820" s="236"/>
      <c r="D820" s="236"/>
      <c r="G820" s="13"/>
      <c r="H820" s="641"/>
    </row>
    <row r="821" spans="1:8" ht="13" x14ac:dyDescent="0.15">
      <c r="A821" s="234"/>
      <c r="B821" s="236"/>
      <c r="D821" s="236"/>
      <c r="G821" s="13"/>
      <c r="H821" s="641"/>
    </row>
    <row r="822" spans="1:8" ht="13" x14ac:dyDescent="0.15">
      <c r="A822" s="234"/>
      <c r="B822" s="236"/>
      <c r="D822" s="236"/>
      <c r="G822" s="13"/>
      <c r="H822" s="641"/>
    </row>
    <row r="823" spans="1:8" ht="13" x14ac:dyDescent="0.15">
      <c r="A823" s="234"/>
      <c r="B823" s="236"/>
      <c r="D823" s="236"/>
      <c r="G823" s="13"/>
      <c r="H823" s="641"/>
    </row>
    <row r="824" spans="1:8" ht="13" x14ac:dyDescent="0.15">
      <c r="A824" s="234"/>
      <c r="B824" s="236"/>
      <c r="D824" s="236"/>
      <c r="G824" s="13"/>
      <c r="H824" s="641"/>
    </row>
    <row r="825" spans="1:8" ht="13" x14ac:dyDescent="0.15">
      <c r="A825" s="234"/>
      <c r="B825" s="236"/>
      <c r="D825" s="236"/>
      <c r="G825" s="13"/>
      <c r="H825" s="641"/>
    </row>
    <row r="826" spans="1:8" ht="13" x14ac:dyDescent="0.15">
      <c r="A826" s="234"/>
      <c r="B826" s="236"/>
      <c r="D826" s="236"/>
      <c r="G826" s="13"/>
      <c r="H826" s="641"/>
    </row>
    <row r="827" spans="1:8" ht="13" x14ac:dyDescent="0.15">
      <c r="A827" s="234"/>
      <c r="B827" s="236"/>
      <c r="D827" s="236"/>
      <c r="G827" s="13"/>
      <c r="H827" s="641"/>
    </row>
    <row r="828" spans="1:8" ht="13" x14ac:dyDescent="0.15">
      <c r="A828" s="234"/>
      <c r="B828" s="236"/>
      <c r="D828" s="236"/>
      <c r="G828" s="13"/>
      <c r="H828" s="641"/>
    </row>
    <row r="829" spans="1:8" ht="13" x14ac:dyDescent="0.15">
      <c r="A829" s="234"/>
      <c r="B829" s="236"/>
      <c r="D829" s="236"/>
      <c r="G829" s="13"/>
      <c r="H829" s="641"/>
    </row>
    <row r="830" spans="1:8" ht="13" x14ac:dyDescent="0.15">
      <c r="A830" s="234"/>
      <c r="B830" s="236"/>
      <c r="D830" s="236"/>
      <c r="G830" s="13"/>
      <c r="H830" s="641"/>
    </row>
    <row r="831" spans="1:8" ht="13" x14ac:dyDescent="0.15">
      <c r="A831" s="234"/>
      <c r="B831" s="236"/>
      <c r="D831" s="236"/>
      <c r="G831" s="13"/>
      <c r="H831" s="641"/>
    </row>
    <row r="832" spans="1:8" ht="13" x14ac:dyDescent="0.15">
      <c r="A832" s="234"/>
      <c r="B832" s="236"/>
      <c r="D832" s="236"/>
      <c r="G832" s="13"/>
      <c r="H832" s="641"/>
    </row>
    <row r="833" spans="1:8" ht="13" x14ac:dyDescent="0.15">
      <c r="A833" s="234"/>
      <c r="B833" s="236"/>
      <c r="D833" s="236"/>
      <c r="G833" s="13"/>
      <c r="H833" s="641"/>
    </row>
    <row r="834" spans="1:8" ht="13" x14ac:dyDescent="0.15">
      <c r="A834" s="234"/>
      <c r="B834" s="236"/>
      <c r="D834" s="236"/>
      <c r="G834" s="13"/>
      <c r="H834" s="641"/>
    </row>
    <row r="835" spans="1:8" ht="13" x14ac:dyDescent="0.15">
      <c r="A835" s="234"/>
      <c r="B835" s="236"/>
      <c r="D835" s="236"/>
      <c r="G835" s="13"/>
      <c r="H835" s="641"/>
    </row>
    <row r="836" spans="1:8" ht="13" x14ac:dyDescent="0.15">
      <c r="A836" s="234"/>
      <c r="B836" s="236"/>
      <c r="D836" s="236"/>
      <c r="G836" s="13"/>
      <c r="H836" s="641"/>
    </row>
    <row r="837" spans="1:8" ht="13" x14ac:dyDescent="0.15">
      <c r="A837" s="234"/>
      <c r="B837" s="236"/>
      <c r="D837" s="236"/>
      <c r="G837" s="13"/>
      <c r="H837" s="641"/>
    </row>
    <row r="838" spans="1:8" ht="13" x14ac:dyDescent="0.15">
      <c r="A838" s="234"/>
      <c r="B838" s="236"/>
      <c r="D838" s="236"/>
      <c r="G838" s="13"/>
      <c r="H838" s="641"/>
    </row>
    <row r="839" spans="1:8" ht="13" x14ac:dyDescent="0.15">
      <c r="A839" s="234"/>
      <c r="B839" s="236"/>
      <c r="D839" s="236"/>
      <c r="G839" s="13"/>
      <c r="H839" s="641"/>
    </row>
    <row r="840" spans="1:8" ht="13" x14ac:dyDescent="0.15">
      <c r="A840" s="234"/>
      <c r="B840" s="236"/>
      <c r="D840" s="236"/>
      <c r="G840" s="13"/>
      <c r="H840" s="641"/>
    </row>
    <row r="841" spans="1:8" ht="13" x14ac:dyDescent="0.15">
      <c r="A841" s="234"/>
      <c r="B841" s="236"/>
      <c r="D841" s="236"/>
      <c r="G841" s="13"/>
      <c r="H841" s="641"/>
    </row>
    <row r="842" spans="1:8" ht="13" x14ac:dyDescent="0.15">
      <c r="A842" s="234"/>
      <c r="B842" s="236"/>
      <c r="D842" s="236"/>
      <c r="G842" s="13"/>
      <c r="H842" s="641"/>
    </row>
    <row r="843" spans="1:8" ht="13" x14ac:dyDescent="0.15">
      <c r="A843" s="234"/>
      <c r="B843" s="236"/>
      <c r="D843" s="236"/>
      <c r="G843" s="13"/>
      <c r="H843" s="641"/>
    </row>
    <row r="844" spans="1:8" ht="13" x14ac:dyDescent="0.15">
      <c r="A844" s="234"/>
      <c r="B844" s="236"/>
      <c r="D844" s="236"/>
      <c r="G844" s="13"/>
      <c r="H844" s="641"/>
    </row>
    <row r="845" spans="1:8" ht="13" x14ac:dyDescent="0.15">
      <c r="A845" s="234"/>
      <c r="B845" s="236"/>
      <c r="D845" s="236"/>
      <c r="G845" s="13"/>
      <c r="H845" s="641"/>
    </row>
    <row r="846" spans="1:8" ht="13" x14ac:dyDescent="0.15">
      <c r="A846" s="234"/>
      <c r="B846" s="236"/>
      <c r="D846" s="236"/>
      <c r="G846" s="13"/>
      <c r="H846" s="641"/>
    </row>
    <row r="847" spans="1:8" ht="13" x14ac:dyDescent="0.15">
      <c r="A847" s="234"/>
      <c r="B847" s="236"/>
      <c r="D847" s="236"/>
      <c r="G847" s="13"/>
      <c r="H847" s="641"/>
    </row>
    <row r="848" spans="1:8" ht="13" x14ac:dyDescent="0.15">
      <c r="A848" s="234"/>
      <c r="B848" s="236"/>
      <c r="D848" s="236"/>
      <c r="G848" s="13"/>
      <c r="H848" s="641"/>
    </row>
    <row r="849" spans="1:8" ht="13" x14ac:dyDescent="0.15">
      <c r="A849" s="234"/>
      <c r="B849" s="236"/>
      <c r="D849" s="236"/>
      <c r="G849" s="13"/>
      <c r="H849" s="641"/>
    </row>
    <row r="850" spans="1:8" ht="13" x14ac:dyDescent="0.15">
      <c r="A850" s="234"/>
      <c r="B850" s="236"/>
      <c r="D850" s="236"/>
      <c r="G850" s="13"/>
      <c r="H850" s="641"/>
    </row>
    <row r="851" spans="1:8" ht="13" x14ac:dyDescent="0.15">
      <c r="A851" s="234"/>
      <c r="B851" s="236"/>
      <c r="D851" s="236"/>
      <c r="G851" s="13"/>
      <c r="H851" s="641"/>
    </row>
    <row r="852" spans="1:8" ht="13" x14ac:dyDescent="0.15">
      <c r="A852" s="234"/>
      <c r="B852" s="236"/>
      <c r="D852" s="236"/>
      <c r="G852" s="13"/>
      <c r="H852" s="641"/>
    </row>
    <row r="853" spans="1:8" ht="13" x14ac:dyDescent="0.15">
      <c r="A853" s="234"/>
      <c r="B853" s="236"/>
      <c r="D853" s="236"/>
      <c r="G853" s="13"/>
      <c r="H853" s="641"/>
    </row>
    <row r="854" spans="1:8" ht="13" x14ac:dyDescent="0.15">
      <c r="A854" s="234"/>
      <c r="B854" s="236"/>
      <c r="D854" s="236"/>
      <c r="G854" s="13"/>
      <c r="H854" s="641"/>
    </row>
    <row r="855" spans="1:8" ht="13" x14ac:dyDescent="0.15">
      <c r="A855" s="234"/>
      <c r="B855" s="236"/>
      <c r="D855" s="236"/>
      <c r="G855" s="13"/>
      <c r="H855" s="641"/>
    </row>
    <row r="856" spans="1:8" ht="13" x14ac:dyDescent="0.15">
      <c r="A856" s="234"/>
      <c r="B856" s="236"/>
      <c r="D856" s="236"/>
      <c r="G856" s="13"/>
      <c r="H856" s="641"/>
    </row>
    <row r="857" spans="1:8" ht="13" x14ac:dyDescent="0.15">
      <c r="A857" s="234"/>
      <c r="B857" s="236"/>
      <c r="D857" s="236"/>
      <c r="G857" s="13"/>
      <c r="H857" s="641"/>
    </row>
    <row r="858" spans="1:8" ht="13" x14ac:dyDescent="0.15">
      <c r="A858" s="234"/>
      <c r="B858" s="236"/>
      <c r="D858" s="236"/>
      <c r="G858" s="13"/>
      <c r="H858" s="641"/>
    </row>
    <row r="859" spans="1:8" ht="13" x14ac:dyDescent="0.15">
      <c r="A859" s="234"/>
      <c r="B859" s="236"/>
      <c r="D859" s="236"/>
      <c r="G859" s="13"/>
      <c r="H859" s="641"/>
    </row>
    <row r="860" spans="1:8" ht="13" x14ac:dyDescent="0.15">
      <c r="A860" s="234"/>
      <c r="B860" s="236"/>
      <c r="D860" s="236"/>
      <c r="G860" s="13"/>
      <c r="H860" s="641"/>
    </row>
    <row r="861" spans="1:8" ht="13" x14ac:dyDescent="0.15">
      <c r="A861" s="234"/>
      <c r="B861" s="236"/>
      <c r="D861" s="236"/>
      <c r="G861" s="13"/>
      <c r="H861" s="641"/>
    </row>
    <row r="862" spans="1:8" ht="13" x14ac:dyDescent="0.15">
      <c r="A862" s="234"/>
      <c r="B862" s="236"/>
      <c r="D862" s="236"/>
      <c r="G862" s="13"/>
      <c r="H862" s="641"/>
    </row>
    <row r="863" spans="1:8" ht="13" x14ac:dyDescent="0.15">
      <c r="A863" s="234"/>
      <c r="B863" s="236"/>
      <c r="D863" s="236"/>
      <c r="G863" s="13"/>
      <c r="H863" s="641"/>
    </row>
    <row r="864" spans="1:8" ht="13" x14ac:dyDescent="0.15">
      <c r="A864" s="234"/>
      <c r="B864" s="236"/>
      <c r="D864" s="236"/>
      <c r="G864" s="13"/>
      <c r="H864" s="641"/>
    </row>
    <row r="865" spans="1:8" ht="13" x14ac:dyDescent="0.15">
      <c r="A865" s="234"/>
      <c r="B865" s="236"/>
      <c r="D865" s="236"/>
      <c r="G865" s="13"/>
      <c r="H865" s="641"/>
    </row>
    <row r="866" spans="1:8" ht="13" x14ac:dyDescent="0.15">
      <c r="A866" s="234"/>
      <c r="B866" s="236"/>
      <c r="D866" s="236"/>
      <c r="G866" s="13"/>
      <c r="H866" s="641"/>
    </row>
    <row r="867" spans="1:8" ht="13" x14ac:dyDescent="0.15">
      <c r="A867" s="234"/>
      <c r="B867" s="236"/>
      <c r="D867" s="236"/>
      <c r="G867" s="13"/>
      <c r="H867" s="641"/>
    </row>
    <row r="868" spans="1:8" ht="13" x14ac:dyDescent="0.15">
      <c r="A868" s="234"/>
      <c r="B868" s="236"/>
      <c r="D868" s="236"/>
      <c r="G868" s="13"/>
      <c r="H868" s="641"/>
    </row>
    <row r="869" spans="1:8" ht="13" x14ac:dyDescent="0.15">
      <c r="A869" s="234"/>
      <c r="B869" s="236"/>
      <c r="D869" s="236"/>
      <c r="G869" s="13"/>
      <c r="H869" s="641"/>
    </row>
    <row r="870" spans="1:8" ht="13" x14ac:dyDescent="0.15">
      <c r="A870" s="234"/>
      <c r="B870" s="236"/>
      <c r="D870" s="236"/>
      <c r="G870" s="13"/>
      <c r="H870" s="641"/>
    </row>
    <row r="871" spans="1:8" ht="13" x14ac:dyDescent="0.15">
      <c r="A871" s="234"/>
      <c r="B871" s="236"/>
      <c r="D871" s="236"/>
      <c r="G871" s="13"/>
      <c r="H871" s="641"/>
    </row>
    <row r="872" spans="1:8" ht="13" x14ac:dyDescent="0.15">
      <c r="A872" s="234"/>
      <c r="B872" s="236"/>
      <c r="D872" s="236"/>
      <c r="G872" s="13"/>
      <c r="H872" s="641"/>
    </row>
    <row r="873" spans="1:8" ht="13" x14ac:dyDescent="0.15">
      <c r="A873" s="234"/>
      <c r="B873" s="236"/>
      <c r="D873" s="236"/>
      <c r="G873" s="13"/>
      <c r="H873" s="641"/>
    </row>
    <row r="874" spans="1:8" ht="13" x14ac:dyDescent="0.15">
      <c r="A874" s="234"/>
      <c r="B874" s="236"/>
      <c r="D874" s="236"/>
      <c r="G874" s="13"/>
      <c r="H874" s="641"/>
    </row>
    <row r="875" spans="1:8" ht="13" x14ac:dyDescent="0.15">
      <c r="A875" s="234"/>
      <c r="B875" s="236"/>
      <c r="D875" s="236"/>
      <c r="G875" s="13"/>
      <c r="H875" s="641"/>
    </row>
    <row r="876" spans="1:8" ht="13" x14ac:dyDescent="0.15">
      <c r="A876" s="234"/>
      <c r="B876" s="236"/>
      <c r="D876" s="236"/>
      <c r="G876" s="13"/>
      <c r="H876" s="641"/>
    </row>
    <row r="877" spans="1:8" ht="13" x14ac:dyDescent="0.15">
      <c r="A877" s="234"/>
      <c r="B877" s="236"/>
      <c r="D877" s="236"/>
      <c r="G877" s="13"/>
      <c r="H877" s="641"/>
    </row>
    <row r="878" spans="1:8" ht="13" x14ac:dyDescent="0.15">
      <c r="A878" s="234"/>
      <c r="B878" s="236"/>
      <c r="D878" s="236"/>
      <c r="G878" s="13"/>
      <c r="H878" s="641"/>
    </row>
    <row r="879" spans="1:8" ht="13" x14ac:dyDescent="0.15">
      <c r="A879" s="234"/>
      <c r="B879" s="236"/>
      <c r="D879" s="236"/>
      <c r="G879" s="13"/>
      <c r="H879" s="641"/>
    </row>
    <row r="880" spans="1:8" ht="13" x14ac:dyDescent="0.15">
      <c r="A880" s="234"/>
      <c r="B880" s="236"/>
      <c r="D880" s="236"/>
      <c r="G880" s="13"/>
      <c r="H880" s="641"/>
    </row>
    <row r="881" spans="1:8" ht="13" x14ac:dyDescent="0.15">
      <c r="A881" s="234"/>
      <c r="B881" s="236"/>
      <c r="D881" s="236"/>
      <c r="G881" s="13"/>
      <c r="H881" s="641"/>
    </row>
    <row r="882" spans="1:8" ht="13" x14ac:dyDescent="0.15">
      <c r="A882" s="234"/>
      <c r="B882" s="236"/>
      <c r="D882" s="236"/>
      <c r="G882" s="13"/>
      <c r="H882" s="641"/>
    </row>
    <row r="883" spans="1:8" ht="13" x14ac:dyDescent="0.15">
      <c r="A883" s="234"/>
      <c r="B883" s="236"/>
      <c r="D883" s="236"/>
      <c r="G883" s="13"/>
      <c r="H883" s="641"/>
    </row>
    <row r="884" spans="1:8" ht="13" x14ac:dyDescent="0.15">
      <c r="A884" s="234"/>
      <c r="B884" s="236"/>
      <c r="D884" s="236"/>
      <c r="G884" s="13"/>
      <c r="H884" s="641"/>
    </row>
    <row r="885" spans="1:8" ht="13" x14ac:dyDescent="0.15">
      <c r="A885" s="234"/>
      <c r="B885" s="236"/>
      <c r="D885" s="236"/>
      <c r="G885" s="13"/>
      <c r="H885" s="641"/>
    </row>
    <row r="886" spans="1:8" ht="13" x14ac:dyDescent="0.15">
      <c r="A886" s="234"/>
      <c r="B886" s="236"/>
      <c r="D886" s="236"/>
      <c r="G886" s="13"/>
      <c r="H886" s="641"/>
    </row>
    <row r="887" spans="1:8" ht="13" x14ac:dyDescent="0.15">
      <c r="A887" s="234"/>
      <c r="B887" s="236"/>
      <c r="D887" s="236"/>
      <c r="G887" s="13"/>
      <c r="H887" s="641"/>
    </row>
    <row r="888" spans="1:8" ht="13" x14ac:dyDescent="0.15">
      <c r="A888" s="234"/>
      <c r="B888" s="236"/>
      <c r="D888" s="236"/>
      <c r="G888" s="13"/>
      <c r="H888" s="641"/>
    </row>
    <row r="889" spans="1:8" ht="13" x14ac:dyDescent="0.15">
      <c r="A889" s="234"/>
      <c r="B889" s="236"/>
      <c r="D889" s="236"/>
      <c r="G889" s="13"/>
      <c r="H889" s="641"/>
    </row>
    <row r="890" spans="1:8" ht="13" x14ac:dyDescent="0.15">
      <c r="A890" s="234"/>
      <c r="B890" s="236"/>
      <c r="D890" s="236"/>
      <c r="G890" s="13"/>
      <c r="H890" s="641"/>
    </row>
    <row r="891" spans="1:8" ht="13" x14ac:dyDescent="0.15">
      <c r="A891" s="234"/>
      <c r="B891" s="236"/>
      <c r="D891" s="236"/>
      <c r="G891" s="13"/>
      <c r="H891" s="641"/>
    </row>
    <row r="892" spans="1:8" ht="13" x14ac:dyDescent="0.15">
      <c r="A892" s="234"/>
      <c r="B892" s="236"/>
      <c r="D892" s="236"/>
      <c r="G892" s="13"/>
      <c r="H892" s="641"/>
    </row>
    <row r="893" spans="1:8" ht="13" x14ac:dyDescent="0.15">
      <c r="A893" s="234"/>
      <c r="B893" s="236"/>
      <c r="D893" s="236"/>
      <c r="G893" s="13"/>
      <c r="H893" s="641"/>
    </row>
    <row r="894" spans="1:8" ht="13" x14ac:dyDescent="0.15">
      <c r="A894" s="234"/>
      <c r="B894" s="236"/>
      <c r="D894" s="236"/>
      <c r="G894" s="13"/>
      <c r="H894" s="641"/>
    </row>
    <row r="895" spans="1:8" ht="13" x14ac:dyDescent="0.15">
      <c r="A895" s="234"/>
      <c r="B895" s="236"/>
      <c r="D895" s="236"/>
      <c r="G895" s="13"/>
      <c r="H895" s="641"/>
    </row>
    <row r="896" spans="1:8" ht="13" x14ac:dyDescent="0.15">
      <c r="A896" s="234"/>
      <c r="B896" s="236"/>
      <c r="D896" s="236"/>
      <c r="G896" s="13"/>
      <c r="H896" s="641"/>
    </row>
    <row r="897" spans="1:8" ht="13" x14ac:dyDescent="0.15">
      <c r="A897" s="234"/>
      <c r="B897" s="236"/>
      <c r="D897" s="236"/>
      <c r="G897" s="13"/>
      <c r="H897" s="641"/>
    </row>
    <row r="898" spans="1:8" ht="13" x14ac:dyDescent="0.15">
      <c r="A898" s="234"/>
      <c r="B898" s="236"/>
      <c r="D898" s="236"/>
      <c r="G898" s="13"/>
      <c r="H898" s="641"/>
    </row>
    <row r="899" spans="1:8" ht="13" x14ac:dyDescent="0.15">
      <c r="A899" s="234"/>
      <c r="B899" s="236"/>
      <c r="D899" s="236"/>
      <c r="G899" s="13"/>
      <c r="H899" s="641"/>
    </row>
    <row r="900" spans="1:8" ht="13" x14ac:dyDescent="0.15">
      <c r="A900" s="234"/>
      <c r="B900" s="236"/>
      <c r="D900" s="236"/>
      <c r="G900" s="13"/>
      <c r="H900" s="641"/>
    </row>
    <row r="901" spans="1:8" ht="13" x14ac:dyDescent="0.15">
      <c r="A901" s="234"/>
      <c r="B901" s="236"/>
      <c r="D901" s="236"/>
      <c r="G901" s="13"/>
      <c r="H901" s="641"/>
    </row>
    <row r="902" spans="1:8" ht="13" x14ac:dyDescent="0.15">
      <c r="A902" s="234"/>
      <c r="B902" s="236"/>
      <c r="D902" s="236"/>
      <c r="G902" s="13"/>
      <c r="H902" s="641"/>
    </row>
    <row r="903" spans="1:8" ht="13" x14ac:dyDescent="0.15">
      <c r="A903" s="234"/>
      <c r="B903" s="236"/>
      <c r="D903" s="236"/>
      <c r="G903" s="13"/>
      <c r="H903" s="641"/>
    </row>
    <row r="904" spans="1:8" ht="13" x14ac:dyDescent="0.15">
      <c r="A904" s="234"/>
      <c r="B904" s="236"/>
      <c r="D904" s="236"/>
      <c r="G904" s="13"/>
      <c r="H904" s="641"/>
    </row>
    <row r="905" spans="1:8" ht="13" x14ac:dyDescent="0.15">
      <c r="A905" s="234"/>
      <c r="B905" s="236"/>
      <c r="D905" s="236"/>
      <c r="G905" s="13"/>
      <c r="H905" s="641"/>
    </row>
    <row r="906" spans="1:8" ht="13" x14ac:dyDescent="0.15">
      <c r="A906" s="234"/>
      <c r="B906" s="236"/>
      <c r="D906" s="236"/>
      <c r="G906" s="13"/>
      <c r="H906" s="641"/>
    </row>
    <row r="907" spans="1:8" ht="13" x14ac:dyDescent="0.15">
      <c r="A907" s="234"/>
      <c r="B907" s="236"/>
      <c r="D907" s="236"/>
      <c r="G907" s="13"/>
      <c r="H907" s="641"/>
    </row>
    <row r="908" spans="1:8" ht="13" x14ac:dyDescent="0.15">
      <c r="A908" s="234"/>
      <c r="B908" s="236"/>
      <c r="D908" s="236"/>
      <c r="G908" s="13"/>
      <c r="H908" s="641"/>
    </row>
    <row r="909" spans="1:8" ht="13" x14ac:dyDescent="0.15">
      <c r="A909" s="234"/>
      <c r="B909" s="236"/>
      <c r="D909" s="236"/>
      <c r="G909" s="13"/>
      <c r="H909" s="641"/>
    </row>
    <row r="910" spans="1:8" ht="13" x14ac:dyDescent="0.15">
      <c r="A910" s="234"/>
      <c r="B910" s="236"/>
      <c r="D910" s="236"/>
      <c r="G910" s="13"/>
      <c r="H910" s="641"/>
    </row>
    <row r="911" spans="1:8" ht="13" x14ac:dyDescent="0.15">
      <c r="A911" s="234"/>
      <c r="B911" s="236"/>
      <c r="D911" s="236"/>
      <c r="G911" s="13"/>
      <c r="H911" s="641"/>
    </row>
    <row r="912" spans="1:8" ht="13" x14ac:dyDescent="0.15">
      <c r="A912" s="234"/>
      <c r="B912" s="236"/>
      <c r="D912" s="236"/>
      <c r="G912" s="13"/>
      <c r="H912" s="641"/>
    </row>
    <row r="913" spans="1:8" ht="13" x14ac:dyDescent="0.15">
      <c r="A913" s="234"/>
      <c r="B913" s="236"/>
      <c r="D913" s="236"/>
      <c r="G913" s="13"/>
      <c r="H913" s="641"/>
    </row>
    <row r="914" spans="1:8" ht="13" x14ac:dyDescent="0.15">
      <c r="A914" s="234"/>
      <c r="B914" s="236"/>
      <c r="D914" s="236"/>
      <c r="G914" s="13"/>
      <c r="H914" s="641"/>
    </row>
    <row r="915" spans="1:8" ht="13" x14ac:dyDescent="0.15">
      <c r="A915" s="234"/>
      <c r="B915" s="236"/>
      <c r="D915" s="236"/>
      <c r="G915" s="13"/>
      <c r="H915" s="641"/>
    </row>
    <row r="916" spans="1:8" ht="13" x14ac:dyDescent="0.15">
      <c r="A916" s="234"/>
      <c r="B916" s="236"/>
      <c r="D916" s="236"/>
      <c r="G916" s="13"/>
      <c r="H916" s="641"/>
    </row>
    <row r="917" spans="1:8" ht="13" x14ac:dyDescent="0.15">
      <c r="A917" s="234"/>
      <c r="B917" s="236"/>
      <c r="D917" s="236"/>
      <c r="G917" s="13"/>
      <c r="H917" s="641"/>
    </row>
    <row r="918" spans="1:8" ht="13" x14ac:dyDescent="0.15">
      <c r="A918" s="234"/>
      <c r="B918" s="236"/>
      <c r="D918" s="236"/>
      <c r="G918" s="13"/>
      <c r="H918" s="641"/>
    </row>
    <row r="919" spans="1:8" ht="13" x14ac:dyDescent="0.15">
      <c r="A919" s="234"/>
      <c r="B919" s="236"/>
      <c r="D919" s="236"/>
      <c r="G919" s="13"/>
      <c r="H919" s="641"/>
    </row>
    <row r="920" spans="1:8" ht="13" x14ac:dyDescent="0.15">
      <c r="A920" s="234"/>
      <c r="B920" s="236"/>
      <c r="D920" s="236"/>
      <c r="G920" s="13"/>
      <c r="H920" s="641"/>
    </row>
    <row r="921" spans="1:8" ht="13" x14ac:dyDescent="0.15">
      <c r="A921" s="234"/>
      <c r="B921" s="236"/>
      <c r="D921" s="236"/>
      <c r="G921" s="13"/>
      <c r="H921" s="641"/>
    </row>
    <row r="922" spans="1:8" ht="13" x14ac:dyDescent="0.15">
      <c r="A922" s="234"/>
      <c r="B922" s="236"/>
      <c r="D922" s="236"/>
      <c r="G922" s="13"/>
      <c r="H922" s="641"/>
    </row>
    <row r="923" spans="1:8" ht="13" x14ac:dyDescent="0.15">
      <c r="A923" s="234"/>
      <c r="B923" s="236"/>
      <c r="D923" s="236"/>
      <c r="G923" s="13"/>
      <c r="H923" s="641"/>
    </row>
    <row r="924" spans="1:8" ht="13" x14ac:dyDescent="0.15">
      <c r="A924" s="234"/>
      <c r="B924" s="236"/>
      <c r="D924" s="236"/>
      <c r="G924" s="13"/>
      <c r="H924" s="641"/>
    </row>
    <row r="925" spans="1:8" ht="13" x14ac:dyDescent="0.15">
      <c r="A925" s="234"/>
      <c r="B925" s="236"/>
      <c r="D925" s="236"/>
      <c r="G925" s="13"/>
      <c r="H925" s="641"/>
    </row>
    <row r="926" spans="1:8" ht="13" x14ac:dyDescent="0.15">
      <c r="A926" s="234"/>
      <c r="B926" s="236"/>
      <c r="D926" s="236"/>
      <c r="G926" s="13"/>
      <c r="H926" s="641"/>
    </row>
    <row r="927" spans="1:8" ht="13" x14ac:dyDescent="0.15">
      <c r="A927" s="234"/>
      <c r="B927" s="236"/>
      <c r="D927" s="236"/>
      <c r="G927" s="13"/>
      <c r="H927" s="641"/>
    </row>
    <row r="928" spans="1:8" ht="13" x14ac:dyDescent="0.15">
      <c r="A928" s="234"/>
      <c r="B928" s="236"/>
      <c r="D928" s="236"/>
      <c r="G928" s="13"/>
      <c r="H928" s="641"/>
    </row>
    <row r="929" spans="1:8" ht="13" x14ac:dyDescent="0.15">
      <c r="A929" s="234"/>
      <c r="B929" s="236"/>
      <c r="D929" s="236"/>
      <c r="G929" s="13"/>
      <c r="H929" s="641"/>
    </row>
    <row r="930" spans="1:8" ht="13" x14ac:dyDescent="0.15">
      <c r="A930" s="234"/>
      <c r="B930" s="236"/>
      <c r="D930" s="236"/>
      <c r="G930" s="13"/>
      <c r="H930" s="641"/>
    </row>
    <row r="931" spans="1:8" ht="13" x14ac:dyDescent="0.15">
      <c r="A931" s="234"/>
      <c r="B931" s="236"/>
      <c r="D931" s="236"/>
      <c r="G931" s="13"/>
      <c r="H931" s="641"/>
    </row>
    <row r="932" spans="1:8" ht="13" x14ac:dyDescent="0.15">
      <c r="A932" s="234"/>
      <c r="B932" s="236"/>
      <c r="D932" s="236"/>
      <c r="G932" s="13"/>
      <c r="H932" s="641"/>
    </row>
    <row r="933" spans="1:8" ht="13" x14ac:dyDescent="0.15">
      <c r="A933" s="234"/>
      <c r="B933" s="236"/>
      <c r="D933" s="236"/>
      <c r="G933" s="13"/>
      <c r="H933" s="641"/>
    </row>
    <row r="934" spans="1:8" ht="13" x14ac:dyDescent="0.15">
      <c r="A934" s="234"/>
      <c r="B934" s="236"/>
      <c r="D934" s="236"/>
      <c r="G934" s="13"/>
      <c r="H934" s="641"/>
    </row>
    <row r="935" spans="1:8" ht="13" x14ac:dyDescent="0.15">
      <c r="A935" s="234"/>
      <c r="B935" s="236"/>
      <c r="D935" s="236"/>
      <c r="G935" s="13"/>
      <c r="H935" s="641"/>
    </row>
    <row r="936" spans="1:8" ht="13" x14ac:dyDescent="0.15">
      <c r="A936" s="234"/>
      <c r="B936" s="236"/>
      <c r="D936" s="236"/>
      <c r="G936" s="13"/>
      <c r="H936" s="641"/>
    </row>
    <row r="937" spans="1:8" ht="13" x14ac:dyDescent="0.15">
      <c r="A937" s="234"/>
      <c r="B937" s="236"/>
      <c r="D937" s="236"/>
      <c r="G937" s="13"/>
      <c r="H937" s="641"/>
    </row>
    <row r="938" spans="1:8" ht="13" x14ac:dyDescent="0.15">
      <c r="A938" s="234"/>
      <c r="B938" s="236"/>
      <c r="D938" s="236"/>
      <c r="G938" s="13"/>
      <c r="H938" s="641"/>
    </row>
    <row r="939" spans="1:8" ht="13" x14ac:dyDescent="0.15">
      <c r="A939" s="234"/>
      <c r="B939" s="236"/>
      <c r="D939" s="236"/>
      <c r="G939" s="13"/>
      <c r="H939" s="641"/>
    </row>
    <row r="940" spans="1:8" ht="13" x14ac:dyDescent="0.15">
      <c r="A940" s="234"/>
      <c r="B940" s="236"/>
      <c r="D940" s="236"/>
      <c r="G940" s="13"/>
      <c r="H940" s="641"/>
    </row>
    <row r="941" spans="1:8" ht="13" x14ac:dyDescent="0.15">
      <c r="A941" s="234"/>
      <c r="B941" s="236"/>
      <c r="D941" s="236"/>
      <c r="G941" s="13"/>
      <c r="H941" s="641"/>
    </row>
    <row r="942" spans="1:8" ht="13" x14ac:dyDescent="0.15">
      <c r="A942" s="234"/>
      <c r="B942" s="236"/>
      <c r="D942" s="236"/>
      <c r="G942" s="13"/>
      <c r="H942" s="641"/>
    </row>
    <row r="943" spans="1:8" ht="13" x14ac:dyDescent="0.15">
      <c r="A943" s="234"/>
      <c r="B943" s="236"/>
      <c r="D943" s="236"/>
      <c r="G943" s="13"/>
      <c r="H943" s="641"/>
    </row>
    <row r="944" spans="1:8" ht="13" x14ac:dyDescent="0.15">
      <c r="A944" s="234"/>
      <c r="B944" s="236"/>
      <c r="D944" s="236"/>
      <c r="G944" s="13"/>
      <c r="H944" s="641"/>
    </row>
  </sheetData>
  <mergeCells count="2">
    <mergeCell ref="A3:A6"/>
    <mergeCell ref="A7:A26"/>
  </mergeCells>
  <hyperlinks>
    <hyperlink ref="C37" r:id="rId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FF00"/>
    <outlinePr summaryBelow="0" summaryRight="0"/>
  </sheetPr>
  <dimension ref="A1:G29"/>
  <sheetViews>
    <sheetView workbookViewId="0">
      <selection activeCell="B3" sqref="B3"/>
    </sheetView>
  </sheetViews>
  <sheetFormatPr baseColWidth="10" defaultColWidth="12.6640625" defaultRowHeight="15.75" customHeight="1" x14ac:dyDescent="0.15"/>
  <sheetData>
    <row r="1" spans="1:7" ht="15.75" customHeight="1" x14ac:dyDescent="0.3">
      <c r="A1" s="662" t="s">
        <v>6389</v>
      </c>
      <c r="B1" s="662"/>
      <c r="C1" s="662"/>
      <c r="D1" s="662"/>
      <c r="E1" s="35"/>
      <c r="F1" s="662"/>
      <c r="G1" s="662"/>
    </row>
    <row r="2" spans="1:7" ht="15.75" customHeight="1" x14ac:dyDescent="0.15">
      <c r="E2" s="35"/>
    </row>
    <row r="3" spans="1:7" ht="15.75" customHeight="1" x14ac:dyDescent="0.15">
      <c r="A3" s="663"/>
      <c r="B3" s="663" t="s">
        <v>6390</v>
      </c>
      <c r="C3" s="664" t="s">
        <v>6391</v>
      </c>
      <c r="D3" s="664" t="s">
        <v>6392</v>
      </c>
      <c r="E3" s="664" t="s">
        <v>6392</v>
      </c>
      <c r="F3" s="13"/>
      <c r="G3" s="13"/>
    </row>
    <row r="4" spans="1:7" ht="15.75" customHeight="1" x14ac:dyDescent="0.15">
      <c r="A4" s="665" t="s">
        <v>7</v>
      </c>
      <c r="B4" s="665" t="s">
        <v>104</v>
      </c>
      <c r="C4" s="46" t="s">
        <v>4417</v>
      </c>
      <c r="D4" s="666" t="s">
        <v>106</v>
      </c>
      <c r="E4" s="46" t="s">
        <v>6393</v>
      </c>
      <c r="F4" s="13"/>
      <c r="G4" s="13"/>
    </row>
    <row r="5" spans="1:7" ht="15.75" customHeight="1" x14ac:dyDescent="0.15">
      <c r="A5" s="667" t="s">
        <v>4600</v>
      </c>
      <c r="B5" s="668" t="s">
        <v>180</v>
      </c>
      <c r="C5" s="669" t="s">
        <v>6394</v>
      </c>
      <c r="D5" s="670"/>
      <c r="E5" s="67"/>
      <c r="F5" s="13"/>
      <c r="G5" s="13"/>
    </row>
    <row r="6" spans="1:7" ht="15.75" customHeight="1" x14ac:dyDescent="0.15">
      <c r="A6" s="13"/>
      <c r="B6" s="13"/>
      <c r="C6" s="671" t="s">
        <v>808</v>
      </c>
      <c r="D6" s="11" t="b">
        <v>1</v>
      </c>
      <c r="E6" s="179" t="s">
        <v>1560</v>
      </c>
      <c r="F6" s="13"/>
      <c r="G6" s="13"/>
    </row>
    <row r="7" spans="1:7" ht="15.75" customHeight="1" x14ac:dyDescent="0.15">
      <c r="A7" s="13"/>
      <c r="B7" s="13"/>
      <c r="C7" s="671" t="s">
        <v>811</v>
      </c>
      <c r="D7" s="11" t="b">
        <v>1</v>
      </c>
      <c r="E7" s="179" t="s">
        <v>1693</v>
      </c>
      <c r="F7" s="13"/>
      <c r="G7" s="13"/>
    </row>
    <row r="8" spans="1:7" ht="15.75" customHeight="1" x14ac:dyDescent="0.15">
      <c r="A8" s="13"/>
      <c r="B8" s="11" t="b">
        <v>1</v>
      </c>
      <c r="C8" s="671" t="s">
        <v>6395</v>
      </c>
      <c r="D8" s="11" t="b">
        <v>1</v>
      </c>
      <c r="E8" s="179" t="s">
        <v>1693</v>
      </c>
      <c r="F8" s="13"/>
      <c r="G8" s="13"/>
    </row>
    <row r="9" spans="1:7" ht="15.75" customHeight="1" x14ac:dyDescent="0.15">
      <c r="A9" s="13"/>
      <c r="B9" s="11" t="b">
        <v>1</v>
      </c>
      <c r="C9" s="332" t="s">
        <v>6396</v>
      </c>
      <c r="D9" s="11" t="b">
        <v>1</v>
      </c>
      <c r="E9" s="179" t="s">
        <v>1693</v>
      </c>
      <c r="F9" s="13"/>
      <c r="G9" s="13"/>
    </row>
    <row r="10" spans="1:7" ht="15.75" customHeight="1" x14ac:dyDescent="0.15">
      <c r="A10" s="13"/>
      <c r="B10" s="11" t="b">
        <v>1</v>
      </c>
      <c r="C10" s="332" t="s">
        <v>6397</v>
      </c>
      <c r="D10" s="11" t="b">
        <v>1</v>
      </c>
      <c r="E10" s="179" t="s">
        <v>1693</v>
      </c>
      <c r="F10" s="13"/>
      <c r="G10" s="13"/>
    </row>
    <row r="11" spans="1:7" ht="15.75" customHeight="1" x14ac:dyDescent="0.15">
      <c r="A11" s="13"/>
      <c r="B11" s="11" t="b">
        <v>1</v>
      </c>
      <c r="C11" s="247" t="s">
        <v>6398</v>
      </c>
      <c r="D11" s="11" t="b">
        <v>1</v>
      </c>
      <c r="E11" s="179" t="s">
        <v>6399</v>
      </c>
      <c r="F11" s="13"/>
      <c r="G11" s="13"/>
    </row>
    <row r="12" spans="1:7" ht="15.75" customHeight="1" x14ac:dyDescent="0.15">
      <c r="A12" s="13"/>
      <c r="B12" s="11" t="b">
        <v>1</v>
      </c>
      <c r="C12" s="671" t="s">
        <v>6400</v>
      </c>
      <c r="D12" s="11" t="b">
        <v>1</v>
      </c>
      <c r="E12" s="179" t="s">
        <v>1693</v>
      </c>
      <c r="F12" s="13"/>
      <c r="G12" s="13"/>
    </row>
    <row r="13" spans="1:7" ht="15.75" customHeight="1" x14ac:dyDescent="0.15">
      <c r="A13" s="13"/>
      <c r="B13" s="11" t="b">
        <v>1</v>
      </c>
      <c r="C13" s="671" t="s">
        <v>6401</v>
      </c>
      <c r="D13" s="11" t="b">
        <v>1</v>
      </c>
      <c r="E13" s="179" t="s">
        <v>1693</v>
      </c>
      <c r="F13" s="13"/>
      <c r="G13" s="13"/>
    </row>
    <row r="14" spans="1:7" ht="15.75" customHeight="1" x14ac:dyDescent="0.15">
      <c r="A14" s="13"/>
      <c r="B14" s="11" t="b">
        <v>1</v>
      </c>
      <c r="C14" s="671" t="s">
        <v>6402</v>
      </c>
      <c r="D14" s="11" t="b">
        <v>1</v>
      </c>
      <c r="E14" s="179" t="s">
        <v>1693</v>
      </c>
      <c r="F14" s="13"/>
      <c r="G14" s="13"/>
    </row>
    <row r="15" spans="1:7" ht="15.75" customHeight="1" x14ac:dyDescent="0.15">
      <c r="A15" s="13"/>
      <c r="B15" s="13"/>
      <c r="C15" s="671" t="s">
        <v>1549</v>
      </c>
      <c r="D15" s="11" t="b">
        <v>1</v>
      </c>
      <c r="E15" s="179" t="s">
        <v>1693</v>
      </c>
      <c r="F15" s="13"/>
      <c r="G15" s="13"/>
    </row>
    <row r="16" spans="1:7" ht="15.75" customHeight="1" x14ac:dyDescent="0.15">
      <c r="A16" s="13"/>
      <c r="B16" s="11" t="b">
        <v>1</v>
      </c>
      <c r="C16" s="671" t="s">
        <v>6403</v>
      </c>
      <c r="D16" s="11" t="b">
        <v>0</v>
      </c>
      <c r="E16" s="179" t="s">
        <v>1693</v>
      </c>
      <c r="F16" s="13"/>
      <c r="G16" s="13"/>
    </row>
    <row r="17" spans="1:7" ht="15.75" customHeight="1" x14ac:dyDescent="0.15">
      <c r="A17" s="11" t="s">
        <v>6404</v>
      </c>
      <c r="B17" s="11" t="b">
        <v>1</v>
      </c>
      <c r="C17" s="671" t="s">
        <v>2606</v>
      </c>
      <c r="D17" s="11" t="b">
        <v>1</v>
      </c>
      <c r="E17" s="179" t="s">
        <v>1693</v>
      </c>
      <c r="F17" s="13"/>
      <c r="G17" s="13"/>
    </row>
    <row r="18" spans="1:7" ht="15.75" customHeight="1" x14ac:dyDescent="0.15">
      <c r="A18" s="11" t="s">
        <v>6405</v>
      </c>
      <c r="B18" s="11" t="b">
        <v>1</v>
      </c>
      <c r="C18" s="671" t="s">
        <v>6406</v>
      </c>
      <c r="D18" s="11" t="b">
        <v>1</v>
      </c>
      <c r="E18" s="179" t="s">
        <v>1693</v>
      </c>
      <c r="F18" s="13"/>
      <c r="G18" s="13"/>
    </row>
    <row r="19" spans="1:7" ht="15.75" customHeight="1" x14ac:dyDescent="0.15">
      <c r="A19" s="13"/>
      <c r="B19" s="11" t="b">
        <v>1</v>
      </c>
      <c r="C19" s="11" t="s">
        <v>6407</v>
      </c>
      <c r="D19" s="11" t="b">
        <v>1</v>
      </c>
      <c r="E19" s="179" t="s">
        <v>1693</v>
      </c>
      <c r="F19" s="13"/>
      <c r="G19" s="13"/>
    </row>
    <row r="20" spans="1:7" ht="15.75" customHeight="1" x14ac:dyDescent="0.15">
      <c r="A20" s="13"/>
      <c r="B20" s="13"/>
      <c r="C20" s="11" t="s">
        <v>270</v>
      </c>
      <c r="D20" s="11" t="b">
        <v>1</v>
      </c>
      <c r="E20" s="179" t="s">
        <v>1560</v>
      </c>
      <c r="F20" s="13"/>
      <c r="G20" s="13"/>
    </row>
    <row r="21" spans="1:7" ht="15.75" customHeight="1" x14ac:dyDescent="0.15">
      <c r="A21" s="13"/>
      <c r="B21" s="13"/>
      <c r="C21" s="11" t="s">
        <v>434</v>
      </c>
      <c r="D21" s="11" t="b">
        <v>1</v>
      </c>
      <c r="E21" s="11" t="s">
        <v>1560</v>
      </c>
      <c r="F21" s="13"/>
      <c r="G21" s="13"/>
    </row>
    <row r="22" spans="1:7" ht="15.75" customHeight="1" x14ac:dyDescent="0.15">
      <c r="A22" s="13"/>
      <c r="B22" s="13"/>
      <c r="C22" s="332" t="s">
        <v>851</v>
      </c>
      <c r="D22" s="11" t="b">
        <v>1</v>
      </c>
      <c r="E22" s="11" t="s">
        <v>1693</v>
      </c>
      <c r="F22" s="13"/>
      <c r="G22" s="13"/>
    </row>
    <row r="23" spans="1:7" ht="15.75" customHeight="1" x14ac:dyDescent="0.15">
      <c r="A23" s="13"/>
      <c r="B23" s="13"/>
      <c r="C23" s="672" t="s">
        <v>625</v>
      </c>
      <c r="D23" s="11" t="b">
        <v>1</v>
      </c>
      <c r="E23" s="11" t="s">
        <v>1560</v>
      </c>
      <c r="F23" s="13"/>
      <c r="G23" s="13"/>
    </row>
    <row r="24" spans="1:7" ht="15.75" customHeight="1" x14ac:dyDescent="0.15">
      <c r="A24" s="13"/>
      <c r="B24" s="13"/>
      <c r="C24" s="672" t="s">
        <v>315</v>
      </c>
      <c r="D24" s="11" t="b">
        <v>1</v>
      </c>
      <c r="E24" s="11" t="s">
        <v>1560</v>
      </c>
      <c r="F24" s="13"/>
      <c r="G24" s="13"/>
    </row>
    <row r="25" spans="1:7" ht="15.75" customHeight="1" x14ac:dyDescent="0.15">
      <c r="A25" s="13"/>
      <c r="B25" s="13"/>
      <c r="C25" s="672" t="s">
        <v>570</v>
      </c>
      <c r="D25" s="11" t="b">
        <v>1</v>
      </c>
      <c r="E25" s="11" t="s">
        <v>1560</v>
      </c>
      <c r="F25" s="13"/>
      <c r="G25" s="13"/>
    </row>
    <row r="26" spans="1:7" ht="15.75" customHeight="1" x14ac:dyDescent="0.15">
      <c r="A26" s="13"/>
      <c r="B26" s="13"/>
      <c r="C26" s="13"/>
      <c r="D26" s="13"/>
      <c r="E26" s="13"/>
      <c r="F26" s="13"/>
      <c r="G26" s="13"/>
    </row>
    <row r="27" spans="1:7" ht="15.75" customHeight="1" x14ac:dyDescent="0.15">
      <c r="A27" s="13"/>
      <c r="B27" s="13"/>
      <c r="C27" s="13"/>
      <c r="D27" s="13"/>
      <c r="E27" s="13"/>
      <c r="F27" s="13"/>
      <c r="G27" s="13"/>
    </row>
    <row r="28" spans="1:7" ht="15.75" customHeight="1" x14ac:dyDescent="0.15">
      <c r="A28" s="13"/>
      <c r="B28" s="13"/>
      <c r="C28" s="13"/>
      <c r="D28" s="13"/>
      <c r="E28" s="13"/>
      <c r="F28" s="13"/>
      <c r="G28" s="13"/>
    </row>
    <row r="29" spans="1:7" ht="15.75" customHeight="1" x14ac:dyDescent="0.15">
      <c r="A29" s="13"/>
      <c r="B29" s="13"/>
      <c r="C29" s="13"/>
      <c r="D29" s="13"/>
      <c r="E29" s="13"/>
      <c r="F29" s="13"/>
      <c r="G29" s="13"/>
    </row>
  </sheetData>
  <conditionalFormatting sqref="C6:C18">
    <cfRule type="expression" dxfId="21" priority="1">
      <formula>_xludf.ISFORMULA(C6)</formula>
    </cfRule>
  </conditionalFormatting>
  <conditionalFormatting sqref="A6:E29">
    <cfRule type="expression" dxfId="20" priority="2">
      <formula>$B6</formula>
    </cfRule>
  </conditionalFormatting>
  <dataValidations count="1">
    <dataValidation type="list" allowBlank="1" sqref="E6:E29" xr:uid="{00000000-0002-0000-1E00-000000000000}">
      <formula1>DataValidation_RewardRepeat</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00FF00"/>
    <outlinePr summaryBelow="0" summaryRight="0"/>
  </sheetPr>
  <dimension ref="A1:BN268"/>
  <sheetViews>
    <sheetView workbookViewId="0">
      <selection activeCell="B3" sqref="B3"/>
    </sheetView>
  </sheetViews>
  <sheetFormatPr baseColWidth="10" defaultColWidth="12.6640625" defaultRowHeight="15.75" customHeight="1" x14ac:dyDescent="0.15"/>
  <cols>
    <col min="1" max="1" width="9.33203125" customWidth="1"/>
    <col min="2" max="3" width="18.83203125" customWidth="1"/>
    <col min="12" max="12" width="18.83203125" customWidth="1"/>
    <col min="13" max="14" width="12.6640625" customWidth="1"/>
    <col min="16" max="16" width="18.6640625" customWidth="1"/>
    <col min="17" max="17" width="17.6640625" customWidth="1"/>
    <col min="18" max="18" width="18.83203125" customWidth="1"/>
    <col min="19" max="19" width="22.6640625" customWidth="1"/>
    <col min="20" max="20" width="21.33203125" customWidth="1"/>
    <col min="21" max="21" width="17.83203125" customWidth="1"/>
    <col min="22" max="22" width="12.33203125" customWidth="1"/>
    <col min="23" max="23" width="15.83203125" customWidth="1"/>
    <col min="24" max="24" width="28.1640625" customWidth="1"/>
    <col min="25" max="25" width="8.1640625" customWidth="1"/>
    <col min="26" max="26" width="13.83203125" customWidth="1"/>
    <col min="27" max="27" width="15.1640625" customWidth="1"/>
    <col min="28" max="28" width="35.33203125" customWidth="1"/>
    <col min="29" max="29" width="18.6640625" customWidth="1"/>
    <col min="30" max="31" width="10.83203125" customWidth="1"/>
    <col min="33" max="34" width="35.33203125" customWidth="1"/>
    <col min="35" max="35" width="9.33203125" customWidth="1"/>
    <col min="39" max="39" width="15" customWidth="1"/>
  </cols>
  <sheetData>
    <row r="1" spans="1:66" ht="15.75" customHeight="1" x14ac:dyDescent="0.15">
      <c r="A1" s="263" t="s">
        <v>6408</v>
      </c>
      <c r="B1" s="263"/>
      <c r="C1" s="263"/>
      <c r="D1" s="263"/>
      <c r="E1" s="263"/>
      <c r="F1" s="263"/>
      <c r="G1" s="263"/>
      <c r="H1" s="263"/>
      <c r="I1" s="263"/>
      <c r="J1" s="263"/>
      <c r="K1" s="263"/>
      <c r="L1" s="263"/>
      <c r="M1" s="263"/>
      <c r="N1" s="263"/>
      <c r="O1" s="263"/>
      <c r="P1" s="263"/>
      <c r="Q1" s="263"/>
      <c r="R1" s="673"/>
      <c r="S1" s="674"/>
      <c r="T1" s="674"/>
      <c r="U1" s="674"/>
      <c r="V1" s="674"/>
      <c r="W1" s="674"/>
      <c r="X1" s="674"/>
      <c r="Y1" s="674"/>
      <c r="Z1" s="674"/>
      <c r="AA1" s="674"/>
      <c r="AB1" s="263"/>
      <c r="AC1" s="263"/>
      <c r="AD1" s="263"/>
      <c r="AE1" s="263"/>
      <c r="AF1" s="263"/>
      <c r="AG1" s="263"/>
      <c r="AH1" s="263"/>
      <c r="AI1" s="263"/>
      <c r="AJ1" s="263"/>
      <c r="AK1" s="263"/>
      <c r="AL1" s="263"/>
      <c r="AM1" s="675"/>
      <c r="AN1" s="263"/>
      <c r="AO1" s="263"/>
      <c r="AP1" s="263"/>
      <c r="AQ1" s="263"/>
      <c r="AR1" s="263"/>
      <c r="AS1" s="263"/>
      <c r="AT1" s="263"/>
      <c r="AU1" s="263"/>
      <c r="AV1" s="263"/>
      <c r="AW1" s="263"/>
      <c r="AX1" s="263"/>
      <c r="AY1" s="263"/>
      <c r="AZ1" s="263"/>
      <c r="BA1" s="263"/>
      <c r="BB1" s="263"/>
      <c r="BC1" s="263"/>
      <c r="BD1" s="263"/>
      <c r="BE1" s="263"/>
      <c r="BF1" s="263"/>
      <c r="BG1" s="263"/>
      <c r="BH1" s="263"/>
      <c r="BI1" s="263"/>
      <c r="BJ1" s="263"/>
      <c r="BK1" s="263"/>
      <c r="BL1" s="263"/>
      <c r="BM1" s="263"/>
      <c r="BN1" s="263"/>
    </row>
    <row r="2" spans="1:66" ht="15.75" customHeight="1" x14ac:dyDescent="0.15">
      <c r="A2" s="676" t="s">
        <v>6409</v>
      </c>
      <c r="B2" s="676"/>
      <c r="C2" s="676"/>
      <c r="D2" s="676"/>
      <c r="E2" s="676"/>
      <c r="F2" s="676"/>
      <c r="G2" s="676"/>
      <c r="H2" s="676"/>
      <c r="I2" s="676"/>
      <c r="J2" s="676"/>
      <c r="K2" s="676"/>
      <c r="L2" s="676"/>
      <c r="M2" s="676"/>
      <c r="N2" s="676"/>
      <c r="O2" s="676"/>
      <c r="P2" s="676"/>
      <c r="Q2" s="676"/>
      <c r="R2" s="676"/>
      <c r="S2" s="674"/>
      <c r="T2" s="674"/>
      <c r="U2" s="674"/>
      <c r="V2" s="674"/>
      <c r="W2" s="674"/>
      <c r="X2" s="674"/>
      <c r="Y2" s="674"/>
      <c r="Z2" s="674"/>
      <c r="AA2" s="674"/>
      <c r="AB2" s="676"/>
      <c r="AC2" s="676"/>
      <c r="AD2" s="676"/>
      <c r="AE2" s="676"/>
      <c r="AF2" s="676"/>
      <c r="AG2" s="676"/>
      <c r="AH2" s="676"/>
      <c r="AI2" s="676"/>
      <c r="AJ2" s="676"/>
      <c r="AK2" s="676"/>
      <c r="AL2" s="676"/>
      <c r="AM2" s="677"/>
      <c r="AN2" s="676"/>
      <c r="AO2" s="676"/>
      <c r="AP2" s="676"/>
      <c r="AQ2" s="676"/>
      <c r="AR2" s="676"/>
      <c r="AS2" s="676"/>
      <c r="AT2" s="676"/>
      <c r="AU2" s="676"/>
      <c r="AV2" s="676"/>
      <c r="AW2" s="676"/>
      <c r="AX2" s="676"/>
      <c r="AY2" s="676"/>
      <c r="AZ2" s="676"/>
      <c r="BA2" s="676"/>
      <c r="BB2" s="676"/>
      <c r="BC2" s="676"/>
      <c r="BD2" s="676"/>
      <c r="BE2" s="676"/>
      <c r="BF2" s="676"/>
      <c r="BG2" s="676"/>
      <c r="BH2" s="676"/>
      <c r="BI2" s="676"/>
      <c r="BJ2" s="676"/>
      <c r="BK2" s="676"/>
      <c r="BL2" s="676"/>
      <c r="BM2" s="676"/>
      <c r="BN2" s="676"/>
    </row>
    <row r="3" spans="1:66" ht="15.75" customHeight="1" x14ac:dyDescent="0.15">
      <c r="A3" s="678"/>
      <c r="B3" s="678"/>
      <c r="C3" s="678"/>
      <c r="D3" s="679" t="s">
        <v>6410</v>
      </c>
      <c r="E3" s="678"/>
      <c r="F3" s="678" t="s">
        <v>6411</v>
      </c>
      <c r="G3" s="678" t="s">
        <v>6411</v>
      </c>
      <c r="H3" s="678" t="s">
        <v>6411</v>
      </c>
      <c r="I3" s="678"/>
      <c r="J3" s="678"/>
      <c r="K3" s="678"/>
      <c r="L3" s="678"/>
      <c r="M3" s="678"/>
      <c r="N3" s="678"/>
      <c r="O3" s="678"/>
      <c r="P3" s="678"/>
      <c r="Q3" s="678"/>
      <c r="R3" s="678"/>
      <c r="S3" s="680" t="s">
        <v>6412</v>
      </c>
      <c r="T3" s="674"/>
      <c r="U3" s="674"/>
      <c r="V3" s="674"/>
      <c r="W3" s="674"/>
      <c r="X3" s="674"/>
      <c r="Y3" s="674"/>
      <c r="Z3" s="674"/>
      <c r="AA3" s="674"/>
      <c r="AB3" s="678"/>
      <c r="AC3" s="678"/>
      <c r="AD3" s="678"/>
      <c r="AE3" s="678"/>
      <c r="AF3" s="678" t="s">
        <v>6413</v>
      </c>
      <c r="AG3" s="678" t="s">
        <v>6414</v>
      </c>
      <c r="AH3" s="678" t="s">
        <v>6414</v>
      </c>
      <c r="AI3" s="678"/>
      <c r="AJ3" s="678"/>
      <c r="AK3" s="678"/>
      <c r="AL3" s="678"/>
      <c r="AM3" s="681"/>
      <c r="AN3" s="678"/>
      <c r="AO3" s="678"/>
      <c r="AP3" s="678"/>
      <c r="AQ3" s="678"/>
      <c r="AR3" s="678"/>
      <c r="AS3" s="678"/>
      <c r="AT3" s="678"/>
      <c r="AU3" s="678"/>
      <c r="AV3" s="678"/>
      <c r="AW3" s="678"/>
      <c r="AX3" s="678"/>
      <c r="AY3" s="678"/>
      <c r="AZ3" s="678"/>
      <c r="BA3" s="678"/>
      <c r="BB3" s="678"/>
      <c r="BC3" s="678"/>
      <c r="BD3" s="678"/>
      <c r="BE3" s="678"/>
      <c r="BF3" s="678"/>
      <c r="BG3" s="678"/>
      <c r="BH3" s="678"/>
      <c r="BI3" s="678"/>
      <c r="BJ3" s="678"/>
      <c r="BK3" s="678"/>
      <c r="BL3" s="678"/>
      <c r="BM3" s="678"/>
      <c r="BN3" s="678"/>
    </row>
    <row r="4" spans="1:66" ht="15.75" customHeight="1" x14ac:dyDescent="0.15">
      <c r="A4" s="682" t="s">
        <v>6415</v>
      </c>
      <c r="B4" s="569" t="s">
        <v>6416</v>
      </c>
      <c r="C4" s="569" t="s">
        <v>6417</v>
      </c>
      <c r="D4" s="569" t="s">
        <v>6418</v>
      </c>
      <c r="E4" s="569" t="s">
        <v>6419</v>
      </c>
      <c r="F4" s="569" t="s">
        <v>6420</v>
      </c>
      <c r="G4" s="569" t="s">
        <v>6421</v>
      </c>
      <c r="H4" s="569" t="s">
        <v>6422</v>
      </c>
      <c r="I4" s="683" t="s">
        <v>6423</v>
      </c>
      <c r="J4" s="683" t="s">
        <v>6424</v>
      </c>
      <c r="K4" s="683" t="s">
        <v>6425</v>
      </c>
      <c r="L4" s="569" t="s">
        <v>6426</v>
      </c>
      <c r="M4" s="683" t="s">
        <v>6427</v>
      </c>
      <c r="N4" s="684" t="s">
        <v>6428</v>
      </c>
      <c r="O4" s="569" t="s">
        <v>6429</v>
      </c>
      <c r="P4" s="683" t="s">
        <v>6430</v>
      </c>
      <c r="Q4" s="683" t="s">
        <v>6431</v>
      </c>
      <c r="R4" s="569" t="s">
        <v>6432</v>
      </c>
      <c r="S4" s="683" t="s">
        <v>6433</v>
      </c>
      <c r="T4" s="683" t="s">
        <v>6434</v>
      </c>
      <c r="U4" s="683" t="s">
        <v>6435</v>
      </c>
      <c r="V4" s="683" t="s">
        <v>6436</v>
      </c>
      <c r="W4" s="683" t="s">
        <v>6437</v>
      </c>
      <c r="X4" s="683" t="s">
        <v>6438</v>
      </c>
      <c r="Y4" s="683" t="s">
        <v>6439</v>
      </c>
      <c r="Z4" s="683" t="s">
        <v>6440</v>
      </c>
      <c r="AA4" s="683" t="s">
        <v>6441</v>
      </c>
      <c r="AB4" s="569" t="s">
        <v>4416</v>
      </c>
      <c r="AC4" s="569" t="s">
        <v>6442</v>
      </c>
      <c r="AD4" s="569" t="s">
        <v>6443</v>
      </c>
      <c r="AE4" s="569" t="s">
        <v>6444</v>
      </c>
      <c r="AF4" s="569" t="s">
        <v>6445</v>
      </c>
      <c r="AG4" s="569" t="s">
        <v>6446</v>
      </c>
      <c r="AH4" s="569" t="s">
        <v>6447</v>
      </c>
      <c r="AI4" s="569" t="s">
        <v>6448</v>
      </c>
      <c r="AJ4" s="569" t="s">
        <v>113</v>
      </c>
      <c r="AK4" s="569" t="s">
        <v>114</v>
      </c>
      <c r="AL4" s="569" t="s">
        <v>6449</v>
      </c>
      <c r="AM4" s="685" t="s">
        <v>6450</v>
      </c>
      <c r="AN4" s="686" t="s">
        <v>119</v>
      </c>
      <c r="AO4" s="569" t="s">
        <v>121</v>
      </c>
      <c r="AP4" s="569" t="s">
        <v>122</v>
      </c>
      <c r="AQ4" s="569" t="s">
        <v>6451</v>
      </c>
      <c r="AR4" s="687" t="s">
        <v>125</v>
      </c>
      <c r="AS4" s="687" t="s">
        <v>126</v>
      </c>
      <c r="AT4" s="687" t="s">
        <v>129</v>
      </c>
      <c r="AU4" s="688" t="s">
        <v>134</v>
      </c>
      <c r="AV4" s="689" t="s">
        <v>141</v>
      </c>
      <c r="AW4" s="689" t="s">
        <v>142</v>
      </c>
      <c r="AX4" s="689" t="s">
        <v>145</v>
      </c>
      <c r="AY4" s="690" t="s">
        <v>156</v>
      </c>
      <c r="AZ4" s="690" t="s">
        <v>157</v>
      </c>
      <c r="BA4" s="691" t="s">
        <v>160</v>
      </c>
      <c r="BB4" s="691" t="s">
        <v>162</v>
      </c>
      <c r="BC4" s="691" t="s">
        <v>166</v>
      </c>
      <c r="BD4" s="692" t="s">
        <v>6452</v>
      </c>
      <c r="BE4" s="692" t="s">
        <v>6453</v>
      </c>
      <c r="BF4" s="693" t="s">
        <v>6454</v>
      </c>
      <c r="BG4" s="693" t="s">
        <v>6455</v>
      </c>
      <c r="BH4" s="693" t="s">
        <v>6456</v>
      </c>
      <c r="BI4" s="694" t="s">
        <v>6457</v>
      </c>
      <c r="BJ4" s="694" t="s">
        <v>6458</v>
      </c>
      <c r="BK4" s="695" t="s">
        <v>6459</v>
      </c>
      <c r="BL4" s="695" t="s">
        <v>6460</v>
      </c>
      <c r="BM4" s="696" t="s">
        <v>6461</v>
      </c>
      <c r="BN4" s="569" t="s">
        <v>6462</v>
      </c>
    </row>
    <row r="5" spans="1:66" ht="15.75" customHeight="1" x14ac:dyDescent="0.15">
      <c r="A5" s="697" t="s">
        <v>6463</v>
      </c>
      <c r="B5" s="698" t="s">
        <v>6464</v>
      </c>
      <c r="C5" s="698" t="s">
        <v>6465</v>
      </c>
      <c r="D5" s="698" t="s">
        <v>6466</v>
      </c>
      <c r="E5" s="698"/>
      <c r="F5" s="698" t="s">
        <v>6467</v>
      </c>
      <c r="G5" s="698" t="s">
        <v>6468</v>
      </c>
      <c r="H5" s="698" t="s">
        <v>6469</v>
      </c>
      <c r="I5" s="699"/>
      <c r="J5" s="699"/>
      <c r="K5" s="699"/>
      <c r="L5" s="698" t="s">
        <v>6470</v>
      </c>
      <c r="M5" s="700" t="s">
        <v>6471</v>
      </c>
      <c r="N5" s="700"/>
      <c r="O5" s="698" t="s">
        <v>6472</v>
      </c>
      <c r="P5" s="701" t="s">
        <v>6473</v>
      </c>
      <c r="Q5" s="701" t="s">
        <v>6474</v>
      </c>
      <c r="R5" s="698" t="s">
        <v>6475</v>
      </c>
      <c r="S5" s="699"/>
      <c r="T5" s="699"/>
      <c r="U5" s="699"/>
      <c r="V5" s="699"/>
      <c r="W5" s="699"/>
      <c r="X5" s="699"/>
      <c r="Y5" s="702" t="s">
        <v>6476</v>
      </c>
      <c r="Z5" s="702" t="s">
        <v>6477</v>
      </c>
      <c r="AA5" s="699"/>
      <c r="AB5" s="698" t="s">
        <v>6478</v>
      </c>
      <c r="AC5" s="698" t="s">
        <v>6479</v>
      </c>
      <c r="AD5" s="698" t="s">
        <v>6480</v>
      </c>
      <c r="AE5" s="698" t="s">
        <v>6481</v>
      </c>
      <c r="AF5" s="698" t="s">
        <v>6482</v>
      </c>
      <c r="AG5" s="698" t="s">
        <v>6483</v>
      </c>
      <c r="AH5" s="698" t="s">
        <v>6484</v>
      </c>
      <c r="AI5" s="698"/>
      <c r="AJ5" s="698"/>
      <c r="AK5" s="698"/>
      <c r="AL5" s="698"/>
      <c r="AM5" s="703"/>
      <c r="AN5" s="698" t="s">
        <v>6485</v>
      </c>
      <c r="AO5" s="698" t="s">
        <v>6486</v>
      </c>
      <c r="AP5" s="698" t="s">
        <v>6487</v>
      </c>
      <c r="AQ5" s="698" t="s">
        <v>6488</v>
      </c>
      <c r="AR5" s="698"/>
      <c r="AS5" s="698"/>
      <c r="AT5" s="698"/>
      <c r="AU5" s="698"/>
      <c r="AV5" s="698"/>
      <c r="AW5" s="698"/>
      <c r="AX5" s="698"/>
      <c r="AY5" s="698"/>
      <c r="AZ5" s="698"/>
      <c r="BA5" s="698"/>
      <c r="BB5" s="698"/>
      <c r="BC5" s="698"/>
      <c r="BD5" s="698"/>
      <c r="BE5" s="698"/>
      <c r="BF5" s="698"/>
      <c r="BG5" s="698"/>
      <c r="BH5" s="698"/>
      <c r="BI5" s="698"/>
      <c r="BJ5" s="698"/>
      <c r="BK5" s="698"/>
      <c r="BL5" s="698"/>
      <c r="BM5" s="698"/>
      <c r="BN5" s="698" t="s">
        <v>6489</v>
      </c>
    </row>
    <row r="6" spans="1:66" ht="15.75" customHeight="1" x14ac:dyDescent="0.15">
      <c r="A6" s="795" t="s">
        <v>6490</v>
      </c>
      <c r="B6" s="704" t="s">
        <v>6491</v>
      </c>
      <c r="C6" s="704" t="s">
        <v>6492</v>
      </c>
      <c r="D6" s="332" t="str">
        <f ca="1">IFERROR(__xludf.DUMMYFUNCTION(" FILTER('_REF Catalog Classes'!$C6:$C268, '_REF Catalog Classes'!$B6:$B268 &lt;&gt; TRUE)"),"achievement")</f>
        <v>achievement</v>
      </c>
      <c r="E6" s="332" t="s">
        <v>847</v>
      </c>
      <c r="F6" s="332" t="str">
        <f ca="1">IFERROR(__xludf.DUMMYFUNCTION("FILTER(Catalog!$E5:$E268, Catalog!$B5:$B268 &lt;&gt; TRUE)"),"elementalForce")</f>
        <v>elementalForce</v>
      </c>
      <c r="G6" s="332" t="str">
        <f ca="1">IFERROR(__xludf.DUMMYFUNCTION("FILTER(Catalog!$E5:$E268, REGEXMATCH(Catalog!$BZ5:$BZ268,""reward""), Catalog!$B5:$B268 &lt;&gt; TRUE)"),"skinJanuary")</f>
        <v>skinJanuary</v>
      </c>
      <c r="H6" s="332" t="str">
        <f ca="1">IFERROR(__xludf.DUMMYFUNCTION("FILTER(Catalog!$E5:$E268, Catalog!$C5:$C268=""launcher"", Catalog!$B5:$B268 &lt;&gt; TRUE)"),"launcherGeneral")</f>
        <v>launcherGeneral</v>
      </c>
      <c r="I6" s="305" t="s">
        <v>448</v>
      </c>
      <c r="J6" s="305" t="s">
        <v>823</v>
      </c>
      <c r="K6" s="305" t="s">
        <v>810</v>
      </c>
      <c r="L6" s="704" t="s">
        <v>2669</v>
      </c>
      <c r="M6" s="705" t="str">
        <f t="shared" ref="M6:N6" si="0">"="</f>
        <v>=</v>
      </c>
      <c r="N6" s="705" t="str">
        <f t="shared" si="0"/>
        <v>=</v>
      </c>
      <c r="O6" s="332" t="s">
        <v>280</v>
      </c>
      <c r="P6" s="706" t="s">
        <v>6493</v>
      </c>
      <c r="Q6" s="305" t="s">
        <v>283</v>
      </c>
      <c r="R6" s="707" t="s">
        <v>4374</v>
      </c>
      <c r="S6" s="305" t="s">
        <v>6494</v>
      </c>
      <c r="T6" s="305" t="s">
        <v>6495</v>
      </c>
      <c r="U6" s="305" t="s">
        <v>2565</v>
      </c>
      <c r="V6" s="305" t="s">
        <v>6496</v>
      </c>
      <c r="W6" s="305" t="s">
        <v>6497</v>
      </c>
      <c r="X6" s="305" t="s">
        <v>6498</v>
      </c>
      <c r="Y6" s="305" t="s">
        <v>2384</v>
      </c>
      <c r="Z6" s="305" t="s">
        <v>4842</v>
      </c>
      <c r="AA6" s="305" t="s">
        <v>209</v>
      </c>
      <c r="AC6" s="704" t="s">
        <v>1693</v>
      </c>
      <c r="AD6" s="704" t="s">
        <v>6499</v>
      </c>
      <c r="AE6" s="704"/>
      <c r="AF6" s="357" t="str">
        <f ca="1">IFERROR(__xludf.DUMMYFUNCTION("FILTER('TitleData seasons'!$C8:$C268, 'TitleData seasons'!$B8:$B268 &lt;&gt; TRUE)"),"january")</f>
        <v>january</v>
      </c>
      <c r="AG6" s="704" t="str">
        <f ca="1">IFERROR(__xludf.DUMMYFUNCTION(" FILTER(StatisticsLeaderboards!$G8:$G268, StatisticsLeaderboards!$B8:$B268 &lt;&gt; TRUE)"),"total_points")</f>
        <v>total_points</v>
      </c>
      <c r="AH6" s="704" t="str">
        <f ca="1">IFERROR(__xludf.DUMMYFUNCTION(" FILTER(StatisticsLeaderboards!$G8:$G268, StatisticsLeaderboards!$B8:$B268 &lt;&gt; TRUE, StatisticsLeaderboards!$D8:$D268 = TRUE)"),"total_points")</f>
        <v>total_points</v>
      </c>
      <c r="AI6" s="332" t="s">
        <v>314</v>
      </c>
      <c r="AJ6" s="332" t="s">
        <v>849</v>
      </c>
      <c r="AK6" s="332" t="s">
        <v>857</v>
      </c>
      <c r="AL6" s="332"/>
      <c r="AM6" s="84" t="s">
        <v>276</v>
      </c>
      <c r="AN6" s="332" t="s">
        <v>277</v>
      </c>
      <c r="AO6" s="332" t="s">
        <v>278</v>
      </c>
      <c r="AP6" s="305" t="s">
        <v>6500</v>
      </c>
      <c r="AQ6" s="332" t="s">
        <v>434</v>
      </c>
      <c r="AR6" s="332">
        <v>0</v>
      </c>
      <c r="AS6" s="332" t="s">
        <v>319</v>
      </c>
      <c r="AT6" s="332" t="s">
        <v>283</v>
      </c>
      <c r="AU6" s="332" t="s">
        <v>448</v>
      </c>
      <c r="AV6" s="332">
        <v>1</v>
      </c>
      <c r="AW6" s="332" t="s">
        <v>198</v>
      </c>
      <c r="AX6" s="332" t="s">
        <v>283</v>
      </c>
      <c r="AY6" s="332">
        <v>2</v>
      </c>
      <c r="AZ6" s="332" t="s">
        <v>653</v>
      </c>
      <c r="BA6" s="332" t="s">
        <v>283</v>
      </c>
      <c r="BB6" s="332" t="s">
        <v>654</v>
      </c>
      <c r="BC6" s="332" t="s">
        <v>448</v>
      </c>
      <c r="BD6" s="332">
        <v>3</v>
      </c>
      <c r="BE6" s="332" t="s">
        <v>6501</v>
      </c>
      <c r="BF6" s="332" t="s">
        <v>283</v>
      </c>
      <c r="BG6" s="332" t="s">
        <v>5543</v>
      </c>
      <c r="BH6" s="332" t="s">
        <v>448</v>
      </c>
      <c r="BI6" s="332">
        <v>4</v>
      </c>
      <c r="BJ6" s="332" t="s">
        <v>6502</v>
      </c>
      <c r="BK6" s="332" t="s">
        <v>283</v>
      </c>
      <c r="BL6" s="332" t="s">
        <v>5548</v>
      </c>
      <c r="BM6" s="332" t="s">
        <v>448</v>
      </c>
      <c r="BN6" s="332" t="b">
        <v>1</v>
      </c>
    </row>
    <row r="7" spans="1:66" x14ac:dyDescent="0.2">
      <c r="A7" s="773"/>
      <c r="B7" s="551" t="s">
        <v>4376</v>
      </c>
      <c r="C7" s="551" t="s">
        <v>6503</v>
      </c>
      <c r="D7" s="332" t="str">
        <f ca="1">IFERROR(__xludf.DUMMYFUNCTION("""COMPUTED_VALUE"""),"action")</f>
        <v>action</v>
      </c>
      <c r="E7" s="332" t="s">
        <v>274</v>
      </c>
      <c r="F7" s="332" t="str">
        <f ca="1">IFERROR(__xludf.DUMMYFUNCTION("""COMPUTED_VALUE"""),"elementalFire")</f>
        <v>elementalFire</v>
      </c>
      <c r="G7" s="332" t="str">
        <f ca="1">IFERROR(__xludf.DUMMYFUNCTION("""COMPUTED_VALUE"""),"skinFebruary")</f>
        <v>skinFebruary</v>
      </c>
      <c r="H7" s="332" t="str">
        <f ca="1">IFERROR(__xludf.DUMMYFUNCTION("""COMPUTED_VALUE"""),"launcherFart")</f>
        <v>launcherFart</v>
      </c>
      <c r="I7" s="305" t="s">
        <v>652</v>
      </c>
      <c r="J7" s="305" t="s">
        <v>6504</v>
      </c>
      <c r="K7" s="305" t="s">
        <v>6505</v>
      </c>
      <c r="L7" s="551" t="s">
        <v>6506</v>
      </c>
      <c r="M7" s="705" t="str">
        <f t="shared" ref="M7:N7" si="1">"!="</f>
        <v>!=</v>
      </c>
      <c r="N7" s="705" t="str">
        <f t="shared" si="1"/>
        <v>!=</v>
      </c>
      <c r="O7" s="332" t="s">
        <v>4375</v>
      </c>
      <c r="P7" s="708" t="s">
        <v>2362</v>
      </c>
      <c r="Q7" s="305" t="s">
        <v>4326</v>
      </c>
      <c r="R7" s="709" t="s">
        <v>4379</v>
      </c>
      <c r="S7" s="305" t="s">
        <v>6507</v>
      </c>
      <c r="T7" s="305" t="s">
        <v>6508</v>
      </c>
      <c r="U7" s="305" t="s">
        <v>2567</v>
      </c>
      <c r="V7" s="305" t="s">
        <v>6509</v>
      </c>
      <c r="W7" s="305" t="s">
        <v>6510</v>
      </c>
      <c r="X7" s="305" t="s">
        <v>6511</v>
      </c>
      <c r="Y7" s="305" t="s">
        <v>2376</v>
      </c>
      <c r="Z7" s="305" t="s">
        <v>2366</v>
      </c>
      <c r="AA7" s="305" t="s">
        <v>6512</v>
      </c>
      <c r="AB7" s="332" t="s">
        <v>1309</v>
      </c>
      <c r="AC7" s="551" t="s">
        <v>1560</v>
      </c>
      <c r="AD7" s="551" t="s">
        <v>6513</v>
      </c>
      <c r="AE7" s="551" t="s">
        <v>6491</v>
      </c>
      <c r="AF7" s="332" t="str">
        <f ca="1">IFERROR(__xludf.DUMMYFUNCTION("""COMPUTED_VALUE"""),"february")</f>
        <v>february</v>
      </c>
      <c r="AG7" s="551" t="str">
        <f ca="1">IFERROR(__xludf.DUMMYFUNCTION("""COMPUTED_VALUE"""),"total_points_day")</f>
        <v>total_points_day</v>
      </c>
      <c r="AH7" s="551" t="str">
        <f ca="1">IFERROR(__xludf.DUMMYFUNCTION("""COMPUTED_VALUE"""),"total_blocksPerm")</f>
        <v>total_blocksPerm</v>
      </c>
      <c r="AI7" s="332" t="s">
        <v>491</v>
      </c>
      <c r="AJ7" s="332"/>
      <c r="AK7" s="332" t="s">
        <v>276</v>
      </c>
      <c r="AL7" s="332" t="s">
        <v>830</v>
      </c>
      <c r="AM7" s="84" t="s">
        <v>293</v>
      </c>
      <c r="AN7" s="338" t="s">
        <v>6514</v>
      </c>
      <c r="AO7" s="338" t="s">
        <v>6515</v>
      </c>
      <c r="AP7" s="305" t="s">
        <v>6516</v>
      </c>
      <c r="AQ7" s="332" t="s">
        <v>270</v>
      </c>
      <c r="AR7" s="332"/>
      <c r="AS7" s="332" t="s">
        <v>37</v>
      </c>
      <c r="AT7" s="332"/>
      <c r="AU7" s="332" t="s">
        <v>497</v>
      </c>
      <c r="AV7" s="332"/>
      <c r="AW7" s="332"/>
      <c r="AX7" s="332"/>
      <c r="AY7" s="332"/>
      <c r="AZ7" s="332" t="s">
        <v>823</v>
      </c>
      <c r="BA7" s="332"/>
      <c r="BB7" s="332"/>
      <c r="BC7" s="332" t="s">
        <v>497</v>
      </c>
      <c r="BD7" s="332"/>
      <c r="BE7" s="332" t="s">
        <v>6504</v>
      </c>
      <c r="BF7" s="332"/>
      <c r="BG7" s="332"/>
      <c r="BH7" s="332" t="s">
        <v>497</v>
      </c>
      <c r="BI7" s="332"/>
      <c r="BJ7" s="332" t="s">
        <v>6517</v>
      </c>
      <c r="BK7" s="332"/>
      <c r="BL7" s="332"/>
      <c r="BM7" s="332" t="s">
        <v>497</v>
      </c>
      <c r="BN7" s="332" t="b">
        <v>0</v>
      </c>
    </row>
    <row r="8" spans="1:66" x14ac:dyDescent="0.2">
      <c r="A8" s="773"/>
      <c r="B8" s="710"/>
      <c r="C8" s="710"/>
      <c r="D8" s="332" t="str">
        <f ca="1">IFERROR(__xludf.DUMMYFUNCTION("""COMPUTED_VALUE"""),"loot")</f>
        <v>loot</v>
      </c>
      <c r="E8" s="332" t="s">
        <v>6518</v>
      </c>
      <c r="F8" s="332" t="str">
        <f ca="1">IFERROR(__xludf.DUMMYFUNCTION("""COMPUTED_VALUE"""),"elementalFreeze")</f>
        <v>elementalFreeze</v>
      </c>
      <c r="G8" s="332" t="str">
        <f ca="1">IFERROR(__xludf.DUMMYFUNCTION("""COMPUTED_VALUE"""),"skinMarch")</f>
        <v>skinMarch</v>
      </c>
      <c r="H8" s="332" t="str">
        <f ca="1">IFERROR(__xludf.DUMMYFUNCTION("""COMPUTED_VALUE"""),"launcherPinball")</f>
        <v>launcherPinball</v>
      </c>
      <c r="I8" s="305" t="s">
        <v>497</v>
      </c>
      <c r="J8" s="305" t="s">
        <v>6517</v>
      </c>
      <c r="K8" s="305" t="s">
        <v>6519</v>
      </c>
      <c r="L8" s="710"/>
      <c r="M8" s="705" t="str">
        <f t="shared" ref="M8:N8" si="2">"&gt;"</f>
        <v>&gt;</v>
      </c>
      <c r="N8" s="705" t="str">
        <f t="shared" si="2"/>
        <v>&gt;</v>
      </c>
      <c r="O8" s="332" t="s">
        <v>4822</v>
      </c>
      <c r="P8" s="706" t="s">
        <v>6520</v>
      </c>
      <c r="Q8" s="305" t="s">
        <v>2512</v>
      </c>
      <c r="R8" s="709" t="s">
        <v>4380</v>
      </c>
      <c r="S8" s="305" t="s">
        <v>6521</v>
      </c>
      <c r="T8" s="305" t="s">
        <v>6522</v>
      </c>
      <c r="U8" s="305" t="s">
        <v>2569</v>
      </c>
      <c r="V8" s="305" t="s">
        <v>6523</v>
      </c>
      <c r="W8" s="305" t="s">
        <v>6524</v>
      </c>
      <c r="X8" s="22"/>
      <c r="Y8" s="305" t="s">
        <v>6525</v>
      </c>
      <c r="Z8" s="305" t="s">
        <v>4841</v>
      </c>
      <c r="AA8" s="22"/>
      <c r="AB8" s="332" t="s">
        <v>850</v>
      </c>
      <c r="AC8" s="710" t="s">
        <v>6526</v>
      </c>
      <c r="AD8" s="710"/>
      <c r="AE8" s="710" t="s">
        <v>2364</v>
      </c>
      <c r="AF8" s="332" t="str">
        <f ca="1">IFERROR(__xludf.DUMMYFUNCTION("""COMPUTED_VALUE"""),"march")</f>
        <v>march</v>
      </c>
      <c r="AG8" s="551" t="str">
        <f ca="1">IFERROR(__xludf.DUMMYFUNCTION("""COMPUTED_VALUE"""),"total_points_month")</f>
        <v>total_points_month</v>
      </c>
      <c r="AH8" s="551" t="str">
        <f ca="1">IFERROR(__xludf.DUMMYFUNCTION("""COMPUTED_VALUE"""),"total_blocksTemp")</f>
        <v>total_blocksTemp</v>
      </c>
      <c r="AI8" s="332" t="s">
        <v>269</v>
      </c>
      <c r="AJ8" s="332"/>
      <c r="AK8" s="332" t="s">
        <v>293</v>
      </c>
      <c r="AL8" s="332"/>
      <c r="AM8" s="84" t="s">
        <v>301</v>
      </c>
      <c r="AN8" s="332"/>
      <c r="AO8" s="338" t="s">
        <v>6527</v>
      </c>
      <c r="AP8" s="305" t="s">
        <v>2369</v>
      </c>
      <c r="AQ8" s="332" t="s">
        <v>6528</v>
      </c>
      <c r="AR8" s="332"/>
      <c r="AS8" s="332"/>
      <c r="AT8" s="332"/>
      <c r="AU8" s="332" t="s">
        <v>1681</v>
      </c>
      <c r="AV8" s="332"/>
      <c r="AW8" s="332"/>
      <c r="AX8" s="332"/>
      <c r="AY8" s="332"/>
      <c r="AZ8" s="332" t="s">
        <v>281</v>
      </c>
      <c r="BA8" s="332"/>
      <c r="BB8" s="332"/>
      <c r="BC8" s="332" t="s">
        <v>1681</v>
      </c>
      <c r="BD8" s="332"/>
      <c r="BE8" s="332"/>
      <c r="BF8" s="332"/>
      <c r="BG8" s="332"/>
      <c r="BH8" s="332" t="s">
        <v>1681</v>
      </c>
      <c r="BI8" s="332"/>
      <c r="BJ8" s="332"/>
      <c r="BK8" s="332"/>
      <c r="BL8" s="332"/>
      <c r="BM8" s="332" t="s">
        <v>1681</v>
      </c>
      <c r="BN8" s="332"/>
    </row>
    <row r="9" spans="1:66" ht="15.75" customHeight="1" x14ac:dyDescent="0.15">
      <c r="A9" s="773"/>
      <c r="B9" s="332"/>
      <c r="C9" s="332"/>
      <c r="D9" s="332" t="str">
        <f ca="1">IFERROR(__xludf.DUMMYFUNCTION("""COMPUTED_VALUE"""),"elemental")</f>
        <v>elemental</v>
      </c>
      <c r="E9" s="332" t="s">
        <v>829</v>
      </c>
      <c r="F9" s="332" t="str">
        <f ca="1">IFERROR(__xludf.DUMMYFUNCTION("""COMPUTED_VALUE"""),"elementalLightning")</f>
        <v>elementalLightning</v>
      </c>
      <c r="G9" s="332" t="str">
        <f ca="1">IFERROR(__xludf.DUMMYFUNCTION("""COMPUTED_VALUE"""),"skinApril")</f>
        <v>skinApril</v>
      </c>
      <c r="H9" s="332" t="str">
        <f ca="1">IFERROR(__xludf.DUMMYFUNCTION("""COMPUTED_VALUE"""),"launcherStronghold")</f>
        <v>launcherStronghold</v>
      </c>
      <c r="I9" s="305" t="s">
        <v>1681</v>
      </c>
      <c r="J9" s="305" t="s">
        <v>653</v>
      </c>
      <c r="K9" s="305" t="s">
        <v>654</v>
      </c>
      <c r="L9" s="332"/>
      <c r="M9" s="705" t="str">
        <f t="shared" ref="M9:N9" si="3">"&gt;="</f>
        <v>&gt;=</v>
      </c>
      <c r="N9" s="705" t="str">
        <f t="shared" si="3"/>
        <v>&gt;=</v>
      </c>
      <c r="O9" s="332" t="s">
        <v>6529</v>
      </c>
      <c r="P9" s="305" t="s">
        <v>4824</v>
      </c>
      <c r="Q9" s="305" t="s">
        <v>2510</v>
      </c>
      <c r="R9" s="332"/>
      <c r="S9" s="305" t="s">
        <v>6530</v>
      </c>
      <c r="T9" s="305" t="s">
        <v>6531</v>
      </c>
      <c r="U9" s="305" t="s">
        <v>2571</v>
      </c>
      <c r="V9" s="305" t="s">
        <v>6532</v>
      </c>
      <c r="W9" s="305" t="s">
        <v>6533</v>
      </c>
      <c r="X9" s="22"/>
      <c r="Y9" s="305" t="s">
        <v>2360</v>
      </c>
      <c r="Z9" s="305" t="s">
        <v>2361</v>
      </c>
      <c r="AA9" s="22"/>
      <c r="AB9" s="332" t="s">
        <v>816</v>
      </c>
      <c r="AC9" s="332" t="s">
        <v>6399</v>
      </c>
      <c r="AD9" s="332"/>
      <c r="AE9" s="332" t="s">
        <v>2362</v>
      </c>
      <c r="AF9" s="332" t="str">
        <f ca="1">IFERROR(__xludf.DUMMYFUNCTION("""COMPUTED_VALUE"""),"april")</f>
        <v>april</v>
      </c>
      <c r="AG9" s="711" t="str">
        <f ca="1">IFERROR(__xludf.DUMMYFUNCTION("""COMPUTED_VALUE"""),"total_points_season")</f>
        <v>total_points_season</v>
      </c>
      <c r="AH9" s="711" t="str">
        <f ca="1">IFERROR(__xludf.DUMMYFUNCTION("""COMPUTED_VALUE"""),"total_elementalFire")</f>
        <v>total_elementalFire</v>
      </c>
      <c r="AI9" s="332" t="s">
        <v>6534</v>
      </c>
      <c r="AJ9" s="332"/>
      <c r="AK9" s="332" t="s">
        <v>301</v>
      </c>
      <c r="AL9" s="332"/>
      <c r="AM9" s="84" t="s">
        <v>309</v>
      </c>
      <c r="AN9" s="332"/>
      <c r="AO9" s="332"/>
      <c r="AP9" s="305" t="s">
        <v>279</v>
      </c>
      <c r="AQ9" s="332" t="s">
        <v>315</v>
      </c>
      <c r="AR9" s="332"/>
      <c r="AS9" s="332"/>
      <c r="AT9" s="332"/>
      <c r="AV9" s="332"/>
      <c r="AW9" s="332"/>
      <c r="AX9" s="332"/>
      <c r="AY9" s="332"/>
      <c r="AZ9" s="332" t="s">
        <v>38</v>
      </c>
      <c r="BA9" s="332"/>
      <c r="BB9" s="332"/>
      <c r="BD9" s="332"/>
      <c r="BE9" s="332"/>
      <c r="BF9" s="332"/>
      <c r="BG9" s="332"/>
      <c r="BI9" s="332"/>
      <c r="BJ9" s="332"/>
      <c r="BK9" s="332"/>
      <c r="BL9" s="332"/>
      <c r="BN9" s="332"/>
    </row>
    <row r="10" spans="1:66" ht="15.75" customHeight="1" x14ac:dyDescent="0.15">
      <c r="A10" s="773"/>
      <c r="B10" s="338"/>
      <c r="C10" s="338"/>
      <c r="D10" s="332" t="str">
        <f ca="1">IFERROR(__xludf.DUMMYFUNCTION("""COMPUTED_VALUE"""),"launcher")</f>
        <v>launcher</v>
      </c>
      <c r="E10" s="332" t="s">
        <v>815</v>
      </c>
      <c r="F10" s="332" t="str">
        <f ca="1">IFERROR(__xludf.DUMMYFUNCTION("""COMPUTED_VALUE"""),"skinJanuary")</f>
        <v>skinJanuary</v>
      </c>
      <c r="G10" s="332" t="str">
        <f ca="1">IFERROR(__xludf.DUMMYFUNCTION("""COMPUTED_VALUE"""),"skinMay")</f>
        <v>skinMay</v>
      </c>
      <c r="H10" s="332" t="str">
        <f ca="1">IFERROR(__xludf.DUMMYFUNCTION("""COMPUTED_VALUE"""),"launcherNunchuck")</f>
        <v>launcherNunchuck</v>
      </c>
      <c r="I10" s="305" t="s">
        <v>551</v>
      </c>
      <c r="J10" s="305" t="s">
        <v>6501</v>
      </c>
      <c r="K10" s="305" t="s">
        <v>5543</v>
      </c>
      <c r="L10" s="338"/>
      <c r="M10" s="705" t="str">
        <f t="shared" ref="M10:N10" si="4">"&lt;"</f>
        <v>&lt;</v>
      </c>
      <c r="N10" s="705" t="str">
        <f t="shared" si="4"/>
        <v>&lt;</v>
      </c>
      <c r="O10" s="332" t="s">
        <v>6535</v>
      </c>
      <c r="P10" s="706" t="s">
        <v>2367</v>
      </c>
      <c r="Q10" s="305"/>
      <c r="R10" s="338"/>
      <c r="S10" s="305" t="s">
        <v>6536</v>
      </c>
      <c r="T10" s="305" t="s">
        <v>6537</v>
      </c>
      <c r="U10" s="305" t="s">
        <v>2575</v>
      </c>
      <c r="V10" s="305" t="s">
        <v>6538</v>
      </c>
      <c r="W10" s="22"/>
      <c r="X10" s="22"/>
      <c r="Y10" s="22"/>
      <c r="Z10" s="305" t="s">
        <v>6539</v>
      </c>
      <c r="AA10" s="22"/>
      <c r="AC10" s="338" t="s">
        <v>6540</v>
      </c>
      <c r="AD10" s="338"/>
      <c r="AE10" s="338" t="s">
        <v>2371</v>
      </c>
      <c r="AF10" s="332" t="str">
        <f ca="1">IFERROR(__xludf.DUMMYFUNCTION("""COMPUTED_VALUE"""),"may")</f>
        <v>may</v>
      </c>
      <c r="AG10" s="711" t="str">
        <f ca="1">IFERROR(__xludf.DUMMYFUNCTION("""COMPUTED_VALUE"""),"best_points")</f>
        <v>best_points</v>
      </c>
      <c r="AH10" s="711" t="str">
        <f ca="1">IFERROR(__xludf.DUMMYFUNCTION("""COMPUTED_VALUE"""),"total_elementalForce")</f>
        <v>total_elementalForce</v>
      </c>
      <c r="AI10" s="332"/>
      <c r="AJ10" s="332"/>
      <c r="AK10" s="332" t="s">
        <v>309</v>
      </c>
      <c r="AL10" s="332"/>
      <c r="AM10" s="84" t="s">
        <v>387</v>
      </c>
      <c r="AN10" s="332"/>
      <c r="AO10" s="332"/>
      <c r="AP10" s="332" t="s">
        <v>2662</v>
      </c>
      <c r="AQ10" s="332"/>
      <c r="AR10" s="332"/>
      <c r="AS10" s="332"/>
      <c r="AT10" s="332"/>
      <c r="AU10" s="332"/>
      <c r="AV10" s="332"/>
      <c r="AW10" s="332"/>
      <c r="AX10" s="332"/>
      <c r="AY10" s="332"/>
      <c r="AZ10" s="332" t="s">
        <v>865</v>
      </c>
      <c r="BA10" s="332"/>
      <c r="BB10" s="332"/>
      <c r="BC10" s="332"/>
      <c r="BD10" s="332"/>
      <c r="BE10" s="332"/>
      <c r="BF10" s="332"/>
      <c r="BG10" s="332"/>
      <c r="BH10" s="332"/>
      <c r="BI10" s="332"/>
      <c r="BJ10" s="332"/>
      <c r="BK10" s="332"/>
      <c r="BL10" s="332"/>
      <c r="BM10" s="332"/>
      <c r="BN10" s="332"/>
    </row>
    <row r="11" spans="1:66" ht="15.75" customHeight="1" x14ac:dyDescent="0.15">
      <c r="A11" s="773"/>
      <c r="B11" s="338"/>
      <c r="C11" s="338"/>
      <c r="D11" s="14" t="str">
        <f ca="1">IFERROR(__xludf.DUMMYFUNCTION("""COMPUTED_VALUE"""),"mission")</f>
        <v>mission</v>
      </c>
      <c r="E11" s="332"/>
      <c r="F11" s="332" t="str">
        <f ca="1">IFERROR(__xludf.DUMMYFUNCTION("""COMPUTED_VALUE"""),"skinFebruary")</f>
        <v>skinFebruary</v>
      </c>
      <c r="G11" s="332" t="str">
        <f ca="1">IFERROR(__xludf.DUMMYFUNCTION("""COMPUTED_VALUE"""),"skinJune")</f>
        <v>skinJune</v>
      </c>
      <c r="H11" s="332" t="str">
        <f ca="1">IFERROR(__xludf.DUMMYFUNCTION("""COMPUTED_VALUE"""),"launcherJeanClawed")</f>
        <v>launcherJeanClawed</v>
      </c>
      <c r="I11" s="22"/>
      <c r="J11" s="305" t="s">
        <v>6502</v>
      </c>
      <c r="K11" s="305" t="s">
        <v>5548</v>
      </c>
      <c r="L11" s="338"/>
      <c r="M11" s="705" t="str">
        <f t="shared" ref="M11:N11" si="5">"&lt;="</f>
        <v>&lt;=</v>
      </c>
      <c r="N11" s="705" t="str">
        <f t="shared" si="5"/>
        <v>&lt;=</v>
      </c>
      <c r="O11" s="332" t="s">
        <v>6541</v>
      </c>
      <c r="P11" s="305" t="s">
        <v>2369</v>
      </c>
      <c r="Q11" s="305"/>
      <c r="R11" s="338"/>
      <c r="S11" s="305" t="s">
        <v>6542</v>
      </c>
      <c r="T11" s="305" t="s">
        <v>6543</v>
      </c>
      <c r="U11" s="305" t="s">
        <v>2581</v>
      </c>
      <c r="V11" s="305" t="s">
        <v>6544</v>
      </c>
      <c r="W11" s="22"/>
      <c r="X11" s="22"/>
      <c r="Y11" s="22"/>
      <c r="Z11" s="22"/>
      <c r="AA11" s="22"/>
      <c r="AB11" s="332" t="s">
        <v>289</v>
      </c>
      <c r="AC11" s="338" t="s">
        <v>6545</v>
      </c>
      <c r="AD11" s="338"/>
      <c r="AE11" s="338" t="s">
        <v>2367</v>
      </c>
      <c r="AF11" s="332" t="str">
        <f ca="1">IFERROR(__xludf.DUMMYFUNCTION("""COMPUTED_VALUE"""),"june")</f>
        <v>june</v>
      </c>
      <c r="AG11" s="711" t="str">
        <f ca="1">IFERROR(__xludf.DUMMYFUNCTION("""COMPUTED_VALUE"""),"best_points_day")</f>
        <v>best_points_day</v>
      </c>
      <c r="AH11" s="711" t="str">
        <f ca="1">IFERROR(__xludf.DUMMYFUNCTION("""COMPUTED_VALUE"""),"total_elementalFreeze")</f>
        <v>total_elementalFreeze</v>
      </c>
      <c r="AI11" s="332"/>
      <c r="AJ11" s="332"/>
      <c r="AK11" s="332"/>
      <c r="AL11" s="332"/>
      <c r="AM11" s="84" t="s">
        <v>349</v>
      </c>
      <c r="AN11" s="332"/>
      <c r="AO11" s="332"/>
      <c r="AP11" s="332" t="s">
        <v>2715</v>
      </c>
      <c r="AQ11" s="332"/>
      <c r="AR11" s="332"/>
      <c r="AS11" s="332"/>
      <c r="AT11" s="332"/>
      <c r="AU11" s="332"/>
      <c r="AV11" s="332"/>
      <c r="AW11" s="332"/>
      <c r="AX11" s="332"/>
      <c r="AY11" s="332"/>
      <c r="AZ11" s="332"/>
      <c r="BA11" s="332"/>
      <c r="BB11" s="332"/>
      <c r="BC11" s="332"/>
      <c r="BD11" s="332"/>
      <c r="BE11" s="332"/>
      <c r="BF11" s="332"/>
      <c r="BG11" s="332"/>
      <c r="BH11" s="332"/>
      <c r="BI11" s="332"/>
      <c r="BJ11" s="332"/>
      <c r="BK11" s="332"/>
      <c r="BL11" s="332"/>
      <c r="BM11" s="332"/>
      <c r="BN11" s="332"/>
    </row>
    <row r="12" spans="1:66" ht="15.75" customHeight="1" x14ac:dyDescent="0.15">
      <c r="A12" s="773"/>
      <c r="B12" s="338"/>
      <c r="C12" s="338"/>
      <c r="D12" s="332" t="str">
        <f ca="1">IFERROR(__xludf.DUMMYFUNCTION("""COMPUTED_VALUE"""),"perk")</f>
        <v>perk</v>
      </c>
      <c r="E12" s="332"/>
      <c r="F12" s="332" t="str">
        <f ca="1">IFERROR(__xludf.DUMMYFUNCTION("""COMPUTED_VALUE"""),"skinMarch")</f>
        <v>skinMarch</v>
      </c>
      <c r="G12" s="332" t="str">
        <f ca="1">IFERROR(__xludf.DUMMYFUNCTION("""COMPUTED_VALUE"""),"skinJuly")</f>
        <v>skinJuly</v>
      </c>
      <c r="H12" s="332" t="str">
        <f ca="1">IFERROR(__xludf.DUMMYFUNCTION("""COMPUTED_VALUE"""),"launcherSvengeance")</f>
        <v>launcherSvengeance</v>
      </c>
      <c r="I12" s="22"/>
      <c r="J12" s="305" t="s">
        <v>319</v>
      </c>
      <c r="K12" s="305" t="s">
        <v>5051</v>
      </c>
      <c r="L12" s="338"/>
      <c r="M12" s="705" t="str">
        <f t="shared" ref="M12:N12" si="6">"~"</f>
        <v>~</v>
      </c>
      <c r="N12" s="705" t="str">
        <f t="shared" si="6"/>
        <v>~</v>
      </c>
      <c r="O12" s="332" t="s">
        <v>6546</v>
      </c>
      <c r="P12" s="706" t="s">
        <v>2371</v>
      </c>
      <c r="Q12" s="305"/>
      <c r="R12" s="338"/>
      <c r="S12" s="305" t="s">
        <v>6547</v>
      </c>
      <c r="T12" s="305" t="s">
        <v>6548</v>
      </c>
      <c r="U12" s="305" t="s">
        <v>6549</v>
      </c>
      <c r="V12" s="305" t="s">
        <v>6550</v>
      </c>
      <c r="W12" s="22"/>
      <c r="X12" s="22"/>
      <c r="Y12" s="22"/>
      <c r="Z12" s="22"/>
      <c r="AA12" s="22"/>
      <c r="AB12" s="332" t="s">
        <v>6551</v>
      </c>
      <c r="AC12" s="338" t="s">
        <v>6552</v>
      </c>
      <c r="AD12" s="338"/>
      <c r="AE12" s="338" t="s">
        <v>2369</v>
      </c>
      <c r="AF12" s="332" t="str">
        <f ca="1">IFERROR(__xludf.DUMMYFUNCTION("""COMPUTED_VALUE"""),"july")</f>
        <v>july</v>
      </c>
      <c r="AG12" s="711" t="str">
        <f ca="1">IFERROR(__xludf.DUMMYFUNCTION("""COMPUTED_VALUE"""),"best_points_month")</f>
        <v>best_points_month</v>
      </c>
      <c r="AH12" s="711" t="str">
        <f ca="1">IFERROR(__xludf.DUMMYFUNCTION("""COMPUTED_VALUE"""),"total_elementalLightning")</f>
        <v>total_elementalLightning</v>
      </c>
      <c r="AI12" s="332"/>
      <c r="AJ12" s="332"/>
      <c r="AK12" s="332"/>
      <c r="AL12" s="332"/>
      <c r="AM12" s="84" t="s">
        <v>365</v>
      </c>
      <c r="AN12" s="332"/>
      <c r="AO12" s="332"/>
      <c r="AP12" s="332" t="s">
        <v>2838</v>
      </c>
      <c r="AQ12" s="332"/>
      <c r="AR12" s="332"/>
      <c r="AS12" s="332"/>
      <c r="AT12" s="332"/>
      <c r="AU12" s="332"/>
      <c r="AV12" s="332"/>
      <c r="AW12" s="332"/>
      <c r="AX12" s="332"/>
      <c r="AY12" s="332"/>
      <c r="AZ12" s="332"/>
      <c r="BA12" s="332"/>
      <c r="BB12" s="332"/>
      <c r="BC12" s="332"/>
      <c r="BD12" s="332"/>
      <c r="BE12" s="332"/>
      <c r="BF12" s="332"/>
      <c r="BG12" s="332"/>
      <c r="BH12" s="332"/>
      <c r="BI12" s="332"/>
      <c r="BJ12" s="332"/>
      <c r="BK12" s="332"/>
      <c r="BL12" s="332"/>
      <c r="BM12" s="332"/>
      <c r="BN12" s="332"/>
    </row>
    <row r="13" spans="1:66" ht="15.75" customHeight="1" x14ac:dyDescent="0.15">
      <c r="A13" s="773"/>
      <c r="B13" s="338"/>
      <c r="C13" s="338"/>
      <c r="D13" s="332" t="str">
        <f ca="1">IFERROR(__xludf.DUMMYFUNCTION("""COMPUTED_VALUE"""),"skin")</f>
        <v>skin</v>
      </c>
      <c r="E13" s="332"/>
      <c r="F13" s="332" t="str">
        <f ca="1">IFERROR(__xludf.DUMMYFUNCTION("""COMPUTED_VALUE"""),"skinApril")</f>
        <v>skinApril</v>
      </c>
      <c r="G13" s="332" t="str">
        <f ca="1">IFERROR(__xludf.DUMMYFUNCTION("""COMPUTED_VALUE"""),"skinAugust")</f>
        <v>skinAugust</v>
      </c>
      <c r="H13" s="332" t="str">
        <f ca="1">IFERROR(__xludf.DUMMYFUNCTION("""COMPUTED_VALUE"""),"launcherBelle")</f>
        <v>launcherBelle</v>
      </c>
      <c r="I13" s="22"/>
      <c r="J13" s="305" t="s">
        <v>281</v>
      </c>
      <c r="K13" s="305" t="s">
        <v>5070</v>
      </c>
      <c r="L13" s="338"/>
      <c r="M13" s="705" t="str">
        <f t="shared" ref="M13:N13" si="7">"!~"</f>
        <v>!~</v>
      </c>
      <c r="N13" s="705" t="str">
        <f t="shared" si="7"/>
        <v>!~</v>
      </c>
      <c r="O13" s="332"/>
      <c r="P13" s="706" t="s">
        <v>2373</v>
      </c>
      <c r="Q13" s="305"/>
      <c r="R13" s="338"/>
      <c r="S13" s="305" t="s">
        <v>6553</v>
      </c>
      <c r="T13" s="305" t="s">
        <v>6554</v>
      </c>
      <c r="U13" s="305" t="s">
        <v>6555</v>
      </c>
      <c r="V13" s="305" t="s">
        <v>6556</v>
      </c>
      <c r="W13" s="22"/>
      <c r="X13" s="22"/>
      <c r="Y13" s="22"/>
      <c r="Z13" s="22"/>
      <c r="AA13" s="22"/>
      <c r="AC13" s="338" t="s">
        <v>6557</v>
      </c>
      <c r="AD13" s="338"/>
      <c r="AE13" s="338" t="s">
        <v>2373</v>
      </c>
      <c r="AF13" s="332" t="str">
        <f ca="1">IFERROR(__xludf.DUMMYFUNCTION("""COMPUTED_VALUE"""),"august")</f>
        <v>august</v>
      </c>
      <c r="AG13" s="711" t="str">
        <f ca="1">IFERROR(__xludf.DUMMYFUNCTION("""COMPUTED_VALUE"""),"best_points_season")</f>
        <v>best_points_season</v>
      </c>
      <c r="AH13" s="338"/>
      <c r="AI13" s="332"/>
      <c r="AJ13" s="332"/>
      <c r="AK13" s="332"/>
      <c r="AL13" s="332"/>
      <c r="AM13" s="84"/>
      <c r="AN13" s="332"/>
      <c r="AO13" s="332"/>
      <c r="AP13" s="332"/>
      <c r="AQ13" s="332"/>
      <c r="AR13" s="332"/>
      <c r="AS13" s="332"/>
      <c r="AT13" s="332"/>
      <c r="AU13" s="332"/>
      <c r="AV13" s="332"/>
      <c r="AW13" s="332"/>
      <c r="AX13" s="332"/>
      <c r="AY13" s="332"/>
      <c r="AZ13" s="332"/>
      <c r="BA13" s="332"/>
      <c r="BB13" s="332"/>
      <c r="BC13" s="332"/>
      <c r="BD13" s="332"/>
      <c r="BE13" s="332"/>
      <c r="BF13" s="332"/>
      <c r="BG13" s="332"/>
      <c r="BH13" s="332"/>
      <c r="BI13" s="332"/>
      <c r="BJ13" s="332"/>
      <c r="BK13" s="332"/>
      <c r="BL13" s="332"/>
      <c r="BM13" s="332"/>
      <c r="BN13" s="332"/>
    </row>
    <row r="14" spans="1:66" ht="15.75" customHeight="1" x14ac:dyDescent="0.15">
      <c r="A14" s="773"/>
      <c r="B14" s="332"/>
      <c r="C14" s="332"/>
      <c r="D14" s="332" t="str">
        <f ca="1">IFERROR(__xludf.DUMMYFUNCTION("""COMPUTED_VALUE"""),"ultimate")</f>
        <v>ultimate</v>
      </c>
      <c r="E14" s="332"/>
      <c r="F14" s="332" t="str">
        <f ca="1">IFERROR(__xludf.DUMMYFUNCTION("""COMPUTED_VALUE"""),"skinMay")</f>
        <v>skinMay</v>
      </c>
      <c r="G14" s="332" t="str">
        <f ca="1">IFERROR(__xludf.DUMMYFUNCTION("""COMPUTED_VALUE"""),"skinSeptember")</f>
        <v>skinSeptember</v>
      </c>
      <c r="H14" s="332"/>
      <c r="I14" s="22"/>
      <c r="J14" s="305" t="s">
        <v>37</v>
      </c>
      <c r="K14" s="305" t="s">
        <v>616</v>
      </c>
      <c r="L14" s="332"/>
      <c r="M14" s="332"/>
      <c r="N14" s="332" t="s">
        <v>2678</v>
      </c>
      <c r="O14" s="332"/>
      <c r="P14" s="332"/>
      <c r="Q14" s="332"/>
      <c r="R14" s="332"/>
      <c r="S14" s="305" t="s">
        <v>6558</v>
      </c>
      <c r="T14" s="305" t="s">
        <v>6559</v>
      </c>
      <c r="U14" s="305" t="s">
        <v>6560</v>
      </c>
      <c r="V14" s="305" t="s">
        <v>6561</v>
      </c>
      <c r="W14" s="22"/>
      <c r="X14" s="22"/>
      <c r="Y14" s="22"/>
      <c r="Z14" s="22"/>
      <c r="AA14" s="22"/>
      <c r="AB14" s="332" t="s">
        <v>1133</v>
      </c>
      <c r="AC14" s="332"/>
      <c r="AD14" s="332"/>
      <c r="AE14" s="332"/>
      <c r="AF14" s="332" t="str">
        <f ca="1">IFERROR(__xludf.DUMMYFUNCTION("""COMPUTED_VALUE"""),"september")</f>
        <v>september</v>
      </c>
      <c r="AG14" s="332" t="str">
        <f ca="1">IFERROR(__xludf.DUMMYFUNCTION("""COMPUTED_VALUE"""),"last_points")</f>
        <v>last_points</v>
      </c>
      <c r="AH14" s="332"/>
      <c r="AI14" s="332"/>
      <c r="AJ14" s="332"/>
      <c r="AK14" s="332"/>
      <c r="AL14" s="332"/>
      <c r="AM14" s="84" t="s">
        <v>1678</v>
      </c>
      <c r="AN14" s="332"/>
      <c r="AO14" s="332"/>
      <c r="AP14" s="332"/>
      <c r="AQ14" s="332"/>
      <c r="AR14" s="332"/>
      <c r="AS14" s="332"/>
      <c r="AT14" s="332"/>
      <c r="AU14" s="332"/>
      <c r="AV14" s="332"/>
      <c r="AW14" s="332"/>
      <c r="AX14" s="332"/>
      <c r="AY14" s="332"/>
      <c r="AZ14" s="332"/>
      <c r="BA14" s="332"/>
      <c r="BB14" s="332"/>
      <c r="BC14" s="332"/>
      <c r="BD14" s="332"/>
      <c r="BE14" s="332"/>
      <c r="BF14" s="332"/>
      <c r="BG14" s="332"/>
      <c r="BH14" s="332"/>
      <c r="BI14" s="332"/>
      <c r="BJ14" s="332"/>
      <c r="BK14" s="332"/>
      <c r="BL14" s="332"/>
      <c r="BM14" s="332"/>
      <c r="BN14" s="332"/>
    </row>
    <row r="15" spans="1:66" ht="15.75" customHeight="1" x14ac:dyDescent="0.15">
      <c r="A15" s="773"/>
      <c r="B15" s="332"/>
      <c r="C15" s="332"/>
      <c r="D15" s="332"/>
      <c r="E15" s="332"/>
      <c r="F15" s="332" t="str">
        <f ca="1">IFERROR(__xludf.DUMMYFUNCTION("""COMPUTED_VALUE"""),"skinJune")</f>
        <v>skinJune</v>
      </c>
      <c r="G15" s="332" t="str">
        <f ca="1">IFERROR(__xludf.DUMMYFUNCTION("""COMPUTED_VALUE"""),"skinOctober")</f>
        <v>skinOctober</v>
      </c>
      <c r="H15" s="332"/>
      <c r="I15" s="22"/>
      <c r="J15" s="305" t="s">
        <v>38</v>
      </c>
      <c r="K15" s="305" t="s">
        <v>5063</v>
      </c>
      <c r="L15" s="332"/>
      <c r="M15" s="332"/>
      <c r="N15" s="332"/>
      <c r="O15" s="332"/>
      <c r="P15" s="332"/>
      <c r="Q15" s="332"/>
      <c r="R15" s="332"/>
      <c r="S15" s="22"/>
      <c r="T15" s="305" t="s">
        <v>6562</v>
      </c>
      <c r="U15" s="305" t="s">
        <v>6563</v>
      </c>
      <c r="V15" s="305" t="s">
        <v>6564</v>
      </c>
      <c r="W15" s="22"/>
      <c r="X15" s="22"/>
      <c r="Y15" s="22"/>
      <c r="Z15" s="22"/>
      <c r="AA15" s="22"/>
      <c r="AC15" s="332"/>
      <c r="AD15" s="332"/>
      <c r="AE15" s="332"/>
      <c r="AF15" s="332" t="str">
        <f ca="1">IFERROR(__xludf.DUMMYFUNCTION("""COMPUTED_VALUE"""),"october")</f>
        <v>october</v>
      </c>
      <c r="AG15" s="332" t="str">
        <f ca="1">IFERROR(__xludf.DUMMYFUNCTION("""COMPUTED_VALUE"""),"last_points_day")</f>
        <v>last_points_day</v>
      </c>
      <c r="AH15" s="332"/>
      <c r="AI15" s="332"/>
      <c r="AJ15" s="332"/>
      <c r="AK15" s="332"/>
      <c r="AL15" s="332"/>
      <c r="AM15" s="84" t="s">
        <v>1553</v>
      </c>
      <c r="AN15" s="332"/>
      <c r="AO15" s="332"/>
      <c r="AP15" s="332"/>
      <c r="AQ15" s="332"/>
      <c r="AR15" s="332"/>
      <c r="AS15" s="332"/>
      <c r="AT15" s="332"/>
      <c r="AU15" s="332"/>
      <c r="AV15" s="332"/>
      <c r="AW15" s="332"/>
      <c r="AX15" s="332"/>
      <c r="AY15" s="332"/>
      <c r="AZ15" s="332"/>
      <c r="BA15" s="332"/>
      <c r="BB15" s="332"/>
      <c r="BC15" s="332"/>
      <c r="BD15" s="332"/>
      <c r="BE15" s="332"/>
      <c r="BF15" s="332"/>
      <c r="BG15" s="332"/>
      <c r="BH15" s="332"/>
      <c r="BI15" s="332"/>
      <c r="BJ15" s="332"/>
      <c r="BK15" s="332"/>
      <c r="BL15" s="332"/>
      <c r="BM15" s="332"/>
      <c r="BN15" s="332"/>
    </row>
    <row r="16" spans="1:66" ht="15.75" customHeight="1" x14ac:dyDescent="0.15">
      <c r="A16" s="773"/>
      <c r="B16" s="332"/>
      <c r="C16" s="332"/>
      <c r="D16" s="332"/>
      <c r="E16" s="332"/>
      <c r="F16" s="332" t="str">
        <f ca="1">IFERROR(__xludf.DUMMYFUNCTION("""COMPUTED_VALUE"""),"skinJuly")</f>
        <v>skinJuly</v>
      </c>
      <c r="G16" s="332" t="str">
        <f ca="1">IFERROR(__xludf.DUMMYFUNCTION("""COMPUTED_VALUE"""),"skinNovember")</f>
        <v>skinNovember</v>
      </c>
      <c r="H16" s="332"/>
      <c r="I16" s="22"/>
      <c r="J16" s="334" t="s">
        <v>6565</v>
      </c>
      <c r="K16" s="334" t="s">
        <v>6361</v>
      </c>
      <c r="L16" s="332"/>
      <c r="M16" s="332"/>
      <c r="N16" s="332"/>
      <c r="O16" s="332"/>
      <c r="P16" s="332"/>
      <c r="Q16" s="332"/>
      <c r="R16" s="332"/>
      <c r="S16" s="22"/>
      <c r="T16" s="305" t="s">
        <v>6566</v>
      </c>
      <c r="U16" s="305" t="s">
        <v>6567</v>
      </c>
      <c r="V16" s="305" t="s">
        <v>6568</v>
      </c>
      <c r="W16" s="22"/>
      <c r="X16" s="22"/>
      <c r="Y16" s="22"/>
      <c r="Z16" s="22"/>
      <c r="AA16" s="22"/>
      <c r="AB16" s="332" t="s">
        <v>322</v>
      </c>
      <c r="AC16" s="332"/>
      <c r="AD16" s="332"/>
      <c r="AE16" s="332"/>
      <c r="AF16" s="332" t="str">
        <f ca="1">IFERROR(__xludf.DUMMYFUNCTION("""COMPUTED_VALUE"""),"november")</f>
        <v>november</v>
      </c>
      <c r="AG16" s="332" t="str">
        <f ca="1">IFERROR(__xludf.DUMMYFUNCTION("""COMPUTED_VALUE"""),"last_points_month")</f>
        <v>last_points_month</v>
      </c>
      <c r="AH16" s="332"/>
      <c r="AI16" s="332"/>
      <c r="AJ16" s="332"/>
      <c r="AK16" s="332"/>
      <c r="AL16" s="332"/>
      <c r="AM16" s="334"/>
      <c r="AN16" s="332"/>
      <c r="AO16" s="332"/>
      <c r="AP16" s="332"/>
      <c r="AQ16" s="332"/>
      <c r="AR16" s="332"/>
      <c r="AS16" s="332"/>
      <c r="AT16" s="332"/>
      <c r="AU16" s="332"/>
      <c r="AV16" s="332"/>
      <c r="AW16" s="332"/>
      <c r="AX16" s="332"/>
      <c r="AY16" s="332"/>
      <c r="AZ16" s="332"/>
      <c r="BA16" s="332"/>
      <c r="BB16" s="332"/>
      <c r="BC16" s="332"/>
      <c r="BD16" s="332"/>
      <c r="BE16" s="332"/>
      <c r="BF16" s="332"/>
      <c r="BG16" s="332"/>
      <c r="BH16" s="332"/>
      <c r="BI16" s="332"/>
      <c r="BJ16" s="332"/>
      <c r="BK16" s="332"/>
      <c r="BL16" s="332"/>
      <c r="BM16" s="332"/>
      <c r="BN16" s="332"/>
    </row>
    <row r="17" spans="1:66" ht="15.75" customHeight="1" x14ac:dyDescent="0.15">
      <c r="A17" s="773"/>
      <c r="B17" s="332"/>
      <c r="C17" s="332"/>
      <c r="D17" s="332"/>
      <c r="E17" s="332"/>
      <c r="F17" s="332" t="str">
        <f ca="1">IFERROR(__xludf.DUMMYFUNCTION("""COMPUTED_VALUE"""),"skinAugust")</f>
        <v>skinAugust</v>
      </c>
      <c r="G17" s="332" t="str">
        <f ca="1">IFERROR(__xludf.DUMMYFUNCTION("""COMPUTED_VALUE"""),"skinDecember")</f>
        <v>skinDecember</v>
      </c>
      <c r="H17" s="332"/>
      <c r="I17" s="22"/>
      <c r="J17" s="334" t="s">
        <v>6569</v>
      </c>
      <c r="K17" s="334" t="s">
        <v>6570</v>
      </c>
      <c r="L17" s="332"/>
      <c r="M17" s="332"/>
      <c r="N17" s="332"/>
      <c r="O17" s="332"/>
      <c r="P17" s="332"/>
      <c r="Q17" s="332"/>
      <c r="R17" s="332"/>
      <c r="S17" s="22"/>
      <c r="T17" s="305" t="s">
        <v>6571</v>
      </c>
      <c r="U17" s="305" t="s">
        <v>6572</v>
      </c>
      <c r="V17" s="305" t="s">
        <v>6573</v>
      </c>
      <c r="W17" s="22"/>
      <c r="X17" s="22"/>
      <c r="Y17" s="22"/>
      <c r="Z17" s="22"/>
      <c r="AA17" s="22"/>
      <c r="AB17" s="332" t="s">
        <v>354</v>
      </c>
      <c r="AC17" s="332"/>
      <c r="AD17" s="332"/>
      <c r="AE17" s="332"/>
      <c r="AF17" s="332" t="str">
        <f ca="1">IFERROR(__xludf.DUMMYFUNCTION("""COMPUTED_VALUE"""),"december")</f>
        <v>december</v>
      </c>
      <c r="AG17" s="332" t="str">
        <f ca="1">IFERROR(__xludf.DUMMYFUNCTION("""COMPUTED_VALUE"""),"last_points_season")</f>
        <v>last_points_season</v>
      </c>
      <c r="AH17" s="332"/>
      <c r="AI17" s="332"/>
      <c r="AJ17" s="332"/>
      <c r="AK17" s="332"/>
      <c r="AL17" s="332"/>
      <c r="AM17" s="334"/>
      <c r="AN17" s="332"/>
      <c r="AO17" s="332"/>
      <c r="AP17" s="332"/>
      <c r="AQ17" s="332"/>
      <c r="AR17" s="332"/>
      <c r="AS17" s="332"/>
      <c r="AT17" s="332"/>
      <c r="AU17" s="332"/>
      <c r="AV17" s="332"/>
      <c r="AW17" s="332"/>
      <c r="AX17" s="332"/>
      <c r="AY17" s="332"/>
      <c r="AZ17" s="332"/>
      <c r="BA17" s="332"/>
      <c r="BB17" s="332"/>
      <c r="BC17" s="332"/>
      <c r="BD17" s="332"/>
      <c r="BE17" s="332"/>
      <c r="BF17" s="332"/>
      <c r="BG17" s="332"/>
      <c r="BH17" s="332"/>
      <c r="BI17" s="332"/>
      <c r="BJ17" s="332"/>
      <c r="BK17" s="332"/>
      <c r="BL17" s="332"/>
      <c r="BM17" s="332"/>
      <c r="BN17" s="332"/>
    </row>
    <row r="18" spans="1:66" ht="15.75" customHeight="1" x14ac:dyDescent="0.15">
      <c r="A18" s="773"/>
      <c r="B18" s="332"/>
      <c r="C18" s="332"/>
      <c r="D18" s="332"/>
      <c r="E18" s="332"/>
      <c r="F18" s="332" t="str">
        <f ca="1">IFERROR(__xludf.DUMMYFUNCTION("""COMPUTED_VALUE"""),"skinSeptember")</f>
        <v>skinSeptember</v>
      </c>
      <c r="G18" s="332" t="str">
        <f ca="1">IFERROR(__xludf.DUMMYFUNCTION("""COMPUTED_VALUE"""),"launcherStronghold")</f>
        <v>launcherStronghold</v>
      </c>
      <c r="H18" s="332"/>
      <c r="I18" s="22"/>
      <c r="J18" s="334" t="s">
        <v>6574</v>
      </c>
      <c r="K18" s="334" t="s">
        <v>6575</v>
      </c>
      <c r="L18" s="332"/>
      <c r="M18" s="332"/>
      <c r="N18" s="332"/>
      <c r="O18" s="332"/>
      <c r="P18" s="332"/>
      <c r="Q18" s="332"/>
      <c r="R18" s="332"/>
      <c r="S18" s="22"/>
      <c r="T18" s="305" t="s">
        <v>6576</v>
      </c>
      <c r="U18" s="305" t="s">
        <v>6577</v>
      </c>
      <c r="V18" s="305" t="s">
        <v>6578</v>
      </c>
      <c r="W18" s="22"/>
      <c r="X18" s="22"/>
      <c r="Y18" s="22"/>
      <c r="Z18" s="22"/>
      <c r="AA18" s="22"/>
      <c r="AB18" s="332"/>
      <c r="AC18" s="332"/>
      <c r="AD18" s="332"/>
      <c r="AE18" s="332"/>
      <c r="AF18" s="332"/>
      <c r="AG18" s="332" t="str">
        <f ca="1">IFERROR(__xludf.DUMMYFUNCTION("""COMPUTED_VALUE"""),"total_blocksPerm")</f>
        <v>total_blocksPerm</v>
      </c>
      <c r="AH18" s="332"/>
      <c r="AI18" s="332"/>
      <c r="AJ18" s="332"/>
      <c r="AK18" s="332"/>
      <c r="AL18" s="332"/>
      <c r="AM18" s="334"/>
      <c r="AN18" s="332"/>
      <c r="AO18" s="332"/>
      <c r="AP18" s="332"/>
      <c r="AQ18" s="332"/>
      <c r="AR18" s="332"/>
      <c r="AS18" s="332"/>
      <c r="AT18" s="332"/>
      <c r="AU18" s="332"/>
      <c r="AV18" s="332"/>
      <c r="AW18" s="332"/>
      <c r="AX18" s="332"/>
      <c r="AY18" s="332"/>
      <c r="AZ18" s="332"/>
      <c r="BA18" s="332"/>
      <c r="BB18" s="332"/>
      <c r="BC18" s="332"/>
      <c r="BD18" s="332"/>
      <c r="BE18" s="332"/>
      <c r="BF18" s="332"/>
      <c r="BG18" s="332"/>
      <c r="BH18" s="332"/>
      <c r="BI18" s="332"/>
      <c r="BJ18" s="332"/>
      <c r="BK18" s="332"/>
      <c r="BL18" s="332"/>
      <c r="BM18" s="332"/>
      <c r="BN18" s="332"/>
    </row>
    <row r="19" spans="1:66" ht="15.75" customHeight="1" x14ac:dyDescent="0.15">
      <c r="A19" s="773"/>
      <c r="B19" s="332"/>
      <c r="C19" s="332"/>
      <c r="D19" s="332"/>
      <c r="E19" s="332"/>
      <c r="F19" s="332" t="str">
        <f ca="1">IFERROR(__xludf.DUMMYFUNCTION("""COMPUTED_VALUE"""),"skinOctober")</f>
        <v>skinOctober</v>
      </c>
      <c r="G19" s="332" t="str">
        <f ca="1">IFERROR(__xludf.DUMMYFUNCTION("""COMPUTED_VALUE"""),"launcherNunchuck")</f>
        <v>launcherNunchuck</v>
      </c>
      <c r="H19" s="332"/>
      <c r="I19" s="22"/>
      <c r="J19" s="22"/>
      <c r="K19" s="22"/>
      <c r="L19" s="332"/>
      <c r="M19" s="332"/>
      <c r="N19" s="332"/>
      <c r="O19" s="332"/>
      <c r="P19" s="332"/>
      <c r="Q19" s="332"/>
      <c r="R19" s="332"/>
      <c r="S19" s="22"/>
      <c r="T19" s="305" t="s">
        <v>6579</v>
      </c>
      <c r="U19" s="305" t="s">
        <v>6580</v>
      </c>
      <c r="V19" s="305" t="s">
        <v>6581</v>
      </c>
      <c r="W19" s="22"/>
      <c r="X19" s="22"/>
      <c r="Y19" s="22"/>
      <c r="Z19" s="22"/>
      <c r="AA19" s="22"/>
      <c r="AB19" s="332"/>
      <c r="AC19" s="332"/>
      <c r="AD19" s="332"/>
      <c r="AE19" s="332"/>
      <c r="AF19" s="332"/>
      <c r="AG19" s="332" t="str">
        <f ca="1">IFERROR(__xludf.DUMMYFUNCTION("""COMPUTED_VALUE"""),"total_blocksPerm_day")</f>
        <v>total_blocksPerm_day</v>
      </c>
      <c r="AH19" s="332"/>
      <c r="AI19" s="332"/>
      <c r="AJ19" s="332"/>
      <c r="AK19" s="332"/>
      <c r="AL19" s="332"/>
      <c r="AM19" s="334"/>
      <c r="AN19" s="332"/>
      <c r="AO19" s="332"/>
      <c r="AP19" s="332"/>
      <c r="AQ19" s="332"/>
      <c r="AR19" s="332"/>
      <c r="AS19" s="332"/>
      <c r="AT19" s="332"/>
      <c r="AU19" s="332"/>
      <c r="AV19" s="332"/>
      <c r="AW19" s="332"/>
      <c r="AX19" s="332"/>
      <c r="AY19" s="332"/>
      <c r="AZ19" s="332"/>
      <c r="BA19" s="332"/>
      <c r="BB19" s="332"/>
      <c r="BC19" s="332"/>
      <c r="BD19" s="332"/>
      <c r="BE19" s="332"/>
      <c r="BF19" s="332"/>
      <c r="BG19" s="332"/>
      <c r="BH19" s="332"/>
      <c r="BI19" s="332"/>
      <c r="BJ19" s="332"/>
      <c r="BK19" s="332"/>
      <c r="BL19" s="332"/>
      <c r="BM19" s="332"/>
      <c r="BN19" s="332"/>
    </row>
    <row r="20" spans="1:66" ht="15.75" customHeight="1" x14ac:dyDescent="0.15">
      <c r="A20" s="773"/>
      <c r="B20" s="332"/>
      <c r="C20" s="332"/>
      <c r="D20" s="332"/>
      <c r="E20" s="332"/>
      <c r="F20" s="332" t="str">
        <f ca="1">IFERROR(__xludf.DUMMYFUNCTION("""COMPUTED_VALUE"""),"skinNovember")</f>
        <v>skinNovember</v>
      </c>
      <c r="G20" s="332" t="str">
        <f ca="1">IFERROR(__xludf.DUMMYFUNCTION("""COMPUTED_VALUE"""),"launcherJeanClawed")</f>
        <v>launcherJeanClawed</v>
      </c>
      <c r="H20" s="332"/>
      <c r="I20" s="22"/>
      <c r="J20" s="22"/>
      <c r="K20" s="22"/>
      <c r="L20" s="332"/>
      <c r="M20" s="332"/>
      <c r="N20" s="332"/>
      <c r="O20" s="332"/>
      <c r="P20" s="332"/>
      <c r="Q20" s="332"/>
      <c r="R20" s="332"/>
      <c r="S20" s="22"/>
      <c r="T20" s="305" t="s">
        <v>6582</v>
      </c>
      <c r="U20" s="305" t="s">
        <v>6583</v>
      </c>
      <c r="V20" s="305" t="s">
        <v>6584</v>
      </c>
      <c r="W20" s="22"/>
      <c r="X20" s="22"/>
      <c r="Y20" s="22"/>
      <c r="Z20" s="22"/>
      <c r="AA20" s="22"/>
      <c r="AB20" s="332"/>
      <c r="AC20" s="332"/>
      <c r="AD20" s="332"/>
      <c r="AE20" s="332"/>
      <c r="AF20" s="332"/>
      <c r="AG20" s="332" t="str">
        <f ca="1">IFERROR(__xludf.DUMMYFUNCTION("""COMPUTED_VALUE"""),"total_blocksPerm_month")</f>
        <v>total_blocksPerm_month</v>
      </c>
      <c r="AH20" s="332"/>
      <c r="AI20" s="332"/>
      <c r="AJ20" s="332"/>
      <c r="AK20" s="332"/>
      <c r="AL20" s="332"/>
      <c r="AM20" s="334"/>
      <c r="AN20" s="332"/>
      <c r="AO20" s="332"/>
      <c r="AP20" s="332"/>
      <c r="AQ20" s="332"/>
      <c r="AR20" s="332"/>
      <c r="AS20" s="332"/>
      <c r="AT20" s="332"/>
      <c r="AU20" s="332"/>
      <c r="AV20" s="332"/>
      <c r="AW20" s="332"/>
      <c r="AX20" s="332"/>
      <c r="AY20" s="332"/>
      <c r="AZ20" s="332"/>
      <c r="BA20" s="332"/>
      <c r="BB20" s="332"/>
      <c r="BC20" s="332"/>
      <c r="BD20" s="332"/>
      <c r="BE20" s="332"/>
      <c r="BF20" s="332"/>
      <c r="BG20" s="332"/>
      <c r="BH20" s="332"/>
      <c r="BI20" s="332"/>
      <c r="BJ20" s="332"/>
      <c r="BK20" s="332"/>
      <c r="BL20" s="332"/>
      <c r="BM20" s="332"/>
      <c r="BN20" s="332"/>
    </row>
    <row r="21" spans="1:66" ht="15.75" customHeight="1" x14ac:dyDescent="0.15">
      <c r="A21" s="773"/>
      <c r="B21" s="332"/>
      <c r="C21" s="332"/>
      <c r="D21" s="332"/>
      <c r="E21" s="332"/>
      <c r="F21" s="332" t="str">
        <f ca="1">IFERROR(__xludf.DUMMYFUNCTION("""COMPUTED_VALUE"""),"skinDecember")</f>
        <v>skinDecember</v>
      </c>
      <c r="G21" s="332" t="str">
        <f ca="1">IFERROR(__xludf.DUMMYFUNCTION("""COMPUTED_VALUE"""),"launcherSvengeance")</f>
        <v>launcherSvengeance</v>
      </c>
      <c r="H21" s="332"/>
      <c r="I21" s="22"/>
      <c r="J21" s="22"/>
      <c r="K21" s="22"/>
      <c r="L21" s="332"/>
      <c r="M21" s="332"/>
      <c r="N21" s="332"/>
      <c r="O21" s="332"/>
      <c r="P21" s="332"/>
      <c r="Q21" s="332"/>
      <c r="R21" s="332"/>
      <c r="S21" s="22"/>
      <c r="T21" s="305" t="s">
        <v>6585</v>
      </c>
      <c r="U21" s="305" t="s">
        <v>6586</v>
      </c>
      <c r="V21" s="305" t="s">
        <v>6587</v>
      </c>
      <c r="W21" s="22"/>
      <c r="X21" s="22"/>
      <c r="Y21" s="22"/>
      <c r="Z21" s="22"/>
      <c r="AA21" s="22"/>
      <c r="AB21" s="332"/>
      <c r="AC21" s="332"/>
      <c r="AD21" s="332"/>
      <c r="AE21" s="332"/>
      <c r="AF21" s="332"/>
      <c r="AG21" s="332" t="str">
        <f ca="1">IFERROR(__xludf.DUMMYFUNCTION("""COMPUTED_VALUE"""),"total_blocksPerm_season")</f>
        <v>total_blocksPerm_season</v>
      </c>
      <c r="AH21" s="332"/>
      <c r="AI21" s="332"/>
      <c r="AJ21" s="332"/>
      <c r="AK21" s="332"/>
      <c r="AL21" s="332"/>
      <c r="AM21" s="334"/>
      <c r="AN21" s="332"/>
      <c r="AO21" s="332"/>
      <c r="AP21" s="332"/>
      <c r="AQ21" s="332"/>
      <c r="AR21" s="332"/>
      <c r="AS21" s="332"/>
      <c r="AT21" s="332"/>
      <c r="AU21" s="332"/>
      <c r="AV21" s="332"/>
      <c r="AW21" s="332"/>
      <c r="AX21" s="332"/>
      <c r="AY21" s="332"/>
      <c r="AZ21" s="332"/>
      <c r="BA21" s="332"/>
      <c r="BB21" s="332"/>
      <c r="BC21" s="332"/>
      <c r="BD21" s="332"/>
      <c r="BE21" s="332"/>
      <c r="BF21" s="332"/>
      <c r="BG21" s="332"/>
      <c r="BH21" s="332"/>
      <c r="BI21" s="332"/>
      <c r="BJ21" s="332"/>
      <c r="BK21" s="332"/>
      <c r="BL21" s="332"/>
      <c r="BM21" s="332"/>
      <c r="BN21" s="332"/>
    </row>
    <row r="22" spans="1:66" ht="15.75" customHeight="1" x14ac:dyDescent="0.15">
      <c r="A22" s="773"/>
      <c r="B22" s="332"/>
      <c r="C22" s="332"/>
      <c r="D22" s="332"/>
      <c r="E22" s="332"/>
      <c r="F22" s="332" t="str">
        <f ca="1">IFERROR(__xludf.DUMMYFUNCTION("""COMPUTED_VALUE"""),"launcherGeneral")</f>
        <v>launcherGeneral</v>
      </c>
      <c r="G22" s="332" t="str">
        <f ca="1">IFERROR(__xludf.DUMMYFUNCTION("""COMPUTED_VALUE"""),"launcherBelle")</f>
        <v>launcherBelle</v>
      </c>
      <c r="H22" s="332"/>
      <c r="I22" s="22"/>
      <c r="J22" s="22"/>
      <c r="K22" s="22"/>
      <c r="L22" s="332"/>
      <c r="M22" s="332"/>
      <c r="N22" s="332"/>
      <c r="O22" s="332"/>
      <c r="P22" s="332"/>
      <c r="Q22" s="332"/>
      <c r="R22" s="332"/>
      <c r="S22" s="22"/>
      <c r="T22" s="305" t="s">
        <v>6588</v>
      </c>
      <c r="U22" s="305" t="s">
        <v>6589</v>
      </c>
      <c r="V22" s="305" t="s">
        <v>6590</v>
      </c>
      <c r="W22" s="22"/>
      <c r="X22" s="22"/>
      <c r="Y22" s="22"/>
      <c r="Z22" s="22"/>
      <c r="AA22" s="22"/>
      <c r="AB22" s="332"/>
      <c r="AC22" s="332"/>
      <c r="AD22" s="332"/>
      <c r="AE22" s="332"/>
      <c r="AF22" s="332"/>
      <c r="AG22" s="332" t="str">
        <f ca="1">IFERROR(__xludf.DUMMYFUNCTION("""COMPUTED_VALUE"""),"total_blocksTemp")</f>
        <v>total_blocksTemp</v>
      </c>
      <c r="AH22" s="332"/>
      <c r="AI22" s="332"/>
      <c r="AJ22" s="332"/>
      <c r="AK22" s="332"/>
      <c r="AL22" s="332"/>
      <c r="AM22" s="334"/>
      <c r="AN22" s="332"/>
      <c r="AO22" s="332"/>
      <c r="AP22" s="332"/>
      <c r="AQ22" s="332"/>
      <c r="AR22" s="332"/>
      <c r="AS22" s="332"/>
      <c r="AT22" s="332"/>
      <c r="AU22" s="332"/>
      <c r="AV22" s="332"/>
      <c r="AW22" s="332"/>
      <c r="AX22" s="332"/>
      <c r="AY22" s="332"/>
      <c r="AZ22" s="332"/>
      <c r="BA22" s="332"/>
      <c r="BB22" s="332"/>
      <c r="BC22" s="332"/>
      <c r="BD22" s="332"/>
      <c r="BE22" s="332"/>
      <c r="BF22" s="332"/>
      <c r="BG22" s="332"/>
      <c r="BH22" s="332"/>
      <c r="BI22" s="332"/>
      <c r="BJ22" s="332"/>
      <c r="BK22" s="332"/>
      <c r="BL22" s="332"/>
      <c r="BM22" s="332"/>
      <c r="BN22" s="332"/>
    </row>
    <row r="23" spans="1:66" ht="15.75" customHeight="1" x14ac:dyDescent="0.15">
      <c r="A23" s="773"/>
      <c r="B23" s="332"/>
      <c r="C23" s="332"/>
      <c r="D23" s="332"/>
      <c r="E23" s="332"/>
      <c r="F23" s="332" t="str">
        <f ca="1">IFERROR(__xludf.DUMMYFUNCTION("""COMPUTED_VALUE"""),"launcherFart")</f>
        <v>launcherFart</v>
      </c>
      <c r="G23" s="332" t="str">
        <f ca="1">IFERROR(__xludf.DUMMYFUNCTION("""COMPUTED_VALUE"""),"ultimateForce")</f>
        <v>ultimateForce</v>
      </c>
      <c r="H23" s="332"/>
      <c r="I23" s="22"/>
      <c r="J23" s="22"/>
      <c r="K23" s="22"/>
      <c r="L23" s="332"/>
      <c r="M23" s="332"/>
      <c r="N23" s="332"/>
      <c r="O23" s="332"/>
      <c r="P23" s="332"/>
      <c r="Q23" s="332"/>
      <c r="R23" s="332"/>
      <c r="S23" s="22"/>
      <c r="T23" s="305" t="s">
        <v>6591</v>
      </c>
      <c r="U23" s="305" t="s">
        <v>6592</v>
      </c>
      <c r="V23" s="305" t="s">
        <v>6593</v>
      </c>
      <c r="W23" s="22"/>
      <c r="X23" s="22"/>
      <c r="Y23" s="22"/>
      <c r="Z23" s="22"/>
      <c r="AA23" s="22"/>
      <c r="AB23" s="332"/>
      <c r="AC23" s="332"/>
      <c r="AD23" s="332"/>
      <c r="AE23" s="332"/>
      <c r="AF23" s="332"/>
      <c r="AG23" s="332" t="str">
        <f ca="1">IFERROR(__xludf.DUMMYFUNCTION("""COMPUTED_VALUE"""),"total_blocksTemp_day")</f>
        <v>total_blocksTemp_day</v>
      </c>
      <c r="AH23" s="332"/>
      <c r="AI23" s="332"/>
      <c r="AJ23" s="332"/>
      <c r="AK23" s="332"/>
      <c r="AL23" s="332"/>
      <c r="AM23" s="334"/>
      <c r="AN23" s="332"/>
      <c r="AO23" s="332"/>
      <c r="AP23" s="332"/>
      <c r="AQ23" s="332"/>
      <c r="AR23" s="332"/>
      <c r="AS23" s="332"/>
      <c r="AT23" s="332"/>
      <c r="AU23" s="332"/>
      <c r="AV23" s="332"/>
      <c r="AW23" s="332"/>
      <c r="AX23" s="332"/>
      <c r="AY23" s="332"/>
      <c r="AZ23" s="332"/>
      <c r="BA23" s="332"/>
      <c r="BB23" s="332"/>
      <c r="BC23" s="332"/>
      <c r="BD23" s="332"/>
      <c r="BE23" s="332"/>
      <c r="BF23" s="332"/>
      <c r="BG23" s="332"/>
      <c r="BH23" s="332"/>
      <c r="BI23" s="332"/>
      <c r="BJ23" s="332"/>
      <c r="BK23" s="332"/>
      <c r="BL23" s="332"/>
      <c r="BM23" s="332"/>
      <c r="BN23" s="332"/>
    </row>
    <row r="24" spans="1:66" ht="15.75" customHeight="1" x14ac:dyDescent="0.15">
      <c r="A24" s="773"/>
      <c r="B24" s="332"/>
      <c r="C24" s="332"/>
      <c r="D24" s="332"/>
      <c r="E24" s="332"/>
      <c r="F24" s="332" t="str">
        <f ca="1">IFERROR(__xludf.DUMMYFUNCTION("""COMPUTED_VALUE"""),"launcherPinball")</f>
        <v>launcherPinball</v>
      </c>
      <c r="G24" s="332" t="str">
        <f ca="1">IFERROR(__xludf.DUMMYFUNCTION("""COMPUTED_VALUE"""),"ultimateFire")</f>
        <v>ultimateFire</v>
      </c>
      <c r="H24" s="332"/>
      <c r="I24" s="332"/>
      <c r="J24" s="332"/>
      <c r="K24" s="332"/>
      <c r="L24" s="332"/>
      <c r="M24" s="332"/>
      <c r="N24" s="332"/>
      <c r="O24" s="332"/>
      <c r="P24" s="332"/>
      <c r="Q24" s="332"/>
      <c r="R24" s="332"/>
      <c r="S24" s="22"/>
      <c r="T24" s="305" t="s">
        <v>6594</v>
      </c>
      <c r="U24" s="305" t="s">
        <v>6595</v>
      </c>
      <c r="V24" s="305" t="s">
        <v>6596</v>
      </c>
      <c r="W24" s="22"/>
      <c r="X24" s="22"/>
      <c r="Y24" s="22"/>
      <c r="Z24" s="22"/>
      <c r="AA24" s="22"/>
      <c r="AC24" s="332"/>
      <c r="AD24" s="332"/>
      <c r="AE24" s="332"/>
      <c r="AF24" s="332"/>
      <c r="AG24" s="332" t="str">
        <f ca="1">IFERROR(__xludf.DUMMYFUNCTION("""COMPUTED_VALUE"""),"total_blocksTemp_month")</f>
        <v>total_blocksTemp_month</v>
      </c>
      <c r="AH24" s="332"/>
      <c r="AI24" s="332"/>
      <c r="AJ24" s="332"/>
      <c r="AK24" s="332"/>
      <c r="AL24" s="332"/>
      <c r="AM24" s="334"/>
      <c r="AN24" s="332"/>
      <c r="AO24" s="332"/>
      <c r="AP24" s="332"/>
      <c r="AQ24" s="332"/>
      <c r="AR24" s="332"/>
      <c r="AS24" s="332"/>
      <c r="AT24" s="332"/>
      <c r="AU24" s="332"/>
      <c r="AV24" s="332"/>
      <c r="AW24" s="332"/>
      <c r="AX24" s="332"/>
      <c r="AY24" s="332"/>
      <c r="AZ24" s="332"/>
      <c r="BA24" s="332"/>
      <c r="BB24" s="332"/>
      <c r="BC24" s="332"/>
      <c r="BD24" s="332"/>
      <c r="BE24" s="332"/>
      <c r="BF24" s="332"/>
      <c r="BG24" s="332"/>
      <c r="BH24" s="332"/>
      <c r="BI24" s="332"/>
      <c r="BJ24" s="332"/>
      <c r="BK24" s="332"/>
      <c r="BL24" s="332"/>
      <c r="BM24" s="332"/>
      <c r="BN24" s="332"/>
    </row>
    <row r="25" spans="1:66" ht="15.75" customHeight="1" x14ac:dyDescent="0.15">
      <c r="A25" s="773"/>
      <c r="B25" s="332"/>
      <c r="C25" s="332"/>
      <c r="D25" s="332"/>
      <c r="E25" s="332"/>
      <c r="F25" s="332" t="str">
        <f ca="1">IFERROR(__xludf.DUMMYFUNCTION("""COMPUTED_VALUE"""),"launcherStronghold")</f>
        <v>launcherStronghold</v>
      </c>
      <c r="G25" s="332" t="str">
        <f ca="1">IFERROR(__xludf.DUMMYFUNCTION("""COMPUTED_VALUE"""),"ultimateFreeze")</f>
        <v>ultimateFreeze</v>
      </c>
      <c r="H25" s="332"/>
      <c r="I25" s="332"/>
      <c r="J25" s="332"/>
      <c r="K25" s="332"/>
      <c r="L25" s="332"/>
      <c r="M25" s="332"/>
      <c r="N25" s="332"/>
      <c r="O25" s="332"/>
      <c r="P25" s="332"/>
      <c r="Q25" s="332"/>
      <c r="R25" s="332"/>
      <c r="S25" s="22"/>
      <c r="T25" s="305" t="s">
        <v>6597</v>
      </c>
      <c r="U25" s="305" t="s">
        <v>6598</v>
      </c>
      <c r="V25" s="305" t="s">
        <v>6599</v>
      </c>
      <c r="W25" s="22"/>
      <c r="X25" s="22"/>
      <c r="Y25" s="22"/>
      <c r="Z25" s="22"/>
      <c r="AA25" s="22"/>
      <c r="AC25" s="332"/>
      <c r="AD25" s="332"/>
      <c r="AE25" s="332"/>
      <c r="AF25" s="332"/>
      <c r="AG25" s="332" t="str">
        <f ca="1">IFERROR(__xludf.DUMMYFUNCTION("""COMPUTED_VALUE"""),"total_blocksTemp_season")</f>
        <v>total_blocksTemp_season</v>
      </c>
      <c r="AH25" s="332"/>
      <c r="AI25" s="332"/>
      <c r="AJ25" s="332"/>
      <c r="AK25" s="332"/>
      <c r="AL25" s="332"/>
      <c r="AM25" s="334"/>
      <c r="AN25" s="332"/>
      <c r="AO25" s="332"/>
      <c r="AP25" s="332"/>
      <c r="AQ25" s="332"/>
      <c r="AR25" s="332"/>
      <c r="AS25" s="332"/>
      <c r="AT25" s="332"/>
      <c r="AU25" s="332"/>
      <c r="AV25" s="332"/>
      <c r="AW25" s="332"/>
      <c r="AX25" s="332"/>
      <c r="AY25" s="332"/>
      <c r="AZ25" s="332"/>
      <c r="BA25" s="332"/>
      <c r="BB25" s="332"/>
      <c r="BC25" s="332"/>
      <c r="BD25" s="332"/>
      <c r="BE25" s="332"/>
      <c r="BF25" s="332"/>
      <c r="BG25" s="332"/>
      <c r="BH25" s="332"/>
      <c r="BI25" s="332"/>
      <c r="BJ25" s="332"/>
      <c r="BK25" s="332"/>
      <c r="BL25" s="332"/>
      <c r="BM25" s="332"/>
      <c r="BN25" s="332"/>
    </row>
    <row r="26" spans="1:66" ht="15.75" customHeight="1" x14ac:dyDescent="0.15">
      <c r="A26" s="773"/>
      <c r="B26" s="332"/>
      <c r="C26" s="332"/>
      <c r="D26" s="332"/>
      <c r="E26" s="332"/>
      <c r="F26" s="332" t="str">
        <f ca="1">IFERROR(__xludf.DUMMYFUNCTION("""COMPUTED_VALUE"""),"launcherNunchuck")</f>
        <v>launcherNunchuck</v>
      </c>
      <c r="G26" s="332" t="str">
        <f ca="1">IFERROR(__xludf.DUMMYFUNCTION("""COMPUTED_VALUE"""),"ultimateLightning")</f>
        <v>ultimateLightning</v>
      </c>
      <c r="H26" s="332"/>
      <c r="I26" s="332"/>
      <c r="J26" s="332"/>
      <c r="K26" s="332"/>
      <c r="L26" s="332"/>
      <c r="M26" s="332"/>
      <c r="N26" s="332"/>
      <c r="O26" s="332"/>
      <c r="P26" s="332"/>
      <c r="Q26" s="332"/>
      <c r="R26" s="332"/>
      <c r="S26" s="22"/>
      <c r="T26" s="305" t="s">
        <v>6600</v>
      </c>
      <c r="U26" s="305" t="s">
        <v>6601</v>
      </c>
      <c r="V26" s="305" t="s">
        <v>6602</v>
      </c>
      <c r="W26" s="22"/>
      <c r="X26" s="22"/>
      <c r="Y26" s="22"/>
      <c r="Z26" s="22"/>
      <c r="AA26" s="22"/>
      <c r="AC26" s="332"/>
      <c r="AD26" s="332"/>
      <c r="AE26" s="332"/>
      <c r="AF26" s="332"/>
      <c r="AG26" s="332" t="str">
        <f ca="1">IFERROR(__xludf.DUMMYFUNCTION("""COMPUTED_VALUE"""),"total_elementalFire")</f>
        <v>total_elementalFire</v>
      </c>
      <c r="AH26" s="332"/>
      <c r="AI26" s="332"/>
      <c r="AJ26" s="332"/>
      <c r="AK26" s="332"/>
      <c r="AL26" s="332"/>
      <c r="AM26" s="334"/>
      <c r="AN26" s="332"/>
      <c r="AO26" s="332"/>
      <c r="AP26" s="332"/>
      <c r="AQ26" s="332"/>
      <c r="AR26" s="332"/>
      <c r="AS26" s="332"/>
      <c r="AT26" s="332"/>
      <c r="AU26" s="332"/>
      <c r="AV26" s="332"/>
      <c r="AW26" s="332"/>
      <c r="AX26" s="332"/>
      <c r="AY26" s="332"/>
      <c r="AZ26" s="332"/>
      <c r="BA26" s="332"/>
      <c r="BB26" s="332"/>
      <c r="BC26" s="332"/>
      <c r="BD26" s="332"/>
      <c r="BE26" s="332"/>
      <c r="BF26" s="332"/>
      <c r="BG26" s="332"/>
      <c r="BH26" s="332"/>
      <c r="BI26" s="332"/>
      <c r="BJ26" s="332"/>
      <c r="BK26" s="332"/>
      <c r="BL26" s="332"/>
      <c r="BM26" s="332"/>
      <c r="BN26" s="332"/>
    </row>
    <row r="27" spans="1:66" ht="15.75" customHeight="1" x14ac:dyDescent="0.15">
      <c r="A27" s="773"/>
      <c r="B27" s="332"/>
      <c r="C27" s="332"/>
      <c r="D27" s="332"/>
      <c r="E27" s="332"/>
      <c r="F27" s="332" t="str">
        <f ca="1">IFERROR(__xludf.DUMMYFUNCTION("""COMPUTED_VALUE"""),"launcherJeanClawed")</f>
        <v>launcherJeanClawed</v>
      </c>
      <c r="G27" s="332" t="str">
        <f ca="1">IFERROR(__xludf.DUMMYFUNCTION("""COMPUTED_VALUE"""),"perkMultiLightning")</f>
        <v>perkMultiLightning</v>
      </c>
      <c r="H27" s="332"/>
      <c r="I27" s="332"/>
      <c r="J27" s="332"/>
      <c r="K27" s="332"/>
      <c r="L27" s="332"/>
      <c r="M27" s="332"/>
      <c r="N27" s="332"/>
      <c r="O27" s="332"/>
      <c r="P27" s="332"/>
      <c r="Q27" s="332"/>
      <c r="R27" s="332"/>
      <c r="S27" s="22"/>
      <c r="T27" s="305"/>
      <c r="U27" s="305" t="s">
        <v>6603</v>
      </c>
      <c r="V27" s="305" t="s">
        <v>6604</v>
      </c>
      <c r="W27" s="22"/>
      <c r="X27" s="22"/>
      <c r="Y27" s="22"/>
      <c r="Z27" s="22"/>
      <c r="AA27" s="22"/>
      <c r="AC27" s="332"/>
      <c r="AD27" s="332"/>
      <c r="AE27" s="332"/>
      <c r="AF27" s="332"/>
      <c r="AG27" s="332" t="str">
        <f ca="1">IFERROR(__xludf.DUMMYFUNCTION("""COMPUTED_VALUE"""),"total_elementalFire_day")</f>
        <v>total_elementalFire_day</v>
      </c>
      <c r="AH27" s="332"/>
      <c r="AI27" s="332"/>
      <c r="AJ27" s="332"/>
      <c r="AK27" s="332"/>
      <c r="AL27" s="332"/>
      <c r="AM27" s="334"/>
      <c r="AN27" s="332"/>
      <c r="AO27" s="332"/>
      <c r="AP27" s="332"/>
      <c r="AQ27" s="332"/>
      <c r="AR27" s="332"/>
      <c r="AS27" s="332"/>
      <c r="AT27" s="332"/>
      <c r="AU27" s="332"/>
      <c r="AV27" s="332"/>
      <c r="AW27" s="332"/>
      <c r="AX27" s="332"/>
      <c r="AY27" s="332"/>
      <c r="AZ27" s="332"/>
      <c r="BA27" s="332"/>
      <c r="BB27" s="332"/>
      <c r="BC27" s="332"/>
      <c r="BD27" s="332"/>
      <c r="BE27" s="332"/>
      <c r="BF27" s="332"/>
      <c r="BG27" s="332"/>
      <c r="BH27" s="332"/>
      <c r="BI27" s="332"/>
      <c r="BJ27" s="332"/>
      <c r="BK27" s="332"/>
      <c r="BL27" s="332"/>
      <c r="BM27" s="332"/>
      <c r="BN27" s="332"/>
    </row>
    <row r="28" spans="1:66" ht="15.75" customHeight="1" x14ac:dyDescent="0.15">
      <c r="A28" s="773"/>
      <c r="B28" s="332"/>
      <c r="C28" s="332"/>
      <c r="D28" s="332"/>
      <c r="E28" s="332"/>
      <c r="F28" s="332" t="str">
        <f ca="1">IFERROR(__xludf.DUMMYFUNCTION("""COMPUTED_VALUE"""),"launcherSvengeance")</f>
        <v>launcherSvengeance</v>
      </c>
      <c r="G28" s="332" t="str">
        <f ca="1">IFERROR(__xludf.DUMMYFUNCTION("""COMPUTED_VALUE"""),"perkMultiForce")</f>
        <v>perkMultiForce</v>
      </c>
      <c r="H28" s="332"/>
      <c r="I28" s="332"/>
      <c r="J28" s="332"/>
      <c r="K28" s="332"/>
      <c r="L28" s="332"/>
      <c r="M28" s="332"/>
      <c r="N28" s="332"/>
      <c r="O28" s="332"/>
      <c r="P28" s="332"/>
      <c r="Q28" s="332"/>
      <c r="R28" s="332"/>
      <c r="S28" s="22"/>
      <c r="T28" s="305"/>
      <c r="U28" s="305" t="s">
        <v>6605</v>
      </c>
      <c r="V28" s="305" t="s">
        <v>6606</v>
      </c>
      <c r="W28" s="22"/>
      <c r="X28" s="22"/>
      <c r="Y28" s="22"/>
      <c r="Z28" s="22"/>
      <c r="AA28" s="22"/>
      <c r="AC28" s="332"/>
      <c r="AD28" s="332"/>
      <c r="AE28" s="332"/>
      <c r="AF28" s="332"/>
      <c r="AG28" s="332" t="str">
        <f ca="1">IFERROR(__xludf.DUMMYFUNCTION("""COMPUTED_VALUE"""),"total_elementalFire_month")</f>
        <v>total_elementalFire_month</v>
      </c>
      <c r="AH28" s="332"/>
      <c r="AI28" s="332"/>
      <c r="AJ28" s="332"/>
      <c r="AK28" s="332"/>
      <c r="AL28" s="332"/>
      <c r="AM28" s="334"/>
      <c r="AN28" s="332"/>
      <c r="AO28" s="332"/>
      <c r="AP28" s="332"/>
      <c r="AQ28" s="332"/>
      <c r="AR28" s="332"/>
      <c r="AS28" s="332"/>
      <c r="AT28" s="332"/>
      <c r="AU28" s="332"/>
      <c r="AV28" s="332"/>
      <c r="AW28" s="332"/>
      <c r="AX28" s="332"/>
      <c r="AY28" s="332"/>
      <c r="AZ28" s="332"/>
      <c r="BA28" s="332"/>
      <c r="BB28" s="332"/>
      <c r="BC28" s="332"/>
      <c r="BD28" s="332"/>
      <c r="BE28" s="332"/>
      <c r="BF28" s="332"/>
      <c r="BG28" s="332"/>
      <c r="BH28" s="332"/>
      <c r="BI28" s="332"/>
      <c r="BJ28" s="332"/>
      <c r="BK28" s="332"/>
      <c r="BL28" s="332"/>
      <c r="BM28" s="332"/>
      <c r="BN28" s="332"/>
    </row>
    <row r="29" spans="1:66" ht="15.75" customHeight="1" x14ac:dyDescent="0.15">
      <c r="A29" s="773"/>
      <c r="B29" s="332"/>
      <c r="C29" s="332"/>
      <c r="D29" s="332"/>
      <c r="E29" s="332"/>
      <c r="F29" s="332" t="str">
        <f ca="1">IFERROR(__xludf.DUMMYFUNCTION("""COMPUTED_VALUE"""),"launcherBelle")</f>
        <v>launcherBelle</v>
      </c>
      <c r="G29" s="332" t="str">
        <f ca="1">IFERROR(__xludf.DUMMYFUNCTION("""COMPUTED_VALUE"""),"perkMultiFreeze")</f>
        <v>perkMultiFreeze</v>
      </c>
      <c r="H29" s="332"/>
      <c r="I29" s="332"/>
      <c r="J29" s="332"/>
      <c r="K29" s="332"/>
      <c r="L29" s="332"/>
      <c r="M29" s="332"/>
      <c r="N29" s="332"/>
      <c r="O29" s="332"/>
      <c r="P29" s="332"/>
      <c r="Q29" s="332"/>
      <c r="R29" s="332"/>
      <c r="S29" s="22"/>
      <c r="T29" s="305"/>
      <c r="U29" s="305" t="s">
        <v>6607</v>
      </c>
      <c r="V29" s="305" t="s">
        <v>6608</v>
      </c>
      <c r="W29" s="22"/>
      <c r="X29" s="22"/>
      <c r="Y29" s="22"/>
      <c r="Z29" s="22"/>
      <c r="AA29" s="22"/>
      <c r="AC29" s="332"/>
      <c r="AD29" s="332"/>
      <c r="AE29" s="332"/>
      <c r="AF29" s="332"/>
      <c r="AG29" s="332" t="str">
        <f ca="1">IFERROR(__xludf.DUMMYFUNCTION("""COMPUTED_VALUE"""),"total_elementalFire_season")</f>
        <v>total_elementalFire_season</v>
      </c>
      <c r="AH29" s="332"/>
      <c r="AI29" s="332"/>
      <c r="AJ29" s="332"/>
      <c r="AK29" s="332"/>
      <c r="AL29" s="332"/>
      <c r="AM29" s="334"/>
      <c r="AN29" s="332"/>
      <c r="AO29" s="332"/>
      <c r="AP29" s="332"/>
      <c r="AQ29" s="332"/>
      <c r="AR29" s="332"/>
      <c r="AS29" s="332"/>
      <c r="AT29" s="332"/>
      <c r="AU29" s="332"/>
      <c r="AV29" s="332"/>
      <c r="AW29" s="332"/>
      <c r="AX29" s="332"/>
      <c r="AY29" s="332"/>
      <c r="AZ29" s="332"/>
      <c r="BA29" s="332"/>
      <c r="BB29" s="332"/>
      <c r="BC29" s="332"/>
      <c r="BD29" s="332"/>
      <c r="BE29" s="332"/>
      <c r="BF29" s="332"/>
      <c r="BG29" s="332"/>
      <c r="BH29" s="332"/>
      <c r="BI29" s="332"/>
      <c r="BJ29" s="332"/>
      <c r="BK29" s="332"/>
      <c r="BL29" s="332"/>
      <c r="BM29" s="332"/>
      <c r="BN29" s="332"/>
    </row>
    <row r="30" spans="1:66" ht="15.75" customHeight="1" x14ac:dyDescent="0.15">
      <c r="A30" s="773"/>
      <c r="B30" s="332"/>
      <c r="C30" s="332"/>
      <c r="D30" s="332"/>
      <c r="E30" s="332"/>
      <c r="F30" s="332" t="str">
        <f ca="1">IFERROR(__xludf.DUMMYFUNCTION("""COMPUTED_VALUE"""),"ultimateGeneral")</f>
        <v>ultimateGeneral</v>
      </c>
      <c r="G30" s="332" t="str">
        <f ca="1">IFERROR(__xludf.DUMMYFUNCTION("""COMPUTED_VALUE"""),"perkMultiFire")</f>
        <v>perkMultiFire</v>
      </c>
      <c r="H30" s="332"/>
      <c r="I30" s="332"/>
      <c r="J30" s="332"/>
      <c r="K30" s="332"/>
      <c r="L30" s="332"/>
      <c r="M30" s="332"/>
      <c r="N30" s="332"/>
      <c r="O30" s="332"/>
      <c r="P30" s="332"/>
      <c r="Q30" s="332"/>
      <c r="R30" s="332"/>
      <c r="S30" s="22"/>
      <c r="T30" s="305"/>
      <c r="U30" s="305" t="s">
        <v>6609</v>
      </c>
      <c r="V30" s="305" t="s">
        <v>6610</v>
      </c>
      <c r="W30" s="22"/>
      <c r="X30" s="22"/>
      <c r="Y30" s="22"/>
      <c r="Z30" s="22"/>
      <c r="AA30" s="22"/>
      <c r="AC30" s="332"/>
      <c r="AD30" s="332"/>
      <c r="AE30" s="332"/>
      <c r="AF30" s="332"/>
      <c r="AG30" s="332" t="str">
        <f ca="1">IFERROR(__xludf.DUMMYFUNCTION("""COMPUTED_VALUE"""),"total_elementalForce")</f>
        <v>total_elementalForce</v>
      </c>
      <c r="AH30" s="332"/>
      <c r="AI30" s="332"/>
      <c r="AJ30" s="332"/>
      <c r="AK30" s="332"/>
      <c r="AL30" s="332"/>
      <c r="AM30" s="334"/>
      <c r="AN30" s="332"/>
      <c r="AO30" s="332"/>
      <c r="AP30" s="332"/>
      <c r="AQ30" s="332"/>
      <c r="AR30" s="332"/>
      <c r="AS30" s="332"/>
      <c r="AT30" s="332"/>
      <c r="AU30" s="332"/>
      <c r="AV30" s="332"/>
      <c r="AW30" s="332"/>
      <c r="AX30" s="332"/>
      <c r="AY30" s="332"/>
      <c r="AZ30" s="332"/>
      <c r="BA30" s="332"/>
      <c r="BB30" s="332"/>
      <c r="BC30" s="332"/>
      <c r="BD30" s="332"/>
      <c r="BE30" s="332"/>
      <c r="BF30" s="332"/>
      <c r="BG30" s="332"/>
      <c r="BH30" s="332"/>
      <c r="BI30" s="332"/>
      <c r="BJ30" s="332"/>
      <c r="BK30" s="332"/>
      <c r="BL30" s="332"/>
      <c r="BM30" s="332"/>
      <c r="BN30" s="332"/>
    </row>
    <row r="31" spans="1:66" ht="15.75" customHeight="1" x14ac:dyDescent="0.15">
      <c r="A31" s="773"/>
      <c r="B31" s="332"/>
      <c r="C31" s="332"/>
      <c r="D31" s="332"/>
      <c r="E31" s="332"/>
      <c r="F31" s="332" t="str">
        <f ca="1">IFERROR(__xludf.DUMMYFUNCTION("""COMPUTED_VALUE"""),"ultimateForce")</f>
        <v>ultimateForce</v>
      </c>
      <c r="G31" s="332" t="str">
        <f ca="1">IFERROR(__xludf.DUMMYFUNCTION("""COMPUTED_VALUE"""),"perkDamageForce")</f>
        <v>perkDamageForce</v>
      </c>
      <c r="H31" s="332"/>
      <c r="I31" s="332"/>
      <c r="J31" s="332"/>
      <c r="K31" s="332"/>
      <c r="L31" s="332"/>
      <c r="M31" s="332"/>
      <c r="N31" s="332"/>
      <c r="O31" s="332"/>
      <c r="P31" s="332"/>
      <c r="Q31" s="332"/>
      <c r="R31" s="332"/>
      <c r="S31" s="22"/>
      <c r="T31" s="305"/>
      <c r="U31" s="305" t="s">
        <v>6611</v>
      </c>
      <c r="V31" s="305" t="s">
        <v>6612</v>
      </c>
      <c r="W31" s="22"/>
      <c r="X31" s="22"/>
      <c r="Y31" s="22"/>
      <c r="Z31" s="22"/>
      <c r="AA31" s="22"/>
      <c r="AB31" s="332"/>
      <c r="AC31" s="332"/>
      <c r="AD31" s="332"/>
      <c r="AE31" s="332"/>
      <c r="AF31" s="332"/>
      <c r="AG31" s="332" t="str">
        <f ca="1">IFERROR(__xludf.DUMMYFUNCTION("""COMPUTED_VALUE"""),"total_elementalForce_day")</f>
        <v>total_elementalForce_day</v>
      </c>
      <c r="AH31" s="332"/>
      <c r="AI31" s="332"/>
      <c r="AJ31" s="332"/>
      <c r="AK31" s="332"/>
      <c r="AL31" s="332"/>
      <c r="AM31" s="334"/>
      <c r="AN31" s="332"/>
      <c r="AO31" s="332"/>
      <c r="AP31" s="332"/>
      <c r="AQ31" s="332"/>
      <c r="AR31" s="332"/>
      <c r="AS31" s="332"/>
      <c r="AT31" s="332"/>
      <c r="AU31" s="332"/>
      <c r="AV31" s="332"/>
      <c r="AW31" s="332"/>
      <c r="AX31" s="332"/>
      <c r="AY31" s="332"/>
      <c r="AZ31" s="332"/>
      <c r="BA31" s="332"/>
      <c r="BB31" s="332"/>
      <c r="BC31" s="332"/>
      <c r="BD31" s="332"/>
      <c r="BE31" s="332"/>
      <c r="BF31" s="332"/>
      <c r="BG31" s="332"/>
      <c r="BH31" s="332"/>
      <c r="BI31" s="332"/>
      <c r="BJ31" s="332"/>
      <c r="BK31" s="332"/>
      <c r="BL31" s="332"/>
      <c r="BM31" s="332"/>
      <c r="BN31" s="332"/>
    </row>
    <row r="32" spans="1:66" ht="15.75" customHeight="1" x14ac:dyDescent="0.15">
      <c r="A32" s="773"/>
      <c r="B32" s="332"/>
      <c r="C32" s="332"/>
      <c r="D32" s="332"/>
      <c r="E32" s="332"/>
      <c r="F32" s="332" t="str">
        <f ca="1">IFERROR(__xludf.DUMMYFUNCTION("""COMPUTED_VALUE"""),"ultimateFire")</f>
        <v>ultimateFire</v>
      </c>
      <c r="G32" s="332" t="str">
        <f ca="1">IFERROR(__xludf.DUMMYFUNCTION("""COMPUTED_VALUE"""),"perkDamageFire")</f>
        <v>perkDamageFire</v>
      </c>
      <c r="H32" s="332"/>
      <c r="I32" s="332"/>
      <c r="J32" s="332"/>
      <c r="K32" s="332"/>
      <c r="L32" s="332"/>
      <c r="M32" s="332"/>
      <c r="N32" s="332"/>
      <c r="O32" s="332"/>
      <c r="P32" s="332"/>
      <c r="Q32" s="332"/>
      <c r="R32" s="332"/>
      <c r="S32" s="22"/>
      <c r="T32" s="305"/>
      <c r="U32" s="305" t="s">
        <v>6613</v>
      </c>
      <c r="V32" s="305" t="s">
        <v>6614</v>
      </c>
      <c r="W32" s="22"/>
      <c r="X32" s="22"/>
      <c r="Y32" s="22"/>
      <c r="Z32" s="22"/>
      <c r="AA32" s="22"/>
      <c r="AB32" s="332"/>
      <c r="AC32" s="332"/>
      <c r="AD32" s="332"/>
      <c r="AE32" s="332"/>
      <c r="AF32" s="332"/>
      <c r="AG32" s="332" t="str">
        <f ca="1">IFERROR(__xludf.DUMMYFUNCTION("""COMPUTED_VALUE"""),"total_elementalForce_month")</f>
        <v>total_elementalForce_month</v>
      </c>
      <c r="AH32" s="332"/>
      <c r="AI32" s="332"/>
      <c r="AJ32" s="332"/>
      <c r="AK32" s="332"/>
      <c r="AL32" s="332"/>
      <c r="AM32" s="334"/>
      <c r="AN32" s="332"/>
      <c r="AO32" s="332"/>
      <c r="AP32" s="332"/>
      <c r="AQ32" s="332"/>
      <c r="AR32" s="332"/>
      <c r="AS32" s="332"/>
      <c r="AT32" s="332"/>
      <c r="AU32" s="332"/>
      <c r="AV32" s="332"/>
      <c r="AW32" s="332"/>
      <c r="AX32" s="332"/>
      <c r="AY32" s="332"/>
      <c r="AZ32" s="332"/>
      <c r="BA32" s="332"/>
      <c r="BB32" s="332"/>
      <c r="BC32" s="332"/>
      <c r="BD32" s="332"/>
      <c r="BE32" s="332"/>
      <c r="BF32" s="332"/>
      <c r="BG32" s="332"/>
      <c r="BH32" s="332"/>
      <c r="BI32" s="332"/>
      <c r="BJ32" s="332"/>
      <c r="BK32" s="332"/>
      <c r="BL32" s="332"/>
      <c r="BM32" s="332"/>
      <c r="BN32" s="332"/>
    </row>
    <row r="33" spans="1:66" ht="15.75" customHeight="1" x14ac:dyDescent="0.15">
      <c r="A33" s="773"/>
      <c r="B33" s="332"/>
      <c r="C33" s="332"/>
      <c r="D33" s="332"/>
      <c r="E33" s="332"/>
      <c r="F33" s="332" t="str">
        <f ca="1">IFERROR(__xludf.DUMMYFUNCTION("""COMPUTED_VALUE"""),"ultimateFreeze")</f>
        <v>ultimateFreeze</v>
      </c>
      <c r="G33" s="332" t="str">
        <f ca="1">IFERROR(__xludf.DUMMYFUNCTION("""COMPUTED_VALUE"""),"perkDamageFreeze")</f>
        <v>perkDamageFreeze</v>
      </c>
      <c r="H33" s="332"/>
      <c r="I33" s="332"/>
      <c r="J33" s="332"/>
      <c r="K33" s="332"/>
      <c r="L33" s="332"/>
      <c r="M33" s="332"/>
      <c r="N33" s="332"/>
      <c r="O33" s="332"/>
      <c r="P33" s="332"/>
      <c r="Q33" s="332"/>
      <c r="R33" s="332"/>
      <c r="S33" s="22"/>
      <c r="T33" s="305"/>
      <c r="U33" s="305" t="s">
        <v>6615</v>
      </c>
      <c r="V33" s="305" t="s">
        <v>6616</v>
      </c>
      <c r="W33" s="22"/>
      <c r="X33" s="22"/>
      <c r="Y33" s="22"/>
      <c r="Z33" s="22"/>
      <c r="AA33" s="22"/>
      <c r="AB33" s="332"/>
      <c r="AC33" s="332"/>
      <c r="AD33" s="332"/>
      <c r="AE33" s="332"/>
      <c r="AF33" s="332"/>
      <c r="AG33" s="332" t="str">
        <f ca="1">IFERROR(__xludf.DUMMYFUNCTION("""COMPUTED_VALUE"""),"total_elementalForce_season")</f>
        <v>total_elementalForce_season</v>
      </c>
      <c r="AH33" s="332"/>
      <c r="AI33" s="332"/>
      <c r="AJ33" s="332"/>
      <c r="AK33" s="332"/>
      <c r="AL33" s="332"/>
      <c r="AM33" s="334"/>
      <c r="AN33" s="332"/>
      <c r="AO33" s="332"/>
      <c r="AP33" s="332"/>
      <c r="AQ33" s="332"/>
      <c r="AR33" s="332"/>
      <c r="AS33" s="332"/>
      <c r="AT33" s="332"/>
      <c r="AU33" s="332"/>
      <c r="AV33" s="332"/>
      <c r="AW33" s="332"/>
      <c r="AX33" s="332"/>
      <c r="AY33" s="332"/>
      <c r="AZ33" s="332"/>
      <c r="BA33" s="332"/>
      <c r="BB33" s="332"/>
      <c r="BC33" s="332"/>
      <c r="BD33" s="332"/>
      <c r="BE33" s="332"/>
      <c r="BF33" s="332"/>
      <c r="BG33" s="332"/>
      <c r="BH33" s="332"/>
      <c r="BI33" s="332"/>
      <c r="BJ33" s="332"/>
      <c r="BK33" s="332"/>
      <c r="BL33" s="332"/>
      <c r="BM33" s="332"/>
      <c r="BN33" s="332"/>
    </row>
    <row r="34" spans="1:66" ht="15.75" customHeight="1" x14ac:dyDescent="0.15">
      <c r="A34" s="773"/>
      <c r="B34" s="332"/>
      <c r="C34" s="332"/>
      <c r="D34" s="332"/>
      <c r="E34" s="332"/>
      <c r="F34" s="332" t="str">
        <f ca="1">IFERROR(__xludf.DUMMYFUNCTION("""COMPUTED_VALUE"""),"ultimateLightning")</f>
        <v>ultimateLightning</v>
      </c>
      <c r="G34" s="332" t="str">
        <f ca="1">IFERROR(__xludf.DUMMYFUNCTION("""COMPUTED_VALUE"""),"perkDamageLightning")</f>
        <v>perkDamageLightning</v>
      </c>
      <c r="H34" s="332"/>
      <c r="I34" s="332"/>
      <c r="J34" s="332"/>
      <c r="K34" s="332"/>
      <c r="L34" s="332"/>
      <c r="M34" s="332"/>
      <c r="N34" s="332"/>
      <c r="O34" s="332"/>
      <c r="P34" s="332"/>
      <c r="Q34" s="332"/>
      <c r="R34" s="332"/>
      <c r="S34" s="22"/>
      <c r="T34" s="305"/>
      <c r="U34" s="305" t="s">
        <v>6617</v>
      </c>
      <c r="V34" s="305" t="s">
        <v>6618</v>
      </c>
      <c r="W34" s="22"/>
      <c r="X34" s="22"/>
      <c r="Y34" s="22"/>
      <c r="Z34" s="22"/>
      <c r="AA34" s="22"/>
      <c r="AB34" s="332"/>
      <c r="AC34" s="332"/>
      <c r="AD34" s="332"/>
      <c r="AE34" s="332"/>
      <c r="AF34" s="332"/>
      <c r="AG34" s="332" t="str">
        <f ca="1">IFERROR(__xludf.DUMMYFUNCTION("""COMPUTED_VALUE"""),"total_elementalFreeze")</f>
        <v>total_elementalFreeze</v>
      </c>
      <c r="AH34" s="332"/>
      <c r="AI34" s="332"/>
      <c r="AJ34" s="332"/>
      <c r="AK34" s="332"/>
      <c r="AL34" s="332"/>
      <c r="AM34" s="334"/>
      <c r="AN34" s="332"/>
      <c r="AO34" s="332"/>
      <c r="AP34" s="332"/>
      <c r="AQ34" s="332"/>
      <c r="AR34" s="332"/>
      <c r="AS34" s="332"/>
      <c r="AT34" s="332"/>
      <c r="AU34" s="332"/>
      <c r="AV34" s="332"/>
      <c r="AW34" s="332"/>
      <c r="AX34" s="332"/>
      <c r="AY34" s="332"/>
      <c r="AZ34" s="332"/>
      <c r="BA34" s="332"/>
      <c r="BB34" s="332"/>
      <c r="BC34" s="332"/>
      <c r="BD34" s="332"/>
      <c r="BE34" s="332"/>
      <c r="BF34" s="332"/>
      <c r="BG34" s="332"/>
      <c r="BH34" s="332"/>
      <c r="BI34" s="332"/>
      <c r="BJ34" s="332"/>
      <c r="BK34" s="332"/>
      <c r="BL34" s="332"/>
      <c r="BM34" s="332"/>
      <c r="BN34" s="332"/>
    </row>
    <row r="35" spans="1:66" ht="15.75" customHeight="1" x14ac:dyDescent="0.15">
      <c r="A35" s="773"/>
      <c r="B35" s="332"/>
      <c r="C35" s="332"/>
      <c r="D35" s="332"/>
      <c r="E35" s="332"/>
      <c r="F35" s="332" t="str">
        <f ca="1">IFERROR(__xludf.DUMMYFUNCTION("""COMPUTED_VALUE"""),"perkMultiLightning")</f>
        <v>perkMultiLightning</v>
      </c>
      <c r="G35" s="332" t="str">
        <f ca="1">IFERROR(__xludf.DUMMYFUNCTION("""COMPUTED_VALUE"""),"perkSpreadForce")</f>
        <v>perkSpreadForce</v>
      </c>
      <c r="H35" s="332"/>
      <c r="I35" s="332"/>
      <c r="J35" s="332"/>
      <c r="K35" s="332"/>
      <c r="L35" s="332"/>
      <c r="M35" s="332"/>
      <c r="N35" s="332"/>
      <c r="O35" s="332"/>
      <c r="P35" s="332"/>
      <c r="Q35" s="332"/>
      <c r="R35" s="332"/>
      <c r="S35" s="22"/>
      <c r="T35" s="305"/>
      <c r="U35" s="305" t="s">
        <v>6619</v>
      </c>
      <c r="V35" s="305" t="s">
        <v>6620</v>
      </c>
      <c r="W35" s="22"/>
      <c r="X35" s="22"/>
      <c r="Y35" s="22"/>
      <c r="Z35" s="22"/>
      <c r="AA35" s="22"/>
      <c r="AB35" s="332"/>
      <c r="AC35" s="332"/>
      <c r="AD35" s="332"/>
      <c r="AE35" s="332"/>
      <c r="AF35" s="332"/>
      <c r="AG35" s="332" t="str">
        <f ca="1">IFERROR(__xludf.DUMMYFUNCTION("""COMPUTED_VALUE"""),"total_elementalFreeze_day")</f>
        <v>total_elementalFreeze_day</v>
      </c>
      <c r="AH35" s="332"/>
      <c r="AI35" s="332"/>
      <c r="AJ35" s="332"/>
      <c r="AK35" s="332"/>
      <c r="AL35" s="332"/>
      <c r="AM35" s="334"/>
      <c r="AN35" s="332"/>
      <c r="AO35" s="332"/>
      <c r="AP35" s="332"/>
      <c r="AQ35" s="332"/>
      <c r="AR35" s="332"/>
      <c r="AS35" s="332"/>
      <c r="AT35" s="332"/>
      <c r="AU35" s="332"/>
      <c r="AV35" s="332"/>
      <c r="AW35" s="332"/>
      <c r="AX35" s="332"/>
      <c r="AY35" s="332"/>
      <c r="AZ35" s="332"/>
      <c r="BA35" s="332"/>
      <c r="BB35" s="332"/>
      <c r="BC35" s="332"/>
      <c r="BD35" s="332"/>
      <c r="BE35" s="332"/>
      <c r="BF35" s="332"/>
      <c r="BG35" s="332"/>
      <c r="BH35" s="332"/>
      <c r="BI35" s="332"/>
      <c r="BJ35" s="332"/>
      <c r="BK35" s="332"/>
      <c r="BL35" s="332"/>
      <c r="BM35" s="332"/>
      <c r="BN35" s="332"/>
    </row>
    <row r="36" spans="1:66" ht="15.75" customHeight="1" x14ac:dyDescent="0.15">
      <c r="A36" s="773"/>
      <c r="B36" s="332"/>
      <c r="C36" s="332"/>
      <c r="D36" s="332"/>
      <c r="E36" s="332"/>
      <c r="F36" s="332" t="str">
        <f ca="1">IFERROR(__xludf.DUMMYFUNCTION("""COMPUTED_VALUE"""),"perkMultiForce")</f>
        <v>perkMultiForce</v>
      </c>
      <c r="G36" s="332" t="str">
        <f ca="1">IFERROR(__xludf.DUMMYFUNCTION("""COMPUTED_VALUE"""),"perkSpreadFire")</f>
        <v>perkSpreadFire</v>
      </c>
      <c r="H36" s="332"/>
      <c r="I36" s="332"/>
      <c r="J36" s="332"/>
      <c r="K36" s="332"/>
      <c r="L36" s="332"/>
      <c r="M36" s="332"/>
      <c r="N36" s="332"/>
      <c r="O36" s="332"/>
      <c r="P36" s="332"/>
      <c r="Q36" s="332"/>
      <c r="R36" s="332"/>
      <c r="S36" s="22"/>
      <c r="T36" s="305"/>
      <c r="U36" s="305" t="s">
        <v>6621</v>
      </c>
      <c r="V36" s="305" t="s">
        <v>6622</v>
      </c>
      <c r="W36" s="22"/>
      <c r="X36" s="22"/>
      <c r="Y36" s="22"/>
      <c r="Z36" s="22"/>
      <c r="AA36" s="22"/>
      <c r="AB36" s="332"/>
      <c r="AC36" s="332"/>
      <c r="AD36" s="332"/>
      <c r="AE36" s="332"/>
      <c r="AF36" s="332"/>
      <c r="AG36" s="332" t="str">
        <f ca="1">IFERROR(__xludf.DUMMYFUNCTION("""COMPUTED_VALUE"""),"total_elementalFreeze_month")</f>
        <v>total_elementalFreeze_month</v>
      </c>
      <c r="AH36" s="332"/>
      <c r="AI36" s="332"/>
      <c r="AJ36" s="332"/>
      <c r="AK36" s="332"/>
      <c r="AL36" s="332"/>
      <c r="AM36" s="334"/>
      <c r="AN36" s="332"/>
      <c r="AO36" s="332"/>
      <c r="AP36" s="332"/>
      <c r="AQ36" s="332"/>
      <c r="AR36" s="332"/>
      <c r="AS36" s="332"/>
      <c r="AT36" s="332"/>
      <c r="AU36" s="332"/>
      <c r="AV36" s="332"/>
      <c r="AW36" s="332"/>
      <c r="AX36" s="332"/>
      <c r="AY36" s="332"/>
      <c r="AZ36" s="332"/>
      <c r="BA36" s="332"/>
      <c r="BB36" s="332"/>
      <c r="BC36" s="332"/>
      <c r="BD36" s="332"/>
      <c r="BE36" s="332"/>
      <c r="BF36" s="332"/>
      <c r="BG36" s="332"/>
      <c r="BH36" s="332"/>
      <c r="BI36" s="332"/>
      <c r="BJ36" s="332"/>
      <c r="BK36" s="332"/>
      <c r="BL36" s="332"/>
      <c r="BM36" s="332"/>
      <c r="BN36" s="332"/>
    </row>
    <row r="37" spans="1:66" ht="15.75" customHeight="1" x14ac:dyDescent="0.15">
      <c r="A37" s="773"/>
      <c r="B37" s="332"/>
      <c r="C37" s="332"/>
      <c r="D37" s="332"/>
      <c r="E37" s="332"/>
      <c r="F37" s="332" t="str">
        <f ca="1">IFERROR(__xludf.DUMMYFUNCTION("""COMPUTED_VALUE"""),"perkMultiFreeze")</f>
        <v>perkMultiFreeze</v>
      </c>
      <c r="G37" s="332" t="str">
        <f ca="1">IFERROR(__xludf.DUMMYFUNCTION("""COMPUTED_VALUE"""),"perkSpreadFreeze")</f>
        <v>perkSpreadFreeze</v>
      </c>
      <c r="H37" s="332"/>
      <c r="I37" s="332"/>
      <c r="J37" s="332"/>
      <c r="K37" s="332"/>
      <c r="L37" s="332"/>
      <c r="M37" s="332"/>
      <c r="N37" s="332"/>
      <c r="O37" s="332"/>
      <c r="P37" s="332"/>
      <c r="Q37" s="332"/>
      <c r="R37" s="332"/>
      <c r="S37" s="22"/>
      <c r="T37" s="305"/>
      <c r="U37" s="305" t="s">
        <v>6623</v>
      </c>
      <c r="V37" s="305" t="s">
        <v>6624</v>
      </c>
      <c r="W37" s="22"/>
      <c r="X37" s="22"/>
      <c r="Y37" s="22"/>
      <c r="Z37" s="22"/>
      <c r="AA37" s="22"/>
      <c r="AB37" s="332"/>
      <c r="AC37" s="332"/>
      <c r="AD37" s="332"/>
      <c r="AE37" s="332"/>
      <c r="AF37" s="332"/>
      <c r="AG37" s="332" t="str">
        <f ca="1">IFERROR(__xludf.DUMMYFUNCTION("""COMPUTED_VALUE"""),"total_elementalFreeze_season")</f>
        <v>total_elementalFreeze_season</v>
      </c>
      <c r="AH37" s="332"/>
      <c r="AI37" s="332"/>
      <c r="AJ37" s="332"/>
      <c r="AK37" s="332"/>
      <c r="AL37" s="332"/>
      <c r="AM37" s="334"/>
      <c r="AN37" s="332"/>
      <c r="AO37" s="332"/>
      <c r="AP37" s="332"/>
      <c r="AQ37" s="332"/>
      <c r="AR37" s="332"/>
      <c r="AS37" s="332"/>
      <c r="AT37" s="332"/>
      <c r="AU37" s="332"/>
      <c r="AV37" s="332"/>
      <c r="AW37" s="332"/>
      <c r="AX37" s="332"/>
      <c r="AY37" s="332"/>
      <c r="AZ37" s="332"/>
      <c r="BA37" s="332"/>
      <c r="BB37" s="332"/>
      <c r="BC37" s="332"/>
      <c r="BD37" s="332"/>
      <c r="BE37" s="332"/>
      <c r="BF37" s="332"/>
      <c r="BG37" s="332"/>
      <c r="BH37" s="332"/>
      <c r="BI37" s="332"/>
      <c r="BJ37" s="332"/>
      <c r="BK37" s="332"/>
      <c r="BL37" s="332"/>
      <c r="BM37" s="332"/>
      <c r="BN37" s="332"/>
    </row>
    <row r="38" spans="1:66" ht="15.75" customHeight="1" x14ac:dyDescent="0.15">
      <c r="A38" s="773"/>
      <c r="B38" s="332"/>
      <c r="C38" s="332"/>
      <c r="D38" s="332"/>
      <c r="E38" s="332"/>
      <c r="F38" s="332" t="str">
        <f ca="1">IFERROR(__xludf.DUMMYFUNCTION("""COMPUTED_VALUE"""),"perkMultiFire")</f>
        <v>perkMultiFire</v>
      </c>
      <c r="G38" s="332" t="str">
        <f ca="1">IFERROR(__xludf.DUMMYFUNCTION("""COMPUTED_VALUE"""),"perkSpreadLightning")</f>
        <v>perkSpreadLightning</v>
      </c>
      <c r="H38" s="332"/>
      <c r="I38" s="332"/>
      <c r="J38" s="332"/>
      <c r="K38" s="332"/>
      <c r="L38" s="332"/>
      <c r="M38" s="332"/>
      <c r="N38" s="332"/>
      <c r="O38" s="332"/>
      <c r="P38" s="332"/>
      <c r="Q38" s="332"/>
      <c r="R38" s="332"/>
      <c r="S38" s="22"/>
      <c r="T38" s="305"/>
      <c r="U38" s="305" t="s">
        <v>6625</v>
      </c>
      <c r="V38" s="305" t="s">
        <v>6626</v>
      </c>
      <c r="W38" s="22"/>
      <c r="X38" s="22"/>
      <c r="Y38" s="22"/>
      <c r="Z38" s="22"/>
      <c r="AA38" s="22"/>
      <c r="AB38" s="332"/>
      <c r="AC38" s="332"/>
      <c r="AD38" s="332"/>
      <c r="AE38" s="332"/>
      <c r="AF38" s="332"/>
      <c r="AG38" s="332" t="str">
        <f ca="1">IFERROR(__xludf.DUMMYFUNCTION("""COMPUTED_VALUE"""),"total_elementalLightning")</f>
        <v>total_elementalLightning</v>
      </c>
      <c r="AH38" s="332"/>
      <c r="AI38" s="332"/>
      <c r="AJ38" s="332"/>
      <c r="AK38" s="332"/>
      <c r="AL38" s="332"/>
      <c r="AM38" s="334"/>
      <c r="AN38" s="332"/>
      <c r="AO38" s="332"/>
      <c r="AP38" s="332"/>
      <c r="AQ38" s="332"/>
      <c r="AR38" s="332"/>
      <c r="AS38" s="332"/>
      <c r="AT38" s="332"/>
      <c r="AU38" s="332"/>
      <c r="AV38" s="332"/>
      <c r="AW38" s="332"/>
      <c r="AX38" s="332"/>
      <c r="AY38" s="332"/>
      <c r="AZ38" s="332"/>
      <c r="BA38" s="332"/>
      <c r="BB38" s="332"/>
      <c r="BC38" s="332"/>
      <c r="BD38" s="332"/>
      <c r="BE38" s="332"/>
      <c r="BF38" s="332"/>
      <c r="BG38" s="332"/>
      <c r="BH38" s="332"/>
      <c r="BI38" s="332"/>
      <c r="BJ38" s="332"/>
      <c r="BK38" s="332"/>
      <c r="BL38" s="332"/>
      <c r="BM38" s="332"/>
      <c r="BN38" s="332"/>
    </row>
    <row r="39" spans="1:66" ht="15.75" customHeight="1" x14ac:dyDescent="0.15">
      <c r="A39" s="773"/>
      <c r="B39" s="332"/>
      <c r="C39" s="332"/>
      <c r="D39" s="332"/>
      <c r="E39" s="332"/>
      <c r="F39" s="332" t="str">
        <f ca="1">IFERROR(__xludf.DUMMYFUNCTION("""COMPUTED_VALUE"""),"perkDamageForce")</f>
        <v>perkDamageForce</v>
      </c>
      <c r="G39" s="332" t="str">
        <f ca="1">IFERROR(__xludf.DUMMYFUNCTION("""COMPUTED_VALUE"""),"perkLauncherDamage")</f>
        <v>perkLauncherDamage</v>
      </c>
      <c r="H39" s="332"/>
      <c r="I39" s="332"/>
      <c r="J39" s="332"/>
      <c r="K39" s="332"/>
      <c r="L39" s="332"/>
      <c r="M39" s="332"/>
      <c r="N39" s="332"/>
      <c r="O39" s="332"/>
      <c r="P39" s="332"/>
      <c r="Q39" s="332"/>
      <c r="R39" s="332"/>
      <c r="S39" s="22"/>
      <c r="T39" s="305"/>
      <c r="U39" s="305" t="s">
        <v>6627</v>
      </c>
      <c r="V39" s="305" t="s">
        <v>6628</v>
      </c>
      <c r="W39" s="22"/>
      <c r="X39" s="22"/>
      <c r="Y39" s="22"/>
      <c r="Z39" s="22"/>
      <c r="AA39" s="22"/>
      <c r="AB39" s="332"/>
      <c r="AC39" s="332"/>
      <c r="AD39" s="332"/>
      <c r="AE39" s="332"/>
      <c r="AF39" s="332"/>
      <c r="AG39" s="332" t="str">
        <f ca="1">IFERROR(__xludf.DUMMYFUNCTION("""COMPUTED_VALUE"""),"total_elementalLightning_day")</f>
        <v>total_elementalLightning_day</v>
      </c>
      <c r="AH39" s="332"/>
      <c r="AI39" s="332"/>
      <c r="AJ39" s="332"/>
      <c r="AK39" s="332"/>
      <c r="AL39" s="332"/>
      <c r="AM39" s="334"/>
      <c r="AN39" s="332"/>
      <c r="AO39" s="332"/>
      <c r="AP39" s="332"/>
      <c r="AQ39" s="332"/>
      <c r="AR39" s="332"/>
      <c r="AS39" s="332"/>
      <c r="AT39" s="332"/>
      <c r="AU39" s="332"/>
      <c r="AV39" s="332"/>
      <c r="AW39" s="332"/>
      <c r="AX39" s="332"/>
      <c r="AY39" s="332"/>
      <c r="AZ39" s="332"/>
      <c r="BA39" s="332"/>
      <c r="BB39" s="332"/>
      <c r="BC39" s="332"/>
      <c r="BD39" s="332"/>
      <c r="BE39" s="332"/>
      <c r="BF39" s="332"/>
      <c r="BG39" s="332"/>
      <c r="BH39" s="332"/>
      <c r="BI39" s="332"/>
      <c r="BJ39" s="332"/>
      <c r="BK39" s="332"/>
      <c r="BL39" s="332"/>
      <c r="BM39" s="332"/>
      <c r="BN39" s="332"/>
    </row>
    <row r="40" spans="1:66" ht="15.75" customHeight="1" x14ac:dyDescent="0.15">
      <c r="A40" s="773"/>
      <c r="B40" s="332"/>
      <c r="C40" s="332"/>
      <c r="D40" s="332"/>
      <c r="E40" s="332"/>
      <c r="F40" s="332" t="str">
        <f ca="1">IFERROR(__xludf.DUMMYFUNCTION("""COMPUTED_VALUE"""),"perkDamageFire")</f>
        <v>perkDamageFire</v>
      </c>
      <c r="G40" s="332" t="str">
        <f ca="1">IFERROR(__xludf.DUMMYFUNCTION("""COMPUTED_VALUE"""),"perkLauncherAmmo")</f>
        <v>perkLauncherAmmo</v>
      </c>
      <c r="H40" s="332"/>
      <c r="I40" s="332"/>
      <c r="J40" s="332"/>
      <c r="K40" s="332"/>
      <c r="L40" s="332"/>
      <c r="M40" s="332"/>
      <c r="N40" s="332"/>
      <c r="O40" s="332"/>
      <c r="P40" s="332"/>
      <c r="Q40" s="332"/>
      <c r="R40" s="332"/>
      <c r="S40" s="22"/>
      <c r="T40" s="305"/>
      <c r="U40" s="305" t="s">
        <v>6629</v>
      </c>
      <c r="V40" s="305" t="s">
        <v>6630</v>
      </c>
      <c r="W40" s="22"/>
      <c r="X40" s="22"/>
      <c r="Y40" s="22"/>
      <c r="Z40" s="22"/>
      <c r="AA40" s="22"/>
      <c r="AB40" s="332"/>
      <c r="AC40" s="332"/>
      <c r="AD40" s="332"/>
      <c r="AE40" s="332"/>
      <c r="AF40" s="332"/>
      <c r="AG40" s="332" t="str">
        <f ca="1">IFERROR(__xludf.DUMMYFUNCTION("""COMPUTED_VALUE"""),"total_elementalLightning_month")</f>
        <v>total_elementalLightning_month</v>
      </c>
      <c r="AH40" s="332"/>
      <c r="AI40" s="332"/>
      <c r="AJ40" s="332"/>
      <c r="AK40" s="332"/>
      <c r="AL40" s="332"/>
      <c r="AM40" s="334"/>
      <c r="AN40" s="332"/>
      <c r="AO40" s="332"/>
      <c r="AP40" s="332"/>
      <c r="AQ40" s="332"/>
      <c r="AR40" s="332"/>
      <c r="AS40" s="332"/>
      <c r="AT40" s="332"/>
      <c r="AU40" s="332"/>
      <c r="AV40" s="332"/>
      <c r="AW40" s="332"/>
      <c r="AX40" s="332"/>
      <c r="AY40" s="332"/>
      <c r="AZ40" s="332"/>
      <c r="BA40" s="332"/>
      <c r="BB40" s="332"/>
      <c r="BC40" s="332"/>
      <c r="BD40" s="332"/>
      <c r="BE40" s="332"/>
      <c r="BF40" s="332"/>
      <c r="BG40" s="332"/>
      <c r="BH40" s="332"/>
      <c r="BI40" s="332"/>
      <c r="BJ40" s="332"/>
      <c r="BK40" s="332"/>
      <c r="BL40" s="332"/>
      <c r="BM40" s="332"/>
      <c r="BN40" s="332"/>
    </row>
    <row r="41" spans="1:66" ht="15.75" customHeight="1" x14ac:dyDescent="0.15">
      <c r="A41" s="773"/>
      <c r="B41" s="332"/>
      <c r="C41" s="332"/>
      <c r="D41" s="332"/>
      <c r="E41" s="332"/>
      <c r="F41" s="332" t="str">
        <f ca="1">IFERROR(__xludf.DUMMYFUNCTION("""COMPUTED_VALUE"""),"perkDamageFreeze")</f>
        <v>perkDamageFreeze</v>
      </c>
      <c r="G41" s="332" t="str">
        <f ca="1">IFERROR(__xludf.DUMMYFUNCTION("""COMPUTED_VALUE"""),"perkUltimateAmmo")</f>
        <v>perkUltimateAmmo</v>
      </c>
      <c r="H41" s="332"/>
      <c r="I41" s="332"/>
      <c r="J41" s="332"/>
      <c r="K41" s="332"/>
      <c r="L41" s="332"/>
      <c r="M41" s="332"/>
      <c r="N41" s="332"/>
      <c r="O41" s="332"/>
      <c r="P41" s="332"/>
      <c r="Q41" s="332"/>
      <c r="R41" s="332"/>
      <c r="S41" s="22"/>
      <c r="T41" s="305"/>
      <c r="U41" s="305" t="s">
        <v>6631</v>
      </c>
      <c r="V41" s="305" t="s">
        <v>6632</v>
      </c>
      <c r="W41" s="22"/>
      <c r="X41" s="22"/>
      <c r="Y41" s="22"/>
      <c r="Z41" s="22"/>
      <c r="AA41" s="22"/>
      <c r="AB41" s="332"/>
      <c r="AC41" s="332"/>
      <c r="AD41" s="332"/>
      <c r="AE41" s="332"/>
      <c r="AF41" s="332"/>
      <c r="AG41" s="332" t="str">
        <f ca="1">IFERROR(__xludf.DUMMYFUNCTION("""COMPUTED_VALUE"""),"total_elementalLightning_season")</f>
        <v>total_elementalLightning_season</v>
      </c>
      <c r="AH41" s="332"/>
      <c r="AI41" s="332"/>
      <c r="AJ41" s="332"/>
      <c r="AK41" s="332"/>
      <c r="AL41" s="332"/>
      <c r="AM41" s="334"/>
      <c r="AN41" s="332"/>
      <c r="AO41" s="332"/>
      <c r="AP41" s="332"/>
      <c r="AQ41" s="332"/>
      <c r="AR41" s="332"/>
      <c r="AS41" s="332"/>
      <c r="AT41" s="332"/>
      <c r="AU41" s="332"/>
      <c r="AV41" s="332"/>
      <c r="AW41" s="332"/>
      <c r="AX41" s="332"/>
      <c r="AY41" s="332"/>
      <c r="AZ41" s="332"/>
      <c r="BA41" s="332"/>
      <c r="BB41" s="332"/>
      <c r="BC41" s="332"/>
      <c r="BD41" s="332"/>
      <c r="BE41" s="332"/>
      <c r="BF41" s="332"/>
      <c r="BG41" s="332"/>
      <c r="BH41" s="332"/>
      <c r="BI41" s="332"/>
      <c r="BJ41" s="332"/>
      <c r="BK41" s="332"/>
      <c r="BL41" s="332"/>
      <c r="BM41" s="332"/>
      <c r="BN41" s="332"/>
    </row>
    <row r="42" spans="1:66" ht="15.75" customHeight="1" x14ac:dyDescent="0.15">
      <c r="A42" s="773"/>
      <c r="B42" s="332"/>
      <c r="C42" s="332"/>
      <c r="D42" s="332"/>
      <c r="E42" s="332"/>
      <c r="F42" s="332" t="str">
        <f ca="1">IFERROR(__xludf.DUMMYFUNCTION("""COMPUTED_VALUE"""),"perkDamageLightning")</f>
        <v>perkDamageLightning</v>
      </c>
      <c r="G42" s="332" t="str">
        <f ca="1">IFERROR(__xludf.DUMMYFUNCTION("""COMPUTED_VALUE"""),"perkUltimateCharger")</f>
        <v>perkUltimateCharger</v>
      </c>
      <c r="H42" s="332"/>
      <c r="I42" s="332"/>
      <c r="J42" s="332"/>
      <c r="K42" s="332"/>
      <c r="L42" s="332"/>
      <c r="M42" s="332"/>
      <c r="N42" s="332"/>
      <c r="O42" s="332"/>
      <c r="P42" s="332"/>
      <c r="Q42" s="332"/>
      <c r="R42" s="332"/>
      <c r="S42" s="22"/>
      <c r="T42" s="305"/>
      <c r="U42" s="305" t="s">
        <v>6633</v>
      </c>
      <c r="V42" s="305" t="s">
        <v>6634</v>
      </c>
      <c r="W42" s="22"/>
      <c r="X42" s="22"/>
      <c r="Y42" s="22"/>
      <c r="Z42" s="22"/>
      <c r="AA42" s="22"/>
      <c r="AB42" s="332"/>
      <c r="AC42" s="332"/>
      <c r="AD42" s="332"/>
      <c r="AE42" s="332"/>
      <c r="AF42" s="332"/>
      <c r="AG42" s="332"/>
      <c r="AH42" s="332"/>
      <c r="AI42" s="332"/>
      <c r="AJ42" s="332"/>
      <c r="AK42" s="332"/>
      <c r="AL42" s="332"/>
      <c r="AM42" s="334"/>
      <c r="AN42" s="332"/>
      <c r="AO42" s="332"/>
      <c r="AP42" s="332"/>
      <c r="AQ42" s="332"/>
      <c r="AR42" s="332"/>
      <c r="AS42" s="332"/>
      <c r="AT42" s="332"/>
      <c r="AU42" s="332"/>
      <c r="AV42" s="332"/>
      <c r="AW42" s="332"/>
      <c r="AX42" s="332"/>
      <c r="AY42" s="332"/>
      <c r="AZ42" s="332"/>
      <c r="BA42" s="332"/>
      <c r="BB42" s="332"/>
      <c r="BC42" s="332"/>
      <c r="BD42" s="332"/>
      <c r="BE42" s="332"/>
      <c r="BF42" s="332"/>
      <c r="BG42" s="332"/>
      <c r="BH42" s="332"/>
      <c r="BI42" s="332"/>
      <c r="BJ42" s="332"/>
      <c r="BK42" s="332"/>
      <c r="BL42" s="332"/>
      <c r="BM42" s="332"/>
      <c r="BN42" s="332"/>
    </row>
    <row r="43" spans="1:66" ht="15.75" customHeight="1" x14ac:dyDescent="0.15">
      <c r="A43" s="773"/>
      <c r="B43" s="332"/>
      <c r="C43" s="332"/>
      <c r="D43" s="332"/>
      <c r="E43" s="332"/>
      <c r="F43" s="332" t="str">
        <f ca="1">IFERROR(__xludf.DUMMYFUNCTION("""COMPUTED_VALUE"""),"perkSpreadForce")</f>
        <v>perkSpreadForce</v>
      </c>
      <c r="G43" s="332" t="str">
        <f ca="1">IFERROR(__xludf.DUMMYFUNCTION("""COMPUTED_VALUE"""),"achievementPlaySyncBlaster")</f>
        <v>achievementPlaySyncBlaster</v>
      </c>
      <c r="H43" s="332"/>
      <c r="I43" s="332"/>
      <c r="J43" s="332"/>
      <c r="K43" s="332"/>
      <c r="L43" s="332"/>
      <c r="M43" s="332"/>
      <c r="N43" s="332"/>
      <c r="O43" s="332"/>
      <c r="P43" s="332"/>
      <c r="Q43" s="332"/>
      <c r="R43" s="332"/>
      <c r="S43" s="22"/>
      <c r="T43" s="305"/>
      <c r="U43" s="305" t="s">
        <v>6635</v>
      </c>
      <c r="V43" s="305" t="s">
        <v>6636</v>
      </c>
      <c r="W43" s="22"/>
      <c r="X43" s="22"/>
      <c r="Y43" s="22"/>
      <c r="Z43" s="22"/>
      <c r="AA43" s="22"/>
      <c r="AB43" s="332"/>
      <c r="AC43" s="332"/>
      <c r="AD43" s="332"/>
      <c r="AE43" s="332"/>
      <c r="AF43" s="332"/>
      <c r="AG43" s="332"/>
      <c r="AH43" s="332"/>
      <c r="AI43" s="332"/>
      <c r="AJ43" s="332"/>
      <c r="AK43" s="332"/>
      <c r="AL43" s="332"/>
      <c r="AM43" s="334"/>
      <c r="AN43" s="332"/>
      <c r="AO43" s="332"/>
      <c r="AP43" s="332"/>
      <c r="AQ43" s="332"/>
      <c r="AR43" s="332"/>
      <c r="AS43" s="332"/>
      <c r="AT43" s="332"/>
      <c r="AU43" s="332"/>
      <c r="AV43" s="332"/>
      <c r="AW43" s="332"/>
      <c r="AX43" s="332"/>
      <c r="AY43" s="332"/>
      <c r="AZ43" s="332"/>
      <c r="BA43" s="332"/>
      <c r="BB43" s="332"/>
      <c r="BC43" s="332"/>
      <c r="BD43" s="332"/>
      <c r="BE43" s="332"/>
      <c r="BF43" s="332"/>
      <c r="BG43" s="332"/>
      <c r="BH43" s="332"/>
      <c r="BI43" s="332"/>
      <c r="BJ43" s="332"/>
      <c r="BK43" s="332"/>
      <c r="BL43" s="332"/>
      <c r="BM43" s="332"/>
      <c r="BN43" s="332"/>
    </row>
    <row r="44" spans="1:66" ht="15.75" customHeight="1" x14ac:dyDescent="0.15">
      <c r="A44" s="773"/>
      <c r="B44" s="332"/>
      <c r="C44" s="332"/>
      <c r="D44" s="332"/>
      <c r="E44" s="332"/>
      <c r="F44" s="332" t="str">
        <f ca="1">IFERROR(__xludf.DUMMYFUNCTION("""COMPUTED_VALUE"""),"perkSpreadFire")</f>
        <v>perkSpreadFire</v>
      </c>
      <c r="G44" s="332" t="str">
        <f ca="1">IFERROR(__xludf.DUMMYFUNCTION("""COMPUTED_VALUE"""),"achievementMissionVector")</f>
        <v>achievementMissionVector</v>
      </c>
      <c r="H44" s="332"/>
      <c r="I44" s="332"/>
      <c r="J44" s="332"/>
      <c r="K44" s="332"/>
      <c r="L44" s="332"/>
      <c r="M44" s="332"/>
      <c r="N44" s="332"/>
      <c r="O44" s="332"/>
      <c r="P44" s="332"/>
      <c r="Q44" s="332"/>
      <c r="R44" s="332"/>
      <c r="S44" s="22"/>
      <c r="T44" s="305"/>
      <c r="U44" s="305" t="s">
        <v>6637</v>
      </c>
      <c r="V44" s="305" t="s">
        <v>6638</v>
      </c>
      <c r="W44" s="22"/>
      <c r="X44" s="22"/>
      <c r="Y44" s="22"/>
      <c r="Z44" s="22"/>
      <c r="AA44" s="22"/>
      <c r="AB44" s="332"/>
      <c r="AC44" s="332"/>
      <c r="AD44" s="332"/>
      <c r="AE44" s="332"/>
      <c r="AF44" s="332"/>
      <c r="AG44" s="332"/>
      <c r="AH44" s="332"/>
      <c r="AI44" s="332"/>
      <c r="AJ44" s="332"/>
      <c r="AK44" s="332"/>
      <c r="AL44" s="332"/>
      <c r="AM44" s="334"/>
      <c r="AN44" s="332"/>
      <c r="AO44" s="332"/>
      <c r="AP44" s="332"/>
      <c r="AQ44" s="332"/>
      <c r="AR44" s="332"/>
      <c r="AS44" s="332"/>
      <c r="AT44" s="332"/>
      <c r="AU44" s="332"/>
      <c r="AV44" s="332"/>
      <c r="AW44" s="332"/>
      <c r="AX44" s="332"/>
      <c r="AY44" s="332"/>
      <c r="AZ44" s="332"/>
      <c r="BA44" s="332"/>
      <c r="BB44" s="332"/>
      <c r="BC44" s="332"/>
      <c r="BD44" s="332"/>
      <c r="BE44" s="332"/>
      <c r="BF44" s="332"/>
      <c r="BG44" s="332"/>
      <c r="BH44" s="332"/>
      <c r="BI44" s="332"/>
      <c r="BJ44" s="332"/>
      <c r="BK44" s="332"/>
      <c r="BL44" s="332"/>
      <c r="BM44" s="332"/>
      <c r="BN44" s="332"/>
    </row>
    <row r="45" spans="1:66" ht="15.75" customHeight="1" x14ac:dyDescent="0.15">
      <c r="A45" s="773"/>
      <c r="B45" s="332"/>
      <c r="C45" s="332"/>
      <c r="D45" s="332"/>
      <c r="E45" s="332"/>
      <c r="F45" s="332" t="str">
        <f ca="1">IFERROR(__xludf.DUMMYFUNCTION("""COMPUTED_VALUE"""),"perkSpreadFreeze")</f>
        <v>perkSpreadFreeze</v>
      </c>
      <c r="G45" s="332" t="str">
        <f ca="1">IFERROR(__xludf.DUMMYFUNCTION("""COMPUTED_VALUE"""),"actionMissionScarletUnlock")</f>
        <v>actionMissionScarletUnlock</v>
      </c>
      <c r="H45" s="332"/>
      <c r="I45" s="332"/>
      <c r="J45" s="332"/>
      <c r="K45" s="332"/>
      <c r="L45" s="332"/>
      <c r="M45" s="332"/>
      <c r="N45" s="332"/>
      <c r="O45" s="332"/>
      <c r="P45" s="332"/>
      <c r="Q45" s="332"/>
      <c r="R45" s="332"/>
      <c r="S45" s="22"/>
      <c r="T45" s="305"/>
      <c r="U45" s="305" t="s">
        <v>6639</v>
      </c>
      <c r="V45" s="305" t="s">
        <v>6640</v>
      </c>
      <c r="W45" s="22"/>
      <c r="X45" s="22"/>
      <c r="Y45" s="22"/>
      <c r="Z45" s="22"/>
      <c r="AA45" s="22"/>
      <c r="AB45" s="332"/>
      <c r="AC45" s="332"/>
      <c r="AD45" s="332"/>
      <c r="AE45" s="332"/>
      <c r="AF45" s="332"/>
      <c r="AG45" s="332"/>
      <c r="AH45" s="332"/>
      <c r="AI45" s="332"/>
      <c r="AJ45" s="332"/>
      <c r="AK45" s="332"/>
      <c r="AL45" s="332"/>
      <c r="AM45" s="334"/>
      <c r="AN45" s="332"/>
      <c r="AO45" s="332"/>
      <c r="AP45" s="332"/>
      <c r="AQ45" s="332"/>
      <c r="AR45" s="332"/>
      <c r="AS45" s="332"/>
      <c r="AT45" s="332"/>
      <c r="AU45" s="332"/>
      <c r="AV45" s="332"/>
      <c r="AW45" s="332"/>
      <c r="AX45" s="332"/>
      <c r="AY45" s="332"/>
      <c r="AZ45" s="332"/>
      <c r="BA45" s="332"/>
      <c r="BB45" s="332"/>
      <c r="BC45" s="332"/>
      <c r="BD45" s="332"/>
      <c r="BE45" s="332"/>
      <c r="BF45" s="332"/>
      <c r="BG45" s="332"/>
      <c r="BH45" s="332"/>
      <c r="BI45" s="332"/>
      <c r="BJ45" s="332"/>
      <c r="BK45" s="332"/>
      <c r="BL45" s="332"/>
      <c r="BM45" s="332"/>
      <c r="BN45" s="332"/>
    </row>
    <row r="46" spans="1:66" ht="15.75" customHeight="1" x14ac:dyDescent="0.15">
      <c r="A46" s="773"/>
      <c r="B46" s="332"/>
      <c r="C46" s="332"/>
      <c r="D46" s="332"/>
      <c r="E46" s="332"/>
      <c r="F46" s="332" t="str">
        <f ca="1">IFERROR(__xludf.DUMMYFUNCTION("""COMPUTED_VALUE"""),"perkSpreadLightning")</f>
        <v>perkSpreadLightning</v>
      </c>
      <c r="G46" s="332" t="str">
        <f ca="1">IFERROR(__xludf.DUMMYFUNCTION("""COMPUTED_VALUE"""),"missionScarlet")</f>
        <v>missionScarlet</v>
      </c>
      <c r="H46" s="332"/>
      <c r="I46" s="332"/>
      <c r="J46" s="332"/>
      <c r="K46" s="332"/>
      <c r="L46" s="332"/>
      <c r="M46" s="332"/>
      <c r="N46" s="332"/>
      <c r="O46" s="332"/>
      <c r="P46" s="332"/>
      <c r="Q46" s="332"/>
      <c r="R46" s="332"/>
      <c r="S46" s="22"/>
      <c r="T46" s="305"/>
      <c r="U46" s="305" t="s">
        <v>6641</v>
      </c>
      <c r="V46" s="305" t="s">
        <v>6642</v>
      </c>
      <c r="W46" s="22"/>
      <c r="X46" s="22"/>
      <c r="Y46" s="22"/>
      <c r="Z46" s="22"/>
      <c r="AA46" s="22"/>
      <c r="AB46" s="332"/>
      <c r="AC46" s="332"/>
      <c r="AD46" s="332"/>
      <c r="AE46" s="332"/>
      <c r="AF46" s="332"/>
      <c r="AG46" s="332"/>
      <c r="AH46" s="332"/>
      <c r="AI46" s="332"/>
      <c r="AJ46" s="332"/>
      <c r="AK46" s="332"/>
      <c r="AL46" s="332"/>
      <c r="AM46" s="334"/>
      <c r="AN46" s="332"/>
      <c r="AO46" s="332"/>
      <c r="AP46" s="332"/>
      <c r="AQ46" s="332"/>
      <c r="AR46" s="332"/>
      <c r="AS46" s="332"/>
      <c r="AT46" s="332"/>
      <c r="AU46" s="332"/>
      <c r="AV46" s="332"/>
      <c r="AW46" s="332"/>
      <c r="AX46" s="332"/>
      <c r="AY46" s="332"/>
      <c r="AZ46" s="332"/>
      <c r="BA46" s="332"/>
      <c r="BB46" s="332"/>
      <c r="BC46" s="332"/>
      <c r="BD46" s="332"/>
      <c r="BE46" s="332"/>
      <c r="BF46" s="332"/>
      <c r="BG46" s="332"/>
      <c r="BH46" s="332"/>
      <c r="BI46" s="332"/>
      <c r="BJ46" s="332"/>
      <c r="BK46" s="332"/>
      <c r="BL46" s="332"/>
      <c r="BM46" s="332"/>
      <c r="BN46" s="332"/>
    </row>
    <row r="47" spans="1:66" ht="15.75" customHeight="1" x14ac:dyDescent="0.15">
      <c r="A47" s="773"/>
      <c r="B47" s="332"/>
      <c r="C47" s="332"/>
      <c r="D47" s="332"/>
      <c r="E47" s="332"/>
      <c r="F47" s="332" t="str">
        <f ca="1">IFERROR(__xludf.DUMMYFUNCTION("""COMPUTED_VALUE"""),"perkLauncherDamage")</f>
        <v>perkLauncherDamage</v>
      </c>
      <c r="G47" s="332" t="str">
        <f ca="1">IFERROR(__xludf.DUMMYFUNCTION("""COMPUTED_VALUE"""),"achievementMissionScarlet")</f>
        <v>achievementMissionScarlet</v>
      </c>
      <c r="H47" s="332"/>
      <c r="I47" s="332"/>
      <c r="J47" s="332"/>
      <c r="K47" s="332"/>
      <c r="L47" s="332"/>
      <c r="M47" s="332"/>
      <c r="N47" s="332"/>
      <c r="O47" s="332"/>
      <c r="P47" s="332"/>
      <c r="Q47" s="332"/>
      <c r="R47" s="332"/>
      <c r="S47" s="22"/>
      <c r="T47" s="305"/>
      <c r="U47" s="305" t="s">
        <v>6643</v>
      </c>
      <c r="V47" s="305" t="s">
        <v>6644</v>
      </c>
      <c r="W47" s="22"/>
      <c r="X47" s="22"/>
      <c r="Y47" s="22"/>
      <c r="Z47" s="22"/>
      <c r="AA47" s="22"/>
      <c r="AB47" s="332"/>
      <c r="AC47" s="332"/>
      <c r="AD47" s="332"/>
      <c r="AE47" s="332"/>
      <c r="AF47" s="332"/>
      <c r="AG47" s="332"/>
      <c r="AH47" s="332"/>
      <c r="AI47" s="332"/>
      <c r="AJ47" s="332"/>
      <c r="AK47" s="332"/>
      <c r="AL47" s="332"/>
      <c r="AM47" s="334"/>
      <c r="AN47" s="332"/>
      <c r="AO47" s="332"/>
      <c r="AP47" s="332"/>
      <c r="AQ47" s="332"/>
      <c r="AR47" s="332"/>
      <c r="AS47" s="332"/>
      <c r="AT47" s="332"/>
      <c r="AU47" s="332"/>
      <c r="AV47" s="332"/>
      <c r="AW47" s="332"/>
      <c r="AX47" s="332"/>
      <c r="AY47" s="332"/>
      <c r="AZ47" s="332"/>
      <c r="BA47" s="332"/>
      <c r="BB47" s="332"/>
      <c r="BC47" s="332"/>
      <c r="BD47" s="332"/>
      <c r="BE47" s="332"/>
      <c r="BF47" s="332"/>
      <c r="BG47" s="332"/>
      <c r="BH47" s="332"/>
      <c r="BI47" s="332"/>
      <c r="BJ47" s="332"/>
      <c r="BK47" s="332"/>
      <c r="BL47" s="332"/>
      <c r="BM47" s="332"/>
      <c r="BN47" s="332"/>
    </row>
    <row r="48" spans="1:66" ht="15.75" customHeight="1" x14ac:dyDescent="0.15">
      <c r="A48" s="773"/>
      <c r="B48" s="332"/>
      <c r="C48" s="332"/>
      <c r="D48" s="332"/>
      <c r="E48" s="332"/>
      <c r="F48" s="332" t="str">
        <f ca="1">IFERROR(__xludf.DUMMYFUNCTION("""COMPUTED_VALUE"""),"perkLauncherAmmo")</f>
        <v>perkLauncherAmmo</v>
      </c>
      <c r="G48" s="332" t="str">
        <f ca="1">IFERROR(__xludf.DUMMYFUNCTION("""COMPUTED_VALUE"""),"actionMissionElMachoUnlock")</f>
        <v>actionMissionElMachoUnlock</v>
      </c>
      <c r="H48" s="332"/>
      <c r="I48" s="332"/>
      <c r="J48" s="332"/>
      <c r="K48" s="332"/>
      <c r="L48" s="332"/>
      <c r="M48" s="332"/>
      <c r="N48" s="332"/>
      <c r="O48" s="332"/>
      <c r="P48" s="332"/>
      <c r="Q48" s="332"/>
      <c r="R48" s="332"/>
      <c r="S48" s="22"/>
      <c r="T48" s="305"/>
      <c r="U48" s="305" t="s">
        <v>6645</v>
      </c>
      <c r="V48" s="305" t="s">
        <v>6646</v>
      </c>
      <c r="W48" s="22"/>
      <c r="X48" s="22"/>
      <c r="Y48" s="22"/>
      <c r="Z48" s="22"/>
      <c r="AA48" s="22"/>
      <c r="AB48" s="332"/>
      <c r="AC48" s="332"/>
      <c r="AD48" s="332"/>
      <c r="AE48" s="332"/>
      <c r="AF48" s="332"/>
      <c r="AG48" s="332"/>
      <c r="AH48" s="332"/>
      <c r="AI48" s="332"/>
      <c r="AJ48" s="332"/>
      <c r="AK48" s="332"/>
      <c r="AL48" s="332"/>
      <c r="AM48" s="334"/>
      <c r="AN48" s="332"/>
      <c r="AO48" s="332"/>
      <c r="AP48" s="332"/>
      <c r="AQ48" s="332"/>
      <c r="AR48" s="332"/>
      <c r="AS48" s="332"/>
      <c r="AT48" s="332"/>
      <c r="AU48" s="332"/>
      <c r="AV48" s="332"/>
      <c r="AW48" s="332"/>
      <c r="AX48" s="332"/>
      <c r="AY48" s="332"/>
      <c r="AZ48" s="332"/>
      <c r="BA48" s="332"/>
      <c r="BB48" s="332"/>
      <c r="BC48" s="332"/>
      <c r="BD48" s="332"/>
      <c r="BE48" s="332"/>
      <c r="BF48" s="332"/>
      <c r="BG48" s="332"/>
      <c r="BH48" s="332"/>
      <c r="BI48" s="332"/>
      <c r="BJ48" s="332"/>
      <c r="BK48" s="332"/>
      <c r="BL48" s="332"/>
      <c r="BM48" s="332"/>
      <c r="BN48" s="332"/>
    </row>
    <row r="49" spans="1:66" ht="15.75" customHeight="1" x14ac:dyDescent="0.15">
      <c r="A49" s="773"/>
      <c r="B49" s="332"/>
      <c r="C49" s="332"/>
      <c r="D49" s="332"/>
      <c r="E49" s="332"/>
      <c r="F49" s="332" t="str">
        <f ca="1">IFERROR(__xludf.DUMMYFUNCTION("""COMPUTED_VALUE"""),"perkUltimateAmmo")</f>
        <v>perkUltimateAmmo</v>
      </c>
      <c r="G49" s="332" t="str">
        <f ca="1">IFERROR(__xludf.DUMMYFUNCTION("""COMPUTED_VALUE"""),"missionElMacho")</f>
        <v>missionElMacho</v>
      </c>
      <c r="H49" s="332"/>
      <c r="I49" s="332"/>
      <c r="J49" s="332"/>
      <c r="K49" s="332"/>
      <c r="L49" s="332"/>
      <c r="M49" s="332"/>
      <c r="N49" s="332"/>
      <c r="O49" s="332"/>
      <c r="P49" s="332"/>
      <c r="Q49" s="332"/>
      <c r="R49" s="332"/>
      <c r="S49" s="22"/>
      <c r="T49" s="305"/>
      <c r="U49" s="305" t="s">
        <v>6647</v>
      </c>
      <c r="V49" s="305" t="s">
        <v>6648</v>
      </c>
      <c r="W49" s="22"/>
      <c r="X49" s="22"/>
      <c r="Y49" s="22"/>
      <c r="Z49" s="22"/>
      <c r="AA49" s="22"/>
      <c r="AB49" s="332"/>
      <c r="AC49" s="332"/>
      <c r="AD49" s="332"/>
      <c r="AE49" s="332"/>
      <c r="AF49" s="332"/>
      <c r="AG49" s="332"/>
      <c r="AH49" s="332"/>
      <c r="AI49" s="332"/>
      <c r="AJ49" s="332"/>
      <c r="AK49" s="332"/>
      <c r="AL49" s="332"/>
      <c r="AM49" s="334"/>
      <c r="AN49" s="332"/>
      <c r="AO49" s="332"/>
      <c r="AP49" s="332"/>
      <c r="AQ49" s="332"/>
      <c r="AR49" s="332"/>
      <c r="AS49" s="332"/>
      <c r="AT49" s="332"/>
      <c r="AU49" s="332"/>
      <c r="AV49" s="332"/>
      <c r="AW49" s="332"/>
      <c r="AX49" s="332"/>
      <c r="AY49" s="332"/>
      <c r="AZ49" s="332"/>
      <c r="BA49" s="332"/>
      <c r="BB49" s="332"/>
      <c r="BC49" s="332"/>
      <c r="BD49" s="332"/>
      <c r="BE49" s="332"/>
      <c r="BF49" s="332"/>
      <c r="BG49" s="332"/>
      <c r="BH49" s="332"/>
      <c r="BI49" s="332"/>
      <c r="BJ49" s="332"/>
      <c r="BK49" s="332"/>
      <c r="BL49" s="332"/>
      <c r="BM49" s="332"/>
      <c r="BN49" s="332"/>
    </row>
    <row r="50" spans="1:66" ht="15.75" customHeight="1" x14ac:dyDescent="0.15">
      <c r="A50" s="773"/>
      <c r="B50" s="332"/>
      <c r="C50" s="332"/>
      <c r="D50" s="332"/>
      <c r="E50" s="332"/>
      <c r="F50" s="332" t="str">
        <f ca="1">IFERROR(__xludf.DUMMYFUNCTION("""COMPUTED_VALUE"""),"perkUltimateCharger")</f>
        <v>perkUltimateCharger</v>
      </c>
      <c r="G50" s="332" t="str">
        <f ca="1">IFERROR(__xludf.DUMMYFUNCTION("""COMPUTED_VALUE"""),"achievementMissionElMacho")</f>
        <v>achievementMissionElMacho</v>
      </c>
      <c r="H50" s="332"/>
      <c r="I50" s="332"/>
      <c r="J50" s="332"/>
      <c r="K50" s="332"/>
      <c r="L50" s="332"/>
      <c r="M50" s="332"/>
      <c r="N50" s="332"/>
      <c r="O50" s="332"/>
      <c r="P50" s="332"/>
      <c r="Q50" s="332"/>
      <c r="R50" s="332"/>
      <c r="S50" s="22"/>
      <c r="T50" s="305"/>
      <c r="U50" s="305" t="s">
        <v>6649</v>
      </c>
      <c r="V50" s="305" t="s">
        <v>6650</v>
      </c>
      <c r="W50" s="22"/>
      <c r="X50" s="22"/>
      <c r="Y50" s="22"/>
      <c r="Z50" s="22"/>
      <c r="AA50" s="22"/>
      <c r="AB50" s="332"/>
      <c r="AC50" s="332"/>
      <c r="AD50" s="332"/>
      <c r="AE50" s="332"/>
      <c r="AF50" s="332"/>
      <c r="AG50" s="332"/>
      <c r="AH50" s="332"/>
      <c r="AI50" s="332"/>
      <c r="AJ50" s="332"/>
      <c r="AK50" s="332"/>
      <c r="AL50" s="332"/>
      <c r="AM50" s="334"/>
      <c r="AN50" s="332"/>
      <c r="AO50" s="332"/>
      <c r="AP50" s="332"/>
      <c r="AQ50" s="332"/>
      <c r="AR50" s="332"/>
      <c r="AS50" s="332"/>
      <c r="AT50" s="332"/>
      <c r="AU50" s="332"/>
      <c r="AV50" s="332"/>
      <c r="AW50" s="332"/>
      <c r="AX50" s="332"/>
      <c r="AY50" s="332"/>
      <c r="AZ50" s="332"/>
      <c r="BA50" s="332"/>
      <c r="BB50" s="332"/>
      <c r="BC50" s="332"/>
      <c r="BD50" s="332"/>
      <c r="BE50" s="332"/>
      <c r="BF50" s="332"/>
      <c r="BG50" s="332"/>
      <c r="BH50" s="332"/>
      <c r="BI50" s="332"/>
      <c r="BJ50" s="332"/>
      <c r="BK50" s="332"/>
      <c r="BL50" s="332"/>
      <c r="BM50" s="332"/>
      <c r="BN50" s="332"/>
    </row>
    <row r="51" spans="1:66" ht="30" x14ac:dyDescent="0.15">
      <c r="A51" s="773"/>
      <c r="B51" s="332"/>
      <c r="C51" s="332"/>
      <c r="D51" s="332"/>
      <c r="E51" s="332"/>
      <c r="F51" s="332" t="str">
        <f ca="1">IFERROR(__xludf.DUMMYFUNCTION("""COMPUTED_VALUE"""),"actionSyncBlaster")</f>
        <v>actionSyncBlaster</v>
      </c>
      <c r="G51" s="332" t="str">
        <f ca="1">IFERROR(__xludf.DUMMYFUNCTION("""COMPUTED_VALUE"""),"actionMissionBrattUnlock")</f>
        <v>actionMissionBrattUnlock</v>
      </c>
      <c r="H51" s="332"/>
      <c r="I51" s="332"/>
      <c r="J51" s="332"/>
      <c r="K51" s="332"/>
      <c r="L51" s="332"/>
      <c r="M51" s="332"/>
      <c r="N51" s="332"/>
      <c r="O51" s="332"/>
      <c r="P51" s="332"/>
      <c r="Q51" s="332"/>
      <c r="R51" s="332"/>
      <c r="S51" s="22"/>
      <c r="T51" s="305"/>
      <c r="U51" s="305" t="s">
        <v>6651</v>
      </c>
      <c r="V51" s="305" t="s">
        <v>6652</v>
      </c>
      <c r="W51" s="22"/>
      <c r="X51" s="22"/>
      <c r="Y51" s="22"/>
      <c r="Z51" s="22"/>
      <c r="AA51" s="22"/>
      <c r="AB51" s="332"/>
      <c r="AC51" s="332"/>
      <c r="AD51" s="332"/>
      <c r="AE51" s="332"/>
      <c r="AF51" s="332"/>
      <c r="AG51" s="332"/>
      <c r="AH51" s="332"/>
      <c r="AI51" s="332"/>
      <c r="AJ51" s="332"/>
      <c r="AK51" s="332"/>
      <c r="AL51" s="332"/>
      <c r="AM51" s="334"/>
      <c r="AN51" s="332"/>
      <c r="AO51" s="332"/>
      <c r="AP51" s="332"/>
      <c r="AQ51" s="332"/>
      <c r="AR51" s="332"/>
      <c r="AS51" s="332"/>
      <c r="AT51" s="332"/>
      <c r="AU51" s="332"/>
      <c r="AV51" s="332"/>
      <c r="AW51" s="332"/>
      <c r="AX51" s="332"/>
      <c r="AY51" s="332"/>
      <c r="AZ51" s="332"/>
      <c r="BA51" s="332"/>
      <c r="BB51" s="332"/>
      <c r="BC51" s="332"/>
      <c r="BD51" s="332"/>
      <c r="BE51" s="332"/>
      <c r="BF51" s="332"/>
      <c r="BG51" s="332"/>
      <c r="BH51" s="332"/>
      <c r="BI51" s="332"/>
      <c r="BJ51" s="332"/>
      <c r="BK51" s="332"/>
      <c r="BL51" s="332"/>
      <c r="BM51" s="332"/>
      <c r="BN51" s="332"/>
    </row>
    <row r="52" spans="1:66" ht="30" x14ac:dyDescent="0.15">
      <c r="A52" s="773"/>
      <c r="B52" s="332"/>
      <c r="C52" s="332"/>
      <c r="D52" s="332"/>
      <c r="E52" s="332"/>
      <c r="F52" s="332" t="str">
        <f ca="1">IFERROR(__xludf.DUMMYFUNCTION("""COMPUTED_VALUE"""),"achievementVCBadge")</f>
        <v>achievementVCBadge</v>
      </c>
      <c r="G52" s="332" t="str">
        <f ca="1">IFERROR(__xludf.DUMMYFUNCTION("""COMPUTED_VALUE"""),"missionBratt")</f>
        <v>missionBratt</v>
      </c>
      <c r="H52" s="332"/>
      <c r="I52" s="332"/>
      <c r="J52" s="332"/>
      <c r="K52" s="332"/>
      <c r="L52" s="332"/>
      <c r="M52" s="332"/>
      <c r="N52" s="332"/>
      <c r="O52" s="332"/>
      <c r="P52" s="332"/>
      <c r="Q52" s="332"/>
      <c r="R52" s="332"/>
      <c r="S52" s="22"/>
      <c r="T52" s="305"/>
      <c r="U52" s="305" t="s">
        <v>6653</v>
      </c>
      <c r="V52" s="305" t="s">
        <v>6654</v>
      </c>
      <c r="W52" s="22"/>
      <c r="X52" s="22"/>
      <c r="Y52" s="22"/>
      <c r="Z52" s="22"/>
      <c r="AA52" s="22"/>
      <c r="AB52" s="332"/>
      <c r="AC52" s="332"/>
      <c r="AD52" s="332"/>
      <c r="AE52" s="332"/>
      <c r="AF52" s="332"/>
      <c r="AG52" s="332"/>
      <c r="AH52" s="332"/>
      <c r="AI52" s="332"/>
      <c r="AJ52" s="332"/>
      <c r="AK52" s="332"/>
      <c r="AL52" s="332"/>
      <c r="AM52" s="334"/>
      <c r="AN52" s="332"/>
      <c r="AO52" s="332"/>
      <c r="AP52" s="332"/>
      <c r="AQ52" s="332"/>
      <c r="AR52" s="332"/>
      <c r="AS52" s="332"/>
      <c r="AT52" s="332"/>
      <c r="AU52" s="332"/>
      <c r="AV52" s="332"/>
      <c r="AW52" s="332"/>
      <c r="AX52" s="332"/>
      <c r="AY52" s="332"/>
      <c r="AZ52" s="332"/>
      <c r="BA52" s="332"/>
      <c r="BB52" s="332"/>
      <c r="BC52" s="332"/>
      <c r="BD52" s="332"/>
      <c r="BE52" s="332"/>
      <c r="BF52" s="332"/>
      <c r="BG52" s="332"/>
      <c r="BH52" s="332"/>
      <c r="BI52" s="332"/>
      <c r="BJ52" s="332"/>
      <c r="BK52" s="332"/>
      <c r="BL52" s="332"/>
      <c r="BM52" s="332"/>
      <c r="BN52" s="332"/>
    </row>
    <row r="53" spans="1:66" ht="45" x14ac:dyDescent="0.15">
      <c r="A53" s="773"/>
      <c r="B53" s="332"/>
      <c r="C53" s="332"/>
      <c r="D53" s="332"/>
      <c r="E53" s="332"/>
      <c r="F53" s="332" t="str">
        <f ca="1">IFERROR(__xludf.DUMMYFUNCTION("""COMPUTED_VALUE"""),"achievementPlaySyncBlaster")</f>
        <v>achievementPlaySyncBlaster</v>
      </c>
      <c r="G53" s="332" t="str">
        <f ca="1">IFERROR(__xludf.DUMMYFUNCTION("""COMPUTED_VALUE"""),"achievementMissionBratt")</f>
        <v>achievementMissionBratt</v>
      </c>
      <c r="H53" s="332"/>
      <c r="I53" s="332"/>
      <c r="J53" s="332"/>
      <c r="K53" s="332"/>
      <c r="L53" s="332"/>
      <c r="M53" s="332"/>
      <c r="N53" s="332"/>
      <c r="O53" s="332"/>
      <c r="P53" s="332"/>
      <c r="Q53" s="332"/>
      <c r="R53" s="332"/>
      <c r="S53" s="22"/>
      <c r="T53" s="305"/>
      <c r="U53" s="305" t="s">
        <v>6655</v>
      </c>
      <c r="V53" s="305" t="s">
        <v>6656</v>
      </c>
      <c r="W53" s="22"/>
      <c r="X53" s="22"/>
      <c r="Y53" s="22"/>
      <c r="Z53" s="22"/>
      <c r="AA53" s="22"/>
      <c r="AB53" s="332"/>
      <c r="AC53" s="332"/>
      <c r="AD53" s="332"/>
      <c r="AE53" s="332"/>
      <c r="AF53" s="332"/>
      <c r="AG53" s="332"/>
      <c r="AH53" s="332"/>
      <c r="AI53" s="332"/>
      <c r="AJ53" s="332"/>
      <c r="AK53" s="332"/>
      <c r="AL53" s="332"/>
      <c r="AM53" s="334"/>
      <c r="AN53" s="332"/>
      <c r="AO53" s="332"/>
      <c r="AP53" s="332"/>
      <c r="AQ53" s="332"/>
      <c r="AR53" s="332"/>
      <c r="AS53" s="332"/>
      <c r="AT53" s="332"/>
      <c r="AU53" s="332"/>
      <c r="AV53" s="332"/>
      <c r="AW53" s="332"/>
      <c r="AX53" s="332"/>
      <c r="AY53" s="332"/>
      <c r="AZ53" s="332"/>
      <c r="BA53" s="332"/>
      <c r="BB53" s="332"/>
      <c r="BC53" s="332"/>
      <c r="BD53" s="332"/>
      <c r="BE53" s="332"/>
      <c r="BF53" s="332"/>
      <c r="BG53" s="332"/>
      <c r="BH53" s="332"/>
      <c r="BI53" s="332"/>
      <c r="BJ53" s="332"/>
      <c r="BK53" s="332"/>
      <c r="BL53" s="332"/>
      <c r="BM53" s="332"/>
      <c r="BN53" s="332"/>
    </row>
    <row r="54" spans="1:66" ht="30" x14ac:dyDescent="0.15">
      <c r="A54" s="773"/>
      <c r="B54" s="332"/>
      <c r="C54" s="332"/>
      <c r="D54" s="332"/>
      <c r="E54" s="332"/>
      <c r="F54" s="332" t="str">
        <f ca="1">IFERROR(__xludf.DUMMYFUNCTION("""COMPUTED_VALUE"""),"actionMissionVectorUnlock")</f>
        <v>actionMissionVectorUnlock</v>
      </c>
      <c r="G54" s="332" t="str">
        <f ca="1">IFERROR(__xludf.DUMMYFUNCTION("""COMPUTED_VALUE"""),"actionMissionBelleUnlock")</f>
        <v>actionMissionBelleUnlock</v>
      </c>
      <c r="H54" s="332"/>
      <c r="I54" s="332"/>
      <c r="J54" s="332"/>
      <c r="K54" s="332"/>
      <c r="L54" s="332"/>
      <c r="M54" s="332"/>
      <c r="N54" s="332"/>
      <c r="O54" s="332"/>
      <c r="P54" s="332"/>
      <c r="Q54" s="332"/>
      <c r="R54" s="332"/>
      <c r="S54" s="22"/>
      <c r="T54" s="305"/>
      <c r="U54" s="305" t="s">
        <v>6657</v>
      </c>
      <c r="V54" s="305" t="s">
        <v>6658</v>
      </c>
      <c r="W54" s="22"/>
      <c r="X54" s="22"/>
      <c r="Y54" s="22"/>
      <c r="Z54" s="22"/>
      <c r="AA54" s="22"/>
      <c r="AB54" s="332"/>
      <c r="AC54" s="332"/>
      <c r="AD54" s="332"/>
      <c r="AE54" s="332"/>
      <c r="AF54" s="332"/>
      <c r="AG54" s="332"/>
      <c r="AH54" s="332"/>
      <c r="AI54" s="332"/>
      <c r="AJ54" s="332"/>
      <c r="AK54" s="332"/>
      <c r="AL54" s="332"/>
      <c r="AM54" s="334"/>
      <c r="AN54" s="332"/>
      <c r="AO54" s="332"/>
      <c r="AP54" s="332"/>
      <c r="AQ54" s="332"/>
      <c r="AR54" s="332"/>
      <c r="AS54" s="332"/>
      <c r="AT54" s="332"/>
      <c r="AU54" s="332"/>
      <c r="AV54" s="332"/>
      <c r="AW54" s="332"/>
      <c r="AX54" s="332"/>
      <c r="AY54" s="332"/>
      <c r="AZ54" s="332"/>
      <c r="BA54" s="332"/>
      <c r="BB54" s="332"/>
      <c r="BC54" s="332"/>
      <c r="BD54" s="332"/>
      <c r="BE54" s="332"/>
      <c r="BF54" s="332"/>
      <c r="BG54" s="332"/>
      <c r="BH54" s="332"/>
      <c r="BI54" s="332"/>
      <c r="BJ54" s="332"/>
      <c r="BK54" s="332"/>
      <c r="BL54" s="332"/>
      <c r="BM54" s="332"/>
      <c r="BN54" s="332"/>
    </row>
    <row r="55" spans="1:66" ht="30" x14ac:dyDescent="0.15">
      <c r="A55" s="773"/>
      <c r="B55" s="332"/>
      <c r="C55" s="332"/>
      <c r="D55" s="332"/>
      <c r="E55" s="332"/>
      <c r="F55" s="332" t="str">
        <f ca="1">IFERROR(__xludf.DUMMYFUNCTION("""COMPUTED_VALUE"""),"actionMissionVectorAttempt")</f>
        <v>actionMissionVectorAttempt</v>
      </c>
      <c r="G55" s="332" t="str">
        <f ca="1">IFERROR(__xludf.DUMMYFUNCTION("""COMPUTED_VALUE"""),"missionBelle")</f>
        <v>missionBelle</v>
      </c>
      <c r="H55" s="332"/>
      <c r="I55" s="332"/>
      <c r="J55" s="332"/>
      <c r="K55" s="332"/>
      <c r="L55" s="332"/>
      <c r="M55" s="332"/>
      <c r="N55" s="332"/>
      <c r="O55" s="332"/>
      <c r="P55" s="332"/>
      <c r="Q55" s="332"/>
      <c r="R55" s="332"/>
      <c r="S55" s="22"/>
      <c r="T55" s="305"/>
      <c r="U55" s="305" t="s">
        <v>6659</v>
      </c>
      <c r="V55" s="305" t="s">
        <v>6660</v>
      </c>
      <c r="W55" s="22"/>
      <c r="X55" s="22"/>
      <c r="Y55" s="22"/>
      <c r="Z55" s="22"/>
      <c r="AA55" s="22"/>
      <c r="AB55" s="332"/>
      <c r="AC55" s="332"/>
      <c r="AD55" s="332"/>
      <c r="AE55" s="332"/>
      <c r="AF55" s="332"/>
      <c r="AG55" s="332"/>
      <c r="AH55" s="332"/>
      <c r="AI55" s="332"/>
      <c r="AJ55" s="332"/>
      <c r="AK55" s="332"/>
      <c r="AL55" s="332"/>
      <c r="AM55" s="334"/>
      <c r="AN55" s="332"/>
      <c r="AO55" s="332"/>
      <c r="AP55" s="332"/>
      <c r="AQ55" s="332"/>
      <c r="AR55" s="332"/>
      <c r="AS55" s="332"/>
      <c r="AT55" s="332"/>
      <c r="AU55" s="332"/>
      <c r="AV55" s="332"/>
      <c r="AW55" s="332"/>
      <c r="AX55" s="332"/>
      <c r="AY55" s="332"/>
      <c r="AZ55" s="332"/>
      <c r="BA55" s="332"/>
      <c r="BB55" s="332"/>
      <c r="BC55" s="332"/>
      <c r="BD55" s="332"/>
      <c r="BE55" s="332"/>
      <c r="BF55" s="332"/>
      <c r="BG55" s="332"/>
      <c r="BH55" s="332"/>
      <c r="BI55" s="332"/>
      <c r="BJ55" s="332"/>
      <c r="BK55" s="332"/>
      <c r="BL55" s="332"/>
      <c r="BM55" s="332"/>
      <c r="BN55" s="332"/>
    </row>
    <row r="56" spans="1:66" ht="30" x14ac:dyDescent="0.15">
      <c r="A56" s="773"/>
      <c r="B56" s="332"/>
      <c r="C56" s="332"/>
      <c r="D56" s="332"/>
      <c r="E56" s="332"/>
      <c r="F56" s="332" t="str">
        <f ca="1">IFERROR(__xludf.DUMMYFUNCTION("""COMPUTED_VALUE"""),"missionVector")</f>
        <v>missionVector</v>
      </c>
      <c r="G56" s="332" t="str">
        <f ca="1">IFERROR(__xludf.DUMMYFUNCTION("""COMPUTED_VALUE"""),"achievementMissionBelle")</f>
        <v>achievementMissionBelle</v>
      </c>
      <c r="H56" s="332"/>
      <c r="I56" s="332"/>
      <c r="J56" s="332"/>
      <c r="K56" s="332"/>
      <c r="L56" s="332"/>
      <c r="M56" s="332"/>
      <c r="N56" s="332"/>
      <c r="O56" s="332"/>
      <c r="P56" s="332"/>
      <c r="Q56" s="332"/>
      <c r="R56" s="332"/>
      <c r="S56" s="22"/>
      <c r="T56" s="305"/>
      <c r="U56" s="305" t="s">
        <v>6661</v>
      </c>
      <c r="V56" s="305" t="s">
        <v>6662</v>
      </c>
      <c r="W56" s="22"/>
      <c r="X56" s="22"/>
      <c r="Y56" s="22"/>
      <c r="Z56" s="22"/>
      <c r="AA56" s="22"/>
      <c r="AB56" s="332"/>
      <c r="AC56" s="332"/>
      <c r="AD56" s="332"/>
      <c r="AE56" s="332"/>
      <c r="AF56" s="332"/>
      <c r="AG56" s="332"/>
      <c r="AH56" s="332"/>
      <c r="AI56" s="332"/>
      <c r="AJ56" s="332"/>
      <c r="AK56" s="332"/>
      <c r="AL56" s="332"/>
      <c r="AM56" s="334"/>
      <c r="AN56" s="332"/>
      <c r="AO56" s="332"/>
      <c r="AP56" s="332"/>
      <c r="AQ56" s="332"/>
      <c r="AR56" s="332"/>
      <c r="AS56" s="332"/>
      <c r="AT56" s="332"/>
      <c r="AU56" s="332"/>
      <c r="AV56" s="332"/>
      <c r="AW56" s="332"/>
      <c r="AX56" s="332"/>
      <c r="AY56" s="332"/>
      <c r="AZ56" s="332"/>
      <c r="BA56" s="332"/>
      <c r="BB56" s="332"/>
      <c r="BC56" s="332"/>
      <c r="BD56" s="332"/>
      <c r="BE56" s="332"/>
      <c r="BF56" s="332"/>
      <c r="BG56" s="332"/>
      <c r="BH56" s="332"/>
      <c r="BI56" s="332"/>
      <c r="BJ56" s="332"/>
      <c r="BK56" s="332"/>
      <c r="BL56" s="332"/>
      <c r="BM56" s="332"/>
      <c r="BN56" s="332"/>
    </row>
    <row r="57" spans="1:66" ht="45" x14ac:dyDescent="0.15">
      <c r="A57" s="773"/>
      <c r="B57" s="332"/>
      <c r="C57" s="332"/>
      <c r="D57" s="332"/>
      <c r="E57" s="332"/>
      <c r="F57" s="332" t="str">
        <f ca="1">IFERROR(__xludf.DUMMYFUNCTION("""COMPUTED_VALUE"""),"achievementMissionVector")</f>
        <v>achievementMissionVector</v>
      </c>
      <c r="G57" s="332" t="str">
        <f ca="1">IFERROR(__xludf.DUMMYFUNCTION("""COMPUTED_VALUE"""),"actionMissionStrongholdUnlock")</f>
        <v>actionMissionStrongholdUnlock</v>
      </c>
      <c r="H57" s="332"/>
      <c r="I57" s="332"/>
      <c r="J57" s="332"/>
      <c r="K57" s="332"/>
      <c r="L57" s="332"/>
      <c r="M57" s="332"/>
      <c r="N57" s="332"/>
      <c r="O57" s="332"/>
      <c r="P57" s="332"/>
      <c r="Q57" s="332"/>
      <c r="R57" s="332"/>
      <c r="S57" s="22"/>
      <c r="T57" s="305"/>
      <c r="U57" s="305" t="s">
        <v>6663</v>
      </c>
      <c r="V57" s="305" t="s">
        <v>6664</v>
      </c>
      <c r="W57" s="22"/>
      <c r="X57" s="22"/>
      <c r="Y57" s="22"/>
      <c r="Z57" s="22"/>
      <c r="AA57" s="22"/>
      <c r="AB57" s="332"/>
      <c r="AC57" s="332"/>
      <c r="AD57" s="332"/>
      <c r="AE57" s="332"/>
      <c r="AF57" s="332"/>
      <c r="AG57" s="332"/>
      <c r="AH57" s="332"/>
      <c r="AI57" s="332"/>
      <c r="AJ57" s="332"/>
      <c r="AK57" s="332"/>
      <c r="AL57" s="332"/>
      <c r="AM57" s="334"/>
      <c r="AN57" s="332"/>
      <c r="AO57" s="332"/>
      <c r="AP57" s="332"/>
      <c r="AQ57" s="332"/>
      <c r="AR57" s="332"/>
      <c r="AS57" s="332"/>
      <c r="AT57" s="332"/>
      <c r="AU57" s="332"/>
      <c r="AV57" s="332"/>
      <c r="AW57" s="332"/>
      <c r="AX57" s="332"/>
      <c r="AY57" s="332"/>
      <c r="AZ57" s="332"/>
      <c r="BA57" s="332"/>
      <c r="BB57" s="332"/>
      <c r="BC57" s="332"/>
      <c r="BD57" s="332"/>
      <c r="BE57" s="332"/>
      <c r="BF57" s="332"/>
      <c r="BG57" s="332"/>
      <c r="BH57" s="332"/>
      <c r="BI57" s="332"/>
      <c r="BJ57" s="332"/>
      <c r="BK57" s="332"/>
      <c r="BL57" s="332"/>
      <c r="BM57" s="332"/>
      <c r="BN57" s="332"/>
    </row>
    <row r="58" spans="1:66" ht="30" x14ac:dyDescent="0.15">
      <c r="A58" s="773"/>
      <c r="B58" s="332"/>
      <c r="C58" s="332"/>
      <c r="D58" s="332"/>
      <c r="E58" s="332"/>
      <c r="F58" s="332" t="str">
        <f ca="1">IFERROR(__xludf.DUMMYFUNCTION("""COMPUTED_VALUE"""),"actionMissionScarletUnlock")</f>
        <v>actionMissionScarletUnlock</v>
      </c>
      <c r="G58" s="332" t="str">
        <f ca="1">IFERROR(__xludf.DUMMYFUNCTION("""COMPUTED_VALUE"""),"missionStronghold")</f>
        <v>missionStronghold</v>
      </c>
      <c r="H58" s="332"/>
      <c r="I58" s="332"/>
      <c r="J58" s="332"/>
      <c r="K58" s="332"/>
      <c r="L58" s="332"/>
      <c r="M58" s="332"/>
      <c r="N58" s="332"/>
      <c r="O58" s="332"/>
      <c r="P58" s="332"/>
      <c r="Q58" s="332"/>
      <c r="R58" s="332"/>
      <c r="S58" s="22"/>
      <c r="T58" s="305"/>
      <c r="U58" s="305" t="s">
        <v>6665</v>
      </c>
      <c r="V58" s="305" t="s">
        <v>6666</v>
      </c>
      <c r="W58" s="22"/>
      <c r="X58" s="22"/>
      <c r="Y58" s="22"/>
      <c r="Z58" s="22"/>
      <c r="AA58" s="22"/>
      <c r="AB58" s="332"/>
      <c r="AC58" s="332"/>
      <c r="AD58" s="332"/>
      <c r="AE58" s="332"/>
      <c r="AF58" s="332"/>
      <c r="AG58" s="332"/>
      <c r="AH58" s="332"/>
      <c r="AI58" s="332"/>
      <c r="AJ58" s="332"/>
      <c r="AK58" s="332"/>
      <c r="AL58" s="332"/>
      <c r="AM58" s="334"/>
      <c r="AN58" s="332"/>
      <c r="AO58" s="332"/>
      <c r="AP58" s="332"/>
      <c r="AQ58" s="332"/>
      <c r="AR58" s="332"/>
      <c r="AS58" s="332"/>
      <c r="AT58" s="332"/>
      <c r="AU58" s="332"/>
      <c r="AV58" s="332"/>
      <c r="AW58" s="332"/>
      <c r="AX58" s="332"/>
      <c r="AY58" s="332"/>
      <c r="AZ58" s="332"/>
      <c r="BA58" s="332"/>
      <c r="BB58" s="332"/>
      <c r="BC58" s="332"/>
      <c r="BD58" s="332"/>
      <c r="BE58" s="332"/>
      <c r="BF58" s="332"/>
      <c r="BG58" s="332"/>
      <c r="BH58" s="332"/>
      <c r="BI58" s="332"/>
      <c r="BJ58" s="332"/>
      <c r="BK58" s="332"/>
      <c r="BL58" s="332"/>
      <c r="BM58" s="332"/>
      <c r="BN58" s="332"/>
    </row>
    <row r="59" spans="1:66" ht="45" x14ac:dyDescent="0.15">
      <c r="A59" s="773"/>
      <c r="B59" s="332"/>
      <c r="C59" s="332"/>
      <c r="D59" s="332"/>
      <c r="E59" s="332"/>
      <c r="F59" s="332" t="str">
        <f ca="1">IFERROR(__xludf.DUMMYFUNCTION("""COMPUTED_VALUE"""),"actionMissionScarletAttempt")</f>
        <v>actionMissionScarletAttempt</v>
      </c>
      <c r="G59" s="332" t="str">
        <f ca="1">IFERROR(__xludf.DUMMYFUNCTION("""COMPUTED_VALUE"""),"achievementMissionStronghold")</f>
        <v>achievementMissionStronghold</v>
      </c>
      <c r="H59" s="332"/>
      <c r="I59" s="332"/>
      <c r="J59" s="332"/>
      <c r="K59" s="332"/>
      <c r="L59" s="332"/>
      <c r="M59" s="332"/>
      <c r="N59" s="332"/>
      <c r="O59" s="332"/>
      <c r="P59" s="332"/>
      <c r="Q59" s="332"/>
      <c r="R59" s="332"/>
      <c r="S59" s="22"/>
      <c r="T59" s="305"/>
      <c r="U59" s="305" t="s">
        <v>6667</v>
      </c>
      <c r="V59" s="305" t="s">
        <v>6668</v>
      </c>
      <c r="W59" s="22"/>
      <c r="X59" s="22"/>
      <c r="Y59" s="22"/>
      <c r="Z59" s="22"/>
      <c r="AA59" s="22"/>
      <c r="AB59" s="332"/>
      <c r="AC59" s="332"/>
      <c r="AD59" s="332"/>
      <c r="AE59" s="332"/>
      <c r="AF59" s="332"/>
      <c r="AG59" s="332"/>
      <c r="AH59" s="332"/>
      <c r="AI59" s="332"/>
      <c r="AJ59" s="332"/>
      <c r="AK59" s="332"/>
      <c r="AL59" s="332"/>
      <c r="AM59" s="334"/>
      <c r="AN59" s="332"/>
      <c r="AO59" s="332"/>
      <c r="AP59" s="332"/>
      <c r="AQ59" s="332"/>
      <c r="AR59" s="332"/>
      <c r="AS59" s="332"/>
      <c r="AT59" s="332"/>
      <c r="AU59" s="332"/>
      <c r="AV59" s="332"/>
      <c r="AW59" s="332"/>
      <c r="AX59" s="332"/>
      <c r="AY59" s="332"/>
      <c r="AZ59" s="332"/>
      <c r="BA59" s="332"/>
      <c r="BB59" s="332"/>
      <c r="BC59" s="332"/>
      <c r="BD59" s="332"/>
      <c r="BE59" s="332"/>
      <c r="BF59" s="332"/>
      <c r="BG59" s="332"/>
      <c r="BH59" s="332"/>
      <c r="BI59" s="332"/>
      <c r="BJ59" s="332"/>
      <c r="BK59" s="332"/>
      <c r="BL59" s="332"/>
      <c r="BM59" s="332"/>
      <c r="BN59" s="332"/>
    </row>
    <row r="60" spans="1:66" ht="45" x14ac:dyDescent="0.15">
      <c r="A60" s="773"/>
      <c r="B60" s="332"/>
      <c r="C60" s="332"/>
      <c r="D60" s="332"/>
      <c r="E60" s="332"/>
      <c r="F60" s="332" t="str">
        <f ca="1">IFERROR(__xludf.DUMMYFUNCTION("""COMPUTED_VALUE"""),"missionScarlet")</f>
        <v>missionScarlet</v>
      </c>
      <c r="G60" s="332" t="str">
        <f ca="1">IFERROR(__xludf.DUMMYFUNCTION("""COMPUTED_VALUE"""),"actionMissionNunchuckUnlock")</f>
        <v>actionMissionNunchuckUnlock</v>
      </c>
      <c r="H60" s="332"/>
      <c r="I60" s="332"/>
      <c r="J60" s="332"/>
      <c r="K60" s="332"/>
      <c r="L60" s="332"/>
      <c r="M60" s="332"/>
      <c r="N60" s="332"/>
      <c r="O60" s="332"/>
      <c r="P60" s="332"/>
      <c r="Q60" s="332"/>
      <c r="R60" s="332"/>
      <c r="S60" s="22"/>
      <c r="T60" s="305"/>
      <c r="U60" s="305" t="s">
        <v>6669</v>
      </c>
      <c r="V60" s="305" t="s">
        <v>6670</v>
      </c>
      <c r="W60" s="22"/>
      <c r="X60" s="22"/>
      <c r="Y60" s="22"/>
      <c r="Z60" s="22"/>
      <c r="AA60" s="22"/>
      <c r="AB60" s="332"/>
      <c r="AC60" s="332"/>
      <c r="AD60" s="332"/>
      <c r="AE60" s="332"/>
      <c r="AF60" s="332"/>
      <c r="AG60" s="332"/>
      <c r="AH60" s="332"/>
      <c r="AI60" s="332"/>
      <c r="AJ60" s="332"/>
      <c r="AK60" s="332"/>
      <c r="AL60" s="332"/>
      <c r="AM60" s="334"/>
      <c r="AN60" s="332"/>
      <c r="AO60" s="332"/>
      <c r="AP60" s="332"/>
      <c r="AQ60" s="332"/>
      <c r="AR60" s="332"/>
      <c r="AS60" s="332"/>
      <c r="AT60" s="332"/>
      <c r="AU60" s="332"/>
      <c r="AV60" s="332"/>
      <c r="AW60" s="332"/>
      <c r="AX60" s="332"/>
      <c r="AY60" s="332"/>
      <c r="AZ60" s="332"/>
      <c r="BA60" s="332"/>
      <c r="BB60" s="332"/>
      <c r="BC60" s="332"/>
      <c r="BD60" s="332"/>
      <c r="BE60" s="332"/>
      <c r="BF60" s="332"/>
      <c r="BG60" s="332"/>
      <c r="BH60" s="332"/>
      <c r="BI60" s="332"/>
      <c r="BJ60" s="332"/>
      <c r="BK60" s="332"/>
      <c r="BL60" s="332"/>
      <c r="BM60" s="332"/>
      <c r="BN60" s="332"/>
    </row>
    <row r="61" spans="1:66" ht="45" x14ac:dyDescent="0.15">
      <c r="A61" s="773"/>
      <c r="B61" s="332"/>
      <c r="C61" s="332"/>
      <c r="D61" s="332"/>
      <c r="E61" s="332"/>
      <c r="F61" s="332" t="str">
        <f ca="1">IFERROR(__xludf.DUMMYFUNCTION("""COMPUTED_VALUE"""),"achievementMissionScarlet")</f>
        <v>achievementMissionScarlet</v>
      </c>
      <c r="G61" s="332" t="str">
        <f ca="1">IFERROR(__xludf.DUMMYFUNCTION("""COMPUTED_VALUE"""),"missionNunchuck")</f>
        <v>missionNunchuck</v>
      </c>
      <c r="H61" s="332"/>
      <c r="I61" s="332"/>
      <c r="J61" s="332"/>
      <c r="K61" s="332"/>
      <c r="L61" s="332"/>
      <c r="M61" s="332"/>
      <c r="N61" s="332"/>
      <c r="O61" s="332"/>
      <c r="P61" s="332"/>
      <c r="Q61" s="332"/>
      <c r="R61" s="332"/>
      <c r="S61" s="22"/>
      <c r="T61" s="305"/>
      <c r="U61" s="305" t="s">
        <v>6671</v>
      </c>
      <c r="V61" s="305" t="s">
        <v>6672</v>
      </c>
      <c r="W61" s="22"/>
      <c r="X61" s="22"/>
      <c r="Y61" s="22"/>
      <c r="Z61" s="22"/>
      <c r="AA61" s="22"/>
      <c r="AB61" s="332"/>
      <c r="AC61" s="332"/>
      <c r="AD61" s="332"/>
      <c r="AE61" s="332"/>
      <c r="AF61" s="332"/>
      <c r="AG61" s="332"/>
      <c r="AH61" s="332"/>
      <c r="AI61" s="332"/>
      <c r="AJ61" s="332"/>
      <c r="AK61" s="332"/>
      <c r="AL61" s="332"/>
      <c r="AM61" s="334"/>
      <c r="AN61" s="332"/>
      <c r="AO61" s="332"/>
      <c r="AP61" s="332"/>
      <c r="AQ61" s="332"/>
      <c r="AR61" s="332"/>
      <c r="AS61" s="332"/>
      <c r="AT61" s="332"/>
      <c r="AU61" s="332"/>
      <c r="AV61" s="332"/>
      <c r="AW61" s="332"/>
      <c r="AX61" s="332"/>
      <c r="AY61" s="332"/>
      <c r="AZ61" s="332"/>
      <c r="BA61" s="332"/>
      <c r="BB61" s="332"/>
      <c r="BC61" s="332"/>
      <c r="BD61" s="332"/>
      <c r="BE61" s="332"/>
      <c r="BF61" s="332"/>
      <c r="BG61" s="332"/>
      <c r="BH61" s="332"/>
      <c r="BI61" s="332"/>
      <c r="BJ61" s="332"/>
      <c r="BK61" s="332"/>
      <c r="BL61" s="332"/>
      <c r="BM61" s="332"/>
      <c r="BN61" s="332"/>
    </row>
    <row r="62" spans="1:66" ht="45" x14ac:dyDescent="0.15">
      <c r="A62" s="773"/>
      <c r="B62" s="332"/>
      <c r="C62" s="332"/>
      <c r="D62" s="332"/>
      <c r="E62" s="332"/>
      <c r="F62" s="332" t="str">
        <f ca="1">IFERROR(__xludf.DUMMYFUNCTION("""COMPUTED_VALUE"""),"actionMissionElMachoUnlock")</f>
        <v>actionMissionElMachoUnlock</v>
      </c>
      <c r="G62" s="332" t="str">
        <f ca="1">IFERROR(__xludf.DUMMYFUNCTION("""COMPUTED_VALUE"""),"achievementMissionNunchuck")</f>
        <v>achievementMissionNunchuck</v>
      </c>
      <c r="H62" s="332"/>
      <c r="I62" s="332"/>
      <c r="J62" s="332"/>
      <c r="K62" s="332"/>
      <c r="L62" s="332"/>
      <c r="M62" s="332"/>
      <c r="N62" s="332"/>
      <c r="O62" s="332"/>
      <c r="P62" s="332"/>
      <c r="Q62" s="332"/>
      <c r="R62" s="332"/>
      <c r="S62" s="22"/>
      <c r="T62" s="305"/>
      <c r="U62" s="305" t="s">
        <v>6673</v>
      </c>
      <c r="V62" s="305" t="s">
        <v>6674</v>
      </c>
      <c r="W62" s="22"/>
      <c r="X62" s="22"/>
      <c r="Y62" s="22"/>
      <c r="Z62" s="22"/>
      <c r="AA62" s="22"/>
      <c r="AB62" s="332"/>
      <c r="AC62" s="332"/>
      <c r="AD62" s="332"/>
      <c r="AE62" s="332"/>
      <c r="AF62" s="332"/>
      <c r="AG62" s="332"/>
      <c r="AH62" s="332"/>
      <c r="AI62" s="332"/>
      <c r="AJ62" s="332"/>
      <c r="AK62" s="332"/>
      <c r="AL62" s="332"/>
      <c r="AM62" s="334"/>
      <c r="AN62" s="332"/>
      <c r="AO62" s="332"/>
      <c r="AP62" s="332"/>
      <c r="AQ62" s="332"/>
      <c r="AR62" s="332"/>
      <c r="AS62" s="332"/>
      <c r="AT62" s="332"/>
      <c r="AU62" s="332"/>
      <c r="AV62" s="332"/>
      <c r="AW62" s="332"/>
      <c r="AX62" s="332"/>
      <c r="AY62" s="332"/>
      <c r="AZ62" s="332"/>
      <c r="BA62" s="332"/>
      <c r="BB62" s="332"/>
      <c r="BC62" s="332"/>
      <c r="BD62" s="332"/>
      <c r="BE62" s="332"/>
      <c r="BF62" s="332"/>
      <c r="BG62" s="332"/>
      <c r="BH62" s="332"/>
      <c r="BI62" s="332"/>
      <c r="BJ62" s="332"/>
      <c r="BK62" s="332"/>
      <c r="BL62" s="332"/>
      <c r="BM62" s="332"/>
      <c r="BN62" s="332"/>
    </row>
    <row r="63" spans="1:66" ht="45" x14ac:dyDescent="0.15">
      <c r="A63" s="773"/>
      <c r="B63" s="332"/>
      <c r="C63" s="332"/>
      <c r="D63" s="332"/>
      <c r="E63" s="332"/>
      <c r="F63" s="332" t="str">
        <f ca="1">IFERROR(__xludf.DUMMYFUNCTION("""COMPUTED_VALUE"""),"actionMissionElMachoAttempt")</f>
        <v>actionMissionElMachoAttempt</v>
      </c>
      <c r="G63" s="332" t="str">
        <f ca="1">IFERROR(__xludf.DUMMYFUNCTION("""COMPUTED_VALUE"""),"actionMissionSvengeanceUnlock")</f>
        <v>actionMissionSvengeanceUnlock</v>
      </c>
      <c r="H63" s="332"/>
      <c r="I63" s="332"/>
      <c r="J63" s="332"/>
      <c r="K63" s="332"/>
      <c r="L63" s="332"/>
      <c r="M63" s="332"/>
      <c r="N63" s="332"/>
      <c r="O63" s="332"/>
      <c r="P63" s="332"/>
      <c r="Q63" s="332"/>
      <c r="R63" s="332"/>
      <c r="S63" s="22"/>
      <c r="T63" s="305"/>
      <c r="U63" s="305" t="s">
        <v>6675</v>
      </c>
      <c r="V63" s="305" t="s">
        <v>6676</v>
      </c>
      <c r="W63" s="22"/>
      <c r="X63" s="22"/>
      <c r="Y63" s="22"/>
      <c r="Z63" s="22"/>
      <c r="AA63" s="22"/>
      <c r="AB63" s="332"/>
      <c r="AC63" s="332"/>
      <c r="AD63" s="332"/>
      <c r="AE63" s="332"/>
      <c r="AF63" s="332"/>
      <c r="AG63" s="332"/>
      <c r="AH63" s="332"/>
      <c r="AI63" s="332"/>
      <c r="AJ63" s="332"/>
      <c r="AK63" s="332"/>
      <c r="AL63" s="332"/>
      <c r="AM63" s="334"/>
      <c r="AN63" s="332"/>
      <c r="AO63" s="332"/>
      <c r="AP63" s="332"/>
      <c r="AQ63" s="332"/>
      <c r="AR63" s="332"/>
      <c r="AS63" s="332"/>
      <c r="AT63" s="332"/>
      <c r="AU63" s="332"/>
      <c r="AV63" s="332"/>
      <c r="AW63" s="332"/>
      <c r="AX63" s="332"/>
      <c r="AY63" s="332"/>
      <c r="AZ63" s="332"/>
      <c r="BA63" s="332"/>
      <c r="BB63" s="332"/>
      <c r="BC63" s="332"/>
      <c r="BD63" s="332"/>
      <c r="BE63" s="332"/>
      <c r="BF63" s="332"/>
      <c r="BG63" s="332"/>
      <c r="BH63" s="332"/>
      <c r="BI63" s="332"/>
      <c r="BJ63" s="332"/>
      <c r="BK63" s="332"/>
      <c r="BL63" s="332"/>
      <c r="BM63" s="332"/>
      <c r="BN63" s="332"/>
    </row>
    <row r="64" spans="1:66" ht="30" x14ac:dyDescent="0.15">
      <c r="A64" s="773"/>
      <c r="B64" s="332"/>
      <c r="C64" s="332"/>
      <c r="D64" s="332"/>
      <c r="E64" s="332"/>
      <c r="F64" s="332" t="str">
        <f ca="1">IFERROR(__xludf.DUMMYFUNCTION("""COMPUTED_VALUE"""),"missionElMacho")</f>
        <v>missionElMacho</v>
      </c>
      <c r="G64" s="332" t="str">
        <f ca="1">IFERROR(__xludf.DUMMYFUNCTION("""COMPUTED_VALUE"""),"missionSvengeance")</f>
        <v>missionSvengeance</v>
      </c>
      <c r="H64" s="332"/>
      <c r="I64" s="332"/>
      <c r="J64" s="332"/>
      <c r="K64" s="332"/>
      <c r="L64" s="332"/>
      <c r="M64" s="332"/>
      <c r="N64" s="332"/>
      <c r="O64" s="332"/>
      <c r="P64" s="332"/>
      <c r="Q64" s="332"/>
      <c r="R64" s="332"/>
      <c r="S64" s="22"/>
      <c r="T64" s="305"/>
      <c r="U64" s="305" t="s">
        <v>6677</v>
      </c>
      <c r="V64" s="305" t="s">
        <v>6678</v>
      </c>
      <c r="W64" s="22"/>
      <c r="X64" s="22"/>
      <c r="Y64" s="22"/>
      <c r="Z64" s="22"/>
      <c r="AA64" s="22"/>
      <c r="AB64" s="332"/>
      <c r="AC64" s="332"/>
      <c r="AD64" s="332"/>
      <c r="AE64" s="332"/>
      <c r="AF64" s="332"/>
      <c r="AG64" s="332"/>
      <c r="AH64" s="332"/>
      <c r="AI64" s="332"/>
      <c r="AJ64" s="332"/>
      <c r="AK64" s="332"/>
      <c r="AL64" s="332"/>
      <c r="AM64" s="334"/>
      <c r="AN64" s="332"/>
      <c r="AO64" s="332"/>
      <c r="AP64" s="332"/>
      <c r="AQ64" s="332"/>
      <c r="AR64" s="332"/>
      <c r="AS64" s="332"/>
      <c r="AT64" s="332"/>
      <c r="AU64" s="332"/>
      <c r="AV64" s="332"/>
      <c r="AW64" s="332"/>
      <c r="AX64" s="332"/>
      <c r="AY64" s="332"/>
      <c r="AZ64" s="332"/>
      <c r="BA64" s="332"/>
      <c r="BB64" s="332"/>
      <c r="BC64" s="332"/>
      <c r="BD64" s="332"/>
      <c r="BE64" s="332"/>
      <c r="BF64" s="332"/>
      <c r="BG64" s="332"/>
      <c r="BH64" s="332"/>
      <c r="BI64" s="332"/>
      <c r="BJ64" s="332"/>
      <c r="BK64" s="332"/>
      <c r="BL64" s="332"/>
      <c r="BM64" s="332"/>
      <c r="BN64" s="332"/>
    </row>
    <row r="65" spans="1:66" ht="45" x14ac:dyDescent="0.15">
      <c r="A65" s="773"/>
      <c r="B65" s="332"/>
      <c r="C65" s="332"/>
      <c r="D65" s="332"/>
      <c r="E65" s="332"/>
      <c r="F65" s="332" t="str">
        <f ca="1">IFERROR(__xludf.DUMMYFUNCTION("""COMPUTED_VALUE"""),"achievementMissionElMacho")</f>
        <v>achievementMissionElMacho</v>
      </c>
      <c r="G65" s="332" t="str">
        <f ca="1">IFERROR(__xludf.DUMMYFUNCTION("""COMPUTED_VALUE"""),"achievementMissionSvengeance")</f>
        <v>achievementMissionSvengeance</v>
      </c>
      <c r="H65" s="332"/>
      <c r="I65" s="332"/>
      <c r="J65" s="332"/>
      <c r="K65" s="332"/>
      <c r="L65" s="332"/>
      <c r="M65" s="332"/>
      <c r="N65" s="332"/>
      <c r="O65" s="332"/>
      <c r="P65" s="332"/>
      <c r="Q65" s="332"/>
      <c r="R65" s="332"/>
      <c r="S65" s="22"/>
      <c r="T65" s="305"/>
      <c r="U65" s="305" t="s">
        <v>6679</v>
      </c>
      <c r="V65" s="305" t="s">
        <v>6680</v>
      </c>
      <c r="W65" s="22"/>
      <c r="X65" s="22"/>
      <c r="Y65" s="22"/>
      <c r="Z65" s="22"/>
      <c r="AA65" s="22"/>
      <c r="AB65" s="332"/>
      <c r="AC65" s="332"/>
      <c r="AD65" s="332"/>
      <c r="AE65" s="332"/>
      <c r="AF65" s="332"/>
      <c r="AG65" s="332"/>
      <c r="AH65" s="332"/>
      <c r="AI65" s="332"/>
      <c r="AJ65" s="332"/>
      <c r="AK65" s="332"/>
      <c r="AL65" s="332"/>
      <c r="AM65" s="334"/>
      <c r="AN65" s="332"/>
      <c r="AO65" s="332"/>
      <c r="AP65" s="332"/>
      <c r="AQ65" s="332"/>
      <c r="AR65" s="332"/>
      <c r="AS65" s="332"/>
      <c r="AT65" s="332"/>
      <c r="AU65" s="332"/>
      <c r="AV65" s="332"/>
      <c r="AW65" s="332"/>
      <c r="AX65" s="332"/>
      <c r="AY65" s="332"/>
      <c r="AZ65" s="332"/>
      <c r="BA65" s="332"/>
      <c r="BB65" s="332"/>
      <c r="BC65" s="332"/>
      <c r="BD65" s="332"/>
      <c r="BE65" s="332"/>
      <c r="BF65" s="332"/>
      <c r="BG65" s="332"/>
      <c r="BH65" s="332"/>
      <c r="BI65" s="332"/>
      <c r="BJ65" s="332"/>
      <c r="BK65" s="332"/>
      <c r="BL65" s="332"/>
      <c r="BM65" s="332"/>
      <c r="BN65" s="332"/>
    </row>
    <row r="66" spans="1:66" ht="45" x14ac:dyDescent="0.15">
      <c r="A66" s="773"/>
      <c r="B66" s="332"/>
      <c r="C66" s="332"/>
      <c r="D66" s="332"/>
      <c r="E66" s="332"/>
      <c r="F66" s="332" t="str">
        <f ca="1">IFERROR(__xludf.DUMMYFUNCTION("""COMPUTED_VALUE"""),"actionMissionBrattUnlock")</f>
        <v>actionMissionBrattUnlock</v>
      </c>
      <c r="G66" s="332" t="str">
        <f ca="1">IFERROR(__xludf.DUMMYFUNCTION("""COMPUTED_VALUE"""),"actionMissionJeanClawedUnlock")</f>
        <v>actionMissionJeanClawedUnlock</v>
      </c>
      <c r="H66" s="332"/>
      <c r="I66" s="332"/>
      <c r="J66" s="332"/>
      <c r="K66" s="332"/>
      <c r="L66" s="332"/>
      <c r="M66" s="332"/>
      <c r="N66" s="332"/>
      <c r="O66" s="332"/>
      <c r="P66" s="332"/>
      <c r="Q66" s="332"/>
      <c r="R66" s="332"/>
      <c r="S66" s="22"/>
      <c r="T66" s="305"/>
      <c r="U66" s="305" t="s">
        <v>6681</v>
      </c>
      <c r="V66" s="305" t="s">
        <v>6682</v>
      </c>
      <c r="W66" s="22"/>
      <c r="X66" s="22"/>
      <c r="Y66" s="22"/>
      <c r="Z66" s="22"/>
      <c r="AA66" s="22"/>
      <c r="AB66" s="332"/>
      <c r="AC66" s="332"/>
      <c r="AD66" s="332"/>
      <c r="AE66" s="332"/>
      <c r="AF66" s="332"/>
      <c r="AG66" s="332"/>
      <c r="AH66" s="332"/>
      <c r="AI66" s="332"/>
      <c r="AJ66" s="332"/>
      <c r="AK66" s="332"/>
      <c r="AL66" s="332"/>
      <c r="AM66" s="334"/>
      <c r="AN66" s="332"/>
      <c r="AO66" s="332"/>
      <c r="AP66" s="332"/>
      <c r="AQ66" s="332"/>
      <c r="AR66" s="332"/>
      <c r="AS66" s="332"/>
      <c r="AT66" s="332"/>
      <c r="AU66" s="332"/>
      <c r="AV66" s="332"/>
      <c r="AW66" s="332"/>
      <c r="AX66" s="332"/>
      <c r="AY66" s="332"/>
      <c r="AZ66" s="332"/>
      <c r="BA66" s="332"/>
      <c r="BB66" s="332"/>
      <c r="BC66" s="332"/>
      <c r="BD66" s="332"/>
      <c r="BE66" s="332"/>
      <c r="BF66" s="332"/>
      <c r="BG66" s="332"/>
      <c r="BH66" s="332"/>
      <c r="BI66" s="332"/>
      <c r="BJ66" s="332"/>
      <c r="BK66" s="332"/>
      <c r="BL66" s="332"/>
      <c r="BM66" s="332"/>
      <c r="BN66" s="332"/>
    </row>
    <row r="67" spans="1:66" ht="30" x14ac:dyDescent="0.15">
      <c r="A67" s="773"/>
      <c r="B67" s="332"/>
      <c r="C67" s="332"/>
      <c r="D67" s="332"/>
      <c r="E67" s="332"/>
      <c r="F67" s="332" t="str">
        <f ca="1">IFERROR(__xludf.DUMMYFUNCTION("""COMPUTED_VALUE"""),"actionMissionBrattAttempt")</f>
        <v>actionMissionBrattAttempt</v>
      </c>
      <c r="G67" s="332" t="str">
        <f ca="1">IFERROR(__xludf.DUMMYFUNCTION("""COMPUTED_VALUE"""),"missionJeanClawed")</f>
        <v>missionJeanClawed</v>
      </c>
      <c r="H67" s="332"/>
      <c r="I67" s="332"/>
      <c r="J67" s="332"/>
      <c r="K67" s="332"/>
      <c r="L67" s="332"/>
      <c r="M67" s="332"/>
      <c r="N67" s="332"/>
      <c r="O67" s="332"/>
      <c r="P67" s="332"/>
      <c r="Q67" s="332"/>
      <c r="R67" s="332"/>
      <c r="S67" s="22"/>
      <c r="T67" s="305"/>
      <c r="U67" s="305" t="s">
        <v>6683</v>
      </c>
      <c r="V67" s="305" t="s">
        <v>6684</v>
      </c>
      <c r="W67" s="22"/>
      <c r="X67" s="22"/>
      <c r="Y67" s="22"/>
      <c r="Z67" s="22"/>
      <c r="AA67" s="22"/>
      <c r="AB67" s="332"/>
      <c r="AC67" s="332"/>
      <c r="AD67" s="332"/>
      <c r="AE67" s="332"/>
      <c r="AF67" s="332"/>
      <c r="AG67" s="332"/>
      <c r="AH67" s="332"/>
      <c r="AI67" s="332"/>
      <c r="AJ67" s="332"/>
      <c r="AK67" s="332"/>
      <c r="AL67" s="332"/>
      <c r="AM67" s="334"/>
      <c r="AN67" s="332"/>
      <c r="AO67" s="332"/>
      <c r="AP67" s="332"/>
      <c r="AQ67" s="332"/>
      <c r="AR67" s="332"/>
      <c r="AS67" s="332"/>
      <c r="AT67" s="332"/>
      <c r="AU67" s="332"/>
      <c r="AV67" s="332"/>
      <c r="AW67" s="332"/>
      <c r="AX67" s="332"/>
      <c r="AY67" s="332"/>
      <c r="AZ67" s="332"/>
      <c r="BA67" s="332"/>
      <c r="BB67" s="332"/>
      <c r="BC67" s="332"/>
      <c r="BD67" s="332"/>
      <c r="BE67" s="332"/>
      <c r="BF67" s="332"/>
      <c r="BG67" s="332"/>
      <c r="BH67" s="332"/>
      <c r="BI67" s="332"/>
      <c r="BJ67" s="332"/>
      <c r="BK67" s="332"/>
      <c r="BL67" s="332"/>
      <c r="BM67" s="332"/>
      <c r="BN67" s="332"/>
    </row>
    <row r="68" spans="1:66" ht="45" x14ac:dyDescent="0.15">
      <c r="A68" s="773"/>
      <c r="B68" s="332"/>
      <c r="C68" s="332"/>
      <c r="D68" s="332"/>
      <c r="E68" s="332"/>
      <c r="F68" s="332" t="str">
        <f ca="1">IFERROR(__xludf.DUMMYFUNCTION("""COMPUTED_VALUE"""),"missionBratt")</f>
        <v>missionBratt</v>
      </c>
      <c r="G68" s="332" t="str">
        <f ca="1">IFERROR(__xludf.DUMMYFUNCTION("""COMPUTED_VALUE"""),"achievementMissionJeanClawed")</f>
        <v>achievementMissionJeanClawed</v>
      </c>
      <c r="H68" s="332"/>
      <c r="I68" s="332"/>
      <c r="J68" s="332"/>
      <c r="K68" s="332"/>
      <c r="L68" s="332"/>
      <c r="M68" s="332"/>
      <c r="N68" s="332"/>
      <c r="O68" s="332"/>
      <c r="P68" s="332"/>
      <c r="Q68" s="332"/>
      <c r="R68" s="332"/>
      <c r="S68" s="22"/>
      <c r="T68" s="305"/>
      <c r="U68" s="305" t="s">
        <v>6685</v>
      </c>
      <c r="V68" s="305" t="s">
        <v>6686</v>
      </c>
      <c r="W68" s="22"/>
      <c r="X68" s="22"/>
      <c r="Y68" s="22"/>
      <c r="Z68" s="22"/>
      <c r="AA68" s="22"/>
      <c r="AB68" s="332"/>
      <c r="AC68" s="332"/>
      <c r="AD68" s="332"/>
      <c r="AE68" s="332"/>
      <c r="AF68" s="332"/>
      <c r="AG68" s="332"/>
      <c r="AH68" s="332"/>
      <c r="AI68" s="332"/>
      <c r="AJ68" s="332"/>
      <c r="AK68" s="332"/>
      <c r="AL68" s="332"/>
      <c r="AM68" s="334"/>
      <c r="AN68" s="332"/>
      <c r="AO68" s="332"/>
      <c r="AP68" s="332"/>
      <c r="AQ68" s="332"/>
      <c r="AR68" s="332"/>
      <c r="AS68" s="332"/>
      <c r="AT68" s="332"/>
      <c r="AU68" s="332"/>
      <c r="AV68" s="332"/>
      <c r="AW68" s="332"/>
      <c r="AX68" s="332"/>
      <c r="AY68" s="332"/>
      <c r="AZ68" s="332"/>
      <c r="BA68" s="332"/>
      <c r="BB68" s="332"/>
      <c r="BC68" s="332"/>
      <c r="BD68" s="332"/>
      <c r="BE68" s="332"/>
      <c r="BF68" s="332"/>
      <c r="BG68" s="332"/>
      <c r="BH68" s="332"/>
      <c r="BI68" s="332"/>
      <c r="BJ68" s="332"/>
      <c r="BK68" s="332"/>
      <c r="BL68" s="332"/>
      <c r="BM68" s="332"/>
      <c r="BN68" s="332"/>
    </row>
    <row r="69" spans="1:66" ht="45" x14ac:dyDescent="0.15">
      <c r="A69" s="773"/>
      <c r="B69" s="332"/>
      <c r="C69" s="332"/>
      <c r="D69" s="332"/>
      <c r="E69" s="332"/>
      <c r="F69" s="332" t="str">
        <f ca="1">IFERROR(__xludf.DUMMYFUNCTION("""COMPUTED_VALUE"""),"achievementMissionBratt")</f>
        <v>achievementMissionBratt</v>
      </c>
      <c r="G69" s="332" t="str">
        <f ca="1">IFERROR(__xludf.DUMMYFUNCTION("""COMPUTED_VALUE"""),"achievementPlayNoMinionHits")</f>
        <v>achievementPlayNoMinionHits</v>
      </c>
      <c r="H69" s="332"/>
      <c r="I69" s="332"/>
      <c r="J69" s="332"/>
      <c r="K69" s="332"/>
      <c r="L69" s="332"/>
      <c r="M69" s="332"/>
      <c r="N69" s="332"/>
      <c r="O69" s="332"/>
      <c r="P69" s="332"/>
      <c r="Q69" s="332"/>
      <c r="R69" s="332"/>
      <c r="S69" s="22"/>
      <c r="T69" s="305"/>
      <c r="U69" s="305" t="s">
        <v>6687</v>
      </c>
      <c r="V69" s="305" t="s">
        <v>6688</v>
      </c>
      <c r="W69" s="22"/>
      <c r="X69" s="22"/>
      <c r="Y69" s="22"/>
      <c r="Z69" s="22"/>
      <c r="AA69" s="22"/>
      <c r="AB69" s="332"/>
      <c r="AC69" s="332"/>
      <c r="AD69" s="332"/>
      <c r="AE69" s="332"/>
      <c r="AF69" s="332"/>
      <c r="AG69" s="332"/>
      <c r="AH69" s="332"/>
      <c r="AI69" s="332"/>
      <c r="AJ69" s="332"/>
      <c r="AK69" s="332"/>
      <c r="AL69" s="332"/>
      <c r="AM69" s="334"/>
      <c r="AN69" s="332"/>
      <c r="AO69" s="332"/>
      <c r="AP69" s="332"/>
      <c r="AQ69" s="332"/>
      <c r="AR69" s="332"/>
      <c r="AS69" s="332"/>
      <c r="AT69" s="332"/>
      <c r="AU69" s="332"/>
      <c r="AV69" s="332"/>
      <c r="AW69" s="332"/>
      <c r="AX69" s="332"/>
      <c r="AY69" s="332"/>
      <c r="AZ69" s="332"/>
      <c r="BA69" s="332"/>
      <c r="BB69" s="332"/>
      <c r="BC69" s="332"/>
      <c r="BD69" s="332"/>
      <c r="BE69" s="332"/>
      <c r="BF69" s="332"/>
      <c r="BG69" s="332"/>
      <c r="BH69" s="332"/>
      <c r="BI69" s="332"/>
      <c r="BJ69" s="332"/>
      <c r="BK69" s="332"/>
      <c r="BL69" s="332"/>
      <c r="BM69" s="332"/>
      <c r="BN69" s="332"/>
    </row>
    <row r="70" spans="1:66" ht="45" x14ac:dyDescent="0.15">
      <c r="A70" s="773"/>
      <c r="B70" s="332"/>
      <c r="C70" s="332"/>
      <c r="D70" s="332"/>
      <c r="E70" s="332"/>
      <c r="F70" s="332" t="str">
        <f ca="1">IFERROR(__xludf.DUMMYFUNCTION("""COMPUTED_VALUE"""),"actionLauncherBelle")</f>
        <v>actionLauncherBelle</v>
      </c>
      <c r="G70" s="332" t="str">
        <f ca="1">IFERROR(__xludf.DUMMYFUNCTION("""COMPUTED_VALUE"""),"achievementPlayLauncherUse")</f>
        <v>achievementPlayLauncherUse</v>
      </c>
      <c r="H70" s="332"/>
      <c r="I70" s="332"/>
      <c r="J70" s="332"/>
      <c r="K70" s="332"/>
      <c r="L70" s="332"/>
      <c r="M70" s="332"/>
      <c r="N70" s="332"/>
      <c r="O70" s="332"/>
      <c r="P70" s="332"/>
      <c r="Q70" s="332"/>
      <c r="R70" s="332"/>
      <c r="S70" s="22"/>
      <c r="T70" s="305"/>
      <c r="U70" s="305" t="s">
        <v>6689</v>
      </c>
      <c r="V70" s="305" t="s">
        <v>6690</v>
      </c>
      <c r="W70" s="22"/>
      <c r="X70" s="22"/>
      <c r="Y70" s="22"/>
      <c r="Z70" s="22"/>
      <c r="AA70" s="22"/>
      <c r="AB70" s="332"/>
      <c r="AC70" s="332"/>
      <c r="AD70" s="332"/>
      <c r="AE70" s="332"/>
      <c r="AF70" s="332"/>
      <c r="AG70" s="332"/>
      <c r="AH70" s="332"/>
      <c r="AI70" s="332"/>
      <c r="AJ70" s="332"/>
      <c r="AK70" s="332"/>
      <c r="AL70" s="332"/>
      <c r="AM70" s="334"/>
      <c r="AN70" s="332"/>
      <c r="AO70" s="332"/>
      <c r="AP70" s="332"/>
      <c r="AQ70" s="332"/>
      <c r="AR70" s="332"/>
      <c r="AS70" s="332"/>
      <c r="AT70" s="332"/>
      <c r="AU70" s="332"/>
      <c r="AV70" s="332"/>
      <c r="AW70" s="332"/>
      <c r="AX70" s="332"/>
      <c r="AY70" s="332"/>
      <c r="AZ70" s="332"/>
      <c r="BA70" s="332"/>
      <c r="BB70" s="332"/>
      <c r="BC70" s="332"/>
      <c r="BD70" s="332"/>
      <c r="BE70" s="332"/>
      <c r="BF70" s="332"/>
      <c r="BG70" s="332"/>
      <c r="BH70" s="332"/>
      <c r="BI70" s="332"/>
      <c r="BJ70" s="332"/>
      <c r="BK70" s="332"/>
      <c r="BL70" s="332"/>
      <c r="BM70" s="332"/>
      <c r="BN70" s="332"/>
    </row>
    <row r="71" spans="1:66" ht="45" x14ac:dyDescent="0.15">
      <c r="A71" s="773"/>
      <c r="B71" s="332"/>
      <c r="C71" s="332"/>
      <c r="D71" s="332"/>
      <c r="E71" s="332"/>
      <c r="F71" s="332" t="str">
        <f ca="1">IFERROR(__xludf.DUMMYFUNCTION("""COMPUTED_VALUE"""),"actionMissionBelleUnlock")</f>
        <v>actionMissionBelleUnlock</v>
      </c>
      <c r="G71" s="332" t="str">
        <f ca="1">IFERROR(__xludf.DUMMYFUNCTION("""COMPUTED_VALUE"""),"achievementPlayUltimateUse")</f>
        <v>achievementPlayUltimateUse</v>
      </c>
      <c r="H71" s="332"/>
      <c r="I71" s="332"/>
      <c r="J71" s="332"/>
      <c r="K71" s="332"/>
      <c r="L71" s="332"/>
      <c r="M71" s="332"/>
      <c r="N71" s="332"/>
      <c r="O71" s="332"/>
      <c r="P71" s="332"/>
      <c r="Q71" s="332"/>
      <c r="R71" s="332"/>
      <c r="S71" s="22"/>
      <c r="T71" s="305"/>
      <c r="U71" s="305" t="s">
        <v>6691</v>
      </c>
      <c r="V71" s="305" t="s">
        <v>6692</v>
      </c>
      <c r="W71" s="22"/>
      <c r="X71" s="22"/>
      <c r="Y71" s="22"/>
      <c r="Z71" s="22"/>
      <c r="AA71" s="22"/>
      <c r="AB71" s="332"/>
      <c r="AC71" s="332"/>
      <c r="AD71" s="332"/>
      <c r="AE71" s="332"/>
      <c r="AF71" s="332"/>
      <c r="AG71" s="332"/>
      <c r="AH71" s="332"/>
      <c r="AI71" s="332"/>
      <c r="AJ71" s="332"/>
      <c r="AK71" s="332"/>
      <c r="AL71" s="332"/>
      <c r="AM71" s="334"/>
      <c r="AN71" s="332"/>
      <c r="AO71" s="332"/>
      <c r="AP71" s="332"/>
      <c r="AQ71" s="332"/>
      <c r="AR71" s="332"/>
      <c r="AS71" s="332"/>
      <c r="AT71" s="332"/>
      <c r="AU71" s="332"/>
      <c r="AV71" s="332"/>
      <c r="AW71" s="332"/>
      <c r="AX71" s="332"/>
      <c r="AY71" s="332"/>
      <c r="AZ71" s="332"/>
      <c r="BA71" s="332"/>
      <c r="BB71" s="332"/>
      <c r="BC71" s="332"/>
      <c r="BD71" s="332"/>
      <c r="BE71" s="332"/>
      <c r="BF71" s="332"/>
      <c r="BG71" s="332"/>
      <c r="BH71" s="332"/>
      <c r="BI71" s="332"/>
      <c r="BJ71" s="332"/>
      <c r="BK71" s="332"/>
      <c r="BL71" s="332"/>
      <c r="BM71" s="332"/>
      <c r="BN71" s="332"/>
    </row>
    <row r="72" spans="1:66" ht="45" x14ac:dyDescent="0.15">
      <c r="A72" s="773"/>
      <c r="B72" s="332"/>
      <c r="C72" s="332"/>
      <c r="D72" s="332"/>
      <c r="E72" s="332"/>
      <c r="F72" s="332" t="str">
        <f ca="1">IFERROR(__xludf.DUMMYFUNCTION("""COMPUTED_VALUE"""),"actionMissionBelleAttempt")</f>
        <v>actionMissionBelleAttempt</v>
      </c>
      <c r="G72" s="332" t="str">
        <f ca="1">IFERROR(__xludf.DUMMYFUNCTION("""COMPUTED_VALUE"""),"achievementPlayObjectsFreeze")</f>
        <v>achievementPlayObjectsFreeze</v>
      </c>
      <c r="H72" s="332"/>
      <c r="I72" s="332"/>
      <c r="J72" s="332"/>
      <c r="K72" s="332"/>
      <c r="L72" s="332"/>
      <c r="M72" s="332"/>
      <c r="N72" s="332"/>
      <c r="O72" s="332"/>
      <c r="P72" s="332"/>
      <c r="Q72" s="332"/>
      <c r="R72" s="332"/>
      <c r="S72" s="22"/>
      <c r="T72" s="305"/>
      <c r="U72" s="305" t="s">
        <v>6693</v>
      </c>
      <c r="V72" s="305" t="s">
        <v>6694</v>
      </c>
      <c r="W72" s="22"/>
      <c r="X72" s="22"/>
      <c r="Y72" s="22"/>
      <c r="Z72" s="22"/>
      <c r="AA72" s="22"/>
      <c r="AB72" s="332"/>
      <c r="AC72" s="332"/>
      <c r="AD72" s="332"/>
      <c r="AE72" s="332"/>
      <c r="AF72" s="332"/>
      <c r="AG72" s="332"/>
      <c r="AH72" s="332"/>
      <c r="AI72" s="332"/>
      <c r="AJ72" s="332"/>
      <c r="AK72" s="332"/>
      <c r="AL72" s="332"/>
      <c r="AM72" s="334"/>
      <c r="AN72" s="332"/>
      <c r="AO72" s="332"/>
      <c r="AP72" s="332"/>
      <c r="AQ72" s="332"/>
      <c r="AR72" s="332"/>
      <c r="AS72" s="332"/>
      <c r="AT72" s="332"/>
      <c r="AU72" s="332"/>
      <c r="AV72" s="332"/>
      <c r="AW72" s="332"/>
      <c r="AX72" s="332"/>
      <c r="AY72" s="332"/>
      <c r="AZ72" s="332"/>
      <c r="BA72" s="332"/>
      <c r="BB72" s="332"/>
      <c r="BC72" s="332"/>
      <c r="BD72" s="332"/>
      <c r="BE72" s="332"/>
      <c r="BF72" s="332"/>
      <c r="BG72" s="332"/>
      <c r="BH72" s="332"/>
      <c r="BI72" s="332"/>
      <c r="BJ72" s="332"/>
      <c r="BK72" s="332"/>
      <c r="BL72" s="332"/>
      <c r="BM72" s="332"/>
      <c r="BN72" s="332"/>
    </row>
    <row r="73" spans="1:66" ht="45" x14ac:dyDescent="0.15">
      <c r="A73" s="773"/>
      <c r="B73" s="332"/>
      <c r="C73" s="332"/>
      <c r="D73" s="332"/>
      <c r="E73" s="332"/>
      <c r="F73" s="332" t="str">
        <f ca="1">IFERROR(__xludf.DUMMYFUNCTION("""COMPUTED_VALUE"""),"missionBelle")</f>
        <v>missionBelle</v>
      </c>
      <c r="G73" s="332" t="str">
        <f ca="1">IFERROR(__xludf.DUMMYFUNCTION("""COMPUTED_VALUE"""),"achievementPlayObjectsBurn")</f>
        <v>achievementPlayObjectsBurn</v>
      </c>
      <c r="H73" s="332"/>
      <c r="I73" s="332"/>
      <c r="J73" s="332"/>
      <c r="K73" s="332"/>
      <c r="L73" s="332"/>
      <c r="M73" s="332"/>
      <c r="N73" s="332"/>
      <c r="O73" s="332"/>
      <c r="P73" s="332"/>
      <c r="Q73" s="332"/>
      <c r="R73" s="332"/>
      <c r="S73" s="22"/>
      <c r="T73" s="305"/>
      <c r="U73" s="305" t="s">
        <v>6695</v>
      </c>
      <c r="V73" s="305" t="s">
        <v>6696</v>
      </c>
      <c r="W73" s="22"/>
      <c r="X73" s="22"/>
      <c r="Y73" s="22"/>
      <c r="Z73" s="22"/>
      <c r="AA73" s="22"/>
      <c r="AB73" s="332"/>
      <c r="AC73" s="332"/>
      <c r="AD73" s="332"/>
      <c r="AE73" s="332"/>
      <c r="AF73" s="332"/>
      <c r="AG73" s="332"/>
      <c r="AH73" s="332"/>
      <c r="AI73" s="332"/>
      <c r="AJ73" s="332"/>
      <c r="AK73" s="332"/>
      <c r="AL73" s="332"/>
      <c r="AM73" s="334"/>
      <c r="AN73" s="332"/>
      <c r="AO73" s="332"/>
      <c r="AP73" s="332"/>
      <c r="AQ73" s="332"/>
      <c r="AR73" s="332"/>
      <c r="AS73" s="332"/>
      <c r="AT73" s="332"/>
      <c r="AU73" s="332"/>
      <c r="AV73" s="332"/>
      <c r="AW73" s="332"/>
      <c r="AX73" s="332"/>
      <c r="AY73" s="332"/>
      <c r="AZ73" s="332"/>
      <c r="BA73" s="332"/>
      <c r="BB73" s="332"/>
      <c r="BC73" s="332"/>
      <c r="BD73" s="332"/>
      <c r="BE73" s="332"/>
      <c r="BF73" s="332"/>
      <c r="BG73" s="332"/>
      <c r="BH73" s="332"/>
      <c r="BI73" s="332"/>
      <c r="BJ73" s="332"/>
      <c r="BK73" s="332"/>
      <c r="BL73" s="332"/>
      <c r="BM73" s="332"/>
      <c r="BN73" s="332"/>
    </row>
    <row r="74" spans="1:66" ht="45" x14ac:dyDescent="0.15">
      <c r="A74" s="773"/>
      <c r="B74" s="332"/>
      <c r="C74" s="332"/>
      <c r="D74" s="332"/>
      <c r="E74" s="332"/>
      <c r="F74" s="332" t="str">
        <f ca="1">IFERROR(__xludf.DUMMYFUNCTION("""COMPUTED_VALUE"""),"achievementMissionBelle")</f>
        <v>achievementMissionBelle</v>
      </c>
      <c r="G74" s="332" t="str">
        <f ca="1">IFERROR(__xludf.DUMMYFUNCTION("""COMPUTED_VALUE"""),"achievementPlayObjectsElectrify")</f>
        <v>achievementPlayObjectsElectrify</v>
      </c>
      <c r="H74" s="332"/>
      <c r="I74" s="332"/>
      <c r="J74" s="332"/>
      <c r="K74" s="332"/>
      <c r="L74" s="332"/>
      <c r="M74" s="332"/>
      <c r="N74" s="332"/>
      <c r="O74" s="332"/>
      <c r="P74" s="332"/>
      <c r="Q74" s="332"/>
      <c r="R74" s="332"/>
      <c r="S74" s="22"/>
      <c r="T74" s="305"/>
      <c r="U74" s="305" t="s">
        <v>6697</v>
      </c>
      <c r="V74" s="305" t="s">
        <v>6698</v>
      </c>
      <c r="W74" s="22"/>
      <c r="X74" s="22"/>
      <c r="Y74" s="22"/>
      <c r="Z74" s="22"/>
      <c r="AA74" s="22"/>
      <c r="AB74" s="332"/>
      <c r="AC74" s="332"/>
      <c r="AD74" s="332"/>
      <c r="AE74" s="332"/>
      <c r="AF74" s="332"/>
      <c r="AG74" s="332"/>
      <c r="AH74" s="332"/>
      <c r="AI74" s="332"/>
      <c r="AJ74" s="332"/>
      <c r="AK74" s="332"/>
      <c r="AL74" s="332"/>
      <c r="AM74" s="334"/>
      <c r="AN74" s="332"/>
      <c r="AO74" s="332"/>
      <c r="AP74" s="332"/>
      <c r="AQ74" s="332"/>
      <c r="AR74" s="332"/>
      <c r="AS74" s="332"/>
      <c r="AT74" s="332"/>
      <c r="AU74" s="332"/>
      <c r="AV74" s="332"/>
      <c r="AW74" s="332"/>
      <c r="AX74" s="332"/>
      <c r="AY74" s="332"/>
      <c r="AZ74" s="332"/>
      <c r="BA74" s="332"/>
      <c r="BB74" s="332"/>
      <c r="BC74" s="332"/>
      <c r="BD74" s="332"/>
      <c r="BE74" s="332"/>
      <c r="BF74" s="332"/>
      <c r="BG74" s="332"/>
      <c r="BH74" s="332"/>
      <c r="BI74" s="332"/>
      <c r="BJ74" s="332"/>
      <c r="BK74" s="332"/>
      <c r="BL74" s="332"/>
      <c r="BM74" s="332"/>
      <c r="BN74" s="332"/>
    </row>
    <row r="75" spans="1:66" ht="45" x14ac:dyDescent="0.15">
      <c r="A75" s="773"/>
      <c r="B75" s="332"/>
      <c r="C75" s="332"/>
      <c r="D75" s="332"/>
      <c r="E75" s="332"/>
      <c r="F75" s="332" t="str">
        <f ca="1">IFERROR(__xludf.DUMMYFUNCTION("""COMPUTED_VALUE"""),"actionLauncherStronghold")</f>
        <v>actionLauncherStronghold</v>
      </c>
      <c r="G75" s="332" t="str">
        <f ca="1">IFERROR(__xludf.DUMMYFUNCTION("""COMPUTED_VALUE"""),"achievementPlayObjectsCrush")</f>
        <v>achievementPlayObjectsCrush</v>
      </c>
      <c r="H75" s="332"/>
      <c r="I75" s="332"/>
      <c r="J75" s="332"/>
      <c r="K75" s="332"/>
      <c r="L75" s="332"/>
      <c r="M75" s="332"/>
      <c r="N75" s="332"/>
      <c r="O75" s="332"/>
      <c r="P75" s="332"/>
      <c r="Q75" s="332"/>
      <c r="R75" s="332"/>
      <c r="S75" s="22"/>
      <c r="T75" s="305"/>
      <c r="U75" s="305" t="s">
        <v>6699</v>
      </c>
      <c r="V75" s="305" t="s">
        <v>6700</v>
      </c>
      <c r="W75" s="22"/>
      <c r="X75" s="22"/>
      <c r="Y75" s="22"/>
      <c r="Z75" s="22"/>
      <c r="AA75" s="22"/>
      <c r="AB75" s="332"/>
      <c r="AC75" s="332"/>
      <c r="AD75" s="332"/>
      <c r="AE75" s="332"/>
      <c r="AF75" s="332"/>
      <c r="AG75" s="332"/>
      <c r="AH75" s="332"/>
      <c r="AI75" s="332"/>
      <c r="AJ75" s="332"/>
      <c r="AK75" s="332"/>
      <c r="AL75" s="332"/>
      <c r="AM75" s="334"/>
      <c r="AN75" s="332"/>
      <c r="AO75" s="332"/>
      <c r="AP75" s="332"/>
      <c r="AQ75" s="332"/>
      <c r="AR75" s="332"/>
      <c r="AS75" s="332"/>
      <c r="AT75" s="332"/>
      <c r="AU75" s="332"/>
      <c r="AV75" s="332"/>
      <c r="AW75" s="332"/>
      <c r="AX75" s="332"/>
      <c r="AY75" s="332"/>
      <c r="AZ75" s="332"/>
      <c r="BA75" s="332"/>
      <c r="BB75" s="332"/>
      <c r="BC75" s="332"/>
      <c r="BD75" s="332"/>
      <c r="BE75" s="332"/>
      <c r="BF75" s="332"/>
      <c r="BG75" s="332"/>
      <c r="BH75" s="332"/>
      <c r="BI75" s="332"/>
      <c r="BJ75" s="332"/>
      <c r="BK75" s="332"/>
      <c r="BL75" s="332"/>
      <c r="BM75" s="332"/>
      <c r="BN75" s="332"/>
    </row>
    <row r="76" spans="1:66" ht="45" x14ac:dyDescent="0.15">
      <c r="A76" s="773"/>
      <c r="B76" s="332"/>
      <c r="C76" s="332"/>
      <c r="D76" s="332"/>
      <c r="E76" s="332"/>
      <c r="F76" s="332" t="str">
        <f ca="1">IFERROR(__xludf.DUMMYFUNCTION("""COMPUTED_VALUE"""),"actionMissionStrongholdUnlock")</f>
        <v>actionMissionStrongholdUnlock</v>
      </c>
      <c r="G76" s="332" t="str">
        <f ca="1">IFERROR(__xludf.DUMMYFUNCTION("""COMPUTED_VALUE"""),"achievementPlayBombsExplode")</f>
        <v>achievementPlayBombsExplode</v>
      </c>
      <c r="H76" s="332"/>
      <c r="I76" s="332"/>
      <c r="J76" s="332"/>
      <c r="K76" s="332"/>
      <c r="L76" s="332"/>
      <c r="M76" s="332"/>
      <c r="N76" s="332"/>
      <c r="O76" s="332"/>
      <c r="P76" s="332"/>
      <c r="Q76" s="332"/>
      <c r="R76" s="332"/>
      <c r="S76" s="22"/>
      <c r="T76" s="305"/>
      <c r="U76" s="305" t="s">
        <v>6701</v>
      </c>
      <c r="V76" s="305" t="s">
        <v>6702</v>
      </c>
      <c r="W76" s="22"/>
      <c r="X76" s="22"/>
      <c r="Y76" s="22"/>
      <c r="Z76" s="22"/>
      <c r="AA76" s="22"/>
      <c r="AB76" s="332"/>
      <c r="AC76" s="332"/>
      <c r="AD76" s="332"/>
      <c r="AE76" s="332"/>
      <c r="AF76" s="332"/>
      <c r="AG76" s="332"/>
      <c r="AH76" s="332"/>
      <c r="AI76" s="332"/>
      <c r="AJ76" s="332"/>
      <c r="AK76" s="332"/>
      <c r="AL76" s="332"/>
      <c r="AM76" s="334"/>
      <c r="AN76" s="332"/>
      <c r="AO76" s="332"/>
      <c r="AP76" s="332"/>
      <c r="AQ76" s="332"/>
      <c r="AR76" s="332"/>
      <c r="AS76" s="332"/>
      <c r="AT76" s="332"/>
      <c r="AU76" s="332"/>
      <c r="AV76" s="332"/>
      <c r="AW76" s="332"/>
      <c r="AX76" s="332"/>
      <c r="AY76" s="332"/>
      <c r="AZ76" s="332"/>
      <c r="BA76" s="332"/>
      <c r="BB76" s="332"/>
      <c r="BC76" s="332"/>
      <c r="BD76" s="332"/>
      <c r="BE76" s="332"/>
      <c r="BF76" s="332"/>
      <c r="BG76" s="332"/>
      <c r="BH76" s="332"/>
      <c r="BI76" s="332"/>
      <c r="BJ76" s="332"/>
      <c r="BK76" s="332"/>
      <c r="BL76" s="332"/>
      <c r="BM76" s="332"/>
      <c r="BN76" s="332"/>
    </row>
    <row r="77" spans="1:66" ht="45" x14ac:dyDescent="0.15">
      <c r="A77" s="773"/>
      <c r="B77" s="332"/>
      <c r="C77" s="332"/>
      <c r="D77" s="332"/>
      <c r="E77" s="332"/>
      <c r="F77" s="332" t="str">
        <f ca="1">IFERROR(__xludf.DUMMYFUNCTION("""COMPUTED_VALUE"""),"actionMissionStrongholdAttempt")</f>
        <v>actionMissionStrongholdAttempt</v>
      </c>
      <c r="G77" s="332" t="str">
        <f ca="1">IFERROR(__xludf.DUMMYFUNCTION("""COMPUTED_VALUE"""),"achievementPlayerNerfed")</f>
        <v>achievementPlayerNerfed</v>
      </c>
      <c r="H77" s="332"/>
      <c r="I77" s="332"/>
      <c r="J77" s="332"/>
      <c r="K77" s="332"/>
      <c r="L77" s="332"/>
      <c r="M77" s="332"/>
      <c r="N77" s="332"/>
      <c r="O77" s="332"/>
      <c r="P77" s="332"/>
      <c r="Q77" s="332"/>
      <c r="R77" s="332"/>
      <c r="S77" s="22"/>
      <c r="T77" s="305"/>
      <c r="U77" s="305" t="s">
        <v>6703</v>
      </c>
      <c r="V77" s="305" t="s">
        <v>6704</v>
      </c>
      <c r="W77" s="22"/>
      <c r="X77" s="22"/>
      <c r="Y77" s="22"/>
      <c r="Z77" s="22"/>
      <c r="AA77" s="22"/>
      <c r="AB77" s="332"/>
      <c r="AC77" s="332"/>
      <c r="AD77" s="332"/>
      <c r="AE77" s="332"/>
      <c r="AF77" s="332"/>
      <c r="AG77" s="332"/>
      <c r="AH77" s="332"/>
      <c r="AI77" s="332"/>
      <c r="AJ77" s="332"/>
      <c r="AK77" s="332"/>
      <c r="AL77" s="332"/>
      <c r="AM77" s="334"/>
      <c r="AN77" s="332"/>
      <c r="AO77" s="332"/>
      <c r="AP77" s="332"/>
      <c r="AQ77" s="332"/>
      <c r="AR77" s="332"/>
      <c r="AS77" s="332"/>
      <c r="AT77" s="332"/>
      <c r="AU77" s="332"/>
      <c r="AV77" s="332"/>
      <c r="AW77" s="332"/>
      <c r="AX77" s="332"/>
      <c r="AY77" s="332"/>
      <c r="AZ77" s="332"/>
      <c r="BA77" s="332"/>
      <c r="BB77" s="332"/>
      <c r="BC77" s="332"/>
      <c r="BD77" s="332"/>
      <c r="BE77" s="332"/>
      <c r="BF77" s="332"/>
      <c r="BG77" s="332"/>
      <c r="BH77" s="332"/>
      <c r="BI77" s="332"/>
      <c r="BJ77" s="332"/>
      <c r="BK77" s="332"/>
      <c r="BL77" s="332"/>
      <c r="BM77" s="332"/>
      <c r="BN77" s="332"/>
    </row>
    <row r="78" spans="1:66" ht="45" x14ac:dyDescent="0.15">
      <c r="A78" s="773"/>
      <c r="B78" s="332"/>
      <c r="C78" s="332"/>
      <c r="D78" s="332"/>
      <c r="E78" s="332"/>
      <c r="F78" s="332" t="str">
        <f ca="1">IFERROR(__xludf.DUMMYFUNCTION("""COMPUTED_VALUE"""),"missionStronghold")</f>
        <v>missionStronghold</v>
      </c>
      <c r="G78" s="332" t="str">
        <f ca="1">IFERROR(__xludf.DUMMYFUNCTION("""COMPUTED_VALUE"""),"achievementPlayCharacterPickup")</f>
        <v>achievementPlayCharacterPickup</v>
      </c>
      <c r="H78" s="332"/>
      <c r="I78" s="332"/>
      <c r="J78" s="332"/>
      <c r="K78" s="332"/>
      <c r="L78" s="332"/>
      <c r="M78" s="332"/>
      <c r="N78" s="332"/>
      <c r="O78" s="332"/>
      <c r="P78" s="332"/>
      <c r="Q78" s="332"/>
      <c r="R78" s="332"/>
      <c r="S78" s="22"/>
      <c r="T78" s="305"/>
      <c r="U78" s="305" t="s">
        <v>6705</v>
      </c>
      <c r="V78" s="305" t="s">
        <v>6706</v>
      </c>
      <c r="W78" s="22"/>
      <c r="X78" s="22"/>
      <c r="Y78" s="22"/>
      <c r="Z78" s="22"/>
      <c r="AA78" s="22"/>
      <c r="AB78" s="332"/>
      <c r="AC78" s="332"/>
      <c r="AD78" s="332"/>
      <c r="AE78" s="332"/>
      <c r="AF78" s="332"/>
      <c r="AG78" s="332"/>
      <c r="AH78" s="332"/>
      <c r="AI78" s="332"/>
      <c r="AJ78" s="332"/>
      <c r="AK78" s="332"/>
      <c r="AL78" s="332"/>
      <c r="AM78" s="334"/>
      <c r="AN78" s="332"/>
      <c r="AO78" s="332"/>
      <c r="AP78" s="332"/>
      <c r="AQ78" s="332"/>
      <c r="AR78" s="332"/>
      <c r="AS78" s="332"/>
      <c r="AT78" s="332"/>
      <c r="AU78" s="332"/>
      <c r="AV78" s="332"/>
      <c r="AW78" s="332"/>
      <c r="AX78" s="332"/>
      <c r="AY78" s="332"/>
      <c r="AZ78" s="332"/>
      <c r="BA78" s="332"/>
      <c r="BB78" s="332"/>
      <c r="BC78" s="332"/>
      <c r="BD78" s="332"/>
      <c r="BE78" s="332"/>
      <c r="BF78" s="332"/>
      <c r="BG78" s="332"/>
      <c r="BH78" s="332"/>
      <c r="BI78" s="332"/>
      <c r="BJ78" s="332"/>
      <c r="BK78" s="332"/>
      <c r="BL78" s="332"/>
      <c r="BM78" s="332"/>
      <c r="BN78" s="332"/>
    </row>
    <row r="79" spans="1:66" ht="45" x14ac:dyDescent="0.15">
      <c r="A79" s="773"/>
      <c r="B79" s="332"/>
      <c r="C79" s="332"/>
      <c r="D79" s="332"/>
      <c r="E79" s="332"/>
      <c r="F79" s="332" t="str">
        <f ca="1">IFERROR(__xludf.DUMMYFUNCTION("""COMPUTED_VALUE"""),"achievementMissionStronghold")</f>
        <v>achievementMissionStronghold</v>
      </c>
      <c r="G79" s="332" t="str">
        <f ca="1">IFERROR(__xludf.DUMMYFUNCTION("""COMPUTED_VALUE"""),"achievementPlayEarlyBird")</f>
        <v>achievementPlayEarlyBird</v>
      </c>
      <c r="H79" s="332"/>
      <c r="I79" s="332"/>
      <c r="J79" s="332"/>
      <c r="K79" s="332"/>
      <c r="L79" s="332"/>
      <c r="M79" s="332"/>
      <c r="N79" s="332"/>
      <c r="O79" s="332"/>
      <c r="P79" s="332"/>
      <c r="Q79" s="332"/>
      <c r="R79" s="332"/>
      <c r="S79" s="22"/>
      <c r="T79" s="305"/>
      <c r="U79" s="305" t="s">
        <v>6707</v>
      </c>
      <c r="V79" s="305" t="s">
        <v>6708</v>
      </c>
      <c r="W79" s="22"/>
      <c r="X79" s="22"/>
      <c r="Y79" s="22"/>
      <c r="Z79" s="22"/>
      <c r="AA79" s="22"/>
      <c r="AB79" s="332"/>
      <c r="AC79" s="332"/>
      <c r="AD79" s="332"/>
      <c r="AE79" s="332"/>
      <c r="AF79" s="332"/>
      <c r="AG79" s="332"/>
      <c r="AH79" s="332"/>
      <c r="AI79" s="332"/>
      <c r="AJ79" s="332"/>
      <c r="AK79" s="332"/>
      <c r="AL79" s="332"/>
      <c r="AM79" s="334"/>
      <c r="AN79" s="332"/>
      <c r="AO79" s="332"/>
      <c r="AP79" s="332"/>
      <c r="AQ79" s="332"/>
      <c r="AR79" s="332"/>
      <c r="AS79" s="332"/>
      <c r="AT79" s="332"/>
      <c r="AU79" s="332"/>
      <c r="AV79" s="332"/>
      <c r="AW79" s="332"/>
      <c r="AX79" s="332"/>
      <c r="AY79" s="332"/>
      <c r="AZ79" s="332"/>
      <c r="BA79" s="332"/>
      <c r="BB79" s="332"/>
      <c r="BC79" s="332"/>
      <c r="BD79" s="332"/>
      <c r="BE79" s="332"/>
      <c r="BF79" s="332"/>
      <c r="BG79" s="332"/>
      <c r="BH79" s="332"/>
      <c r="BI79" s="332"/>
      <c r="BJ79" s="332"/>
      <c r="BK79" s="332"/>
      <c r="BL79" s="332"/>
      <c r="BM79" s="332"/>
      <c r="BN79" s="332"/>
    </row>
    <row r="80" spans="1:66" ht="30" x14ac:dyDescent="0.15">
      <c r="A80" s="773"/>
      <c r="B80" s="332"/>
      <c r="C80" s="332"/>
      <c r="D80" s="332"/>
      <c r="E80" s="332"/>
      <c r="F80" s="332" t="str">
        <f ca="1">IFERROR(__xludf.DUMMYFUNCTION("""COMPUTED_VALUE"""),"actionLauncherNunchuck")</f>
        <v>actionLauncherNunchuck</v>
      </c>
      <c r="G80" s="332" t="str">
        <f ca="1">IFERROR(__xludf.DUMMYFUNCTION("""COMPUTED_VALUE"""),"achievementPlayLateNight")</f>
        <v>achievementPlayLateNight</v>
      </c>
      <c r="H80" s="332"/>
      <c r="I80" s="332"/>
      <c r="J80" s="332"/>
      <c r="K80" s="332"/>
      <c r="L80" s="332"/>
      <c r="M80" s="332"/>
      <c r="N80" s="332"/>
      <c r="O80" s="332"/>
      <c r="P80" s="332"/>
      <c r="Q80" s="332"/>
      <c r="R80" s="332"/>
      <c r="S80" s="22"/>
      <c r="T80" s="305"/>
      <c r="U80" s="305" t="s">
        <v>6709</v>
      </c>
      <c r="V80" s="305" t="s">
        <v>6710</v>
      </c>
      <c r="W80" s="22"/>
      <c r="X80" s="22"/>
      <c r="Y80" s="22"/>
      <c r="Z80" s="22"/>
      <c r="AA80" s="22"/>
      <c r="AB80" s="332"/>
      <c r="AC80" s="332"/>
      <c r="AD80" s="332"/>
      <c r="AE80" s="332"/>
      <c r="AF80" s="332"/>
      <c r="AG80" s="332"/>
      <c r="AH80" s="332"/>
      <c r="AI80" s="332"/>
      <c r="AJ80" s="332"/>
      <c r="AK80" s="332"/>
      <c r="AL80" s="332"/>
      <c r="AM80" s="334"/>
      <c r="AN80" s="332"/>
      <c r="AO80" s="332"/>
      <c r="AP80" s="332"/>
      <c r="AQ80" s="332"/>
      <c r="AR80" s="332"/>
      <c r="AS80" s="332"/>
      <c r="AT80" s="332"/>
      <c r="AU80" s="332"/>
      <c r="AV80" s="332"/>
      <c r="AW80" s="332"/>
      <c r="AX80" s="332"/>
      <c r="AY80" s="332"/>
      <c r="AZ80" s="332"/>
      <c r="BA80" s="332"/>
      <c r="BB80" s="332"/>
      <c r="BC80" s="332"/>
      <c r="BD80" s="332"/>
      <c r="BE80" s="332"/>
      <c r="BF80" s="332"/>
      <c r="BG80" s="332"/>
      <c r="BH80" s="332"/>
      <c r="BI80" s="332"/>
      <c r="BJ80" s="332"/>
      <c r="BK80" s="332"/>
      <c r="BL80" s="332"/>
      <c r="BM80" s="332"/>
      <c r="BN80" s="332"/>
    </row>
    <row r="81" spans="1:66" ht="45" x14ac:dyDescent="0.15">
      <c r="A81" s="773"/>
      <c r="B81" s="332"/>
      <c r="C81" s="332"/>
      <c r="D81" s="332"/>
      <c r="E81" s="332"/>
      <c r="F81" s="332" t="str">
        <f ca="1">IFERROR(__xludf.DUMMYFUNCTION("""COMPUTED_VALUE"""),"actionMissionNunchuckUnlock")</f>
        <v>actionMissionNunchuckUnlock</v>
      </c>
      <c r="G81" s="332" t="str">
        <f ca="1">IFERROR(__xludf.DUMMYFUNCTION("""COMPUTED_VALUE"""),"achievementPlaySameDay")</f>
        <v>achievementPlaySameDay</v>
      </c>
      <c r="H81" s="332"/>
      <c r="I81" s="332"/>
      <c r="J81" s="332"/>
      <c r="K81" s="332"/>
      <c r="L81" s="332"/>
      <c r="M81" s="332"/>
      <c r="N81" s="332"/>
      <c r="O81" s="332"/>
      <c r="P81" s="332"/>
      <c r="Q81" s="332"/>
      <c r="R81" s="332"/>
      <c r="S81" s="22"/>
      <c r="T81" s="305"/>
      <c r="U81" s="305" t="s">
        <v>6711</v>
      </c>
      <c r="V81" s="305" t="s">
        <v>6712</v>
      </c>
      <c r="W81" s="22"/>
      <c r="X81" s="22"/>
      <c r="Y81" s="22"/>
      <c r="Z81" s="22"/>
      <c r="AA81" s="22"/>
      <c r="AB81" s="332"/>
      <c r="AC81" s="332"/>
      <c r="AD81" s="332"/>
      <c r="AE81" s="332"/>
      <c r="AF81" s="332"/>
      <c r="AG81" s="332"/>
      <c r="AH81" s="332"/>
      <c r="AI81" s="332"/>
      <c r="AJ81" s="332"/>
      <c r="AK81" s="332"/>
      <c r="AL81" s="332"/>
      <c r="AM81" s="334"/>
      <c r="AN81" s="332"/>
      <c r="AO81" s="332"/>
      <c r="AP81" s="332"/>
      <c r="AQ81" s="332"/>
      <c r="AR81" s="332"/>
      <c r="AS81" s="332"/>
      <c r="AT81" s="332"/>
      <c r="AU81" s="332"/>
      <c r="AV81" s="332"/>
      <c r="AW81" s="332"/>
      <c r="AX81" s="332"/>
      <c r="AY81" s="332"/>
      <c r="AZ81" s="332"/>
      <c r="BA81" s="332"/>
      <c r="BB81" s="332"/>
      <c r="BC81" s="332"/>
      <c r="BD81" s="332"/>
      <c r="BE81" s="332"/>
      <c r="BF81" s="332"/>
      <c r="BG81" s="332"/>
      <c r="BH81" s="332"/>
      <c r="BI81" s="332"/>
      <c r="BJ81" s="332"/>
      <c r="BK81" s="332"/>
      <c r="BL81" s="332"/>
      <c r="BM81" s="332"/>
      <c r="BN81" s="332"/>
    </row>
    <row r="82" spans="1:66" ht="45" x14ac:dyDescent="0.15">
      <c r="A82" s="773"/>
      <c r="B82" s="332"/>
      <c r="C82" s="332"/>
      <c r="D82" s="332"/>
      <c r="E82" s="332"/>
      <c r="F82" s="332" t="str">
        <f ca="1">IFERROR(__xludf.DUMMYFUNCTION("""COMPUTED_VALUE"""),"actionMissionNunchuckAttempt")</f>
        <v>actionMissionNunchuckAttempt</v>
      </c>
      <c r="G82" s="332" t="str">
        <f ca="1">IFERROR(__xludf.DUMMYFUNCTION("""COMPUTED_VALUE"""),"achievementPlayTimes")</f>
        <v>achievementPlayTimes</v>
      </c>
      <c r="H82" s="332"/>
      <c r="I82" s="332"/>
      <c r="J82" s="332"/>
      <c r="K82" s="332"/>
      <c r="L82" s="332"/>
      <c r="M82" s="332"/>
      <c r="N82" s="332"/>
      <c r="O82" s="332"/>
      <c r="P82" s="332"/>
      <c r="Q82" s="332"/>
      <c r="R82" s="332"/>
      <c r="S82" s="22"/>
      <c r="T82" s="305"/>
      <c r="U82" s="305" t="s">
        <v>6713</v>
      </c>
      <c r="V82" s="305" t="s">
        <v>6714</v>
      </c>
      <c r="W82" s="22"/>
      <c r="X82" s="22"/>
      <c r="Y82" s="22"/>
      <c r="Z82" s="22"/>
      <c r="AA82" s="22"/>
      <c r="AB82" s="332"/>
      <c r="AC82" s="332"/>
      <c r="AD82" s="332"/>
      <c r="AE82" s="332"/>
      <c r="AF82" s="332"/>
      <c r="AG82" s="332"/>
      <c r="AH82" s="332"/>
      <c r="AI82" s="332"/>
      <c r="AJ82" s="332"/>
      <c r="AK82" s="332"/>
      <c r="AL82" s="332"/>
      <c r="AM82" s="334"/>
      <c r="AN82" s="332"/>
      <c r="AO82" s="332"/>
      <c r="AP82" s="332"/>
      <c r="AQ82" s="332"/>
      <c r="AR82" s="332"/>
      <c r="AS82" s="332"/>
      <c r="AT82" s="332"/>
      <c r="AU82" s="332"/>
      <c r="AV82" s="332"/>
      <c r="AW82" s="332"/>
      <c r="AX82" s="332"/>
      <c r="AY82" s="332"/>
      <c r="AZ82" s="332"/>
      <c r="BA82" s="332"/>
      <c r="BB82" s="332"/>
      <c r="BC82" s="332"/>
      <c r="BD82" s="332"/>
      <c r="BE82" s="332"/>
      <c r="BF82" s="332"/>
      <c r="BG82" s="332"/>
      <c r="BH82" s="332"/>
      <c r="BI82" s="332"/>
      <c r="BJ82" s="332"/>
      <c r="BK82" s="332"/>
      <c r="BL82" s="332"/>
      <c r="BM82" s="332"/>
      <c r="BN82" s="332"/>
    </row>
    <row r="83" spans="1:66" ht="45" x14ac:dyDescent="0.15">
      <c r="A83" s="773"/>
      <c r="B83" s="332"/>
      <c r="C83" s="332"/>
      <c r="D83" s="332"/>
      <c r="E83" s="332"/>
      <c r="F83" s="332" t="str">
        <f ca="1">IFERROR(__xludf.DUMMYFUNCTION("""COMPUTED_VALUE"""),"missionNunchuck")</f>
        <v>missionNunchuck</v>
      </c>
      <c r="G83" s="332" t="str">
        <f ca="1">IFERROR(__xludf.DUMMYFUNCTION("""COMPUTED_VALUE"""),"achievementPlayAmmoSwap")</f>
        <v>achievementPlayAmmoSwap</v>
      </c>
      <c r="H83" s="332"/>
      <c r="I83" s="332"/>
      <c r="J83" s="332"/>
      <c r="K83" s="332"/>
      <c r="L83" s="332"/>
      <c r="M83" s="332"/>
      <c r="N83" s="332"/>
      <c r="O83" s="332"/>
      <c r="P83" s="332"/>
      <c r="Q83" s="332"/>
      <c r="R83" s="332"/>
      <c r="S83" s="22"/>
      <c r="T83" s="305"/>
      <c r="U83" s="305" t="s">
        <v>6715</v>
      </c>
      <c r="V83" s="305" t="s">
        <v>6716</v>
      </c>
      <c r="W83" s="22"/>
      <c r="X83" s="22"/>
      <c r="Y83" s="22"/>
      <c r="Z83" s="22"/>
      <c r="AA83" s="22"/>
      <c r="AB83" s="332"/>
      <c r="AC83" s="332"/>
      <c r="AD83" s="332"/>
      <c r="AE83" s="332"/>
      <c r="AF83" s="332"/>
      <c r="AG83" s="332"/>
      <c r="AH83" s="332"/>
      <c r="AI83" s="332"/>
      <c r="AJ83" s="332"/>
      <c r="AK83" s="332"/>
      <c r="AL83" s="332"/>
      <c r="AM83" s="334"/>
      <c r="AN83" s="332"/>
      <c r="AO83" s="332"/>
      <c r="AP83" s="332"/>
      <c r="AQ83" s="332"/>
      <c r="AR83" s="332"/>
      <c r="AS83" s="332"/>
      <c r="AT83" s="332"/>
      <c r="AU83" s="332"/>
      <c r="AV83" s="332"/>
      <c r="AW83" s="332"/>
      <c r="AX83" s="332"/>
      <c r="AY83" s="332"/>
      <c r="AZ83" s="332"/>
      <c r="BA83" s="332"/>
      <c r="BB83" s="332"/>
      <c r="BC83" s="332"/>
      <c r="BD83" s="332"/>
      <c r="BE83" s="332"/>
      <c r="BF83" s="332"/>
      <c r="BG83" s="332"/>
      <c r="BH83" s="332"/>
      <c r="BI83" s="332"/>
      <c r="BJ83" s="332"/>
      <c r="BK83" s="332"/>
      <c r="BL83" s="332"/>
      <c r="BM83" s="332"/>
      <c r="BN83" s="332"/>
    </row>
    <row r="84" spans="1:66" ht="45" x14ac:dyDescent="0.15">
      <c r="A84" s="773"/>
      <c r="B84" s="332"/>
      <c r="C84" s="332"/>
      <c r="D84" s="332"/>
      <c r="E84" s="332"/>
      <c r="F84" s="332" t="str">
        <f ca="1">IFERROR(__xludf.DUMMYFUNCTION("""COMPUTED_VALUE"""),"achievementMissionNunchuck")</f>
        <v>achievementMissionNunchuck</v>
      </c>
      <c r="G84" s="332" t="str">
        <f ca="1">IFERROR(__xludf.DUMMYFUNCTION("""COMPUTED_VALUE"""),"achievementPlayStrongholdTankHaywire")</f>
        <v>achievementPlayStrongholdTankHaywire</v>
      </c>
      <c r="H84" s="332"/>
      <c r="I84" s="332"/>
      <c r="J84" s="332"/>
      <c r="K84" s="332"/>
      <c r="L84" s="332"/>
      <c r="M84" s="332"/>
      <c r="N84" s="332"/>
      <c r="O84" s="332"/>
      <c r="P84" s="332"/>
      <c r="Q84" s="332"/>
      <c r="R84" s="332"/>
      <c r="S84" s="22"/>
      <c r="T84" s="305"/>
      <c r="U84" s="305" t="s">
        <v>6717</v>
      </c>
      <c r="V84" s="305" t="s">
        <v>6718</v>
      </c>
      <c r="W84" s="22"/>
      <c r="X84" s="22"/>
      <c r="Y84" s="22"/>
      <c r="Z84" s="22"/>
      <c r="AA84" s="22"/>
      <c r="AB84" s="332"/>
      <c r="AC84" s="332"/>
      <c r="AD84" s="332"/>
      <c r="AE84" s="332"/>
      <c r="AF84" s="332"/>
      <c r="AG84" s="332"/>
      <c r="AH84" s="332"/>
      <c r="AI84" s="332"/>
      <c r="AJ84" s="332"/>
      <c r="AK84" s="332"/>
      <c r="AL84" s="332"/>
      <c r="AM84" s="334"/>
      <c r="AN84" s="332"/>
      <c r="AO84" s="332"/>
      <c r="AP84" s="332"/>
      <c r="AQ84" s="332"/>
      <c r="AR84" s="332"/>
      <c r="AS84" s="332"/>
      <c r="AT84" s="332"/>
      <c r="AU84" s="332"/>
      <c r="AV84" s="332"/>
      <c r="AW84" s="332"/>
      <c r="AX84" s="332"/>
      <c r="AY84" s="332"/>
      <c r="AZ84" s="332"/>
      <c r="BA84" s="332"/>
      <c r="BB84" s="332"/>
      <c r="BC84" s="332"/>
      <c r="BD84" s="332"/>
      <c r="BE84" s="332"/>
      <c r="BF84" s="332"/>
      <c r="BG84" s="332"/>
      <c r="BH84" s="332"/>
      <c r="BI84" s="332"/>
      <c r="BJ84" s="332"/>
      <c r="BK84" s="332"/>
      <c r="BL84" s="332"/>
      <c r="BM84" s="332"/>
      <c r="BN84" s="332"/>
    </row>
    <row r="85" spans="1:66" ht="45" x14ac:dyDescent="0.15">
      <c r="A85" s="773"/>
      <c r="B85" s="332"/>
      <c r="C85" s="332"/>
      <c r="D85" s="332"/>
      <c r="E85" s="332"/>
      <c r="F85" s="332" t="str">
        <f ca="1">IFERROR(__xludf.DUMMYFUNCTION("""COMPUTED_VALUE"""),"actionLauncherSvengeance")</f>
        <v>actionLauncherSvengeance</v>
      </c>
      <c r="G85" s="332" t="str">
        <f ca="1">IFERROR(__xludf.DUMMYFUNCTION("""COMPUTED_VALUE"""),"achievementPlayNunchuckMusicNotes")</f>
        <v>achievementPlayNunchuckMusicNotes</v>
      </c>
      <c r="H85" s="332"/>
      <c r="I85" s="332"/>
      <c r="J85" s="332"/>
      <c r="K85" s="332"/>
      <c r="L85" s="332"/>
      <c r="M85" s="332"/>
      <c r="N85" s="332"/>
      <c r="O85" s="332"/>
      <c r="P85" s="332"/>
      <c r="Q85" s="332"/>
      <c r="R85" s="332"/>
      <c r="S85" s="22"/>
      <c r="T85" s="305"/>
      <c r="U85" s="305" t="s">
        <v>6719</v>
      </c>
      <c r="V85" s="305" t="s">
        <v>6720</v>
      </c>
      <c r="W85" s="22"/>
      <c r="X85" s="22"/>
      <c r="Y85" s="22"/>
      <c r="Z85" s="22"/>
      <c r="AA85" s="22"/>
      <c r="AB85" s="332"/>
      <c r="AC85" s="332"/>
      <c r="AD85" s="332"/>
      <c r="AE85" s="332"/>
      <c r="AF85" s="332"/>
      <c r="AG85" s="332"/>
      <c r="AH85" s="332"/>
      <c r="AI85" s="332"/>
      <c r="AJ85" s="332"/>
      <c r="AK85" s="332"/>
      <c r="AL85" s="332"/>
      <c r="AM85" s="334"/>
      <c r="AN85" s="332"/>
      <c r="AO85" s="332"/>
      <c r="AP85" s="332"/>
      <c r="AQ85" s="332"/>
      <c r="AR85" s="332"/>
      <c r="AS85" s="332"/>
      <c r="AT85" s="332"/>
      <c r="AU85" s="332"/>
      <c r="AV85" s="332"/>
      <c r="AW85" s="332"/>
      <c r="AX85" s="332"/>
      <c r="AY85" s="332"/>
      <c r="AZ85" s="332"/>
      <c r="BA85" s="332"/>
      <c r="BB85" s="332"/>
      <c r="BC85" s="332"/>
      <c r="BD85" s="332"/>
      <c r="BE85" s="332"/>
      <c r="BF85" s="332"/>
      <c r="BG85" s="332"/>
      <c r="BH85" s="332"/>
      <c r="BI85" s="332"/>
      <c r="BJ85" s="332"/>
      <c r="BK85" s="332"/>
      <c r="BL85" s="332"/>
      <c r="BM85" s="332"/>
      <c r="BN85" s="332"/>
    </row>
    <row r="86" spans="1:66" ht="45" x14ac:dyDescent="0.15">
      <c r="A86" s="773"/>
      <c r="B86" s="332"/>
      <c r="C86" s="332"/>
      <c r="D86" s="332"/>
      <c r="E86" s="332"/>
      <c r="F86" s="332" t="str">
        <f ca="1">IFERROR(__xludf.DUMMYFUNCTION("""COMPUTED_VALUE"""),"actionMissionSvengeanceUnlock")</f>
        <v>actionMissionSvengeanceUnlock</v>
      </c>
      <c r="G86" s="332" t="str">
        <f ca="1">IFERROR(__xludf.DUMMYFUNCTION("""COMPUTED_VALUE"""),"achievementPlayJeanClawedBathtub")</f>
        <v>achievementPlayJeanClawedBathtub</v>
      </c>
      <c r="H86" s="332"/>
      <c r="I86" s="332"/>
      <c r="J86" s="332"/>
      <c r="K86" s="332"/>
      <c r="L86" s="332"/>
      <c r="M86" s="332"/>
      <c r="N86" s="332"/>
      <c r="O86" s="332"/>
      <c r="P86" s="332"/>
      <c r="Q86" s="332"/>
      <c r="R86" s="332"/>
      <c r="S86" s="22"/>
      <c r="T86" s="305"/>
      <c r="U86" s="305" t="s">
        <v>6721</v>
      </c>
      <c r="V86" s="305" t="s">
        <v>6722</v>
      </c>
      <c r="W86" s="22"/>
      <c r="X86" s="22"/>
      <c r="Y86" s="22"/>
      <c r="Z86" s="22"/>
      <c r="AA86" s="22"/>
      <c r="AB86" s="332"/>
      <c r="AC86" s="332"/>
      <c r="AD86" s="332"/>
      <c r="AE86" s="332"/>
      <c r="AF86" s="332"/>
      <c r="AG86" s="332"/>
      <c r="AH86" s="332"/>
      <c r="AI86" s="332"/>
      <c r="AJ86" s="332"/>
      <c r="AK86" s="332"/>
      <c r="AL86" s="332"/>
      <c r="AM86" s="334"/>
      <c r="AN86" s="332"/>
      <c r="AO86" s="332"/>
      <c r="AP86" s="332"/>
      <c r="AQ86" s="332"/>
      <c r="AR86" s="332"/>
      <c r="AS86" s="332"/>
      <c r="AT86" s="332"/>
      <c r="AU86" s="332"/>
      <c r="AV86" s="332"/>
      <c r="AW86" s="332"/>
      <c r="AX86" s="332"/>
      <c r="AY86" s="332"/>
      <c r="AZ86" s="332"/>
      <c r="BA86" s="332"/>
      <c r="BB86" s="332"/>
      <c r="BC86" s="332"/>
      <c r="BD86" s="332"/>
      <c r="BE86" s="332"/>
      <c r="BF86" s="332"/>
      <c r="BG86" s="332"/>
      <c r="BH86" s="332"/>
      <c r="BI86" s="332"/>
      <c r="BJ86" s="332"/>
      <c r="BK86" s="332"/>
      <c r="BL86" s="332"/>
      <c r="BM86" s="332"/>
      <c r="BN86" s="332"/>
    </row>
    <row r="87" spans="1:66" ht="45" x14ac:dyDescent="0.15">
      <c r="A87" s="773"/>
      <c r="B87" s="332"/>
      <c r="C87" s="332"/>
      <c r="D87" s="332"/>
      <c r="E87" s="332"/>
      <c r="F87" s="332" t="str">
        <f ca="1">IFERROR(__xludf.DUMMYFUNCTION("""COMPUTED_VALUE"""),"actionMissionSvengeanceAttempt")</f>
        <v>actionMissionSvengeanceAttempt</v>
      </c>
      <c r="G87" s="332" t="str">
        <f ca="1">IFERROR(__xludf.DUMMYFUNCTION("""COMPUTED_VALUE"""),"achievementPlaySvengeanceSkaterbots")</f>
        <v>achievementPlaySvengeanceSkaterbots</v>
      </c>
      <c r="H87" s="332"/>
      <c r="I87" s="332"/>
      <c r="J87" s="332"/>
      <c r="K87" s="332"/>
      <c r="L87" s="332"/>
      <c r="M87" s="332"/>
      <c r="N87" s="332"/>
      <c r="O87" s="332"/>
      <c r="P87" s="332"/>
      <c r="Q87" s="332"/>
      <c r="R87" s="332"/>
      <c r="S87" s="22"/>
      <c r="T87" s="305"/>
      <c r="U87" s="305" t="s">
        <v>6723</v>
      </c>
      <c r="V87" s="305" t="s">
        <v>6724</v>
      </c>
      <c r="W87" s="22"/>
      <c r="X87" s="22"/>
      <c r="Y87" s="22"/>
      <c r="Z87" s="22"/>
      <c r="AA87" s="22"/>
      <c r="AB87" s="332"/>
      <c r="AC87" s="332"/>
      <c r="AD87" s="332"/>
      <c r="AE87" s="332"/>
      <c r="AF87" s="332"/>
      <c r="AG87" s="332"/>
      <c r="AH87" s="332"/>
      <c r="AI87" s="332"/>
      <c r="AJ87" s="332"/>
      <c r="AK87" s="332"/>
      <c r="AL87" s="332"/>
      <c r="AM87" s="334"/>
      <c r="AN87" s="332"/>
      <c r="AO87" s="332"/>
      <c r="AP87" s="332"/>
      <c r="AQ87" s="332"/>
      <c r="AR87" s="332"/>
      <c r="AS87" s="332"/>
      <c r="AT87" s="332"/>
      <c r="AU87" s="332"/>
      <c r="AV87" s="332"/>
      <c r="AW87" s="332"/>
      <c r="AX87" s="332"/>
      <c r="AY87" s="332"/>
      <c r="AZ87" s="332"/>
      <c r="BA87" s="332"/>
      <c r="BB87" s="332"/>
      <c r="BC87" s="332"/>
      <c r="BD87" s="332"/>
      <c r="BE87" s="332"/>
      <c r="BF87" s="332"/>
      <c r="BG87" s="332"/>
      <c r="BH87" s="332"/>
      <c r="BI87" s="332"/>
      <c r="BJ87" s="332"/>
      <c r="BK87" s="332"/>
      <c r="BL87" s="332"/>
      <c r="BM87" s="332"/>
      <c r="BN87" s="332"/>
    </row>
    <row r="88" spans="1:66" ht="45" x14ac:dyDescent="0.15">
      <c r="A88" s="773"/>
      <c r="B88" s="332"/>
      <c r="C88" s="332"/>
      <c r="D88" s="332"/>
      <c r="E88" s="332"/>
      <c r="F88" s="332" t="str">
        <f ca="1">IFERROR(__xludf.DUMMYFUNCTION("""COMPUTED_VALUE"""),"missionSvengeance")</f>
        <v>missionSvengeance</v>
      </c>
      <c r="G88" s="332" t="str">
        <f ca="1">IFERROR(__xludf.DUMMYFUNCTION("""COMPUTED_VALUE"""),"achievementPlayBelleRecordBreak")</f>
        <v>achievementPlayBelleRecordBreak</v>
      </c>
      <c r="H88" s="332"/>
      <c r="I88" s="332"/>
      <c r="J88" s="332"/>
      <c r="K88" s="332"/>
      <c r="L88" s="332"/>
      <c r="M88" s="332"/>
      <c r="N88" s="332"/>
      <c r="O88" s="332"/>
      <c r="P88" s="332"/>
      <c r="Q88" s="332"/>
      <c r="R88" s="332"/>
      <c r="S88" s="22"/>
      <c r="T88" s="305"/>
      <c r="U88" s="305" t="s">
        <v>6725</v>
      </c>
      <c r="V88" s="305" t="s">
        <v>6726</v>
      </c>
      <c r="W88" s="22"/>
      <c r="X88" s="22"/>
      <c r="Y88" s="22"/>
      <c r="Z88" s="22"/>
      <c r="AA88" s="22"/>
      <c r="AB88" s="332"/>
      <c r="AC88" s="332"/>
      <c r="AD88" s="332"/>
      <c r="AE88" s="332"/>
      <c r="AF88" s="332"/>
      <c r="AG88" s="332"/>
      <c r="AH88" s="332"/>
      <c r="AI88" s="332"/>
      <c r="AJ88" s="332"/>
      <c r="AK88" s="332"/>
      <c r="AL88" s="332"/>
      <c r="AM88" s="334"/>
      <c r="AN88" s="332"/>
      <c r="AO88" s="332"/>
      <c r="AP88" s="332"/>
      <c r="AQ88" s="332"/>
      <c r="AR88" s="332"/>
      <c r="AS88" s="332"/>
      <c r="AT88" s="332"/>
      <c r="AU88" s="332"/>
      <c r="AV88" s="332"/>
      <c r="AW88" s="332"/>
      <c r="AX88" s="332"/>
      <c r="AY88" s="332"/>
      <c r="AZ88" s="332"/>
      <c r="BA88" s="332"/>
      <c r="BB88" s="332"/>
      <c r="BC88" s="332"/>
      <c r="BD88" s="332"/>
      <c r="BE88" s="332"/>
      <c r="BF88" s="332"/>
      <c r="BG88" s="332"/>
      <c r="BH88" s="332"/>
      <c r="BI88" s="332"/>
      <c r="BJ88" s="332"/>
      <c r="BK88" s="332"/>
      <c r="BL88" s="332"/>
      <c r="BM88" s="332"/>
      <c r="BN88" s="332"/>
    </row>
    <row r="89" spans="1:66" ht="45" x14ac:dyDescent="0.15">
      <c r="A89" s="773"/>
      <c r="B89" s="332"/>
      <c r="C89" s="332"/>
      <c r="D89" s="332"/>
      <c r="E89" s="332"/>
      <c r="F89" s="332" t="str">
        <f ca="1">IFERROR(__xludf.DUMMYFUNCTION("""COMPUTED_VALUE"""),"achievementMissionSvengeance")</f>
        <v>achievementMissionSvengeance</v>
      </c>
      <c r="G89" s="332" t="str">
        <f ca="1">IFERROR(__xludf.DUMMYFUNCTION("""COMPUTED_VALUE"""),"achievementPlayVectorPiranha")</f>
        <v>achievementPlayVectorPiranha</v>
      </c>
      <c r="H89" s="332"/>
      <c r="I89" s="332"/>
      <c r="J89" s="332"/>
      <c r="K89" s="332"/>
      <c r="L89" s="332"/>
      <c r="M89" s="332"/>
      <c r="N89" s="332"/>
      <c r="O89" s="332"/>
      <c r="P89" s="332"/>
      <c r="Q89" s="332"/>
      <c r="R89" s="332"/>
      <c r="S89" s="22"/>
      <c r="T89" s="305"/>
      <c r="U89" s="305" t="s">
        <v>6727</v>
      </c>
      <c r="V89" s="305" t="s">
        <v>6728</v>
      </c>
      <c r="W89" s="22"/>
      <c r="X89" s="22"/>
      <c r="Y89" s="22"/>
      <c r="Z89" s="22"/>
      <c r="AA89" s="22"/>
      <c r="AB89" s="332"/>
      <c r="AC89" s="332"/>
      <c r="AD89" s="332"/>
      <c r="AE89" s="332"/>
      <c r="AF89" s="332"/>
      <c r="AG89" s="332"/>
      <c r="AH89" s="332"/>
      <c r="AI89" s="332"/>
      <c r="AJ89" s="332"/>
      <c r="AK89" s="332"/>
      <c r="AL89" s="332"/>
      <c r="AM89" s="334"/>
      <c r="AN89" s="332"/>
      <c r="AO89" s="332"/>
      <c r="AP89" s="332"/>
      <c r="AQ89" s="332"/>
      <c r="AR89" s="332"/>
      <c r="AS89" s="332"/>
      <c r="AT89" s="332"/>
      <c r="AU89" s="332"/>
      <c r="AV89" s="332"/>
      <c r="AW89" s="332"/>
      <c r="AX89" s="332"/>
      <c r="AY89" s="332"/>
      <c r="AZ89" s="332"/>
      <c r="BA89" s="332"/>
      <c r="BB89" s="332"/>
      <c r="BC89" s="332"/>
      <c r="BD89" s="332"/>
      <c r="BE89" s="332"/>
      <c r="BF89" s="332"/>
      <c r="BG89" s="332"/>
      <c r="BH89" s="332"/>
      <c r="BI89" s="332"/>
      <c r="BJ89" s="332"/>
      <c r="BK89" s="332"/>
      <c r="BL89" s="332"/>
      <c r="BM89" s="332"/>
      <c r="BN89" s="332"/>
    </row>
    <row r="90" spans="1:66" ht="45" x14ac:dyDescent="0.15">
      <c r="A90" s="773"/>
      <c r="B90" s="332"/>
      <c r="C90" s="332"/>
      <c r="D90" s="332"/>
      <c r="E90" s="332"/>
      <c r="F90" s="332" t="str">
        <f ca="1">IFERROR(__xludf.DUMMYFUNCTION("""COMPUTED_VALUE"""),"actionLauncherJeanClawed")</f>
        <v>actionLauncherJeanClawed</v>
      </c>
      <c r="G90" s="332" t="str">
        <f ca="1">IFERROR(__xludf.DUMMYFUNCTION("""COMPUTED_VALUE"""),"lootTap1")</f>
        <v>lootTap1</v>
      </c>
      <c r="H90" s="332"/>
      <c r="I90" s="332"/>
      <c r="J90" s="332"/>
      <c r="K90" s="332"/>
      <c r="L90" s="332"/>
      <c r="M90" s="332"/>
      <c r="N90" s="332"/>
      <c r="O90" s="332"/>
      <c r="P90" s="332"/>
      <c r="Q90" s="332"/>
      <c r="R90" s="332"/>
      <c r="S90" s="22"/>
      <c r="T90" s="305"/>
      <c r="U90" s="305" t="s">
        <v>6729</v>
      </c>
      <c r="V90" s="305" t="s">
        <v>6730</v>
      </c>
      <c r="W90" s="22"/>
      <c r="X90" s="22"/>
      <c r="Y90" s="22"/>
      <c r="Z90" s="22"/>
      <c r="AA90" s="22"/>
      <c r="AB90" s="332"/>
      <c r="AC90" s="332"/>
      <c r="AD90" s="332"/>
      <c r="AE90" s="332"/>
      <c r="AF90" s="332"/>
      <c r="AG90" s="332"/>
      <c r="AH90" s="332"/>
      <c r="AI90" s="332"/>
      <c r="AJ90" s="332"/>
      <c r="AK90" s="332"/>
      <c r="AL90" s="332"/>
      <c r="AM90" s="334"/>
      <c r="AN90" s="332"/>
      <c r="AO90" s="332"/>
      <c r="AP90" s="332"/>
      <c r="AQ90" s="332"/>
      <c r="AR90" s="332"/>
      <c r="AS90" s="332"/>
      <c r="AT90" s="332"/>
      <c r="AU90" s="332"/>
      <c r="AV90" s="332"/>
      <c r="AW90" s="332"/>
      <c r="AX90" s="332"/>
      <c r="AY90" s="332"/>
      <c r="AZ90" s="332"/>
      <c r="BA90" s="332"/>
      <c r="BB90" s="332"/>
      <c r="BC90" s="332"/>
      <c r="BD90" s="332"/>
      <c r="BE90" s="332"/>
      <c r="BF90" s="332"/>
      <c r="BG90" s="332"/>
      <c r="BH90" s="332"/>
      <c r="BI90" s="332"/>
      <c r="BJ90" s="332"/>
      <c r="BK90" s="332"/>
      <c r="BL90" s="332"/>
      <c r="BM90" s="332"/>
      <c r="BN90" s="332"/>
    </row>
    <row r="91" spans="1:66" ht="45" x14ac:dyDescent="0.15">
      <c r="A91" s="773"/>
      <c r="B91" s="332"/>
      <c r="C91" s="332"/>
      <c r="D91" s="332"/>
      <c r="E91" s="332"/>
      <c r="F91" s="332" t="str">
        <f ca="1">IFERROR(__xludf.DUMMYFUNCTION("""COMPUTED_VALUE"""),"actionMissionJeanClawedUnlock")</f>
        <v>actionMissionJeanClawedUnlock</v>
      </c>
      <c r="G91" s="332" t="str">
        <f ca="1">IFERROR(__xludf.DUMMYFUNCTION("""COMPUTED_VALUE"""),"lootTap2")</f>
        <v>lootTap2</v>
      </c>
      <c r="H91" s="332"/>
      <c r="I91" s="332"/>
      <c r="J91" s="332"/>
      <c r="K91" s="332"/>
      <c r="L91" s="332"/>
      <c r="M91" s="332"/>
      <c r="N91" s="332"/>
      <c r="O91" s="332"/>
      <c r="P91" s="332"/>
      <c r="Q91" s="332"/>
      <c r="R91" s="332"/>
      <c r="S91" s="22"/>
      <c r="T91" s="305"/>
      <c r="U91" s="305" t="s">
        <v>6731</v>
      </c>
      <c r="V91" s="305" t="s">
        <v>6732</v>
      </c>
      <c r="W91" s="22"/>
      <c r="X91" s="22"/>
      <c r="Y91" s="22"/>
      <c r="Z91" s="22"/>
      <c r="AA91" s="22"/>
      <c r="AB91" s="332"/>
      <c r="AC91" s="332"/>
      <c r="AD91" s="332"/>
      <c r="AE91" s="332"/>
      <c r="AF91" s="332"/>
      <c r="AG91" s="332"/>
      <c r="AH91" s="332"/>
      <c r="AI91" s="332"/>
      <c r="AJ91" s="332"/>
      <c r="AK91" s="332"/>
      <c r="AL91" s="332"/>
      <c r="AM91" s="334"/>
      <c r="AN91" s="332"/>
      <c r="AO91" s="332"/>
      <c r="AP91" s="332"/>
      <c r="AQ91" s="332"/>
      <c r="AR91" s="332"/>
      <c r="AS91" s="332"/>
      <c r="AT91" s="332"/>
      <c r="AU91" s="332"/>
      <c r="AV91" s="332"/>
      <c r="AW91" s="332"/>
      <c r="AX91" s="332"/>
      <c r="AY91" s="332"/>
      <c r="AZ91" s="332"/>
      <c r="BA91" s="332"/>
      <c r="BB91" s="332"/>
      <c r="BC91" s="332"/>
      <c r="BD91" s="332"/>
      <c r="BE91" s="332"/>
      <c r="BF91" s="332"/>
      <c r="BG91" s="332"/>
      <c r="BH91" s="332"/>
      <c r="BI91" s="332"/>
      <c r="BJ91" s="332"/>
      <c r="BK91" s="332"/>
      <c r="BL91" s="332"/>
      <c r="BM91" s="332"/>
      <c r="BN91" s="332"/>
    </row>
    <row r="92" spans="1:66" ht="45" x14ac:dyDescent="0.15">
      <c r="A92" s="773"/>
      <c r="B92" s="332"/>
      <c r="C92" s="332"/>
      <c r="D92" s="332"/>
      <c r="E92" s="332"/>
      <c r="F92" s="332" t="str">
        <f ca="1">IFERROR(__xludf.DUMMYFUNCTION("""COMPUTED_VALUE"""),"actionMissionJeanClawedAttempt")</f>
        <v>actionMissionJeanClawedAttempt</v>
      </c>
      <c r="G92" s="332" t="str">
        <f ca="1">IFERROR(__xludf.DUMMYFUNCTION("""COMPUTED_VALUE"""),"lootTap3")</f>
        <v>lootTap3</v>
      </c>
      <c r="H92" s="332"/>
      <c r="I92" s="332"/>
      <c r="J92" s="332"/>
      <c r="K92" s="332"/>
      <c r="L92" s="332"/>
      <c r="M92" s="332"/>
      <c r="N92" s="332"/>
      <c r="O92" s="332"/>
      <c r="P92" s="332"/>
      <c r="Q92" s="332"/>
      <c r="R92" s="332"/>
      <c r="S92" s="22"/>
      <c r="T92" s="305"/>
      <c r="U92" s="305" t="s">
        <v>6733</v>
      </c>
      <c r="V92" s="305" t="s">
        <v>6734</v>
      </c>
      <c r="W92" s="22"/>
      <c r="X92" s="22"/>
      <c r="Y92" s="22"/>
      <c r="Z92" s="22"/>
      <c r="AA92" s="22"/>
      <c r="AB92" s="332"/>
      <c r="AC92" s="332"/>
      <c r="AD92" s="332"/>
      <c r="AE92" s="332"/>
      <c r="AF92" s="332"/>
      <c r="AG92" s="332"/>
      <c r="AH92" s="332"/>
      <c r="AI92" s="332"/>
      <c r="AJ92" s="332"/>
      <c r="AK92" s="332"/>
      <c r="AL92" s="332"/>
      <c r="AM92" s="334"/>
      <c r="AN92" s="332"/>
      <c r="AO92" s="332"/>
      <c r="AP92" s="332"/>
      <c r="AQ92" s="332"/>
      <c r="AR92" s="332"/>
      <c r="AS92" s="332"/>
      <c r="AT92" s="332"/>
      <c r="AU92" s="332"/>
      <c r="AV92" s="332"/>
      <c r="AW92" s="332"/>
      <c r="AX92" s="332"/>
      <c r="AY92" s="332"/>
      <c r="AZ92" s="332"/>
      <c r="BA92" s="332"/>
      <c r="BB92" s="332"/>
      <c r="BC92" s="332"/>
      <c r="BD92" s="332"/>
      <c r="BE92" s="332"/>
      <c r="BF92" s="332"/>
      <c r="BG92" s="332"/>
      <c r="BH92" s="332"/>
      <c r="BI92" s="332"/>
      <c r="BJ92" s="332"/>
      <c r="BK92" s="332"/>
      <c r="BL92" s="332"/>
      <c r="BM92" s="332"/>
      <c r="BN92" s="332"/>
    </row>
    <row r="93" spans="1:66" ht="30" x14ac:dyDescent="0.15">
      <c r="A93" s="773"/>
      <c r="B93" s="332"/>
      <c r="C93" s="332"/>
      <c r="D93" s="332"/>
      <c r="E93" s="332"/>
      <c r="F93" s="332" t="str">
        <f ca="1">IFERROR(__xludf.DUMMYFUNCTION("""COMPUTED_VALUE"""),"missionJeanClawed")</f>
        <v>missionJeanClawed</v>
      </c>
      <c r="G93" s="332" t="str">
        <f ca="1">IFERROR(__xludf.DUMMYFUNCTION("""COMPUTED_VALUE"""),"lootTap4")</f>
        <v>lootTap4</v>
      </c>
      <c r="H93" s="332"/>
      <c r="I93" s="332"/>
      <c r="J93" s="332"/>
      <c r="K93" s="332"/>
      <c r="L93" s="332"/>
      <c r="M93" s="332"/>
      <c r="N93" s="332"/>
      <c r="O93" s="332"/>
      <c r="P93" s="332"/>
      <c r="Q93" s="332"/>
      <c r="R93" s="332"/>
      <c r="S93" s="22"/>
      <c r="T93" s="305"/>
      <c r="U93" s="305" t="s">
        <v>6735</v>
      </c>
      <c r="V93" s="305" t="s">
        <v>6736</v>
      </c>
      <c r="W93" s="22"/>
      <c r="X93" s="22"/>
      <c r="Y93" s="22"/>
      <c r="Z93" s="22"/>
      <c r="AA93" s="22"/>
      <c r="AB93" s="332"/>
      <c r="AC93" s="332"/>
      <c r="AD93" s="332"/>
      <c r="AE93" s="332"/>
      <c r="AF93" s="332"/>
      <c r="AG93" s="332"/>
      <c r="AH93" s="332"/>
      <c r="AI93" s="332"/>
      <c r="AJ93" s="332"/>
      <c r="AK93" s="332"/>
      <c r="AL93" s="332"/>
      <c r="AM93" s="334"/>
      <c r="AN93" s="332"/>
      <c r="AO93" s="332"/>
      <c r="AP93" s="332"/>
      <c r="AQ93" s="332"/>
      <c r="AR93" s="332"/>
      <c r="AS93" s="332"/>
      <c r="AT93" s="332"/>
      <c r="AU93" s="332"/>
      <c r="AV93" s="332"/>
      <c r="AW93" s="332"/>
      <c r="AX93" s="332"/>
      <c r="AY93" s="332"/>
      <c r="AZ93" s="332"/>
      <c r="BA93" s="332"/>
      <c r="BB93" s="332"/>
      <c r="BC93" s="332"/>
      <c r="BD93" s="332"/>
      <c r="BE93" s="332"/>
      <c r="BF93" s="332"/>
      <c r="BG93" s="332"/>
      <c r="BH93" s="332"/>
      <c r="BI93" s="332"/>
      <c r="BJ93" s="332"/>
      <c r="BK93" s="332"/>
      <c r="BL93" s="332"/>
      <c r="BM93" s="332"/>
      <c r="BN93" s="332"/>
    </row>
    <row r="94" spans="1:66" ht="45" x14ac:dyDescent="0.15">
      <c r="A94" s="773"/>
      <c r="B94" s="332"/>
      <c r="C94" s="332"/>
      <c r="D94" s="332"/>
      <c r="E94" s="332"/>
      <c r="F94" s="332" t="str">
        <f ca="1">IFERROR(__xludf.DUMMYFUNCTION("""COMPUTED_VALUE"""),"achievementMissionJeanClawed")</f>
        <v>achievementMissionJeanClawed</v>
      </c>
      <c r="G94" s="332" t="str">
        <f ca="1">IFERROR(__xludf.DUMMYFUNCTION("""COMPUTED_VALUE"""),"lootTap5")</f>
        <v>lootTap5</v>
      </c>
      <c r="H94" s="332"/>
      <c r="I94" s="332"/>
      <c r="J94" s="332"/>
      <c r="K94" s="332"/>
      <c r="L94" s="332"/>
      <c r="M94" s="332"/>
      <c r="N94" s="332"/>
      <c r="O94" s="332"/>
      <c r="P94" s="332"/>
      <c r="Q94" s="332"/>
      <c r="R94" s="332"/>
      <c r="S94" s="22"/>
      <c r="T94" s="305"/>
      <c r="U94" s="305" t="s">
        <v>6737</v>
      </c>
      <c r="V94" s="305" t="s">
        <v>6738</v>
      </c>
      <c r="W94" s="22"/>
      <c r="X94" s="22"/>
      <c r="Y94" s="22"/>
      <c r="Z94" s="22"/>
      <c r="AA94" s="22"/>
      <c r="AB94" s="332"/>
      <c r="AC94" s="332"/>
      <c r="AD94" s="332"/>
      <c r="AE94" s="332"/>
      <c r="AF94" s="332"/>
      <c r="AG94" s="332"/>
      <c r="AH94" s="332"/>
      <c r="AI94" s="332"/>
      <c r="AJ94" s="332"/>
      <c r="AK94" s="332"/>
      <c r="AL94" s="332"/>
      <c r="AM94" s="334"/>
      <c r="AN94" s="332"/>
      <c r="AO94" s="332"/>
      <c r="AP94" s="332"/>
      <c r="AQ94" s="332"/>
      <c r="AR94" s="332"/>
      <c r="AS94" s="332"/>
      <c r="AT94" s="332"/>
      <c r="AU94" s="332"/>
      <c r="AV94" s="332"/>
      <c r="AW94" s="332"/>
      <c r="AX94" s="332"/>
      <c r="AY94" s="332"/>
      <c r="AZ94" s="332"/>
      <c r="BA94" s="332"/>
      <c r="BB94" s="332"/>
      <c r="BC94" s="332"/>
      <c r="BD94" s="332"/>
      <c r="BE94" s="332"/>
      <c r="BF94" s="332"/>
      <c r="BG94" s="332"/>
      <c r="BH94" s="332"/>
      <c r="BI94" s="332"/>
      <c r="BJ94" s="332"/>
      <c r="BK94" s="332"/>
      <c r="BL94" s="332"/>
      <c r="BM94" s="332"/>
      <c r="BN94" s="332"/>
    </row>
    <row r="95" spans="1:66" ht="30" x14ac:dyDescent="0.15">
      <c r="A95" s="773"/>
      <c r="B95" s="332"/>
      <c r="C95" s="332"/>
      <c r="D95" s="332"/>
      <c r="E95" s="332"/>
      <c r="F95" s="332" t="str">
        <f ca="1">IFERROR(__xludf.DUMMYFUNCTION("""COMPUTED_VALUE"""),"achievementPlayRankDaily")</f>
        <v>achievementPlayRankDaily</v>
      </c>
      <c r="G95" s="332" t="str">
        <f ca="1">IFERROR(__xludf.DUMMYFUNCTION("""COMPUTED_VALUE"""),"lootTap6")</f>
        <v>lootTap6</v>
      </c>
      <c r="H95" s="332"/>
      <c r="I95" s="332"/>
      <c r="J95" s="332"/>
      <c r="K95" s="332"/>
      <c r="L95" s="332"/>
      <c r="M95" s="332"/>
      <c r="N95" s="332"/>
      <c r="O95" s="332"/>
      <c r="P95" s="332"/>
      <c r="Q95" s="332"/>
      <c r="R95" s="332"/>
      <c r="S95" s="22"/>
      <c r="T95" s="305"/>
      <c r="U95" s="305" t="s">
        <v>6739</v>
      </c>
      <c r="V95" s="305" t="s">
        <v>6740</v>
      </c>
      <c r="W95" s="22"/>
      <c r="X95" s="22"/>
      <c r="Y95" s="22"/>
      <c r="Z95" s="22"/>
      <c r="AA95" s="22"/>
      <c r="AB95" s="332"/>
      <c r="AC95" s="332"/>
      <c r="AD95" s="332"/>
      <c r="AE95" s="332"/>
      <c r="AF95" s="332"/>
      <c r="AG95" s="332"/>
      <c r="AH95" s="332"/>
      <c r="AI95" s="332"/>
      <c r="AJ95" s="332"/>
      <c r="AK95" s="332"/>
      <c r="AL95" s="332"/>
      <c r="AM95" s="334"/>
      <c r="AN95" s="332"/>
      <c r="AO95" s="332"/>
      <c r="AP95" s="332"/>
      <c r="AQ95" s="332"/>
      <c r="AR95" s="332"/>
      <c r="AS95" s="332"/>
      <c r="AT95" s="332"/>
      <c r="AU95" s="332"/>
      <c r="AV95" s="332"/>
      <c r="AW95" s="332"/>
      <c r="AX95" s="332"/>
      <c r="AY95" s="332"/>
      <c r="AZ95" s="332"/>
      <c r="BA95" s="332"/>
      <c r="BB95" s="332"/>
      <c r="BC95" s="332"/>
      <c r="BD95" s="332"/>
      <c r="BE95" s="332"/>
      <c r="BF95" s="332"/>
      <c r="BG95" s="332"/>
      <c r="BH95" s="332"/>
      <c r="BI95" s="332"/>
      <c r="BJ95" s="332"/>
      <c r="BK95" s="332"/>
      <c r="BL95" s="332"/>
      <c r="BM95" s="332"/>
      <c r="BN95" s="332"/>
    </row>
    <row r="96" spans="1:66" ht="30" x14ac:dyDescent="0.15">
      <c r="A96" s="773"/>
      <c r="B96" s="332"/>
      <c r="C96" s="332"/>
      <c r="D96" s="332"/>
      <c r="E96" s="332"/>
      <c r="F96" s="712" t="str">
        <f ca="1">IFERROR(__xludf.DUMMYFUNCTION("""COMPUTED_VALUE"""),"actionMinionsHit")</f>
        <v>actionMinionsHit</v>
      </c>
      <c r="G96" s="332" t="str">
        <f ca="1">IFERROR(__xludf.DUMMYFUNCTION("""COMPUTED_VALUE"""),"lootTap7")</f>
        <v>lootTap7</v>
      </c>
      <c r="H96" s="332"/>
      <c r="I96" s="332"/>
      <c r="J96" s="332"/>
      <c r="K96" s="332"/>
      <c r="L96" s="332"/>
      <c r="M96" s="332"/>
      <c r="N96" s="332"/>
      <c r="O96" s="332"/>
      <c r="P96" s="332"/>
      <c r="Q96" s="332"/>
      <c r="R96" s="332"/>
      <c r="S96" s="22"/>
      <c r="T96" s="305"/>
      <c r="U96" s="305" t="s">
        <v>6741</v>
      </c>
      <c r="V96" s="305" t="s">
        <v>6742</v>
      </c>
      <c r="W96" s="22"/>
      <c r="X96" s="22"/>
      <c r="Y96" s="22"/>
      <c r="Z96" s="22"/>
      <c r="AA96" s="22"/>
      <c r="AB96" s="332"/>
      <c r="AC96" s="332"/>
      <c r="AD96" s="332"/>
      <c r="AE96" s="332"/>
      <c r="AF96" s="332"/>
      <c r="AG96" s="332"/>
      <c r="AH96" s="332"/>
      <c r="AI96" s="332"/>
      <c r="AJ96" s="332"/>
      <c r="AK96" s="332"/>
      <c r="AL96" s="332"/>
      <c r="AM96" s="334"/>
      <c r="AN96" s="332"/>
      <c r="AO96" s="332"/>
      <c r="AP96" s="332"/>
      <c r="AQ96" s="332"/>
      <c r="AR96" s="332"/>
      <c r="AS96" s="332"/>
      <c r="AT96" s="332"/>
      <c r="AU96" s="332"/>
      <c r="AV96" s="332"/>
      <c r="AW96" s="332"/>
      <c r="AX96" s="332"/>
      <c r="AY96" s="332"/>
      <c r="AZ96" s="332"/>
      <c r="BA96" s="332"/>
      <c r="BB96" s="332"/>
      <c r="BC96" s="332"/>
      <c r="BD96" s="332"/>
      <c r="BE96" s="332"/>
      <c r="BF96" s="332"/>
      <c r="BG96" s="332"/>
      <c r="BH96" s="332"/>
      <c r="BI96" s="332"/>
      <c r="BJ96" s="332"/>
      <c r="BK96" s="332"/>
      <c r="BL96" s="332"/>
      <c r="BM96" s="332"/>
      <c r="BN96" s="332"/>
    </row>
    <row r="97" spans="1:66" ht="45" x14ac:dyDescent="0.15">
      <c r="A97" s="773"/>
      <c r="B97" s="332"/>
      <c r="C97" s="332"/>
      <c r="D97" s="332"/>
      <c r="E97" s="332"/>
      <c r="F97" s="332" t="str">
        <f ca="1">IFERROR(__xludf.DUMMYFUNCTION("""COMPUTED_VALUE"""),"achievementPlayNoMinionHits")</f>
        <v>achievementPlayNoMinionHits</v>
      </c>
      <c r="G97" s="332" t="str">
        <f ca="1">IFERROR(__xludf.DUMMYFUNCTION("""COMPUTED_VALUE"""),"lootTap9")</f>
        <v>lootTap9</v>
      </c>
      <c r="H97" s="332"/>
      <c r="I97" s="332"/>
      <c r="J97" s="332"/>
      <c r="K97" s="332"/>
      <c r="L97" s="332"/>
      <c r="M97" s="332"/>
      <c r="N97" s="332"/>
      <c r="O97" s="332"/>
      <c r="P97" s="332"/>
      <c r="Q97" s="332"/>
      <c r="R97" s="332"/>
      <c r="S97" s="22"/>
      <c r="T97" s="305"/>
      <c r="U97" s="305" t="s">
        <v>6743</v>
      </c>
      <c r="V97" s="305" t="s">
        <v>6744</v>
      </c>
      <c r="W97" s="22"/>
      <c r="X97" s="22"/>
      <c r="Y97" s="22"/>
      <c r="Z97" s="22"/>
      <c r="AA97" s="22"/>
      <c r="AB97" s="332"/>
      <c r="AC97" s="332"/>
      <c r="AD97" s="332"/>
      <c r="AE97" s="332"/>
      <c r="AF97" s="332"/>
      <c r="AG97" s="332"/>
      <c r="AH97" s="332"/>
      <c r="AI97" s="332"/>
      <c r="AJ97" s="332"/>
      <c r="AK97" s="332"/>
      <c r="AL97" s="332"/>
      <c r="AM97" s="334"/>
      <c r="AN97" s="332"/>
      <c r="AO97" s="332"/>
      <c r="AP97" s="332"/>
      <c r="AQ97" s="332"/>
      <c r="AR97" s="332"/>
      <c r="AS97" s="332"/>
      <c r="AT97" s="332"/>
      <c r="AU97" s="332"/>
      <c r="AV97" s="332"/>
      <c r="AW97" s="332"/>
      <c r="AX97" s="332"/>
      <c r="AY97" s="332"/>
      <c r="AZ97" s="332"/>
      <c r="BA97" s="332"/>
      <c r="BB97" s="332"/>
      <c r="BC97" s="332"/>
      <c r="BD97" s="332"/>
      <c r="BE97" s="332"/>
      <c r="BF97" s="332"/>
      <c r="BG97" s="332"/>
      <c r="BH97" s="332"/>
      <c r="BI97" s="332"/>
      <c r="BJ97" s="332"/>
      <c r="BK97" s="332"/>
      <c r="BL97" s="332"/>
      <c r="BM97" s="332"/>
      <c r="BN97" s="332"/>
    </row>
    <row r="98" spans="1:66" ht="30" x14ac:dyDescent="0.15">
      <c r="A98" s="773"/>
      <c r="B98" s="332"/>
      <c r="C98" s="332"/>
      <c r="D98" s="332"/>
      <c r="E98" s="332"/>
      <c r="F98" s="332" t="str">
        <f ca="1">IFERROR(__xludf.DUMMYFUNCTION("""COMPUTED_VALUE"""),"actionLauncherUse")</f>
        <v>actionLauncherUse</v>
      </c>
      <c r="G98" s="332" t="str">
        <f ca="1">IFERROR(__xludf.DUMMYFUNCTION("""COMPUTED_VALUE"""),"lootTap10")</f>
        <v>lootTap10</v>
      </c>
      <c r="H98" s="332"/>
      <c r="I98" s="332"/>
      <c r="J98" s="332"/>
      <c r="K98" s="332"/>
      <c r="L98" s="332"/>
      <c r="M98" s="332"/>
      <c r="N98" s="332"/>
      <c r="O98" s="332"/>
      <c r="P98" s="332"/>
      <c r="Q98" s="332"/>
      <c r="R98" s="332"/>
      <c r="S98" s="22"/>
      <c r="T98" s="305"/>
      <c r="U98" s="305" t="s">
        <v>6745</v>
      </c>
      <c r="V98" s="305" t="s">
        <v>6746</v>
      </c>
      <c r="W98" s="22"/>
      <c r="X98" s="22"/>
      <c r="Y98" s="22"/>
      <c r="Z98" s="22"/>
      <c r="AA98" s="22"/>
      <c r="AB98" s="332"/>
      <c r="AC98" s="332"/>
      <c r="AD98" s="332"/>
      <c r="AE98" s="332"/>
      <c r="AF98" s="332"/>
      <c r="AG98" s="332"/>
      <c r="AH98" s="332"/>
      <c r="AI98" s="332"/>
      <c r="AJ98" s="332"/>
      <c r="AK98" s="332"/>
      <c r="AL98" s="332"/>
      <c r="AM98" s="334"/>
      <c r="AN98" s="332"/>
      <c r="AO98" s="332"/>
      <c r="AP98" s="332"/>
      <c r="AQ98" s="332"/>
      <c r="AR98" s="332"/>
      <c r="AS98" s="332"/>
      <c r="AT98" s="332"/>
      <c r="AU98" s="332"/>
      <c r="AV98" s="332"/>
      <c r="AW98" s="332"/>
      <c r="AX98" s="332"/>
      <c r="AY98" s="332"/>
      <c r="AZ98" s="332"/>
      <c r="BA98" s="332"/>
      <c r="BB98" s="332"/>
      <c r="BC98" s="332"/>
      <c r="BD98" s="332"/>
      <c r="BE98" s="332"/>
      <c r="BF98" s="332"/>
      <c r="BG98" s="332"/>
      <c r="BH98" s="332"/>
      <c r="BI98" s="332"/>
      <c r="BJ98" s="332"/>
      <c r="BK98" s="332"/>
      <c r="BL98" s="332"/>
      <c r="BM98" s="332"/>
      <c r="BN98" s="332"/>
    </row>
    <row r="99" spans="1:66" ht="45" x14ac:dyDescent="0.15">
      <c r="A99" s="773"/>
      <c r="B99" s="332"/>
      <c r="C99" s="332"/>
      <c r="D99" s="332"/>
      <c r="E99" s="332"/>
      <c r="F99" s="332" t="str">
        <f ca="1">IFERROR(__xludf.DUMMYFUNCTION("""COMPUTED_VALUE"""),"achievementPlayLauncherUse")</f>
        <v>achievementPlayLauncherUse</v>
      </c>
      <c r="G99" s="332" t="str">
        <f ca="1">IFERROR(__xludf.DUMMYFUNCTION("""COMPUTED_VALUE"""),"lootTap12")</f>
        <v>lootTap12</v>
      </c>
      <c r="H99" s="332"/>
      <c r="I99" s="332"/>
      <c r="J99" s="332"/>
      <c r="K99" s="332"/>
      <c r="L99" s="332"/>
      <c r="M99" s="332"/>
      <c r="N99" s="332"/>
      <c r="O99" s="332"/>
      <c r="P99" s="332"/>
      <c r="Q99" s="332"/>
      <c r="R99" s="332"/>
      <c r="S99" s="22"/>
      <c r="T99" s="305"/>
      <c r="U99" s="305" t="s">
        <v>6747</v>
      </c>
      <c r="V99" s="305" t="s">
        <v>6748</v>
      </c>
      <c r="W99" s="22"/>
      <c r="X99" s="22"/>
      <c r="Y99" s="22"/>
      <c r="Z99" s="22"/>
      <c r="AA99" s="22"/>
      <c r="AB99" s="332"/>
      <c r="AC99" s="332"/>
      <c r="AD99" s="332"/>
      <c r="AE99" s="332"/>
      <c r="AF99" s="332"/>
      <c r="AG99" s="332"/>
      <c r="AH99" s="332"/>
      <c r="AI99" s="332"/>
      <c r="AJ99" s="332"/>
      <c r="AK99" s="332"/>
      <c r="AL99" s="332"/>
      <c r="AM99" s="334"/>
      <c r="AN99" s="332"/>
      <c r="AO99" s="332"/>
      <c r="AP99" s="332"/>
      <c r="AQ99" s="332"/>
      <c r="AR99" s="332"/>
      <c r="AS99" s="332"/>
      <c r="AT99" s="332"/>
      <c r="AU99" s="332"/>
      <c r="AV99" s="332"/>
      <c r="AW99" s="332"/>
      <c r="AX99" s="332"/>
      <c r="AY99" s="332"/>
      <c r="AZ99" s="332"/>
      <c r="BA99" s="332"/>
      <c r="BB99" s="332"/>
      <c r="BC99" s="332"/>
      <c r="BD99" s="332"/>
      <c r="BE99" s="332"/>
      <c r="BF99" s="332"/>
      <c r="BG99" s="332"/>
      <c r="BH99" s="332"/>
      <c r="BI99" s="332"/>
      <c r="BJ99" s="332"/>
      <c r="BK99" s="332"/>
      <c r="BL99" s="332"/>
      <c r="BM99" s="332"/>
      <c r="BN99" s="332"/>
    </row>
    <row r="100" spans="1:66" ht="45" x14ac:dyDescent="0.15">
      <c r="A100" s="773"/>
      <c r="B100" s="332"/>
      <c r="C100" s="332"/>
      <c r="D100" s="332"/>
      <c r="E100" s="332"/>
      <c r="F100" s="332" t="str">
        <f ca="1">IFERROR(__xludf.DUMMYFUNCTION("""COMPUTED_VALUE"""),"actionUltimateUse")</f>
        <v>actionUltimateUse</v>
      </c>
      <c r="G100" s="332" t="str">
        <f ca="1">IFERROR(__xludf.DUMMYFUNCTION("""COMPUTED_VALUE"""),"achievementPlayBestStudent")</f>
        <v>achievementPlayBestStudent</v>
      </c>
      <c r="H100" s="332"/>
      <c r="I100" s="332"/>
      <c r="J100" s="332"/>
      <c r="K100" s="332"/>
      <c r="L100" s="332"/>
      <c r="M100" s="332"/>
      <c r="N100" s="332"/>
      <c r="O100" s="332"/>
      <c r="P100" s="332"/>
      <c r="Q100" s="332"/>
      <c r="R100" s="332"/>
      <c r="S100" s="22"/>
      <c r="T100" s="305"/>
      <c r="U100" s="305" t="s">
        <v>6749</v>
      </c>
      <c r="V100" s="305" t="s">
        <v>6750</v>
      </c>
      <c r="W100" s="22"/>
      <c r="X100" s="22"/>
      <c r="Y100" s="22"/>
      <c r="Z100" s="22"/>
      <c r="AA100" s="22"/>
      <c r="AB100" s="332"/>
      <c r="AC100" s="332"/>
      <c r="AD100" s="332"/>
      <c r="AE100" s="332"/>
      <c r="AF100" s="332"/>
      <c r="AG100" s="332"/>
      <c r="AH100" s="332"/>
      <c r="AI100" s="332"/>
      <c r="AJ100" s="332"/>
      <c r="AK100" s="332"/>
      <c r="AL100" s="332"/>
      <c r="AM100" s="334"/>
      <c r="AN100" s="332"/>
      <c r="AO100" s="332"/>
      <c r="AP100" s="332"/>
      <c r="AQ100" s="332"/>
      <c r="AR100" s="332"/>
      <c r="AS100" s="332"/>
      <c r="AT100" s="332"/>
      <c r="AU100" s="332"/>
      <c r="AV100" s="332"/>
      <c r="AW100" s="332"/>
      <c r="AX100" s="332"/>
      <c r="AY100" s="332"/>
      <c r="AZ100" s="332"/>
      <c r="BA100" s="332"/>
      <c r="BB100" s="332"/>
      <c r="BC100" s="332"/>
      <c r="BD100" s="332"/>
      <c r="BE100" s="332"/>
      <c r="BF100" s="332"/>
      <c r="BG100" s="332"/>
      <c r="BH100" s="332"/>
      <c r="BI100" s="332"/>
      <c r="BJ100" s="332"/>
      <c r="BK100" s="332"/>
      <c r="BL100" s="332"/>
      <c r="BM100" s="332"/>
      <c r="BN100" s="332"/>
    </row>
    <row r="101" spans="1:66" ht="45" x14ac:dyDescent="0.15">
      <c r="A101" s="773"/>
      <c r="B101" s="332"/>
      <c r="C101" s="332"/>
      <c r="D101" s="332"/>
      <c r="E101" s="332"/>
      <c r="F101" s="332" t="str">
        <f ca="1">IFERROR(__xludf.DUMMYFUNCTION("""COMPUTED_VALUE"""),"achievementPlayUltimateUse")</f>
        <v>achievementPlayUltimateUse</v>
      </c>
      <c r="G101" s="332" t="str">
        <f ca="1">IFERROR(__xludf.DUMMYFUNCTION("""COMPUTED_VALUE"""),"achievementMissionAll")</f>
        <v>achievementMissionAll</v>
      </c>
      <c r="H101" s="332"/>
      <c r="I101" s="332"/>
      <c r="J101" s="332"/>
      <c r="K101" s="332"/>
      <c r="L101" s="332"/>
      <c r="M101" s="332"/>
      <c r="N101" s="332"/>
      <c r="O101" s="332"/>
      <c r="P101" s="332"/>
      <c r="Q101" s="332"/>
      <c r="R101" s="332"/>
      <c r="S101" s="22"/>
      <c r="T101" s="305"/>
      <c r="U101" s="305" t="s">
        <v>6751</v>
      </c>
      <c r="V101" s="305" t="s">
        <v>6752</v>
      </c>
      <c r="W101" s="22"/>
      <c r="X101" s="22"/>
      <c r="Y101" s="22"/>
      <c r="Z101" s="22"/>
      <c r="AA101" s="22"/>
      <c r="AB101" s="332"/>
      <c r="AC101" s="332"/>
      <c r="AD101" s="332"/>
      <c r="AE101" s="332"/>
      <c r="AF101" s="332"/>
      <c r="AG101" s="332"/>
      <c r="AH101" s="332"/>
      <c r="AI101" s="332"/>
      <c r="AJ101" s="332"/>
      <c r="AK101" s="332"/>
      <c r="AL101" s="332"/>
      <c r="AM101" s="334"/>
      <c r="AN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row>
    <row r="102" spans="1:66" ht="30" x14ac:dyDescent="0.15">
      <c r="A102" s="773"/>
      <c r="B102" s="332"/>
      <c r="C102" s="332"/>
      <c r="D102" s="332"/>
      <c r="E102" s="332"/>
      <c r="F102" s="332" t="str">
        <f ca="1">IFERROR(__xludf.DUMMYFUNCTION("""COMPUTED_VALUE"""),"actionObjectsFreeze")</f>
        <v>actionObjectsFreeze</v>
      </c>
      <c r="G102" s="332"/>
      <c r="H102" s="332"/>
      <c r="I102" s="332"/>
      <c r="J102" s="332"/>
      <c r="K102" s="332"/>
      <c r="L102" s="332"/>
      <c r="M102" s="332"/>
      <c r="N102" s="332"/>
      <c r="O102" s="332"/>
      <c r="P102" s="332"/>
      <c r="Q102" s="332"/>
      <c r="R102" s="332"/>
      <c r="S102" s="22"/>
      <c r="T102" s="305"/>
      <c r="U102" s="305" t="s">
        <v>6753</v>
      </c>
      <c r="V102" s="305" t="s">
        <v>6754</v>
      </c>
      <c r="W102" s="22"/>
      <c r="X102" s="22"/>
      <c r="Y102" s="22"/>
      <c r="Z102" s="22"/>
      <c r="AA102" s="22"/>
      <c r="AB102" s="332"/>
      <c r="AC102" s="332"/>
      <c r="AD102" s="332"/>
      <c r="AE102" s="332"/>
      <c r="AF102" s="332"/>
      <c r="AG102" s="332"/>
      <c r="AH102" s="332"/>
      <c r="AI102" s="332"/>
      <c r="AJ102" s="332"/>
      <c r="AK102" s="332"/>
      <c r="AL102" s="332"/>
      <c r="AM102" s="334"/>
      <c r="AN102" s="332"/>
      <c r="AO102" s="332"/>
      <c r="AP102" s="332"/>
      <c r="AQ102" s="332"/>
      <c r="AR102" s="332"/>
      <c r="AS102" s="332"/>
      <c r="AT102" s="332"/>
      <c r="AU102" s="332"/>
      <c r="AV102" s="332"/>
      <c r="AW102" s="332"/>
      <c r="AX102" s="332"/>
      <c r="AY102" s="332"/>
      <c r="AZ102" s="332"/>
      <c r="BA102" s="332"/>
      <c r="BB102" s="332"/>
      <c r="BC102" s="332"/>
      <c r="BD102" s="332"/>
      <c r="BE102" s="332"/>
      <c r="BF102" s="332"/>
      <c r="BG102" s="332"/>
      <c r="BH102" s="332"/>
      <c r="BI102" s="332"/>
      <c r="BJ102" s="332"/>
      <c r="BK102" s="332"/>
      <c r="BL102" s="332"/>
      <c r="BM102" s="332"/>
      <c r="BN102" s="332"/>
    </row>
    <row r="103" spans="1:66" ht="45" x14ac:dyDescent="0.15">
      <c r="A103" s="773"/>
      <c r="B103" s="332"/>
      <c r="C103" s="332"/>
      <c r="D103" s="332"/>
      <c r="E103" s="332"/>
      <c r="F103" s="332" t="str">
        <f ca="1">IFERROR(__xludf.DUMMYFUNCTION("""COMPUTED_VALUE"""),"achievementPlayObjectsFreeze")</f>
        <v>achievementPlayObjectsFreeze</v>
      </c>
      <c r="G103" s="332"/>
      <c r="H103" s="332"/>
      <c r="I103" s="332"/>
      <c r="J103" s="332"/>
      <c r="K103" s="332"/>
      <c r="L103" s="332"/>
      <c r="M103" s="332"/>
      <c r="N103" s="332"/>
      <c r="O103" s="332"/>
      <c r="P103" s="332"/>
      <c r="Q103" s="332"/>
      <c r="R103" s="332"/>
      <c r="S103" s="22"/>
      <c r="T103" s="305"/>
      <c r="U103" s="305" t="s">
        <v>6755</v>
      </c>
      <c r="V103" s="305" t="s">
        <v>6756</v>
      </c>
      <c r="W103" s="22"/>
      <c r="X103" s="22"/>
      <c r="Y103" s="22"/>
      <c r="Z103" s="22"/>
      <c r="AA103" s="22"/>
      <c r="AB103" s="332"/>
      <c r="AC103" s="332"/>
      <c r="AD103" s="332"/>
      <c r="AE103" s="332"/>
      <c r="AF103" s="332"/>
      <c r="AG103" s="332"/>
      <c r="AH103" s="332"/>
      <c r="AI103" s="332"/>
      <c r="AJ103" s="332"/>
      <c r="AK103" s="332"/>
      <c r="AL103" s="332"/>
      <c r="AM103" s="334"/>
      <c r="AN103" s="332"/>
      <c r="AO103" s="332"/>
      <c r="AP103" s="332"/>
      <c r="AQ103" s="332"/>
      <c r="AR103" s="332"/>
      <c r="AS103" s="332"/>
      <c r="AT103" s="332"/>
      <c r="AU103" s="332"/>
      <c r="AV103" s="332"/>
      <c r="AW103" s="332"/>
      <c r="AX103" s="332"/>
      <c r="AY103" s="332"/>
      <c r="AZ103" s="332"/>
      <c r="BA103" s="332"/>
      <c r="BB103" s="332"/>
      <c r="BC103" s="332"/>
      <c r="BD103" s="332"/>
      <c r="BE103" s="332"/>
      <c r="BF103" s="332"/>
      <c r="BG103" s="332"/>
      <c r="BH103" s="332"/>
      <c r="BI103" s="332"/>
      <c r="BJ103" s="332"/>
      <c r="BK103" s="332"/>
      <c r="BL103" s="332"/>
      <c r="BM103" s="332"/>
      <c r="BN103" s="332"/>
    </row>
    <row r="104" spans="1:66" ht="30" x14ac:dyDescent="0.15">
      <c r="A104" s="773"/>
      <c r="B104" s="332"/>
      <c r="C104" s="332"/>
      <c r="D104" s="332"/>
      <c r="E104" s="332"/>
      <c r="F104" s="332" t="str">
        <f ca="1">IFERROR(__xludf.DUMMYFUNCTION("""COMPUTED_VALUE"""),"actionObjectsBurn")</f>
        <v>actionObjectsBurn</v>
      </c>
      <c r="G104" s="332"/>
      <c r="H104" s="332"/>
      <c r="I104" s="332"/>
      <c r="J104" s="332"/>
      <c r="K104" s="332"/>
      <c r="L104" s="332"/>
      <c r="M104" s="332"/>
      <c r="N104" s="332"/>
      <c r="O104" s="332"/>
      <c r="P104" s="332"/>
      <c r="Q104" s="332"/>
      <c r="R104" s="332"/>
      <c r="S104" s="22"/>
      <c r="T104" s="305"/>
      <c r="U104" s="305" t="s">
        <v>6757</v>
      </c>
      <c r="V104" s="305" t="s">
        <v>6758</v>
      </c>
      <c r="W104" s="22"/>
      <c r="X104" s="22"/>
      <c r="Y104" s="22"/>
      <c r="Z104" s="22"/>
      <c r="AA104" s="22"/>
      <c r="AB104" s="332"/>
      <c r="AC104" s="332"/>
      <c r="AD104" s="332"/>
      <c r="AE104" s="332"/>
      <c r="AF104" s="332"/>
      <c r="AG104" s="332"/>
      <c r="AH104" s="332"/>
      <c r="AI104" s="332"/>
      <c r="AJ104" s="332"/>
      <c r="AK104" s="332"/>
      <c r="AL104" s="332"/>
      <c r="AM104" s="334"/>
      <c r="AN104" s="332"/>
      <c r="AO104" s="332"/>
      <c r="AP104" s="332"/>
      <c r="AQ104" s="332"/>
      <c r="AR104" s="332"/>
      <c r="AS104" s="332"/>
      <c r="AT104" s="332"/>
      <c r="AU104" s="332"/>
      <c r="AV104" s="332"/>
      <c r="AW104" s="332"/>
      <c r="AX104" s="332"/>
      <c r="AY104" s="332"/>
      <c r="AZ104" s="332"/>
      <c r="BA104" s="332"/>
      <c r="BB104" s="332"/>
      <c r="BC104" s="332"/>
      <c r="BD104" s="332"/>
      <c r="BE104" s="332"/>
      <c r="BF104" s="332"/>
      <c r="BG104" s="332"/>
      <c r="BH104" s="332"/>
      <c r="BI104" s="332"/>
      <c r="BJ104" s="332"/>
      <c r="BK104" s="332"/>
      <c r="BL104" s="332"/>
      <c r="BM104" s="332"/>
      <c r="BN104" s="332"/>
    </row>
    <row r="105" spans="1:66" ht="45" x14ac:dyDescent="0.15">
      <c r="A105" s="773"/>
      <c r="B105" s="332"/>
      <c r="C105" s="332"/>
      <c r="D105" s="332"/>
      <c r="E105" s="332"/>
      <c r="F105" s="332" t="str">
        <f ca="1">IFERROR(__xludf.DUMMYFUNCTION("""COMPUTED_VALUE"""),"achievementPlayObjectsBurn")</f>
        <v>achievementPlayObjectsBurn</v>
      </c>
      <c r="G105" s="332"/>
      <c r="H105" s="332"/>
      <c r="I105" s="332"/>
      <c r="J105" s="332"/>
      <c r="K105" s="332"/>
      <c r="L105" s="332"/>
      <c r="M105" s="332"/>
      <c r="N105" s="332"/>
      <c r="O105" s="332"/>
      <c r="P105" s="332"/>
      <c r="Q105" s="332"/>
      <c r="R105" s="332"/>
      <c r="S105" s="22"/>
      <c r="T105" s="305"/>
      <c r="U105" s="305" t="s">
        <v>6759</v>
      </c>
      <c r="V105" s="305" t="s">
        <v>6760</v>
      </c>
      <c r="W105" s="22"/>
      <c r="X105" s="22"/>
      <c r="Y105" s="22"/>
      <c r="Z105" s="22"/>
      <c r="AA105" s="22"/>
      <c r="AB105" s="332"/>
      <c r="AC105" s="332"/>
      <c r="AD105" s="332"/>
      <c r="AE105" s="332"/>
      <c r="AF105" s="332"/>
      <c r="AG105" s="332"/>
      <c r="AH105" s="332"/>
      <c r="AI105" s="332"/>
      <c r="AJ105" s="332"/>
      <c r="AK105" s="332"/>
      <c r="AL105" s="332"/>
      <c r="AM105" s="334"/>
      <c r="AN105" s="332"/>
      <c r="AO105" s="332"/>
      <c r="AP105" s="332"/>
      <c r="AQ105" s="332"/>
      <c r="AR105" s="332"/>
      <c r="AS105" s="332"/>
      <c r="AT105" s="332"/>
      <c r="AU105" s="332"/>
      <c r="AV105" s="332"/>
      <c r="AW105" s="332"/>
      <c r="AX105" s="332"/>
      <c r="AY105" s="332"/>
      <c r="AZ105" s="332"/>
      <c r="BA105" s="332"/>
      <c r="BB105" s="332"/>
      <c r="BC105" s="332"/>
      <c r="BD105" s="332"/>
      <c r="BE105" s="332"/>
      <c r="BF105" s="332"/>
      <c r="BG105" s="332"/>
      <c r="BH105" s="332"/>
      <c r="BI105" s="332"/>
      <c r="BJ105" s="332"/>
      <c r="BK105" s="332"/>
      <c r="BL105" s="332"/>
      <c r="BM105" s="332"/>
      <c r="BN105" s="332"/>
    </row>
    <row r="106" spans="1:66" ht="30" x14ac:dyDescent="0.15">
      <c r="A106" s="773"/>
      <c r="B106" s="332"/>
      <c r="C106" s="332"/>
      <c r="D106" s="332"/>
      <c r="E106" s="332"/>
      <c r="F106" s="332" t="str">
        <f ca="1">IFERROR(__xludf.DUMMYFUNCTION("""COMPUTED_VALUE"""),"actionObjectsElectrify")</f>
        <v>actionObjectsElectrify</v>
      </c>
      <c r="G106" s="332"/>
      <c r="H106" s="332"/>
      <c r="I106" s="332"/>
      <c r="J106" s="332"/>
      <c r="K106" s="332"/>
      <c r="L106" s="332"/>
      <c r="M106" s="332"/>
      <c r="N106" s="332"/>
      <c r="O106" s="332"/>
      <c r="P106" s="332"/>
      <c r="Q106" s="332"/>
      <c r="R106" s="332"/>
      <c r="S106" s="22"/>
      <c r="T106" s="305"/>
      <c r="U106" s="305" t="s">
        <v>6761</v>
      </c>
      <c r="V106" s="305" t="s">
        <v>6762</v>
      </c>
      <c r="W106" s="22"/>
      <c r="X106" s="22"/>
      <c r="Y106" s="22"/>
      <c r="Z106" s="22"/>
      <c r="AA106" s="22"/>
      <c r="AB106" s="332"/>
      <c r="AC106" s="332"/>
      <c r="AD106" s="332"/>
      <c r="AE106" s="332"/>
      <c r="AF106" s="332"/>
      <c r="AG106" s="332"/>
      <c r="AH106" s="332"/>
      <c r="AI106" s="332"/>
      <c r="AJ106" s="332"/>
      <c r="AK106" s="332"/>
      <c r="AL106" s="332"/>
      <c r="AM106" s="334"/>
      <c r="AN106" s="332"/>
      <c r="AO106" s="332"/>
      <c r="AP106" s="332"/>
      <c r="AQ106" s="332"/>
      <c r="AR106" s="332"/>
      <c r="AS106" s="332"/>
      <c r="AT106" s="332"/>
      <c r="AU106" s="332"/>
      <c r="AV106" s="332"/>
      <c r="AW106" s="332"/>
      <c r="AX106" s="332"/>
      <c r="AY106" s="332"/>
      <c r="AZ106" s="332"/>
      <c r="BA106" s="332"/>
      <c r="BB106" s="332"/>
      <c r="BC106" s="332"/>
      <c r="BD106" s="332"/>
      <c r="BE106" s="332"/>
      <c r="BF106" s="332"/>
      <c r="BG106" s="332"/>
      <c r="BH106" s="332"/>
      <c r="BI106" s="332"/>
      <c r="BJ106" s="332"/>
      <c r="BK106" s="332"/>
      <c r="BL106" s="332"/>
      <c r="BM106" s="332"/>
      <c r="BN106" s="332"/>
    </row>
    <row r="107" spans="1:66" ht="45" x14ac:dyDescent="0.15">
      <c r="A107" s="773"/>
      <c r="B107" s="332"/>
      <c r="C107" s="332"/>
      <c r="D107" s="332"/>
      <c r="E107" s="332"/>
      <c r="F107" s="332" t="str">
        <f ca="1">IFERROR(__xludf.DUMMYFUNCTION("""COMPUTED_VALUE"""),"achievementPlayObjectsElectrify")</f>
        <v>achievementPlayObjectsElectrify</v>
      </c>
      <c r="G107" s="332"/>
      <c r="H107" s="332"/>
      <c r="I107" s="332"/>
      <c r="J107" s="332"/>
      <c r="K107" s="332"/>
      <c r="L107" s="332"/>
      <c r="M107" s="332"/>
      <c r="N107" s="332"/>
      <c r="O107" s="332"/>
      <c r="P107" s="332"/>
      <c r="Q107" s="332"/>
      <c r="R107" s="332"/>
      <c r="S107" s="22"/>
      <c r="T107" s="305"/>
      <c r="U107" s="305" t="s">
        <v>6763</v>
      </c>
      <c r="V107" s="305" t="s">
        <v>6764</v>
      </c>
      <c r="W107" s="22"/>
      <c r="X107" s="22"/>
      <c r="Y107" s="22"/>
      <c r="Z107" s="22"/>
      <c r="AA107" s="22"/>
      <c r="AB107" s="332"/>
      <c r="AC107" s="332"/>
      <c r="AD107" s="332"/>
      <c r="AE107" s="332"/>
      <c r="AF107" s="332"/>
      <c r="AG107" s="332"/>
      <c r="AH107" s="332"/>
      <c r="AI107" s="332"/>
      <c r="AJ107" s="332"/>
      <c r="AK107" s="332"/>
      <c r="AL107" s="332"/>
      <c r="AM107" s="334"/>
      <c r="AN107" s="332"/>
      <c r="AO107" s="332"/>
      <c r="AP107" s="332"/>
      <c r="AQ107" s="332"/>
      <c r="AR107" s="332"/>
      <c r="AS107" s="332"/>
      <c r="AT107" s="332"/>
      <c r="AU107" s="332"/>
      <c r="AV107" s="332"/>
      <c r="AW107" s="332"/>
      <c r="AX107" s="332"/>
      <c r="AY107" s="332"/>
      <c r="AZ107" s="332"/>
      <c r="BA107" s="332"/>
      <c r="BB107" s="332"/>
      <c r="BC107" s="332"/>
      <c r="BD107" s="332"/>
      <c r="BE107" s="332"/>
      <c r="BF107" s="332"/>
      <c r="BG107" s="332"/>
      <c r="BH107" s="332"/>
      <c r="BI107" s="332"/>
      <c r="BJ107" s="332"/>
      <c r="BK107" s="332"/>
      <c r="BL107" s="332"/>
      <c r="BM107" s="332"/>
      <c r="BN107" s="332"/>
    </row>
    <row r="108" spans="1:66" ht="30" x14ac:dyDescent="0.15">
      <c r="A108" s="773"/>
      <c r="B108" s="332"/>
      <c r="C108" s="332"/>
      <c r="D108" s="332"/>
      <c r="E108" s="332"/>
      <c r="F108" s="332" t="str">
        <f ca="1">IFERROR(__xludf.DUMMYFUNCTION("""COMPUTED_VALUE"""),"actionObjectsCrush")</f>
        <v>actionObjectsCrush</v>
      </c>
      <c r="G108" s="332"/>
      <c r="H108" s="332"/>
      <c r="I108" s="332"/>
      <c r="J108" s="332"/>
      <c r="K108" s="332"/>
      <c r="L108" s="332"/>
      <c r="M108" s="332"/>
      <c r="N108" s="332"/>
      <c r="O108" s="332"/>
      <c r="P108" s="332"/>
      <c r="Q108" s="332"/>
      <c r="R108" s="332"/>
      <c r="S108" s="22"/>
      <c r="T108" s="305"/>
      <c r="U108" s="305" t="s">
        <v>6765</v>
      </c>
      <c r="V108" s="305" t="s">
        <v>6766</v>
      </c>
      <c r="W108" s="22"/>
      <c r="X108" s="22"/>
      <c r="Y108" s="22"/>
      <c r="Z108" s="22"/>
      <c r="AA108" s="22"/>
      <c r="AB108" s="332"/>
      <c r="AC108" s="332"/>
      <c r="AD108" s="332"/>
      <c r="AE108" s="332"/>
      <c r="AF108" s="332"/>
      <c r="AG108" s="332"/>
      <c r="AH108" s="332"/>
      <c r="AI108" s="332"/>
      <c r="AJ108" s="332"/>
      <c r="AK108" s="332"/>
      <c r="AL108" s="332"/>
      <c r="AM108" s="334"/>
      <c r="AN108" s="332"/>
      <c r="AO108" s="332"/>
      <c r="AP108" s="332"/>
      <c r="AQ108" s="332"/>
      <c r="AR108" s="332"/>
      <c r="AS108" s="332"/>
      <c r="AT108" s="332"/>
      <c r="AU108" s="332"/>
      <c r="AV108" s="332"/>
      <c r="AW108" s="332"/>
      <c r="AX108" s="332"/>
      <c r="AY108" s="332"/>
      <c r="AZ108" s="332"/>
      <c r="BA108" s="332"/>
      <c r="BB108" s="332"/>
      <c r="BC108" s="332"/>
      <c r="BD108" s="332"/>
      <c r="BE108" s="332"/>
      <c r="BF108" s="332"/>
      <c r="BG108" s="332"/>
      <c r="BH108" s="332"/>
      <c r="BI108" s="332"/>
      <c r="BJ108" s="332"/>
      <c r="BK108" s="332"/>
      <c r="BL108" s="332"/>
      <c r="BM108" s="332"/>
      <c r="BN108" s="332"/>
    </row>
    <row r="109" spans="1:66" ht="45" x14ac:dyDescent="0.15">
      <c r="A109" s="773"/>
      <c r="B109" s="332"/>
      <c r="C109" s="332"/>
      <c r="D109" s="332"/>
      <c r="E109" s="332"/>
      <c r="F109" s="332" t="str">
        <f ca="1">IFERROR(__xludf.DUMMYFUNCTION("""COMPUTED_VALUE"""),"achievementPlayObjectsCrush")</f>
        <v>achievementPlayObjectsCrush</v>
      </c>
      <c r="G109" s="332"/>
      <c r="H109" s="332"/>
      <c r="I109" s="332"/>
      <c r="J109" s="332"/>
      <c r="K109" s="332"/>
      <c r="L109" s="332"/>
      <c r="M109" s="332"/>
      <c r="N109" s="332"/>
      <c r="O109" s="332"/>
      <c r="P109" s="332"/>
      <c r="Q109" s="332"/>
      <c r="R109" s="332"/>
      <c r="S109" s="22"/>
      <c r="T109" s="305"/>
      <c r="U109" s="305" t="s">
        <v>6767</v>
      </c>
      <c r="V109" s="305" t="s">
        <v>6768</v>
      </c>
      <c r="W109" s="22"/>
      <c r="X109" s="22"/>
      <c r="Y109" s="22"/>
      <c r="Z109" s="22"/>
      <c r="AA109" s="22"/>
      <c r="AB109" s="332"/>
      <c r="AC109" s="332"/>
      <c r="AD109" s="332"/>
      <c r="AE109" s="332"/>
      <c r="AF109" s="332"/>
      <c r="AG109" s="332"/>
      <c r="AH109" s="332"/>
      <c r="AI109" s="332"/>
      <c r="AJ109" s="332"/>
      <c r="AK109" s="332"/>
      <c r="AL109" s="332"/>
      <c r="AM109" s="334"/>
      <c r="AN109" s="332"/>
      <c r="AO109" s="332"/>
      <c r="AP109" s="332"/>
      <c r="AQ109" s="332"/>
      <c r="AR109" s="332"/>
      <c r="AS109" s="332"/>
      <c r="AT109" s="332"/>
      <c r="AU109" s="332"/>
      <c r="AV109" s="332"/>
      <c r="AW109" s="332"/>
      <c r="AX109" s="332"/>
      <c r="AY109" s="332"/>
      <c r="AZ109" s="332"/>
      <c r="BA109" s="332"/>
      <c r="BB109" s="332"/>
      <c r="BC109" s="332"/>
      <c r="BD109" s="332"/>
      <c r="BE109" s="332"/>
      <c r="BF109" s="332"/>
      <c r="BG109" s="332"/>
      <c r="BH109" s="332"/>
      <c r="BI109" s="332"/>
      <c r="BJ109" s="332"/>
      <c r="BK109" s="332"/>
      <c r="BL109" s="332"/>
      <c r="BM109" s="332"/>
      <c r="BN109" s="332"/>
    </row>
    <row r="110" spans="1:66" ht="30" x14ac:dyDescent="0.15">
      <c r="A110" s="773"/>
      <c r="B110" s="332"/>
      <c r="C110" s="332"/>
      <c r="D110" s="332"/>
      <c r="E110" s="332"/>
      <c r="F110" s="332" t="str">
        <f ca="1">IFERROR(__xludf.DUMMYFUNCTION("""COMPUTED_VALUE"""),"actionBombsExplode")</f>
        <v>actionBombsExplode</v>
      </c>
      <c r="G110" s="332"/>
      <c r="H110" s="332"/>
      <c r="I110" s="332"/>
      <c r="J110" s="332"/>
      <c r="K110" s="332"/>
      <c r="L110" s="332"/>
      <c r="M110" s="332"/>
      <c r="N110" s="332"/>
      <c r="O110" s="332"/>
      <c r="P110" s="332"/>
      <c r="Q110" s="332"/>
      <c r="R110" s="332"/>
      <c r="S110" s="22"/>
      <c r="T110" s="305"/>
      <c r="U110" s="305" t="s">
        <v>6769</v>
      </c>
      <c r="V110" s="305" t="s">
        <v>6770</v>
      </c>
      <c r="W110" s="22"/>
      <c r="X110" s="22"/>
      <c r="Y110" s="22"/>
      <c r="Z110" s="22"/>
      <c r="AA110" s="22"/>
      <c r="AB110" s="332"/>
      <c r="AC110" s="332"/>
      <c r="AD110" s="332"/>
      <c r="AE110" s="332"/>
      <c r="AF110" s="332"/>
      <c r="AG110" s="332"/>
      <c r="AH110" s="332"/>
      <c r="AI110" s="332"/>
      <c r="AJ110" s="332"/>
      <c r="AK110" s="332"/>
      <c r="AL110" s="332"/>
      <c r="AM110" s="334"/>
      <c r="AN110" s="332"/>
      <c r="AO110" s="332"/>
      <c r="AP110" s="332"/>
      <c r="AQ110" s="332"/>
      <c r="AR110" s="332"/>
      <c r="AS110" s="332"/>
      <c r="AT110" s="332"/>
      <c r="AU110" s="332"/>
      <c r="AV110" s="332"/>
      <c r="AW110" s="332"/>
      <c r="AX110" s="332"/>
      <c r="AY110" s="332"/>
      <c r="AZ110" s="332"/>
      <c r="BA110" s="332"/>
      <c r="BB110" s="332"/>
      <c r="BC110" s="332"/>
      <c r="BD110" s="332"/>
      <c r="BE110" s="332"/>
      <c r="BF110" s="332"/>
      <c r="BG110" s="332"/>
      <c r="BH110" s="332"/>
      <c r="BI110" s="332"/>
      <c r="BJ110" s="332"/>
      <c r="BK110" s="332"/>
      <c r="BL110" s="332"/>
      <c r="BM110" s="332"/>
      <c r="BN110" s="332"/>
    </row>
    <row r="111" spans="1:66" ht="45" x14ac:dyDescent="0.15">
      <c r="A111" s="773"/>
      <c r="B111" s="332"/>
      <c r="C111" s="332"/>
      <c r="D111" s="332"/>
      <c r="E111" s="332"/>
      <c r="F111" s="332" t="str">
        <f ca="1">IFERROR(__xludf.DUMMYFUNCTION("""COMPUTED_VALUE"""),"achievementPlayBombsExplode")</f>
        <v>achievementPlayBombsExplode</v>
      </c>
      <c r="G111" s="332"/>
      <c r="H111" s="332"/>
      <c r="I111" s="332"/>
      <c r="J111" s="332"/>
      <c r="K111" s="332"/>
      <c r="L111" s="332"/>
      <c r="M111" s="332"/>
      <c r="N111" s="332"/>
      <c r="O111" s="332"/>
      <c r="P111" s="332"/>
      <c r="Q111" s="332"/>
      <c r="R111" s="332"/>
      <c r="S111" s="22"/>
      <c r="T111" s="305"/>
      <c r="U111" s="305" t="s">
        <v>6771</v>
      </c>
      <c r="V111" s="305" t="s">
        <v>6772</v>
      </c>
      <c r="W111" s="22"/>
      <c r="X111" s="22"/>
      <c r="Y111" s="22"/>
      <c r="Z111" s="22"/>
      <c r="AA111" s="22"/>
      <c r="AB111" s="332"/>
      <c r="AC111" s="332"/>
      <c r="AD111" s="332"/>
      <c r="AE111" s="332"/>
      <c r="AF111" s="332"/>
      <c r="AG111" s="332"/>
      <c r="AH111" s="332"/>
      <c r="AI111" s="332"/>
      <c r="AJ111" s="332"/>
      <c r="AK111" s="332"/>
      <c r="AL111" s="332"/>
      <c r="AM111" s="334"/>
      <c r="AN111" s="332"/>
      <c r="AO111" s="332"/>
      <c r="AP111" s="332"/>
      <c r="AQ111" s="332"/>
      <c r="AR111" s="332"/>
      <c r="AS111" s="332"/>
      <c r="AT111" s="332"/>
      <c r="AU111" s="332"/>
      <c r="AV111" s="332"/>
      <c r="AW111" s="332"/>
      <c r="AX111" s="332"/>
      <c r="AY111" s="332"/>
      <c r="AZ111" s="332"/>
      <c r="BA111" s="332"/>
      <c r="BB111" s="332"/>
      <c r="BC111" s="332"/>
      <c r="BD111" s="332"/>
      <c r="BE111" s="332"/>
      <c r="BF111" s="332"/>
      <c r="BG111" s="332"/>
      <c r="BH111" s="332"/>
      <c r="BI111" s="332"/>
      <c r="BJ111" s="332"/>
      <c r="BK111" s="332"/>
      <c r="BL111" s="332"/>
      <c r="BM111" s="332"/>
      <c r="BN111" s="332"/>
    </row>
    <row r="112" spans="1:66" ht="30" x14ac:dyDescent="0.15">
      <c r="A112" s="773"/>
      <c r="B112" s="332"/>
      <c r="C112" s="332"/>
      <c r="D112" s="332"/>
      <c r="E112" s="332"/>
      <c r="F112" s="332" t="str">
        <f ca="1">IFERROR(__xludf.DUMMYFUNCTION("""COMPUTED_VALUE"""),"actionPlayerNerfed")</f>
        <v>actionPlayerNerfed</v>
      </c>
      <c r="G112" s="332"/>
      <c r="H112" s="332"/>
      <c r="I112" s="332"/>
      <c r="J112" s="332"/>
      <c r="K112" s="332"/>
      <c r="L112" s="332"/>
      <c r="M112" s="332"/>
      <c r="N112" s="332"/>
      <c r="O112" s="332"/>
      <c r="P112" s="332"/>
      <c r="Q112" s="332"/>
      <c r="R112" s="332"/>
      <c r="S112" s="22"/>
      <c r="T112" s="305"/>
      <c r="U112" s="305" t="s">
        <v>6773</v>
      </c>
      <c r="V112" s="305" t="s">
        <v>6774</v>
      </c>
      <c r="W112" s="22"/>
      <c r="X112" s="22"/>
      <c r="Y112" s="22"/>
      <c r="Z112" s="22"/>
      <c r="AA112" s="22"/>
      <c r="AB112" s="332"/>
      <c r="AC112" s="332"/>
      <c r="AD112" s="332"/>
      <c r="AE112" s="332"/>
      <c r="AF112" s="332"/>
      <c r="AG112" s="332"/>
      <c r="AH112" s="332"/>
      <c r="AI112" s="332"/>
      <c r="AJ112" s="332"/>
      <c r="AK112" s="332"/>
      <c r="AL112" s="332"/>
      <c r="AM112" s="334"/>
      <c r="AN112" s="332"/>
      <c r="AO112" s="332"/>
      <c r="AP112" s="332"/>
      <c r="AQ112" s="332"/>
      <c r="AR112" s="332"/>
      <c r="AS112" s="332"/>
      <c r="AT112" s="332"/>
      <c r="AU112" s="332"/>
      <c r="AV112" s="332"/>
      <c r="AW112" s="332"/>
      <c r="AX112" s="332"/>
      <c r="AY112" s="332"/>
      <c r="AZ112" s="332"/>
      <c r="BA112" s="332"/>
      <c r="BB112" s="332"/>
      <c r="BC112" s="332"/>
      <c r="BD112" s="332"/>
      <c r="BE112" s="332"/>
      <c r="BF112" s="332"/>
      <c r="BG112" s="332"/>
      <c r="BH112" s="332"/>
      <c r="BI112" s="332"/>
      <c r="BJ112" s="332"/>
      <c r="BK112" s="332"/>
      <c r="BL112" s="332"/>
      <c r="BM112" s="332"/>
      <c r="BN112" s="332"/>
    </row>
    <row r="113" spans="1:66" ht="30" x14ac:dyDescent="0.15">
      <c r="A113" s="773"/>
      <c r="B113" s="332"/>
      <c r="C113" s="332"/>
      <c r="D113" s="332"/>
      <c r="E113" s="332"/>
      <c r="F113" s="332" t="str">
        <f ca="1">IFERROR(__xludf.DUMMYFUNCTION("""COMPUTED_VALUE"""),"achievementPlayerNerfed")</f>
        <v>achievementPlayerNerfed</v>
      </c>
      <c r="G113" s="332"/>
      <c r="H113" s="332"/>
      <c r="I113" s="332"/>
      <c r="J113" s="332"/>
      <c r="K113" s="332"/>
      <c r="L113" s="332"/>
      <c r="M113" s="332"/>
      <c r="N113" s="332"/>
      <c r="O113" s="332"/>
      <c r="P113" s="332"/>
      <c r="Q113" s="332"/>
      <c r="R113" s="332"/>
      <c r="S113" s="22"/>
      <c r="T113" s="305"/>
      <c r="U113" s="305" t="s">
        <v>6775</v>
      </c>
      <c r="V113" s="305" t="s">
        <v>6776</v>
      </c>
      <c r="W113" s="22"/>
      <c r="X113" s="22"/>
      <c r="Y113" s="22"/>
      <c r="Z113" s="22"/>
      <c r="AA113" s="22"/>
      <c r="AB113" s="332"/>
      <c r="AC113" s="332"/>
      <c r="AD113" s="332"/>
      <c r="AE113" s="332"/>
      <c r="AF113" s="332"/>
      <c r="AG113" s="332"/>
      <c r="AH113" s="332"/>
      <c r="AI113" s="332"/>
      <c r="AJ113" s="332"/>
      <c r="AK113" s="332"/>
      <c r="AL113" s="332"/>
      <c r="AM113" s="334"/>
      <c r="AN113" s="332"/>
      <c r="AO113" s="332"/>
      <c r="AP113" s="332"/>
      <c r="AQ113" s="332"/>
      <c r="AR113" s="332"/>
      <c r="AS113" s="332"/>
      <c r="AT113" s="332"/>
      <c r="AU113" s="332"/>
      <c r="AV113" s="332"/>
      <c r="AW113" s="332"/>
      <c r="AX113" s="332"/>
      <c r="AY113" s="332"/>
      <c r="AZ113" s="332"/>
      <c r="BA113" s="332"/>
      <c r="BB113" s="332"/>
      <c r="BC113" s="332"/>
      <c r="BD113" s="332"/>
      <c r="BE113" s="332"/>
      <c r="BF113" s="332"/>
      <c r="BG113" s="332"/>
      <c r="BH113" s="332"/>
      <c r="BI113" s="332"/>
      <c r="BJ113" s="332"/>
      <c r="BK113" s="332"/>
      <c r="BL113" s="332"/>
      <c r="BM113" s="332"/>
      <c r="BN113" s="332"/>
    </row>
    <row r="114" spans="1:66" ht="30" x14ac:dyDescent="0.15">
      <c r="A114" s="773"/>
      <c r="B114" s="332"/>
      <c r="C114" s="332"/>
      <c r="D114" s="332"/>
      <c r="E114" s="332"/>
      <c r="F114" s="332" t="str">
        <f ca="1">IFERROR(__xludf.DUMMYFUNCTION("""COMPUTED_VALUE"""),"actionCharacterPickup")</f>
        <v>actionCharacterPickup</v>
      </c>
      <c r="G114" s="332"/>
      <c r="H114" s="332"/>
      <c r="I114" s="332"/>
      <c r="J114" s="332"/>
      <c r="K114" s="332"/>
      <c r="L114" s="332"/>
      <c r="M114" s="332"/>
      <c r="N114" s="332"/>
      <c r="O114" s="332"/>
      <c r="P114" s="332"/>
      <c r="Q114" s="332"/>
      <c r="R114" s="332"/>
      <c r="S114" s="22"/>
      <c r="T114" s="305"/>
      <c r="U114" s="305" t="s">
        <v>6777</v>
      </c>
      <c r="V114" s="305" t="s">
        <v>6778</v>
      </c>
      <c r="W114" s="22"/>
      <c r="X114" s="22"/>
      <c r="Y114" s="22"/>
      <c r="Z114" s="22"/>
      <c r="AA114" s="22"/>
      <c r="AB114" s="332"/>
      <c r="AC114" s="332"/>
      <c r="AD114" s="332"/>
      <c r="AE114" s="332"/>
      <c r="AF114" s="332"/>
      <c r="AG114" s="332"/>
      <c r="AH114" s="332"/>
      <c r="AI114" s="332"/>
      <c r="AJ114" s="332"/>
      <c r="AK114" s="332"/>
      <c r="AL114" s="332"/>
      <c r="AM114" s="334"/>
      <c r="AN114" s="332"/>
      <c r="AO114" s="332"/>
      <c r="AP114" s="332"/>
      <c r="AQ114" s="332"/>
      <c r="AR114" s="332"/>
      <c r="AS114" s="332"/>
      <c r="AT114" s="332"/>
      <c r="AU114" s="332"/>
      <c r="AV114" s="332"/>
      <c r="AW114" s="332"/>
      <c r="AX114" s="332"/>
      <c r="AY114" s="332"/>
      <c r="AZ114" s="332"/>
      <c r="BA114" s="332"/>
      <c r="BB114" s="332"/>
      <c r="BC114" s="332"/>
      <c r="BD114" s="332"/>
      <c r="BE114" s="332"/>
      <c r="BF114" s="332"/>
      <c r="BG114" s="332"/>
      <c r="BH114" s="332"/>
      <c r="BI114" s="332"/>
      <c r="BJ114" s="332"/>
      <c r="BK114" s="332"/>
      <c r="BL114" s="332"/>
      <c r="BM114" s="332"/>
      <c r="BN114" s="332"/>
    </row>
    <row r="115" spans="1:66" ht="45" x14ac:dyDescent="0.15">
      <c r="A115" s="773"/>
      <c r="B115" s="332"/>
      <c r="C115" s="332"/>
      <c r="D115" s="332"/>
      <c r="E115" s="332"/>
      <c r="F115" s="332" t="str">
        <f ca="1">IFERROR(__xludf.DUMMYFUNCTION("""COMPUTED_VALUE"""),"achievementPlayCharacterPickup")</f>
        <v>achievementPlayCharacterPickup</v>
      </c>
      <c r="G115" s="332"/>
      <c r="H115" s="332"/>
      <c r="I115" s="332"/>
      <c r="J115" s="332"/>
      <c r="K115" s="332"/>
      <c r="L115" s="332"/>
      <c r="M115" s="332"/>
      <c r="N115" s="332"/>
      <c r="O115" s="332"/>
      <c r="P115" s="332"/>
      <c r="Q115" s="332"/>
      <c r="R115" s="332"/>
      <c r="S115" s="22"/>
      <c r="T115" s="305"/>
      <c r="U115" s="305" t="s">
        <v>6779</v>
      </c>
      <c r="V115" s="305" t="s">
        <v>6780</v>
      </c>
      <c r="W115" s="22"/>
      <c r="X115" s="22"/>
      <c r="Y115" s="22"/>
      <c r="Z115" s="22"/>
      <c r="AA115" s="22"/>
      <c r="AB115" s="332"/>
      <c r="AC115" s="332"/>
      <c r="AD115" s="332"/>
      <c r="AE115" s="332"/>
      <c r="AF115" s="332"/>
      <c r="AG115" s="332"/>
      <c r="AH115" s="332"/>
      <c r="AI115" s="332"/>
      <c r="AJ115" s="332"/>
      <c r="AK115" s="332"/>
      <c r="AL115" s="332"/>
      <c r="AM115" s="334"/>
      <c r="AN115" s="332"/>
      <c r="AO115" s="332"/>
      <c r="AP115" s="332"/>
      <c r="AQ115" s="332"/>
      <c r="AR115" s="332"/>
      <c r="AS115" s="332"/>
      <c r="AT115" s="332"/>
      <c r="AU115" s="332"/>
      <c r="AV115" s="332"/>
      <c r="AW115" s="332"/>
      <c r="AX115" s="332"/>
      <c r="AY115" s="332"/>
      <c r="AZ115" s="332"/>
      <c r="BA115" s="332"/>
      <c r="BB115" s="332"/>
      <c r="BC115" s="332"/>
      <c r="BD115" s="332"/>
      <c r="BE115" s="332"/>
      <c r="BF115" s="332"/>
      <c r="BG115" s="332"/>
      <c r="BH115" s="332"/>
      <c r="BI115" s="332"/>
      <c r="BJ115" s="332"/>
      <c r="BK115" s="332"/>
      <c r="BL115" s="332"/>
      <c r="BM115" s="332"/>
      <c r="BN115" s="332"/>
    </row>
    <row r="116" spans="1:66" ht="30" x14ac:dyDescent="0.15">
      <c r="A116" s="773"/>
      <c r="B116" s="332"/>
      <c r="C116" s="332"/>
      <c r="D116" s="332"/>
      <c r="E116" s="332"/>
      <c r="F116" s="332" t="str">
        <f ca="1">IFERROR(__xludf.DUMMYFUNCTION("""COMPUTED_VALUE"""),"achievementPlayEarlyBird")</f>
        <v>achievementPlayEarlyBird</v>
      </c>
      <c r="G116" s="332"/>
      <c r="H116" s="332"/>
      <c r="I116" s="332"/>
      <c r="J116" s="332"/>
      <c r="K116" s="332"/>
      <c r="L116" s="332"/>
      <c r="M116" s="332"/>
      <c r="N116" s="332"/>
      <c r="O116" s="332"/>
      <c r="P116" s="332"/>
      <c r="Q116" s="332"/>
      <c r="R116" s="332"/>
      <c r="S116" s="22"/>
      <c r="T116" s="305"/>
      <c r="U116" s="305" t="s">
        <v>6781</v>
      </c>
      <c r="V116" s="305" t="s">
        <v>6782</v>
      </c>
      <c r="W116" s="22"/>
      <c r="X116" s="22"/>
      <c r="Y116" s="22"/>
      <c r="Z116" s="22"/>
      <c r="AA116" s="22"/>
      <c r="AB116" s="332"/>
      <c r="AC116" s="332"/>
      <c r="AD116" s="332"/>
      <c r="AE116" s="332"/>
      <c r="AF116" s="332"/>
      <c r="AG116" s="332"/>
      <c r="AH116" s="332"/>
      <c r="AI116" s="332"/>
      <c r="AJ116" s="332"/>
      <c r="AK116" s="332"/>
      <c r="AL116" s="332"/>
      <c r="AM116" s="334"/>
      <c r="AN116" s="332"/>
      <c r="AO116" s="332"/>
      <c r="AP116" s="332"/>
      <c r="AQ116" s="332"/>
      <c r="AR116" s="332"/>
      <c r="AS116" s="332"/>
      <c r="AT116" s="332"/>
      <c r="AU116" s="332"/>
      <c r="AV116" s="332"/>
      <c r="AW116" s="332"/>
      <c r="AX116" s="332"/>
      <c r="AY116" s="332"/>
      <c r="AZ116" s="332"/>
      <c r="BA116" s="332"/>
      <c r="BB116" s="332"/>
      <c r="BC116" s="332"/>
      <c r="BD116" s="332"/>
      <c r="BE116" s="332"/>
      <c r="BF116" s="332"/>
      <c r="BG116" s="332"/>
      <c r="BH116" s="332"/>
      <c r="BI116" s="332"/>
      <c r="BJ116" s="332"/>
      <c r="BK116" s="332"/>
      <c r="BL116" s="332"/>
      <c r="BM116" s="332"/>
      <c r="BN116" s="332"/>
    </row>
    <row r="117" spans="1:66" ht="30" x14ac:dyDescent="0.15">
      <c r="A117" s="773"/>
      <c r="B117" s="332"/>
      <c r="C117" s="332"/>
      <c r="D117" s="332"/>
      <c r="E117" s="332"/>
      <c r="F117" s="332" t="str">
        <f ca="1">IFERROR(__xludf.DUMMYFUNCTION("""COMPUTED_VALUE"""),"achievementPlayLateNight")</f>
        <v>achievementPlayLateNight</v>
      </c>
      <c r="G117" s="332"/>
      <c r="H117" s="332"/>
      <c r="I117" s="332"/>
      <c r="J117" s="332"/>
      <c r="K117" s="332"/>
      <c r="L117" s="332"/>
      <c r="M117" s="332"/>
      <c r="N117" s="332"/>
      <c r="O117" s="332"/>
      <c r="P117" s="332"/>
      <c r="Q117" s="332"/>
      <c r="R117" s="332"/>
      <c r="S117" s="22"/>
      <c r="T117" s="305"/>
      <c r="U117" s="305" t="s">
        <v>6783</v>
      </c>
      <c r="V117" s="305" t="s">
        <v>6784</v>
      </c>
      <c r="W117" s="22"/>
      <c r="X117" s="22"/>
      <c r="Y117" s="22"/>
      <c r="Z117" s="22"/>
      <c r="AA117" s="22"/>
      <c r="AB117" s="332"/>
      <c r="AC117" s="332"/>
      <c r="AD117" s="332"/>
      <c r="AE117" s="332"/>
      <c r="AF117" s="332"/>
      <c r="AG117" s="332"/>
      <c r="AH117" s="332"/>
      <c r="AI117" s="332"/>
      <c r="AJ117" s="332"/>
      <c r="AK117" s="332"/>
      <c r="AL117" s="332"/>
      <c r="AM117" s="334"/>
      <c r="AN117" s="332"/>
      <c r="AO117" s="332"/>
      <c r="AP117" s="332"/>
      <c r="AQ117" s="332"/>
      <c r="AR117" s="332"/>
      <c r="AS117" s="332"/>
      <c r="AT117" s="332"/>
      <c r="AU117" s="332"/>
      <c r="AV117" s="332"/>
      <c r="AW117" s="332"/>
      <c r="AX117" s="332"/>
      <c r="AY117" s="332"/>
      <c r="AZ117" s="332"/>
      <c r="BA117" s="332"/>
      <c r="BB117" s="332"/>
      <c r="BC117" s="332"/>
      <c r="BD117" s="332"/>
      <c r="BE117" s="332"/>
      <c r="BF117" s="332"/>
      <c r="BG117" s="332"/>
      <c r="BH117" s="332"/>
      <c r="BI117" s="332"/>
      <c r="BJ117" s="332"/>
      <c r="BK117" s="332"/>
      <c r="BL117" s="332"/>
      <c r="BM117" s="332"/>
      <c r="BN117" s="332"/>
    </row>
    <row r="118" spans="1:66" ht="30" x14ac:dyDescent="0.15">
      <c r="A118" s="773"/>
      <c r="B118" s="332"/>
      <c r="C118" s="332"/>
      <c r="D118" s="332"/>
      <c r="E118" s="332"/>
      <c r="F118" s="332" t="str">
        <f ca="1">IFERROR(__xludf.DUMMYFUNCTION("""COMPUTED_VALUE"""),"achievementPlaySameDay")</f>
        <v>achievementPlaySameDay</v>
      </c>
      <c r="G118" s="332"/>
      <c r="H118" s="332"/>
      <c r="I118" s="332"/>
      <c r="J118" s="332"/>
      <c r="K118" s="332"/>
      <c r="L118" s="332"/>
      <c r="M118" s="332"/>
      <c r="N118" s="332"/>
      <c r="O118" s="332"/>
      <c r="P118" s="332"/>
      <c r="Q118" s="332"/>
      <c r="R118" s="332"/>
      <c r="S118" s="22"/>
      <c r="T118" s="305"/>
      <c r="U118" s="305" t="s">
        <v>6785</v>
      </c>
      <c r="V118" s="305" t="s">
        <v>6786</v>
      </c>
      <c r="W118" s="22"/>
      <c r="X118" s="22"/>
      <c r="Y118" s="22"/>
      <c r="Z118" s="22"/>
      <c r="AA118" s="22"/>
      <c r="AB118" s="332"/>
      <c r="AC118" s="332"/>
      <c r="AD118" s="332"/>
      <c r="AE118" s="332"/>
      <c r="AF118" s="332"/>
      <c r="AG118" s="332"/>
      <c r="AH118" s="332"/>
      <c r="AI118" s="332"/>
      <c r="AJ118" s="332"/>
      <c r="AK118" s="332"/>
      <c r="AL118" s="332"/>
      <c r="AM118" s="334"/>
      <c r="AN118" s="332"/>
      <c r="AO118" s="332"/>
      <c r="AP118" s="332"/>
      <c r="AQ118" s="332"/>
      <c r="AR118" s="332"/>
      <c r="AS118" s="332"/>
      <c r="AT118" s="332"/>
      <c r="AU118" s="332"/>
      <c r="AV118" s="332"/>
      <c r="AW118" s="332"/>
      <c r="AX118" s="332"/>
      <c r="AY118" s="332"/>
      <c r="AZ118" s="332"/>
      <c r="BA118" s="332"/>
      <c r="BB118" s="332"/>
      <c r="BC118" s="332"/>
      <c r="BD118" s="332"/>
      <c r="BE118" s="332"/>
      <c r="BF118" s="332"/>
      <c r="BG118" s="332"/>
      <c r="BH118" s="332"/>
      <c r="BI118" s="332"/>
      <c r="BJ118" s="332"/>
      <c r="BK118" s="332"/>
      <c r="BL118" s="332"/>
      <c r="BM118" s="332"/>
      <c r="BN118" s="332"/>
    </row>
    <row r="119" spans="1:66" ht="30" x14ac:dyDescent="0.15">
      <c r="A119" s="773"/>
      <c r="B119" s="332"/>
      <c r="C119" s="332"/>
      <c r="D119" s="332"/>
      <c r="E119" s="332"/>
      <c r="F119" s="332" t="str">
        <f ca="1">IFERROR(__xludf.DUMMYFUNCTION("""COMPUTED_VALUE"""),"achievementPlayTimes")</f>
        <v>achievementPlayTimes</v>
      </c>
      <c r="G119" s="332"/>
      <c r="H119" s="332"/>
      <c r="I119" s="332"/>
      <c r="J119" s="332"/>
      <c r="K119" s="332"/>
      <c r="L119" s="332"/>
      <c r="M119" s="332"/>
      <c r="N119" s="332"/>
      <c r="O119" s="332"/>
      <c r="P119" s="332"/>
      <c r="Q119" s="332"/>
      <c r="R119" s="332"/>
      <c r="S119" s="22"/>
      <c r="T119" s="305"/>
      <c r="U119" s="305" t="s">
        <v>6787</v>
      </c>
      <c r="V119" s="305" t="s">
        <v>6788</v>
      </c>
      <c r="W119" s="22"/>
      <c r="X119" s="22"/>
      <c r="Y119" s="22"/>
      <c r="Z119" s="22"/>
      <c r="AA119" s="22"/>
      <c r="AB119" s="332"/>
      <c r="AC119" s="332"/>
      <c r="AD119" s="332"/>
      <c r="AE119" s="332"/>
      <c r="AF119" s="332"/>
      <c r="AG119" s="332"/>
      <c r="AH119" s="332"/>
      <c r="AI119" s="332"/>
      <c r="AJ119" s="332"/>
      <c r="AK119" s="332"/>
      <c r="AL119" s="332"/>
      <c r="AM119" s="334"/>
      <c r="AN119" s="332"/>
      <c r="AO119" s="332"/>
      <c r="AP119" s="332"/>
      <c r="AQ119" s="332"/>
      <c r="AR119" s="332"/>
      <c r="AS119" s="332"/>
      <c r="AT119" s="332"/>
      <c r="AU119" s="332"/>
      <c r="AV119" s="332"/>
      <c r="AW119" s="332"/>
      <c r="AX119" s="332"/>
      <c r="AY119" s="332"/>
      <c r="AZ119" s="332"/>
      <c r="BA119" s="332"/>
      <c r="BB119" s="332"/>
      <c r="BC119" s="332"/>
      <c r="BD119" s="332"/>
      <c r="BE119" s="332"/>
      <c r="BF119" s="332"/>
      <c r="BG119" s="332"/>
      <c r="BH119" s="332"/>
      <c r="BI119" s="332"/>
      <c r="BJ119" s="332"/>
      <c r="BK119" s="332"/>
      <c r="BL119" s="332"/>
      <c r="BM119" s="332"/>
      <c r="BN119" s="332"/>
    </row>
    <row r="120" spans="1:66" ht="30" x14ac:dyDescent="0.15">
      <c r="A120" s="773"/>
      <c r="B120" s="332"/>
      <c r="C120" s="332"/>
      <c r="D120" s="332"/>
      <c r="E120" s="332"/>
      <c r="F120" s="332" t="str">
        <f ca="1">IFERROR(__xludf.DUMMYFUNCTION("""COMPUTED_VALUE"""),"actionAmmoSwap")</f>
        <v>actionAmmoSwap</v>
      </c>
      <c r="G120" s="332"/>
      <c r="H120" s="332"/>
      <c r="I120" s="332"/>
      <c r="J120" s="332"/>
      <c r="K120" s="332"/>
      <c r="L120" s="332"/>
      <c r="M120" s="332"/>
      <c r="N120" s="332"/>
      <c r="O120" s="332"/>
      <c r="P120" s="332"/>
      <c r="Q120" s="332"/>
      <c r="R120" s="332"/>
      <c r="S120" s="22"/>
      <c r="T120" s="305"/>
      <c r="U120" s="305" t="s">
        <v>6789</v>
      </c>
      <c r="V120" s="305" t="s">
        <v>6790</v>
      </c>
      <c r="W120" s="22"/>
      <c r="X120" s="22"/>
      <c r="Y120" s="22"/>
      <c r="Z120" s="22"/>
      <c r="AA120" s="22"/>
      <c r="AB120" s="332"/>
      <c r="AC120" s="332"/>
      <c r="AD120" s="332"/>
      <c r="AE120" s="332"/>
      <c r="AF120" s="332"/>
      <c r="AG120" s="332"/>
      <c r="AH120" s="332"/>
      <c r="AI120" s="332"/>
      <c r="AJ120" s="332"/>
      <c r="AK120" s="332"/>
      <c r="AL120" s="332"/>
      <c r="AM120" s="334"/>
      <c r="AN120" s="332"/>
      <c r="AO120" s="332"/>
      <c r="AP120" s="332"/>
      <c r="AQ120" s="332"/>
      <c r="AR120" s="332"/>
      <c r="AS120" s="332"/>
      <c r="AT120" s="332"/>
      <c r="AU120" s="332"/>
      <c r="AV120" s="332"/>
      <c r="AW120" s="332"/>
      <c r="AX120" s="332"/>
      <c r="AY120" s="332"/>
      <c r="AZ120" s="332"/>
      <c r="BA120" s="332"/>
      <c r="BB120" s="332"/>
      <c r="BC120" s="332"/>
      <c r="BD120" s="332"/>
      <c r="BE120" s="332"/>
      <c r="BF120" s="332"/>
      <c r="BG120" s="332"/>
      <c r="BH120" s="332"/>
      <c r="BI120" s="332"/>
      <c r="BJ120" s="332"/>
      <c r="BK120" s="332"/>
      <c r="BL120" s="332"/>
      <c r="BM120" s="332"/>
      <c r="BN120" s="332"/>
    </row>
    <row r="121" spans="1:66" ht="45" x14ac:dyDescent="0.15">
      <c r="A121" s="773"/>
      <c r="B121" s="332"/>
      <c r="C121" s="332"/>
      <c r="D121" s="332"/>
      <c r="E121" s="332"/>
      <c r="F121" s="332" t="str">
        <f ca="1">IFERROR(__xludf.DUMMYFUNCTION("""COMPUTED_VALUE"""),"achievementPlayAmmoSwap")</f>
        <v>achievementPlayAmmoSwap</v>
      </c>
      <c r="G121" s="332"/>
      <c r="H121" s="332"/>
      <c r="I121" s="332"/>
      <c r="J121" s="332"/>
      <c r="K121" s="332"/>
      <c r="L121" s="332"/>
      <c r="M121" s="332"/>
      <c r="N121" s="332"/>
      <c r="O121" s="332"/>
      <c r="P121" s="332"/>
      <c r="Q121" s="332"/>
      <c r="R121" s="332"/>
      <c r="S121" s="22"/>
      <c r="T121" s="305"/>
      <c r="U121" s="305" t="s">
        <v>6791</v>
      </c>
      <c r="V121" s="305" t="s">
        <v>6792</v>
      </c>
      <c r="W121" s="22"/>
      <c r="X121" s="22"/>
      <c r="Y121" s="22"/>
      <c r="Z121" s="22"/>
      <c r="AA121" s="22"/>
      <c r="AB121" s="332"/>
      <c r="AC121" s="332"/>
      <c r="AD121" s="332"/>
      <c r="AE121" s="332"/>
      <c r="AF121" s="332"/>
      <c r="AG121" s="332"/>
      <c r="AH121" s="332"/>
      <c r="AI121" s="332"/>
      <c r="AJ121" s="332"/>
      <c r="AK121" s="332"/>
      <c r="AL121" s="332"/>
      <c r="AM121" s="334"/>
      <c r="AN121" s="332"/>
      <c r="AO121" s="332"/>
      <c r="AP121" s="332"/>
      <c r="AQ121" s="332"/>
      <c r="AR121" s="332"/>
      <c r="AS121" s="332"/>
      <c r="AT121" s="332"/>
      <c r="AU121" s="332"/>
      <c r="AV121" s="332"/>
      <c r="AW121" s="332"/>
      <c r="AX121" s="332"/>
      <c r="AY121" s="332"/>
      <c r="AZ121" s="332"/>
      <c r="BA121" s="332"/>
      <c r="BB121" s="332"/>
      <c r="BC121" s="332"/>
      <c r="BD121" s="332"/>
      <c r="BE121" s="332"/>
      <c r="BF121" s="332"/>
      <c r="BG121" s="332"/>
      <c r="BH121" s="332"/>
      <c r="BI121" s="332"/>
      <c r="BJ121" s="332"/>
      <c r="BK121" s="332"/>
      <c r="BL121" s="332"/>
      <c r="BM121" s="332"/>
      <c r="BN121" s="332"/>
    </row>
    <row r="122" spans="1:66" ht="30" x14ac:dyDescent="0.15">
      <c r="A122" s="773"/>
      <c r="B122" s="332"/>
      <c r="C122" s="332"/>
      <c r="D122" s="332"/>
      <c r="E122" s="332"/>
      <c r="F122" s="332" t="str">
        <f ca="1">IFERROR(__xludf.DUMMYFUNCTION("""COMPUTED_VALUE"""),"actionParkVisit")</f>
        <v>actionParkVisit</v>
      </c>
      <c r="G122" s="332"/>
      <c r="H122" s="332"/>
      <c r="I122" s="332"/>
      <c r="J122" s="332"/>
      <c r="K122" s="332"/>
      <c r="L122" s="332"/>
      <c r="M122" s="332"/>
      <c r="N122" s="332"/>
      <c r="O122" s="332"/>
      <c r="P122" s="332"/>
      <c r="Q122" s="332"/>
      <c r="R122" s="332"/>
      <c r="S122" s="22"/>
      <c r="T122" s="305"/>
      <c r="U122" s="305" t="s">
        <v>6793</v>
      </c>
      <c r="V122" s="305" t="s">
        <v>6794</v>
      </c>
      <c r="W122" s="22"/>
      <c r="X122" s="22"/>
      <c r="Y122" s="22"/>
      <c r="Z122" s="22"/>
      <c r="AA122" s="22"/>
      <c r="AB122" s="332"/>
      <c r="AC122" s="332"/>
      <c r="AD122" s="332"/>
      <c r="AE122" s="332"/>
      <c r="AF122" s="332"/>
      <c r="AG122" s="332"/>
      <c r="AH122" s="332"/>
      <c r="AI122" s="332"/>
      <c r="AJ122" s="332"/>
      <c r="AK122" s="332"/>
      <c r="AL122" s="332"/>
      <c r="AM122" s="334"/>
      <c r="AN122" s="332"/>
      <c r="AO122" s="332"/>
      <c r="AP122" s="332"/>
      <c r="AQ122" s="332"/>
      <c r="AR122" s="332"/>
      <c r="AS122" s="332"/>
      <c r="AT122" s="332"/>
      <c r="AU122" s="332"/>
      <c r="AV122" s="332"/>
      <c r="AW122" s="332"/>
      <c r="AX122" s="332"/>
      <c r="AY122" s="332"/>
      <c r="AZ122" s="332"/>
      <c r="BA122" s="332"/>
      <c r="BB122" s="332"/>
      <c r="BC122" s="332"/>
      <c r="BD122" s="332"/>
      <c r="BE122" s="332"/>
      <c r="BF122" s="332"/>
      <c r="BG122" s="332"/>
      <c r="BH122" s="332"/>
      <c r="BI122" s="332"/>
      <c r="BJ122" s="332"/>
      <c r="BK122" s="332"/>
      <c r="BL122" s="332"/>
      <c r="BM122" s="332"/>
      <c r="BN122" s="332"/>
    </row>
    <row r="123" spans="1:66" ht="45" x14ac:dyDescent="0.15">
      <c r="A123" s="773"/>
      <c r="B123" s="332"/>
      <c r="C123" s="332"/>
      <c r="D123" s="332"/>
      <c r="E123" s="332"/>
      <c r="F123" s="332" t="str">
        <f ca="1">IFERROR(__xludf.DUMMYFUNCTION("""COMPUTED_VALUE"""),"actionStrongholdTankHaywire")</f>
        <v>actionStrongholdTankHaywire</v>
      </c>
      <c r="G123" s="332"/>
      <c r="H123" s="332"/>
      <c r="I123" s="332"/>
      <c r="J123" s="332"/>
      <c r="K123" s="332"/>
      <c r="L123" s="332"/>
      <c r="M123" s="332"/>
      <c r="N123" s="332"/>
      <c r="O123" s="332"/>
      <c r="P123" s="332"/>
      <c r="Q123" s="332"/>
      <c r="R123" s="332"/>
      <c r="S123" s="22"/>
      <c r="T123" s="305"/>
      <c r="U123" s="305" t="s">
        <v>6795</v>
      </c>
      <c r="V123" s="305" t="s">
        <v>6796</v>
      </c>
      <c r="W123" s="22"/>
      <c r="X123" s="22"/>
      <c r="Y123" s="22"/>
      <c r="Z123" s="22"/>
      <c r="AA123" s="22"/>
      <c r="AB123" s="332"/>
      <c r="AC123" s="332"/>
      <c r="AD123" s="332"/>
      <c r="AE123" s="332"/>
      <c r="AF123" s="332"/>
      <c r="AG123" s="332"/>
      <c r="AH123" s="332"/>
      <c r="AI123" s="332"/>
      <c r="AJ123" s="332"/>
      <c r="AK123" s="332"/>
      <c r="AL123" s="332"/>
      <c r="AM123" s="334"/>
      <c r="AN123" s="332"/>
      <c r="AO123" s="332"/>
      <c r="AP123" s="332"/>
      <c r="AQ123" s="332"/>
      <c r="AR123" s="332"/>
      <c r="AS123" s="332"/>
      <c r="AT123" s="332"/>
      <c r="AU123" s="332"/>
      <c r="AV123" s="332"/>
      <c r="AW123" s="332"/>
      <c r="AX123" s="332"/>
      <c r="AY123" s="332"/>
      <c r="AZ123" s="332"/>
      <c r="BA123" s="332"/>
      <c r="BB123" s="332"/>
      <c r="BC123" s="332"/>
      <c r="BD123" s="332"/>
      <c r="BE123" s="332"/>
      <c r="BF123" s="332"/>
      <c r="BG123" s="332"/>
      <c r="BH123" s="332"/>
      <c r="BI123" s="332"/>
      <c r="BJ123" s="332"/>
      <c r="BK123" s="332"/>
      <c r="BL123" s="332"/>
      <c r="BM123" s="332"/>
      <c r="BN123" s="332"/>
    </row>
    <row r="124" spans="1:66" ht="45" x14ac:dyDescent="0.15">
      <c r="A124" s="773"/>
      <c r="B124" s="332"/>
      <c r="C124" s="332"/>
      <c r="D124" s="332"/>
      <c r="E124" s="332"/>
      <c r="F124" s="332" t="str">
        <f ca="1">IFERROR(__xludf.DUMMYFUNCTION("""COMPUTED_VALUE"""),"achievementPlayStrongholdTankHaywire")</f>
        <v>achievementPlayStrongholdTankHaywire</v>
      </c>
      <c r="G124" s="332"/>
      <c r="H124" s="332"/>
      <c r="I124" s="332"/>
      <c r="J124" s="332"/>
      <c r="K124" s="332"/>
      <c r="L124" s="332"/>
      <c r="M124" s="332"/>
      <c r="N124" s="332"/>
      <c r="O124" s="332"/>
      <c r="P124" s="332"/>
      <c r="Q124" s="332"/>
      <c r="R124" s="332"/>
      <c r="S124" s="22"/>
      <c r="T124" s="305"/>
      <c r="U124" s="305" t="s">
        <v>6797</v>
      </c>
      <c r="V124" s="305" t="s">
        <v>6798</v>
      </c>
      <c r="W124" s="22"/>
      <c r="X124" s="22"/>
      <c r="Y124" s="22"/>
      <c r="Z124" s="22"/>
      <c r="AA124" s="22"/>
      <c r="AB124" s="332"/>
      <c r="AC124" s="332"/>
      <c r="AD124" s="332"/>
      <c r="AE124" s="332"/>
      <c r="AF124" s="332"/>
      <c r="AG124" s="332"/>
      <c r="AH124" s="332"/>
      <c r="AI124" s="332"/>
      <c r="AJ124" s="332"/>
      <c r="AK124" s="332"/>
      <c r="AL124" s="332"/>
      <c r="AM124" s="334"/>
      <c r="AN124" s="332"/>
      <c r="AO124" s="332"/>
      <c r="AP124" s="332"/>
      <c r="AQ124" s="332"/>
      <c r="AR124" s="332"/>
      <c r="AS124" s="332"/>
      <c r="AT124" s="332"/>
      <c r="AU124" s="332"/>
      <c r="AV124" s="332"/>
      <c r="AW124" s="332"/>
      <c r="AX124" s="332"/>
      <c r="AY124" s="332"/>
      <c r="AZ124" s="332"/>
      <c r="BA124" s="332"/>
      <c r="BB124" s="332"/>
      <c r="BC124" s="332"/>
      <c r="BD124" s="332"/>
      <c r="BE124" s="332"/>
      <c r="BF124" s="332"/>
      <c r="BG124" s="332"/>
      <c r="BH124" s="332"/>
      <c r="BI124" s="332"/>
      <c r="BJ124" s="332"/>
      <c r="BK124" s="332"/>
      <c r="BL124" s="332"/>
      <c r="BM124" s="332"/>
      <c r="BN124" s="332"/>
    </row>
    <row r="125" spans="1:66" ht="45" x14ac:dyDescent="0.15">
      <c r="A125" s="773"/>
      <c r="B125" s="332"/>
      <c r="C125" s="332"/>
      <c r="D125" s="332"/>
      <c r="E125" s="332"/>
      <c r="F125" s="332" t="str">
        <f ca="1">IFERROR(__xludf.DUMMYFUNCTION("""COMPUTED_VALUE"""),"actionNunchuckMusicNotes")</f>
        <v>actionNunchuckMusicNotes</v>
      </c>
      <c r="G125" s="332"/>
      <c r="H125" s="332"/>
      <c r="I125" s="332"/>
      <c r="J125" s="332"/>
      <c r="K125" s="332"/>
      <c r="L125" s="332"/>
      <c r="M125" s="332"/>
      <c r="N125" s="332"/>
      <c r="O125" s="332"/>
      <c r="P125" s="332"/>
      <c r="Q125" s="332"/>
      <c r="R125" s="332"/>
      <c r="S125" s="22"/>
      <c r="T125" s="305"/>
      <c r="U125" s="305" t="s">
        <v>6799</v>
      </c>
      <c r="V125" s="305" t="s">
        <v>6800</v>
      </c>
      <c r="W125" s="22"/>
      <c r="X125" s="22"/>
      <c r="Y125" s="22"/>
      <c r="Z125" s="22"/>
      <c r="AA125" s="22"/>
      <c r="AB125" s="332"/>
      <c r="AC125" s="332"/>
      <c r="AD125" s="332"/>
      <c r="AE125" s="332"/>
      <c r="AF125" s="332"/>
      <c r="AG125" s="332"/>
      <c r="AH125" s="332"/>
      <c r="AI125" s="332"/>
      <c r="AJ125" s="332"/>
      <c r="AK125" s="332"/>
      <c r="AL125" s="332"/>
      <c r="AM125" s="334"/>
      <c r="AN125" s="332"/>
      <c r="AO125" s="332"/>
      <c r="AP125" s="332"/>
      <c r="AQ125" s="332"/>
      <c r="AR125" s="332"/>
      <c r="AS125" s="332"/>
      <c r="AT125" s="332"/>
      <c r="AU125" s="332"/>
      <c r="AV125" s="332"/>
      <c r="AW125" s="332"/>
      <c r="AX125" s="332"/>
      <c r="AY125" s="332"/>
      <c r="AZ125" s="332"/>
      <c r="BA125" s="332"/>
      <c r="BB125" s="332"/>
      <c r="BC125" s="332"/>
      <c r="BD125" s="332"/>
      <c r="BE125" s="332"/>
      <c r="BF125" s="332"/>
      <c r="BG125" s="332"/>
      <c r="BH125" s="332"/>
      <c r="BI125" s="332"/>
      <c r="BJ125" s="332"/>
      <c r="BK125" s="332"/>
      <c r="BL125" s="332"/>
      <c r="BM125" s="332"/>
      <c r="BN125" s="332"/>
    </row>
    <row r="126" spans="1:66" ht="45" x14ac:dyDescent="0.15">
      <c r="A126" s="773"/>
      <c r="B126" s="332"/>
      <c r="C126" s="332"/>
      <c r="D126" s="332"/>
      <c r="E126" s="332"/>
      <c r="F126" s="332" t="str">
        <f ca="1">IFERROR(__xludf.DUMMYFUNCTION("""COMPUTED_VALUE"""),"achievementPlayNunchuckMusicNotes")</f>
        <v>achievementPlayNunchuckMusicNotes</v>
      </c>
      <c r="G126" s="332"/>
      <c r="H126" s="332"/>
      <c r="I126" s="332"/>
      <c r="J126" s="332"/>
      <c r="K126" s="332"/>
      <c r="L126" s="332"/>
      <c r="M126" s="332"/>
      <c r="N126" s="332"/>
      <c r="O126" s="332"/>
      <c r="P126" s="332"/>
      <c r="Q126" s="332"/>
      <c r="R126" s="332"/>
      <c r="S126" s="22"/>
      <c r="T126" s="305"/>
      <c r="U126" s="305" t="s">
        <v>6801</v>
      </c>
      <c r="V126" s="305" t="s">
        <v>6802</v>
      </c>
      <c r="W126" s="22"/>
      <c r="X126" s="22"/>
      <c r="Y126" s="22"/>
      <c r="Z126" s="22"/>
      <c r="AA126" s="22"/>
      <c r="AB126" s="332"/>
      <c r="AC126" s="332"/>
      <c r="AD126" s="332"/>
      <c r="AE126" s="332"/>
      <c r="AF126" s="332"/>
      <c r="AG126" s="332"/>
      <c r="AH126" s="332"/>
      <c r="AI126" s="332"/>
      <c r="AJ126" s="332"/>
      <c r="AK126" s="332"/>
      <c r="AL126" s="332"/>
      <c r="AM126" s="334"/>
      <c r="AN126" s="332"/>
      <c r="AO126" s="332"/>
      <c r="AP126" s="332"/>
      <c r="AQ126" s="332"/>
      <c r="AR126" s="332"/>
      <c r="AS126" s="332"/>
      <c r="AT126" s="332"/>
      <c r="AU126" s="332"/>
      <c r="AV126" s="332"/>
      <c r="AW126" s="332"/>
      <c r="AX126" s="332"/>
      <c r="AY126" s="332"/>
      <c r="AZ126" s="332"/>
      <c r="BA126" s="332"/>
      <c r="BB126" s="332"/>
      <c r="BC126" s="332"/>
      <c r="BD126" s="332"/>
      <c r="BE126" s="332"/>
      <c r="BF126" s="332"/>
      <c r="BG126" s="332"/>
      <c r="BH126" s="332"/>
      <c r="BI126" s="332"/>
      <c r="BJ126" s="332"/>
      <c r="BK126" s="332"/>
      <c r="BL126" s="332"/>
      <c r="BM126" s="332"/>
      <c r="BN126" s="332"/>
    </row>
    <row r="127" spans="1:66" ht="30" x14ac:dyDescent="0.15">
      <c r="A127" s="773"/>
      <c r="B127" s="332"/>
      <c r="C127" s="332"/>
      <c r="D127" s="332"/>
      <c r="E127" s="332"/>
      <c r="F127" s="332" t="str">
        <f ca="1">IFERROR(__xludf.DUMMYFUNCTION("""COMPUTED_VALUE"""),"actionJeanClawedBathtub")</f>
        <v>actionJeanClawedBathtub</v>
      </c>
      <c r="G127" s="332"/>
      <c r="H127" s="332"/>
      <c r="I127" s="332"/>
      <c r="J127" s="332"/>
      <c r="K127" s="332"/>
      <c r="L127" s="332"/>
      <c r="M127" s="332"/>
      <c r="N127" s="332"/>
      <c r="O127" s="332"/>
      <c r="P127" s="332"/>
      <c r="Q127" s="332"/>
      <c r="R127" s="332"/>
      <c r="S127" s="22"/>
      <c r="T127" s="305"/>
      <c r="U127" s="305" t="s">
        <v>6803</v>
      </c>
      <c r="V127" s="305" t="s">
        <v>6804</v>
      </c>
      <c r="W127" s="22"/>
      <c r="X127" s="22"/>
      <c r="Y127" s="22"/>
      <c r="Z127" s="22"/>
      <c r="AA127" s="22"/>
      <c r="AB127" s="332"/>
      <c r="AC127" s="332"/>
      <c r="AD127" s="332"/>
      <c r="AE127" s="332"/>
      <c r="AF127" s="332"/>
      <c r="AG127" s="332"/>
      <c r="AH127" s="332"/>
      <c r="AI127" s="332"/>
      <c r="AJ127" s="332"/>
      <c r="AK127" s="332"/>
      <c r="AL127" s="332"/>
      <c r="AM127" s="334"/>
      <c r="AN127" s="332"/>
      <c r="AO127" s="332"/>
      <c r="AP127" s="332"/>
      <c r="AQ127" s="332"/>
      <c r="AR127" s="332"/>
      <c r="AS127" s="332"/>
      <c r="AT127" s="332"/>
      <c r="AU127" s="332"/>
      <c r="AV127" s="332"/>
      <c r="AW127" s="332"/>
      <c r="AX127" s="332"/>
      <c r="AY127" s="332"/>
      <c r="AZ127" s="332"/>
      <c r="BA127" s="332"/>
      <c r="BB127" s="332"/>
      <c r="BC127" s="332"/>
      <c r="BD127" s="332"/>
      <c r="BE127" s="332"/>
      <c r="BF127" s="332"/>
      <c r="BG127" s="332"/>
      <c r="BH127" s="332"/>
      <c r="BI127" s="332"/>
      <c r="BJ127" s="332"/>
      <c r="BK127" s="332"/>
      <c r="BL127" s="332"/>
      <c r="BM127" s="332"/>
      <c r="BN127" s="332"/>
    </row>
    <row r="128" spans="1:66" ht="45" x14ac:dyDescent="0.15">
      <c r="A128" s="773"/>
      <c r="B128" s="332"/>
      <c r="C128" s="332"/>
      <c r="D128" s="332"/>
      <c r="E128" s="332"/>
      <c r="F128" s="332" t="str">
        <f ca="1">IFERROR(__xludf.DUMMYFUNCTION("""COMPUTED_VALUE"""),"achievementPlayJeanClawedBathtub")</f>
        <v>achievementPlayJeanClawedBathtub</v>
      </c>
      <c r="G128" s="332"/>
      <c r="H128" s="332"/>
      <c r="I128" s="332"/>
      <c r="J128" s="332"/>
      <c r="K128" s="332"/>
      <c r="L128" s="332"/>
      <c r="M128" s="332"/>
      <c r="N128" s="332"/>
      <c r="O128" s="332"/>
      <c r="P128" s="332"/>
      <c r="Q128" s="332"/>
      <c r="R128" s="332"/>
      <c r="S128" s="22"/>
      <c r="T128" s="305"/>
      <c r="U128" s="305" t="s">
        <v>6805</v>
      </c>
      <c r="V128" s="305" t="s">
        <v>6806</v>
      </c>
      <c r="W128" s="22"/>
      <c r="X128" s="22"/>
      <c r="Y128" s="22"/>
      <c r="Z128" s="22"/>
      <c r="AA128" s="22"/>
      <c r="AB128" s="332"/>
      <c r="AC128" s="332"/>
      <c r="AD128" s="332"/>
      <c r="AE128" s="332"/>
      <c r="AF128" s="332"/>
      <c r="AG128" s="332"/>
      <c r="AH128" s="332"/>
      <c r="AI128" s="332"/>
      <c r="AJ128" s="332"/>
      <c r="AK128" s="332"/>
      <c r="AL128" s="332"/>
      <c r="AM128" s="334"/>
      <c r="AN128" s="332"/>
      <c r="AO128" s="332"/>
      <c r="AP128" s="332"/>
      <c r="AQ128" s="332"/>
      <c r="AR128" s="332"/>
      <c r="AS128" s="332"/>
      <c r="AT128" s="332"/>
      <c r="AU128" s="332"/>
      <c r="AV128" s="332"/>
      <c r="AW128" s="332"/>
      <c r="AX128" s="332"/>
      <c r="AY128" s="332"/>
      <c r="AZ128" s="332"/>
      <c r="BA128" s="332"/>
      <c r="BB128" s="332"/>
      <c r="BC128" s="332"/>
      <c r="BD128" s="332"/>
      <c r="BE128" s="332"/>
      <c r="BF128" s="332"/>
      <c r="BG128" s="332"/>
      <c r="BH128" s="332"/>
      <c r="BI128" s="332"/>
      <c r="BJ128" s="332"/>
      <c r="BK128" s="332"/>
      <c r="BL128" s="332"/>
      <c r="BM128" s="332"/>
      <c r="BN128" s="332"/>
    </row>
    <row r="129" spans="1:66" ht="45" x14ac:dyDescent="0.15">
      <c r="A129" s="773"/>
      <c r="B129" s="332"/>
      <c r="C129" s="332"/>
      <c r="D129" s="332"/>
      <c r="E129" s="332"/>
      <c r="F129" s="332" t="str">
        <f ca="1">IFERROR(__xludf.DUMMYFUNCTION("""COMPUTED_VALUE"""),"actionSvengeanceSkaterbots")</f>
        <v>actionSvengeanceSkaterbots</v>
      </c>
      <c r="G129" s="332"/>
      <c r="H129" s="332"/>
      <c r="I129" s="332"/>
      <c r="J129" s="332"/>
      <c r="K129" s="332"/>
      <c r="L129" s="332"/>
      <c r="M129" s="332"/>
      <c r="N129" s="332"/>
      <c r="O129" s="332"/>
      <c r="P129" s="332"/>
      <c r="Q129" s="332"/>
      <c r="R129" s="332"/>
      <c r="S129" s="22"/>
      <c r="T129" s="305"/>
      <c r="U129" s="305" t="s">
        <v>6807</v>
      </c>
      <c r="V129" s="305" t="s">
        <v>6808</v>
      </c>
      <c r="W129" s="22"/>
      <c r="X129" s="22"/>
      <c r="Y129" s="22"/>
      <c r="Z129" s="22"/>
      <c r="AA129" s="22"/>
      <c r="AB129" s="332"/>
      <c r="AC129" s="332"/>
      <c r="AD129" s="332"/>
      <c r="AE129" s="332"/>
      <c r="AF129" s="332"/>
      <c r="AG129" s="332"/>
      <c r="AH129" s="332"/>
      <c r="AI129" s="332"/>
      <c r="AJ129" s="332"/>
      <c r="AK129" s="332"/>
      <c r="AL129" s="332"/>
      <c r="AM129" s="334"/>
      <c r="AN129" s="332"/>
      <c r="AO129" s="332"/>
      <c r="AP129" s="332"/>
      <c r="AQ129" s="332"/>
      <c r="AR129" s="332"/>
      <c r="AS129" s="332"/>
      <c r="AT129" s="332"/>
      <c r="AU129" s="332"/>
      <c r="AV129" s="332"/>
      <c r="AW129" s="332"/>
      <c r="AX129" s="332"/>
      <c r="AY129" s="332"/>
      <c r="AZ129" s="332"/>
      <c r="BA129" s="332"/>
      <c r="BB129" s="332"/>
      <c r="BC129" s="332"/>
      <c r="BD129" s="332"/>
      <c r="BE129" s="332"/>
      <c r="BF129" s="332"/>
      <c r="BG129" s="332"/>
      <c r="BH129" s="332"/>
      <c r="BI129" s="332"/>
      <c r="BJ129" s="332"/>
      <c r="BK129" s="332"/>
      <c r="BL129" s="332"/>
      <c r="BM129" s="332"/>
      <c r="BN129" s="332"/>
    </row>
    <row r="130" spans="1:66" ht="45" x14ac:dyDescent="0.15">
      <c r="A130" s="773"/>
      <c r="B130" s="332"/>
      <c r="C130" s="332"/>
      <c r="D130" s="332"/>
      <c r="E130" s="332"/>
      <c r="F130" s="332" t="str">
        <f ca="1">IFERROR(__xludf.DUMMYFUNCTION("""COMPUTED_VALUE"""),"achievementPlaySvengeanceSkaterbots")</f>
        <v>achievementPlaySvengeanceSkaterbots</v>
      </c>
      <c r="G130" s="332"/>
      <c r="H130" s="332"/>
      <c r="I130" s="332"/>
      <c r="J130" s="332"/>
      <c r="K130" s="332"/>
      <c r="L130" s="332"/>
      <c r="M130" s="332"/>
      <c r="N130" s="332"/>
      <c r="O130" s="332"/>
      <c r="P130" s="332"/>
      <c r="Q130" s="332"/>
      <c r="R130" s="332"/>
      <c r="S130" s="22"/>
      <c r="T130" s="305"/>
      <c r="U130" s="305" t="s">
        <v>6809</v>
      </c>
      <c r="V130" s="305" t="s">
        <v>6810</v>
      </c>
      <c r="W130" s="22"/>
      <c r="X130" s="22"/>
      <c r="Y130" s="22"/>
      <c r="Z130" s="22"/>
      <c r="AA130" s="22"/>
      <c r="AB130" s="332"/>
      <c r="AC130" s="332"/>
      <c r="AD130" s="332"/>
      <c r="AE130" s="332"/>
      <c r="AF130" s="332"/>
      <c r="AG130" s="332"/>
      <c r="AH130" s="332"/>
      <c r="AI130" s="332"/>
      <c r="AJ130" s="332"/>
      <c r="AK130" s="332"/>
      <c r="AL130" s="332"/>
      <c r="AM130" s="334"/>
      <c r="AN130" s="332"/>
      <c r="AO130" s="332"/>
      <c r="AP130" s="332"/>
      <c r="AQ130" s="332"/>
      <c r="AR130" s="332"/>
      <c r="AS130" s="332"/>
      <c r="AT130" s="332"/>
      <c r="AU130" s="332"/>
      <c r="AV130" s="332"/>
      <c r="AW130" s="332"/>
      <c r="AX130" s="332"/>
      <c r="AY130" s="332"/>
      <c r="AZ130" s="332"/>
      <c r="BA130" s="332"/>
      <c r="BB130" s="332"/>
      <c r="BC130" s="332"/>
      <c r="BD130" s="332"/>
      <c r="BE130" s="332"/>
      <c r="BF130" s="332"/>
      <c r="BG130" s="332"/>
      <c r="BH130" s="332"/>
      <c r="BI130" s="332"/>
      <c r="BJ130" s="332"/>
      <c r="BK130" s="332"/>
      <c r="BL130" s="332"/>
      <c r="BM130" s="332"/>
      <c r="BN130" s="332"/>
    </row>
    <row r="131" spans="1:66" ht="30" x14ac:dyDescent="0.15">
      <c r="A131" s="773"/>
      <c r="B131" s="332"/>
      <c r="C131" s="332"/>
      <c r="D131" s="332"/>
      <c r="E131" s="332"/>
      <c r="F131" s="332" t="str">
        <f ca="1">IFERROR(__xludf.DUMMYFUNCTION("""COMPUTED_VALUE"""),"actionBelleRecordBreak")</f>
        <v>actionBelleRecordBreak</v>
      </c>
      <c r="G131" s="332"/>
      <c r="H131" s="332"/>
      <c r="I131" s="332"/>
      <c r="J131" s="332"/>
      <c r="K131" s="332"/>
      <c r="L131" s="332"/>
      <c r="M131" s="332"/>
      <c r="N131" s="332"/>
      <c r="O131" s="332"/>
      <c r="P131" s="332"/>
      <c r="Q131" s="332"/>
      <c r="R131" s="332"/>
      <c r="S131" s="22"/>
      <c r="T131" s="305"/>
      <c r="U131" s="305" t="s">
        <v>6811</v>
      </c>
      <c r="V131" s="305" t="s">
        <v>6812</v>
      </c>
      <c r="W131" s="22"/>
      <c r="X131" s="22"/>
      <c r="Y131" s="22"/>
      <c r="Z131" s="22"/>
      <c r="AA131" s="22"/>
      <c r="AB131" s="332"/>
      <c r="AC131" s="332"/>
      <c r="AD131" s="332"/>
      <c r="AE131" s="332"/>
      <c r="AF131" s="332"/>
      <c r="AG131" s="332"/>
      <c r="AH131" s="332"/>
      <c r="AI131" s="332"/>
      <c r="AJ131" s="332"/>
      <c r="AK131" s="332"/>
      <c r="AL131" s="332"/>
      <c r="AM131" s="334"/>
      <c r="AN131" s="332"/>
      <c r="AO131" s="332"/>
      <c r="AP131" s="332"/>
      <c r="AQ131" s="332"/>
      <c r="AR131" s="332"/>
      <c r="AS131" s="332"/>
      <c r="AT131" s="332"/>
      <c r="AU131" s="332"/>
      <c r="AV131" s="332"/>
      <c r="AW131" s="332"/>
      <c r="AX131" s="332"/>
      <c r="AY131" s="332"/>
      <c r="AZ131" s="332"/>
      <c r="BA131" s="332"/>
      <c r="BB131" s="332"/>
      <c r="BC131" s="332"/>
      <c r="BD131" s="332"/>
      <c r="BE131" s="332"/>
      <c r="BF131" s="332"/>
      <c r="BG131" s="332"/>
      <c r="BH131" s="332"/>
      <c r="BI131" s="332"/>
      <c r="BJ131" s="332"/>
      <c r="BK131" s="332"/>
      <c r="BL131" s="332"/>
      <c r="BM131" s="332"/>
      <c r="BN131" s="332"/>
    </row>
    <row r="132" spans="1:66" ht="45" x14ac:dyDescent="0.15">
      <c r="A132" s="773"/>
      <c r="B132" s="332"/>
      <c r="C132" s="332"/>
      <c r="D132" s="332"/>
      <c r="E132" s="332"/>
      <c r="F132" s="332" t="str">
        <f ca="1">IFERROR(__xludf.DUMMYFUNCTION("""COMPUTED_VALUE"""),"achievementPlayBelleRecordBreak")</f>
        <v>achievementPlayBelleRecordBreak</v>
      </c>
      <c r="G132" s="332"/>
      <c r="H132" s="332"/>
      <c r="I132" s="332"/>
      <c r="J132" s="332"/>
      <c r="K132" s="332"/>
      <c r="L132" s="332"/>
      <c r="M132" s="332"/>
      <c r="N132" s="332"/>
      <c r="O132" s="332"/>
      <c r="P132" s="332"/>
      <c r="Q132" s="332"/>
      <c r="R132" s="332"/>
      <c r="S132" s="22"/>
      <c r="T132" s="305"/>
      <c r="U132" s="305" t="s">
        <v>6813</v>
      </c>
      <c r="V132" s="305" t="s">
        <v>6814</v>
      </c>
      <c r="W132" s="22"/>
      <c r="X132" s="22"/>
      <c r="Y132" s="22"/>
      <c r="Z132" s="22"/>
      <c r="AA132" s="22"/>
      <c r="AB132" s="332"/>
      <c r="AC132" s="332"/>
      <c r="AD132" s="332"/>
      <c r="AE132" s="332"/>
      <c r="AF132" s="332"/>
      <c r="AG132" s="332"/>
      <c r="AH132" s="332"/>
      <c r="AI132" s="332"/>
      <c r="AJ132" s="332"/>
      <c r="AK132" s="332"/>
      <c r="AL132" s="332"/>
      <c r="AM132" s="334"/>
      <c r="AN132" s="332"/>
      <c r="AO132" s="332"/>
      <c r="AP132" s="332"/>
      <c r="AQ132" s="332"/>
      <c r="AR132" s="332"/>
      <c r="AS132" s="332"/>
      <c r="AT132" s="332"/>
      <c r="AU132" s="332"/>
      <c r="AV132" s="332"/>
      <c r="AW132" s="332"/>
      <c r="AX132" s="332"/>
      <c r="AY132" s="332"/>
      <c r="AZ132" s="332"/>
      <c r="BA132" s="332"/>
      <c r="BB132" s="332"/>
      <c r="BC132" s="332"/>
      <c r="BD132" s="332"/>
      <c r="BE132" s="332"/>
      <c r="BF132" s="332"/>
      <c r="BG132" s="332"/>
      <c r="BH132" s="332"/>
      <c r="BI132" s="332"/>
      <c r="BJ132" s="332"/>
      <c r="BK132" s="332"/>
      <c r="BL132" s="332"/>
      <c r="BM132" s="332"/>
      <c r="BN132" s="332"/>
    </row>
    <row r="133" spans="1:66" ht="30" x14ac:dyDescent="0.15">
      <c r="A133" s="773"/>
      <c r="B133" s="332"/>
      <c r="C133" s="332"/>
      <c r="D133" s="332"/>
      <c r="E133" s="332"/>
      <c r="F133" s="332" t="str">
        <f ca="1">IFERROR(__xludf.DUMMYFUNCTION("""COMPUTED_VALUE"""),"actionVectorPiranha")</f>
        <v>actionVectorPiranha</v>
      </c>
      <c r="G133" s="332"/>
      <c r="H133" s="332"/>
      <c r="I133" s="332"/>
      <c r="J133" s="332"/>
      <c r="K133" s="332"/>
      <c r="L133" s="332"/>
      <c r="M133" s="332"/>
      <c r="N133" s="332"/>
      <c r="O133" s="332"/>
      <c r="P133" s="332"/>
      <c r="Q133" s="332"/>
      <c r="R133" s="332"/>
      <c r="S133" s="22"/>
      <c r="T133" s="305"/>
      <c r="U133" s="305" t="s">
        <v>6815</v>
      </c>
      <c r="V133" s="305" t="s">
        <v>6816</v>
      </c>
      <c r="W133" s="22"/>
      <c r="X133" s="22"/>
      <c r="Y133" s="22"/>
      <c r="Z133" s="22"/>
      <c r="AA133" s="22"/>
      <c r="AB133" s="332"/>
      <c r="AC133" s="332"/>
      <c r="AD133" s="332"/>
      <c r="AE133" s="332"/>
      <c r="AF133" s="332"/>
      <c r="AG133" s="332"/>
      <c r="AH133" s="332"/>
      <c r="AI133" s="332"/>
      <c r="AJ133" s="332"/>
      <c r="AK133" s="332"/>
      <c r="AL133" s="332"/>
      <c r="AM133" s="334"/>
      <c r="AN133" s="332"/>
      <c r="AO133" s="332"/>
      <c r="AP133" s="332"/>
      <c r="AQ133" s="332"/>
      <c r="AR133" s="332"/>
      <c r="AS133" s="332"/>
      <c r="AT133" s="332"/>
      <c r="AU133" s="332"/>
      <c r="AV133" s="332"/>
      <c r="AW133" s="332"/>
      <c r="AX133" s="332"/>
      <c r="AY133" s="332"/>
      <c r="AZ133" s="332"/>
      <c r="BA133" s="332"/>
      <c r="BB133" s="332"/>
      <c r="BC133" s="332"/>
      <c r="BD133" s="332"/>
      <c r="BE133" s="332"/>
      <c r="BF133" s="332"/>
      <c r="BG133" s="332"/>
      <c r="BH133" s="332"/>
      <c r="BI133" s="332"/>
      <c r="BJ133" s="332"/>
      <c r="BK133" s="332"/>
      <c r="BL133" s="332"/>
      <c r="BM133" s="332"/>
      <c r="BN133" s="332"/>
    </row>
    <row r="134" spans="1:66" ht="45" x14ac:dyDescent="0.15">
      <c r="A134" s="773"/>
      <c r="B134" s="332"/>
      <c r="C134" s="332"/>
      <c r="D134" s="332"/>
      <c r="E134" s="332"/>
      <c r="F134" s="332" t="str">
        <f ca="1">IFERROR(__xludf.DUMMYFUNCTION("""COMPUTED_VALUE"""),"achievementPlayVectorPiranha")</f>
        <v>achievementPlayVectorPiranha</v>
      </c>
      <c r="G134" s="332"/>
      <c r="H134" s="332"/>
      <c r="I134" s="332"/>
      <c r="J134" s="332"/>
      <c r="K134" s="332"/>
      <c r="L134" s="332"/>
      <c r="M134" s="332"/>
      <c r="N134" s="332"/>
      <c r="O134" s="332"/>
      <c r="P134" s="332"/>
      <c r="Q134" s="332"/>
      <c r="R134" s="332"/>
      <c r="S134" s="22"/>
      <c r="T134" s="305"/>
      <c r="U134" s="305" t="s">
        <v>6817</v>
      </c>
      <c r="V134" s="305" t="s">
        <v>6818</v>
      </c>
      <c r="W134" s="22"/>
      <c r="X134" s="22"/>
      <c r="Y134" s="22"/>
      <c r="Z134" s="22"/>
      <c r="AA134" s="22"/>
      <c r="AB134" s="332"/>
      <c r="AC134" s="332"/>
      <c r="AD134" s="332"/>
      <c r="AE134" s="332"/>
      <c r="AF134" s="332"/>
      <c r="AG134" s="332"/>
      <c r="AH134" s="332"/>
      <c r="AI134" s="332"/>
      <c r="AJ134" s="332"/>
      <c r="AK134" s="332"/>
      <c r="AL134" s="332"/>
      <c r="AM134" s="334"/>
      <c r="AN134" s="332"/>
      <c r="AO134" s="332"/>
      <c r="AP134" s="332"/>
      <c r="AQ134" s="332"/>
      <c r="AR134" s="332"/>
      <c r="AS134" s="332"/>
      <c r="AT134" s="332"/>
      <c r="AU134" s="332"/>
      <c r="AV134" s="332"/>
      <c r="AW134" s="332"/>
      <c r="AX134" s="332"/>
      <c r="AY134" s="332"/>
      <c r="AZ134" s="332"/>
      <c r="BA134" s="332"/>
      <c r="BB134" s="332"/>
      <c r="BC134" s="332"/>
      <c r="BD134" s="332"/>
      <c r="BE134" s="332"/>
      <c r="BF134" s="332"/>
      <c r="BG134" s="332"/>
      <c r="BH134" s="332"/>
      <c r="BI134" s="332"/>
      <c r="BJ134" s="332"/>
      <c r="BK134" s="332"/>
      <c r="BL134" s="332"/>
      <c r="BM134" s="332"/>
      <c r="BN134" s="332"/>
    </row>
    <row r="135" spans="1:66" ht="30" x14ac:dyDescent="0.15">
      <c r="A135" s="773"/>
      <c r="B135" s="332"/>
      <c r="C135" s="332"/>
      <c r="D135" s="332"/>
      <c r="E135" s="332"/>
      <c r="F135" s="332" t="str">
        <f ca="1">IFERROR(__xludf.DUMMYFUNCTION("""COMPUTED_VALUE"""),"actionLootLocation01")</f>
        <v>actionLootLocation01</v>
      </c>
      <c r="G135" s="332"/>
      <c r="H135" s="332"/>
      <c r="I135" s="332"/>
      <c r="J135" s="332"/>
      <c r="K135" s="332"/>
      <c r="L135" s="332"/>
      <c r="M135" s="332"/>
      <c r="N135" s="332"/>
      <c r="O135" s="332"/>
      <c r="P135" s="332"/>
      <c r="Q135" s="332"/>
      <c r="R135" s="332"/>
      <c r="S135" s="22"/>
      <c r="T135" s="305"/>
      <c r="U135" s="305" t="s">
        <v>6819</v>
      </c>
      <c r="V135" s="305" t="s">
        <v>6820</v>
      </c>
      <c r="W135" s="22"/>
      <c r="X135" s="22"/>
      <c r="Y135" s="22"/>
      <c r="Z135" s="22"/>
      <c r="AA135" s="22"/>
      <c r="AB135" s="332"/>
      <c r="AC135" s="332"/>
      <c r="AD135" s="332"/>
      <c r="AE135" s="332"/>
      <c r="AF135" s="332"/>
      <c r="AG135" s="332"/>
      <c r="AH135" s="332"/>
      <c r="AI135" s="332"/>
      <c r="AJ135" s="332"/>
      <c r="AK135" s="332"/>
      <c r="AL135" s="332"/>
      <c r="AM135" s="334"/>
      <c r="AN135" s="332"/>
      <c r="AO135" s="332"/>
      <c r="AP135" s="332"/>
      <c r="AQ135" s="332"/>
      <c r="AR135" s="332"/>
      <c r="AS135" s="332"/>
      <c r="AT135" s="332"/>
      <c r="AU135" s="332"/>
      <c r="AV135" s="332"/>
      <c r="AW135" s="332"/>
      <c r="AX135" s="332"/>
      <c r="AY135" s="332"/>
      <c r="AZ135" s="332"/>
      <c r="BA135" s="332"/>
      <c r="BB135" s="332"/>
      <c r="BC135" s="332"/>
      <c r="BD135" s="332"/>
      <c r="BE135" s="332"/>
      <c r="BF135" s="332"/>
      <c r="BG135" s="332"/>
      <c r="BH135" s="332"/>
      <c r="BI135" s="332"/>
      <c r="BJ135" s="332"/>
      <c r="BK135" s="332"/>
      <c r="BL135" s="332"/>
      <c r="BM135" s="332"/>
      <c r="BN135" s="332"/>
    </row>
    <row r="136" spans="1:66" ht="17" x14ac:dyDescent="0.15">
      <c r="A136" s="773"/>
      <c r="B136" s="332"/>
      <c r="C136" s="332"/>
      <c r="D136" s="332"/>
      <c r="E136" s="332"/>
      <c r="F136" s="332" t="str">
        <f ca="1">IFERROR(__xludf.DUMMYFUNCTION("""COMPUTED_VALUE"""),"lootTap1")</f>
        <v>lootTap1</v>
      </c>
      <c r="G136" s="332"/>
      <c r="H136" s="332"/>
      <c r="I136" s="332"/>
      <c r="J136" s="332"/>
      <c r="K136" s="332"/>
      <c r="L136" s="332"/>
      <c r="M136" s="332"/>
      <c r="N136" s="332"/>
      <c r="O136" s="332"/>
      <c r="P136" s="332"/>
      <c r="Q136" s="332"/>
      <c r="R136" s="332"/>
      <c r="S136" s="22"/>
      <c r="T136" s="305"/>
      <c r="U136" s="305" t="s">
        <v>6821</v>
      </c>
      <c r="V136" s="305" t="s">
        <v>6822</v>
      </c>
      <c r="W136" s="22"/>
      <c r="X136" s="22"/>
      <c r="Y136" s="22"/>
      <c r="Z136" s="22"/>
      <c r="AA136" s="22"/>
      <c r="AB136" s="332"/>
      <c r="AC136" s="332"/>
      <c r="AD136" s="332"/>
      <c r="AE136" s="332"/>
      <c r="AF136" s="332"/>
      <c r="AG136" s="332"/>
      <c r="AH136" s="332"/>
      <c r="AI136" s="332"/>
      <c r="AJ136" s="332"/>
      <c r="AK136" s="332"/>
      <c r="AL136" s="332"/>
      <c r="AM136" s="334"/>
      <c r="AN136" s="332"/>
      <c r="AO136" s="332"/>
      <c r="AP136" s="332"/>
      <c r="AQ136" s="332"/>
      <c r="AR136" s="332"/>
      <c r="AS136" s="332"/>
      <c r="AT136" s="332"/>
      <c r="AU136" s="332"/>
      <c r="AV136" s="332"/>
      <c r="AW136" s="332"/>
      <c r="AX136" s="332"/>
      <c r="AY136" s="332"/>
      <c r="AZ136" s="332"/>
      <c r="BA136" s="332"/>
      <c r="BB136" s="332"/>
      <c r="BC136" s="332"/>
      <c r="BD136" s="332"/>
      <c r="BE136" s="332"/>
      <c r="BF136" s="332"/>
      <c r="BG136" s="332"/>
      <c r="BH136" s="332"/>
      <c r="BI136" s="332"/>
      <c r="BJ136" s="332"/>
      <c r="BK136" s="332"/>
      <c r="BL136" s="332"/>
      <c r="BM136" s="332"/>
      <c r="BN136" s="332"/>
    </row>
    <row r="137" spans="1:66" ht="30" x14ac:dyDescent="0.15">
      <c r="A137" s="773"/>
      <c r="B137" s="332"/>
      <c r="C137" s="332"/>
      <c r="D137" s="332"/>
      <c r="E137" s="332"/>
      <c r="F137" s="332" t="str">
        <f ca="1">IFERROR(__xludf.DUMMYFUNCTION("""COMPUTED_VALUE"""),"actionLootLocation02")</f>
        <v>actionLootLocation02</v>
      </c>
      <c r="G137" s="332"/>
      <c r="H137" s="332"/>
      <c r="I137" s="332"/>
      <c r="J137" s="332"/>
      <c r="K137" s="332"/>
      <c r="L137" s="332"/>
      <c r="M137" s="332"/>
      <c r="N137" s="332"/>
      <c r="O137" s="332"/>
      <c r="P137" s="332"/>
      <c r="Q137" s="332"/>
      <c r="R137" s="332"/>
      <c r="S137" s="22"/>
      <c r="T137" s="305"/>
      <c r="U137" s="305" t="s">
        <v>6823</v>
      </c>
      <c r="V137" s="305" t="s">
        <v>6824</v>
      </c>
      <c r="W137" s="22"/>
      <c r="X137" s="22"/>
      <c r="Y137" s="22"/>
      <c r="Z137" s="22"/>
      <c r="AA137" s="22"/>
      <c r="AB137" s="332"/>
      <c r="AC137" s="332"/>
      <c r="AD137" s="332"/>
      <c r="AE137" s="332"/>
      <c r="AF137" s="332"/>
      <c r="AG137" s="332"/>
      <c r="AH137" s="332"/>
      <c r="AI137" s="332"/>
      <c r="AJ137" s="332"/>
      <c r="AK137" s="332"/>
      <c r="AL137" s="332"/>
      <c r="AM137" s="334"/>
      <c r="AN137" s="332"/>
      <c r="AO137" s="332"/>
      <c r="AP137" s="332"/>
      <c r="AQ137" s="332"/>
      <c r="AR137" s="332"/>
      <c r="AS137" s="332"/>
      <c r="AT137" s="332"/>
      <c r="AU137" s="332"/>
      <c r="AV137" s="332"/>
      <c r="AW137" s="332"/>
      <c r="AX137" s="332"/>
      <c r="AY137" s="332"/>
      <c r="AZ137" s="332"/>
      <c r="BA137" s="332"/>
      <c r="BB137" s="332"/>
      <c r="BC137" s="332"/>
      <c r="BD137" s="332"/>
      <c r="BE137" s="332"/>
      <c r="BF137" s="332"/>
      <c r="BG137" s="332"/>
      <c r="BH137" s="332"/>
      <c r="BI137" s="332"/>
      <c r="BJ137" s="332"/>
      <c r="BK137" s="332"/>
      <c r="BL137" s="332"/>
      <c r="BM137" s="332"/>
      <c r="BN137" s="332"/>
    </row>
    <row r="138" spans="1:66" ht="17" x14ac:dyDescent="0.15">
      <c r="A138" s="773"/>
      <c r="B138" s="332"/>
      <c r="C138" s="332"/>
      <c r="D138" s="332"/>
      <c r="E138" s="332"/>
      <c r="F138" s="332" t="str">
        <f ca="1">IFERROR(__xludf.DUMMYFUNCTION("""COMPUTED_VALUE"""),"lootTap2")</f>
        <v>lootTap2</v>
      </c>
      <c r="G138" s="332"/>
      <c r="H138" s="332"/>
      <c r="I138" s="332"/>
      <c r="J138" s="332"/>
      <c r="K138" s="332"/>
      <c r="L138" s="332"/>
      <c r="M138" s="332"/>
      <c r="N138" s="332"/>
      <c r="O138" s="332"/>
      <c r="P138" s="332"/>
      <c r="Q138" s="332"/>
      <c r="R138" s="332"/>
      <c r="S138" s="22"/>
      <c r="T138" s="305"/>
      <c r="U138" s="305" t="s">
        <v>6825</v>
      </c>
      <c r="V138" s="305" t="s">
        <v>6826</v>
      </c>
      <c r="W138" s="22"/>
      <c r="X138" s="22"/>
      <c r="Y138" s="22"/>
      <c r="Z138" s="22"/>
      <c r="AA138" s="22"/>
      <c r="AB138" s="332"/>
      <c r="AC138" s="332"/>
      <c r="AD138" s="332"/>
      <c r="AE138" s="332"/>
      <c r="AF138" s="332"/>
      <c r="AG138" s="332"/>
      <c r="AH138" s="332"/>
      <c r="AI138" s="332"/>
      <c r="AJ138" s="332"/>
      <c r="AK138" s="332"/>
      <c r="AL138" s="332"/>
      <c r="AM138" s="334"/>
      <c r="AN138" s="332"/>
      <c r="AO138" s="332"/>
      <c r="AP138" s="332"/>
      <c r="AQ138" s="332"/>
      <c r="AR138" s="332"/>
      <c r="AS138" s="332"/>
      <c r="AT138" s="332"/>
      <c r="AU138" s="332"/>
      <c r="AV138" s="332"/>
      <c r="AW138" s="332"/>
      <c r="AX138" s="332"/>
      <c r="AY138" s="332"/>
      <c r="AZ138" s="332"/>
      <c r="BA138" s="332"/>
      <c r="BB138" s="332"/>
      <c r="BC138" s="332"/>
      <c r="BD138" s="332"/>
      <c r="BE138" s="332"/>
      <c r="BF138" s="332"/>
      <c r="BG138" s="332"/>
      <c r="BH138" s="332"/>
      <c r="BI138" s="332"/>
      <c r="BJ138" s="332"/>
      <c r="BK138" s="332"/>
      <c r="BL138" s="332"/>
      <c r="BM138" s="332"/>
      <c r="BN138" s="332"/>
    </row>
    <row r="139" spans="1:66" ht="30" x14ac:dyDescent="0.15">
      <c r="A139" s="773"/>
      <c r="B139" s="332"/>
      <c r="C139" s="332"/>
      <c r="D139" s="332"/>
      <c r="E139" s="332"/>
      <c r="F139" s="332" t="str">
        <f ca="1">IFERROR(__xludf.DUMMYFUNCTION("""COMPUTED_VALUE"""),"actionLootLocation03")</f>
        <v>actionLootLocation03</v>
      </c>
      <c r="G139" s="332"/>
      <c r="H139" s="332"/>
      <c r="I139" s="332"/>
      <c r="J139" s="332"/>
      <c r="K139" s="332"/>
      <c r="L139" s="332"/>
      <c r="M139" s="332"/>
      <c r="N139" s="332"/>
      <c r="O139" s="332"/>
      <c r="P139" s="332"/>
      <c r="Q139" s="332"/>
      <c r="R139" s="332"/>
      <c r="S139" s="22"/>
      <c r="T139" s="305"/>
      <c r="U139" s="305" t="s">
        <v>6827</v>
      </c>
      <c r="V139" s="305" t="s">
        <v>6828</v>
      </c>
      <c r="W139" s="22"/>
      <c r="X139" s="22"/>
      <c r="Y139" s="22"/>
      <c r="Z139" s="22"/>
      <c r="AA139" s="22"/>
      <c r="AB139" s="332"/>
      <c r="AC139" s="332"/>
      <c r="AD139" s="332"/>
      <c r="AE139" s="332"/>
      <c r="AF139" s="332"/>
      <c r="AG139" s="332"/>
      <c r="AH139" s="332"/>
      <c r="AI139" s="332"/>
      <c r="AJ139" s="332"/>
      <c r="AK139" s="332"/>
      <c r="AL139" s="332"/>
      <c r="AM139" s="334"/>
      <c r="AN139" s="332"/>
      <c r="AO139" s="332"/>
      <c r="AP139" s="332"/>
      <c r="AQ139" s="332"/>
      <c r="AR139" s="332"/>
      <c r="AS139" s="332"/>
      <c r="AT139" s="332"/>
      <c r="AU139" s="332"/>
      <c r="AV139" s="332"/>
      <c r="AW139" s="332"/>
      <c r="AX139" s="332"/>
      <c r="AY139" s="332"/>
      <c r="AZ139" s="332"/>
      <c r="BA139" s="332"/>
      <c r="BB139" s="332"/>
      <c r="BC139" s="332"/>
      <c r="BD139" s="332"/>
      <c r="BE139" s="332"/>
      <c r="BF139" s="332"/>
      <c r="BG139" s="332"/>
      <c r="BH139" s="332"/>
      <c r="BI139" s="332"/>
      <c r="BJ139" s="332"/>
      <c r="BK139" s="332"/>
      <c r="BL139" s="332"/>
      <c r="BM139" s="332"/>
      <c r="BN139" s="332"/>
    </row>
    <row r="140" spans="1:66" ht="17" x14ac:dyDescent="0.15">
      <c r="A140" s="773"/>
      <c r="B140" s="332"/>
      <c r="C140" s="332"/>
      <c r="D140" s="332"/>
      <c r="E140" s="332"/>
      <c r="F140" s="332" t="str">
        <f ca="1">IFERROR(__xludf.DUMMYFUNCTION("""COMPUTED_VALUE"""),"lootTap3")</f>
        <v>lootTap3</v>
      </c>
      <c r="G140" s="332"/>
      <c r="H140" s="332"/>
      <c r="I140" s="332"/>
      <c r="J140" s="332"/>
      <c r="K140" s="332"/>
      <c r="L140" s="332"/>
      <c r="M140" s="332"/>
      <c r="N140" s="332"/>
      <c r="O140" s="332"/>
      <c r="P140" s="332"/>
      <c r="Q140" s="332"/>
      <c r="R140" s="332"/>
      <c r="S140" s="22"/>
      <c r="T140" s="305"/>
      <c r="U140" s="305" t="s">
        <v>6829</v>
      </c>
      <c r="V140" s="305" t="s">
        <v>6830</v>
      </c>
      <c r="W140" s="22"/>
      <c r="X140" s="22"/>
      <c r="Y140" s="22"/>
      <c r="Z140" s="22"/>
      <c r="AA140" s="22"/>
      <c r="AB140" s="332"/>
      <c r="AC140" s="332"/>
      <c r="AD140" s="332"/>
      <c r="AE140" s="332"/>
      <c r="AF140" s="332"/>
      <c r="AG140" s="332"/>
      <c r="AH140" s="332"/>
      <c r="AI140" s="332"/>
      <c r="AJ140" s="332"/>
      <c r="AK140" s="332"/>
      <c r="AL140" s="332"/>
      <c r="AM140" s="334"/>
      <c r="AN140" s="332"/>
      <c r="AO140" s="332"/>
      <c r="AP140" s="332"/>
      <c r="AQ140" s="332"/>
      <c r="AR140" s="332"/>
      <c r="AS140" s="332"/>
      <c r="AT140" s="332"/>
      <c r="AU140" s="332"/>
      <c r="AV140" s="332"/>
      <c r="AW140" s="332"/>
      <c r="AX140" s="332"/>
      <c r="AY140" s="332"/>
      <c r="AZ140" s="332"/>
      <c r="BA140" s="332"/>
      <c r="BB140" s="332"/>
      <c r="BC140" s="332"/>
      <c r="BD140" s="332"/>
      <c r="BE140" s="332"/>
      <c r="BF140" s="332"/>
      <c r="BG140" s="332"/>
      <c r="BH140" s="332"/>
      <c r="BI140" s="332"/>
      <c r="BJ140" s="332"/>
      <c r="BK140" s="332"/>
      <c r="BL140" s="332"/>
      <c r="BM140" s="332"/>
      <c r="BN140" s="332"/>
    </row>
    <row r="141" spans="1:66" ht="30" x14ac:dyDescent="0.15">
      <c r="A141" s="773"/>
      <c r="B141" s="332"/>
      <c r="C141" s="332"/>
      <c r="D141" s="332"/>
      <c r="E141" s="332"/>
      <c r="F141" s="332" t="str">
        <f ca="1">IFERROR(__xludf.DUMMYFUNCTION("""COMPUTED_VALUE"""),"actionLootLocation04")</f>
        <v>actionLootLocation04</v>
      </c>
      <c r="G141" s="332"/>
      <c r="H141" s="332"/>
      <c r="I141" s="332"/>
      <c r="J141" s="332"/>
      <c r="K141" s="332"/>
      <c r="L141" s="332"/>
      <c r="M141" s="332"/>
      <c r="N141" s="332"/>
      <c r="O141" s="332"/>
      <c r="P141" s="332"/>
      <c r="Q141" s="332"/>
      <c r="R141" s="332"/>
      <c r="S141" s="22"/>
      <c r="T141" s="305"/>
      <c r="U141" s="305" t="s">
        <v>6831</v>
      </c>
      <c r="V141" s="305" t="s">
        <v>6832</v>
      </c>
      <c r="W141" s="22"/>
      <c r="X141" s="22"/>
      <c r="Y141" s="22"/>
      <c r="Z141" s="22"/>
      <c r="AA141" s="22"/>
      <c r="AB141" s="332"/>
      <c r="AC141" s="332"/>
      <c r="AD141" s="332"/>
      <c r="AE141" s="332"/>
      <c r="AF141" s="332"/>
      <c r="AG141" s="332"/>
      <c r="AH141" s="332"/>
      <c r="AI141" s="332"/>
      <c r="AJ141" s="332"/>
      <c r="AK141" s="332"/>
      <c r="AL141" s="332"/>
      <c r="AM141" s="334"/>
      <c r="AN141" s="332"/>
      <c r="AO141" s="332"/>
      <c r="AP141" s="332"/>
      <c r="AQ141" s="332"/>
      <c r="AR141" s="332"/>
      <c r="AS141" s="332"/>
      <c r="AT141" s="332"/>
      <c r="AU141" s="332"/>
      <c r="AV141" s="332"/>
      <c r="AW141" s="332"/>
      <c r="AX141" s="332"/>
      <c r="AY141" s="332"/>
      <c r="AZ141" s="332"/>
      <c r="BA141" s="332"/>
      <c r="BB141" s="332"/>
      <c r="BC141" s="332"/>
      <c r="BD141" s="332"/>
      <c r="BE141" s="332"/>
      <c r="BF141" s="332"/>
      <c r="BG141" s="332"/>
      <c r="BH141" s="332"/>
      <c r="BI141" s="332"/>
      <c r="BJ141" s="332"/>
      <c r="BK141" s="332"/>
      <c r="BL141" s="332"/>
      <c r="BM141" s="332"/>
      <c r="BN141" s="332"/>
    </row>
    <row r="142" spans="1:66" ht="17" x14ac:dyDescent="0.15">
      <c r="A142" s="773"/>
      <c r="B142" s="332"/>
      <c r="C142" s="332"/>
      <c r="D142" s="332"/>
      <c r="E142" s="332"/>
      <c r="F142" s="332" t="str">
        <f ca="1">IFERROR(__xludf.DUMMYFUNCTION("""COMPUTED_VALUE"""),"lootTap4")</f>
        <v>lootTap4</v>
      </c>
      <c r="G142" s="332"/>
      <c r="H142" s="332"/>
      <c r="I142" s="332"/>
      <c r="J142" s="332"/>
      <c r="K142" s="332"/>
      <c r="L142" s="332"/>
      <c r="M142" s="332"/>
      <c r="N142" s="332"/>
      <c r="O142" s="332"/>
      <c r="P142" s="332"/>
      <c r="Q142" s="332"/>
      <c r="R142" s="332"/>
      <c r="S142" s="22"/>
      <c r="T142" s="305"/>
      <c r="U142" s="305" t="s">
        <v>6833</v>
      </c>
      <c r="V142" s="305" t="s">
        <v>6834</v>
      </c>
      <c r="W142" s="22"/>
      <c r="X142" s="22"/>
      <c r="Y142" s="22"/>
      <c r="Z142" s="22"/>
      <c r="AA142" s="22"/>
      <c r="AB142" s="332"/>
      <c r="AC142" s="332"/>
      <c r="AD142" s="332"/>
      <c r="AE142" s="332"/>
      <c r="AF142" s="332"/>
      <c r="AG142" s="332"/>
      <c r="AH142" s="332"/>
      <c r="AI142" s="332"/>
      <c r="AJ142" s="332"/>
      <c r="AK142" s="332"/>
      <c r="AL142" s="332"/>
      <c r="AM142" s="334"/>
      <c r="AN142" s="332"/>
      <c r="AO142" s="332"/>
      <c r="AP142" s="332"/>
      <c r="AQ142" s="332"/>
      <c r="AR142" s="332"/>
      <c r="AS142" s="332"/>
      <c r="AT142" s="332"/>
      <c r="AU142" s="332"/>
      <c r="AV142" s="332"/>
      <c r="AW142" s="332"/>
      <c r="AX142" s="332"/>
      <c r="AY142" s="332"/>
      <c r="AZ142" s="332"/>
      <c r="BA142" s="332"/>
      <c r="BB142" s="332"/>
      <c r="BC142" s="332"/>
      <c r="BD142" s="332"/>
      <c r="BE142" s="332"/>
      <c r="BF142" s="332"/>
      <c r="BG142" s="332"/>
      <c r="BH142" s="332"/>
      <c r="BI142" s="332"/>
      <c r="BJ142" s="332"/>
      <c r="BK142" s="332"/>
      <c r="BL142" s="332"/>
      <c r="BM142" s="332"/>
      <c r="BN142" s="332"/>
    </row>
    <row r="143" spans="1:66" ht="30" x14ac:dyDescent="0.15">
      <c r="A143" s="773"/>
      <c r="B143" s="332"/>
      <c r="C143" s="332"/>
      <c r="D143" s="332"/>
      <c r="E143" s="332"/>
      <c r="F143" s="332" t="str">
        <f ca="1">IFERROR(__xludf.DUMMYFUNCTION("""COMPUTED_VALUE"""),"actionLootLocation05")</f>
        <v>actionLootLocation05</v>
      </c>
      <c r="G143" s="332"/>
      <c r="H143" s="332"/>
      <c r="I143" s="332"/>
      <c r="J143" s="332"/>
      <c r="K143" s="332"/>
      <c r="L143" s="332"/>
      <c r="M143" s="332"/>
      <c r="N143" s="332"/>
      <c r="O143" s="332"/>
      <c r="P143" s="332"/>
      <c r="Q143" s="332"/>
      <c r="R143" s="332"/>
      <c r="S143" s="22"/>
      <c r="T143" s="305"/>
      <c r="U143" s="305" t="s">
        <v>6835</v>
      </c>
      <c r="V143" s="305" t="s">
        <v>6836</v>
      </c>
      <c r="W143" s="22"/>
      <c r="X143" s="22"/>
      <c r="Y143" s="22"/>
      <c r="Z143" s="22"/>
      <c r="AA143" s="22"/>
      <c r="AB143" s="332"/>
      <c r="AC143" s="332"/>
      <c r="AD143" s="332"/>
      <c r="AE143" s="332"/>
      <c r="AF143" s="332"/>
      <c r="AG143" s="332"/>
      <c r="AH143" s="332"/>
      <c r="AI143" s="332"/>
      <c r="AJ143" s="332"/>
      <c r="AK143" s="332"/>
      <c r="AL143" s="332"/>
      <c r="AM143" s="334"/>
      <c r="AN143" s="332"/>
      <c r="AO143" s="332"/>
      <c r="AP143" s="332"/>
      <c r="AQ143" s="332"/>
      <c r="AR143" s="332"/>
      <c r="AS143" s="332"/>
      <c r="AT143" s="332"/>
      <c r="AU143" s="332"/>
      <c r="AV143" s="332"/>
      <c r="AW143" s="332"/>
      <c r="AX143" s="332"/>
      <c r="AY143" s="332"/>
      <c r="AZ143" s="332"/>
      <c r="BA143" s="332"/>
      <c r="BB143" s="332"/>
      <c r="BC143" s="332"/>
      <c r="BD143" s="332"/>
      <c r="BE143" s="332"/>
      <c r="BF143" s="332"/>
      <c r="BG143" s="332"/>
      <c r="BH143" s="332"/>
      <c r="BI143" s="332"/>
      <c r="BJ143" s="332"/>
      <c r="BK143" s="332"/>
      <c r="BL143" s="332"/>
      <c r="BM143" s="332"/>
      <c r="BN143" s="332"/>
    </row>
    <row r="144" spans="1:66" ht="17" x14ac:dyDescent="0.15">
      <c r="A144" s="773"/>
      <c r="B144" s="332"/>
      <c r="C144" s="332"/>
      <c r="D144" s="332"/>
      <c r="E144" s="332"/>
      <c r="F144" s="332" t="str">
        <f ca="1">IFERROR(__xludf.DUMMYFUNCTION("""COMPUTED_VALUE"""),"lootTap5")</f>
        <v>lootTap5</v>
      </c>
      <c r="G144" s="332"/>
      <c r="H144" s="332"/>
      <c r="I144" s="332"/>
      <c r="J144" s="332"/>
      <c r="K144" s="332"/>
      <c r="L144" s="332"/>
      <c r="M144" s="332"/>
      <c r="N144" s="332"/>
      <c r="O144" s="332"/>
      <c r="P144" s="332"/>
      <c r="Q144" s="332"/>
      <c r="R144" s="332"/>
      <c r="S144" s="22"/>
      <c r="T144" s="305"/>
      <c r="U144" s="305" t="s">
        <v>6837</v>
      </c>
      <c r="V144" s="305" t="s">
        <v>6838</v>
      </c>
      <c r="W144" s="22"/>
      <c r="X144" s="22"/>
      <c r="Y144" s="22"/>
      <c r="Z144" s="22"/>
      <c r="AA144" s="22"/>
      <c r="AB144" s="332"/>
      <c r="AC144" s="332"/>
      <c r="AD144" s="332"/>
      <c r="AE144" s="332"/>
      <c r="AF144" s="332"/>
      <c r="AG144" s="332"/>
      <c r="AH144" s="332"/>
      <c r="AI144" s="332"/>
      <c r="AJ144" s="332"/>
      <c r="AK144" s="332"/>
      <c r="AL144" s="332"/>
      <c r="AM144" s="334"/>
      <c r="AN144" s="332"/>
      <c r="AO144" s="332"/>
      <c r="AP144" s="332"/>
      <c r="AQ144" s="332"/>
      <c r="AR144" s="332"/>
      <c r="AS144" s="332"/>
      <c r="AT144" s="332"/>
      <c r="AU144" s="332"/>
      <c r="AV144" s="332"/>
      <c r="AW144" s="332"/>
      <c r="AX144" s="332"/>
      <c r="AY144" s="332"/>
      <c r="AZ144" s="332"/>
      <c r="BA144" s="332"/>
      <c r="BB144" s="332"/>
      <c r="BC144" s="332"/>
      <c r="BD144" s="332"/>
      <c r="BE144" s="332"/>
      <c r="BF144" s="332"/>
      <c r="BG144" s="332"/>
      <c r="BH144" s="332"/>
      <c r="BI144" s="332"/>
      <c r="BJ144" s="332"/>
      <c r="BK144" s="332"/>
      <c r="BL144" s="332"/>
      <c r="BM144" s="332"/>
      <c r="BN144" s="332"/>
    </row>
    <row r="145" spans="1:66" ht="30" x14ac:dyDescent="0.15">
      <c r="A145" s="773"/>
      <c r="B145" s="332"/>
      <c r="C145" s="332"/>
      <c r="D145" s="332"/>
      <c r="E145" s="332"/>
      <c r="F145" s="332" t="str">
        <f ca="1">IFERROR(__xludf.DUMMYFUNCTION("""COMPUTED_VALUE"""),"actionLootLocation06")</f>
        <v>actionLootLocation06</v>
      </c>
      <c r="G145" s="332"/>
      <c r="H145" s="332"/>
      <c r="I145" s="332"/>
      <c r="J145" s="332"/>
      <c r="K145" s="332"/>
      <c r="L145" s="332"/>
      <c r="M145" s="332"/>
      <c r="N145" s="332"/>
      <c r="O145" s="332"/>
      <c r="P145" s="332"/>
      <c r="Q145" s="332"/>
      <c r="R145" s="332"/>
      <c r="S145" s="22"/>
      <c r="T145" s="305"/>
      <c r="U145" s="305" t="s">
        <v>6839</v>
      </c>
      <c r="V145" s="305" t="s">
        <v>6840</v>
      </c>
      <c r="W145" s="22"/>
      <c r="X145" s="22"/>
      <c r="Y145" s="22"/>
      <c r="Z145" s="22"/>
      <c r="AA145" s="22"/>
      <c r="AB145" s="332"/>
      <c r="AC145" s="332"/>
      <c r="AD145" s="332"/>
      <c r="AE145" s="332"/>
      <c r="AF145" s="332"/>
      <c r="AG145" s="332"/>
      <c r="AH145" s="332"/>
      <c r="AI145" s="332"/>
      <c r="AJ145" s="332"/>
      <c r="AK145" s="332"/>
      <c r="AL145" s="332"/>
      <c r="AM145" s="334"/>
      <c r="AN145" s="332"/>
      <c r="AO145" s="332"/>
      <c r="AP145" s="332"/>
      <c r="AQ145" s="332"/>
      <c r="AR145" s="332"/>
      <c r="AS145" s="332"/>
      <c r="AT145" s="332"/>
      <c r="AU145" s="332"/>
      <c r="AV145" s="332"/>
      <c r="AW145" s="332"/>
      <c r="AX145" s="332"/>
      <c r="AY145" s="332"/>
      <c r="AZ145" s="332"/>
      <c r="BA145" s="332"/>
      <c r="BB145" s="332"/>
      <c r="BC145" s="332"/>
      <c r="BD145" s="332"/>
      <c r="BE145" s="332"/>
      <c r="BF145" s="332"/>
      <c r="BG145" s="332"/>
      <c r="BH145" s="332"/>
      <c r="BI145" s="332"/>
      <c r="BJ145" s="332"/>
      <c r="BK145" s="332"/>
      <c r="BL145" s="332"/>
      <c r="BM145" s="332"/>
      <c r="BN145" s="332"/>
    </row>
    <row r="146" spans="1:66" ht="17" x14ac:dyDescent="0.15">
      <c r="A146" s="773"/>
      <c r="B146" s="332"/>
      <c r="C146" s="332"/>
      <c r="D146" s="332"/>
      <c r="E146" s="332"/>
      <c r="F146" s="332" t="str">
        <f ca="1">IFERROR(__xludf.DUMMYFUNCTION("""COMPUTED_VALUE"""),"lootTap6")</f>
        <v>lootTap6</v>
      </c>
      <c r="G146" s="332"/>
      <c r="H146" s="332"/>
      <c r="I146" s="332"/>
      <c r="J146" s="332"/>
      <c r="K146" s="332"/>
      <c r="L146" s="332"/>
      <c r="M146" s="332"/>
      <c r="N146" s="332"/>
      <c r="O146" s="332"/>
      <c r="P146" s="332"/>
      <c r="Q146" s="332"/>
      <c r="R146" s="332"/>
      <c r="S146" s="22"/>
      <c r="T146" s="305"/>
      <c r="U146" s="305" t="s">
        <v>6841</v>
      </c>
      <c r="V146" s="305" t="s">
        <v>6842</v>
      </c>
      <c r="W146" s="22"/>
      <c r="X146" s="22"/>
      <c r="Y146" s="22"/>
      <c r="Z146" s="22"/>
      <c r="AA146" s="22"/>
      <c r="AB146" s="332"/>
      <c r="AC146" s="332"/>
      <c r="AD146" s="332"/>
      <c r="AE146" s="332"/>
      <c r="AF146" s="332"/>
      <c r="AG146" s="332"/>
      <c r="AH146" s="332"/>
      <c r="AI146" s="332"/>
      <c r="AJ146" s="332"/>
      <c r="AK146" s="332"/>
      <c r="AL146" s="332"/>
      <c r="AM146" s="334"/>
      <c r="AN146" s="332"/>
      <c r="AO146" s="332"/>
      <c r="AP146" s="332"/>
      <c r="AQ146" s="332"/>
      <c r="AR146" s="332"/>
      <c r="AS146" s="332"/>
      <c r="AT146" s="332"/>
      <c r="AU146" s="332"/>
      <c r="AV146" s="332"/>
      <c r="AW146" s="332"/>
      <c r="AX146" s="332"/>
      <c r="AY146" s="332"/>
      <c r="AZ146" s="332"/>
      <c r="BA146" s="332"/>
      <c r="BB146" s="332"/>
      <c r="BC146" s="332"/>
      <c r="BD146" s="332"/>
      <c r="BE146" s="332"/>
      <c r="BF146" s="332"/>
      <c r="BG146" s="332"/>
      <c r="BH146" s="332"/>
      <c r="BI146" s="332"/>
      <c r="BJ146" s="332"/>
      <c r="BK146" s="332"/>
      <c r="BL146" s="332"/>
      <c r="BM146" s="332"/>
      <c r="BN146" s="332"/>
    </row>
    <row r="147" spans="1:66" ht="30" x14ac:dyDescent="0.15">
      <c r="A147" s="773"/>
      <c r="B147" s="332"/>
      <c r="C147" s="332"/>
      <c r="D147" s="332"/>
      <c r="E147" s="332"/>
      <c r="F147" s="332" t="str">
        <f ca="1">IFERROR(__xludf.DUMMYFUNCTION("""COMPUTED_VALUE"""),"actionLootLocation07")</f>
        <v>actionLootLocation07</v>
      </c>
      <c r="G147" s="332"/>
      <c r="H147" s="332"/>
      <c r="I147" s="332"/>
      <c r="J147" s="332"/>
      <c r="K147" s="332"/>
      <c r="L147" s="332"/>
      <c r="M147" s="332"/>
      <c r="N147" s="332"/>
      <c r="O147" s="332"/>
      <c r="P147" s="332"/>
      <c r="Q147" s="332"/>
      <c r="R147" s="332"/>
      <c r="S147" s="22"/>
      <c r="T147" s="305"/>
      <c r="U147" s="305" t="s">
        <v>6843</v>
      </c>
      <c r="V147" s="305" t="s">
        <v>6844</v>
      </c>
      <c r="W147" s="22"/>
      <c r="X147" s="22"/>
      <c r="Y147" s="22"/>
      <c r="Z147" s="22"/>
      <c r="AA147" s="22"/>
      <c r="AB147" s="332"/>
      <c r="AC147" s="332"/>
      <c r="AD147" s="332"/>
      <c r="AE147" s="332"/>
      <c r="AF147" s="332"/>
      <c r="AG147" s="332"/>
      <c r="AH147" s="332"/>
      <c r="AI147" s="332"/>
      <c r="AJ147" s="332"/>
      <c r="AK147" s="332"/>
      <c r="AL147" s="332"/>
      <c r="AM147" s="334"/>
      <c r="AN147" s="332"/>
      <c r="AO147" s="332"/>
      <c r="AP147" s="332"/>
      <c r="AQ147" s="332"/>
      <c r="AR147" s="332"/>
      <c r="AS147" s="332"/>
      <c r="AT147" s="332"/>
      <c r="AU147" s="332"/>
      <c r="AV147" s="332"/>
      <c r="AW147" s="332"/>
      <c r="AX147" s="332"/>
      <c r="AY147" s="332"/>
      <c r="AZ147" s="332"/>
      <c r="BA147" s="332"/>
      <c r="BB147" s="332"/>
      <c r="BC147" s="332"/>
      <c r="BD147" s="332"/>
      <c r="BE147" s="332"/>
      <c r="BF147" s="332"/>
      <c r="BG147" s="332"/>
      <c r="BH147" s="332"/>
      <c r="BI147" s="332"/>
      <c r="BJ147" s="332"/>
      <c r="BK147" s="332"/>
      <c r="BL147" s="332"/>
      <c r="BM147" s="332"/>
      <c r="BN147" s="332"/>
    </row>
    <row r="148" spans="1:66" ht="17" x14ac:dyDescent="0.15">
      <c r="A148" s="773"/>
      <c r="B148" s="332"/>
      <c r="C148" s="332"/>
      <c r="D148" s="332"/>
      <c r="E148" s="332"/>
      <c r="F148" s="332" t="str">
        <f ca="1">IFERROR(__xludf.DUMMYFUNCTION("""COMPUTED_VALUE"""),"lootTap7")</f>
        <v>lootTap7</v>
      </c>
      <c r="G148" s="332"/>
      <c r="H148" s="332"/>
      <c r="I148" s="332"/>
      <c r="J148" s="332"/>
      <c r="K148" s="332"/>
      <c r="L148" s="332"/>
      <c r="M148" s="332"/>
      <c r="N148" s="332"/>
      <c r="O148" s="332"/>
      <c r="P148" s="332"/>
      <c r="Q148" s="332"/>
      <c r="R148" s="332"/>
      <c r="S148" s="22"/>
      <c r="T148" s="305"/>
      <c r="U148" s="305" t="s">
        <v>6845</v>
      </c>
      <c r="V148" s="305" t="s">
        <v>6846</v>
      </c>
      <c r="W148" s="22"/>
      <c r="X148" s="22"/>
      <c r="Y148" s="22"/>
      <c r="Z148" s="22"/>
      <c r="AA148" s="22"/>
      <c r="AB148" s="332"/>
      <c r="AC148" s="332"/>
      <c r="AD148" s="332"/>
      <c r="AE148" s="332"/>
      <c r="AF148" s="332"/>
      <c r="AG148" s="332"/>
      <c r="AH148" s="332"/>
      <c r="AI148" s="332"/>
      <c r="AJ148" s="332"/>
      <c r="AK148" s="332"/>
      <c r="AL148" s="332"/>
      <c r="AM148" s="334"/>
      <c r="AN148" s="332"/>
      <c r="AO148" s="332"/>
      <c r="AP148" s="332"/>
      <c r="AQ148" s="332"/>
      <c r="AR148" s="332"/>
      <c r="AS148" s="332"/>
      <c r="AT148" s="332"/>
      <c r="AU148" s="332"/>
      <c r="AV148" s="332"/>
      <c r="AW148" s="332"/>
      <c r="AX148" s="332"/>
      <c r="AY148" s="332"/>
      <c r="AZ148" s="332"/>
      <c r="BA148" s="332"/>
      <c r="BB148" s="332"/>
      <c r="BC148" s="332"/>
      <c r="BD148" s="332"/>
      <c r="BE148" s="332"/>
      <c r="BF148" s="332"/>
      <c r="BG148" s="332"/>
      <c r="BH148" s="332"/>
      <c r="BI148" s="332"/>
      <c r="BJ148" s="332"/>
      <c r="BK148" s="332"/>
      <c r="BL148" s="332"/>
      <c r="BM148" s="332"/>
      <c r="BN148" s="332"/>
    </row>
    <row r="149" spans="1:66" ht="30" x14ac:dyDescent="0.15">
      <c r="A149" s="773"/>
      <c r="B149" s="332"/>
      <c r="C149" s="332"/>
      <c r="D149" s="332"/>
      <c r="E149" s="332"/>
      <c r="F149" s="332" t="str">
        <f ca="1">IFERROR(__xludf.DUMMYFUNCTION("""COMPUTED_VALUE"""),"actionLootLocation09")</f>
        <v>actionLootLocation09</v>
      </c>
      <c r="G149" s="332"/>
      <c r="H149" s="332"/>
      <c r="I149" s="332"/>
      <c r="J149" s="332"/>
      <c r="K149" s="332"/>
      <c r="L149" s="332"/>
      <c r="M149" s="332"/>
      <c r="N149" s="332"/>
      <c r="O149" s="332"/>
      <c r="P149" s="332"/>
      <c r="Q149" s="332"/>
      <c r="R149" s="332"/>
      <c r="S149" s="22"/>
      <c r="T149" s="305"/>
      <c r="U149" s="305" t="s">
        <v>5992</v>
      </c>
      <c r="V149" s="305" t="s">
        <v>6847</v>
      </c>
      <c r="W149" s="22"/>
      <c r="X149" s="22"/>
      <c r="Y149" s="22"/>
      <c r="Z149" s="22"/>
      <c r="AA149" s="22"/>
      <c r="AB149" s="332"/>
      <c r="AC149" s="332"/>
      <c r="AD149" s="332"/>
      <c r="AE149" s="332"/>
      <c r="AF149" s="332"/>
      <c r="AG149" s="332"/>
      <c r="AH149" s="332"/>
      <c r="AI149" s="332"/>
      <c r="AJ149" s="332"/>
      <c r="AK149" s="332"/>
      <c r="AL149" s="332"/>
      <c r="AM149" s="334"/>
      <c r="AN149" s="332"/>
      <c r="AO149" s="332"/>
      <c r="AP149" s="332"/>
      <c r="AQ149" s="332"/>
      <c r="AR149" s="332"/>
      <c r="AS149" s="332"/>
      <c r="AT149" s="332"/>
      <c r="AU149" s="332"/>
      <c r="AV149" s="332"/>
      <c r="AW149" s="332"/>
      <c r="AX149" s="332"/>
      <c r="AY149" s="332"/>
      <c r="AZ149" s="332"/>
      <c r="BA149" s="332"/>
      <c r="BB149" s="332"/>
      <c r="BC149" s="332"/>
      <c r="BD149" s="332"/>
      <c r="BE149" s="332"/>
      <c r="BF149" s="332"/>
      <c r="BG149" s="332"/>
      <c r="BH149" s="332"/>
      <c r="BI149" s="332"/>
      <c r="BJ149" s="332"/>
      <c r="BK149" s="332"/>
      <c r="BL149" s="332"/>
      <c r="BM149" s="332"/>
      <c r="BN149" s="332"/>
    </row>
    <row r="150" spans="1:66" ht="17" x14ac:dyDescent="0.15">
      <c r="A150" s="773"/>
      <c r="B150" s="332"/>
      <c r="C150" s="332"/>
      <c r="D150" s="332"/>
      <c r="E150" s="332"/>
      <c r="F150" s="332" t="str">
        <f ca="1">IFERROR(__xludf.DUMMYFUNCTION("""COMPUTED_VALUE"""),"lootTap9")</f>
        <v>lootTap9</v>
      </c>
      <c r="G150" s="332"/>
      <c r="H150" s="332"/>
      <c r="I150" s="332"/>
      <c r="J150" s="332"/>
      <c r="K150" s="332"/>
      <c r="L150" s="332"/>
      <c r="M150" s="332"/>
      <c r="N150" s="332"/>
      <c r="O150" s="332"/>
      <c r="P150" s="332"/>
      <c r="Q150" s="332"/>
      <c r="R150" s="332"/>
      <c r="S150" s="22"/>
      <c r="T150" s="305"/>
      <c r="U150" s="305" t="s">
        <v>4324</v>
      </c>
      <c r="V150" s="305" t="s">
        <v>6848</v>
      </c>
      <c r="W150" s="22"/>
      <c r="X150" s="22"/>
      <c r="Y150" s="22"/>
      <c r="Z150" s="22"/>
      <c r="AA150" s="22"/>
      <c r="AB150" s="332"/>
      <c r="AC150" s="332"/>
      <c r="AD150" s="332"/>
      <c r="AE150" s="332"/>
      <c r="AF150" s="332"/>
      <c r="AG150" s="332"/>
      <c r="AH150" s="332"/>
      <c r="AI150" s="332"/>
      <c r="AJ150" s="332"/>
      <c r="AK150" s="332"/>
      <c r="AL150" s="332"/>
      <c r="AM150" s="334"/>
      <c r="AN150" s="332"/>
      <c r="AO150" s="332"/>
      <c r="AP150" s="332"/>
      <c r="AQ150" s="332"/>
      <c r="AR150" s="332"/>
      <c r="AS150" s="332"/>
      <c r="AT150" s="332"/>
      <c r="AU150" s="332"/>
      <c r="AV150" s="332"/>
      <c r="AW150" s="332"/>
      <c r="AX150" s="332"/>
      <c r="AY150" s="332"/>
      <c r="AZ150" s="332"/>
      <c r="BA150" s="332"/>
      <c r="BB150" s="332"/>
      <c r="BC150" s="332"/>
      <c r="BD150" s="332"/>
      <c r="BE150" s="332"/>
      <c r="BF150" s="332"/>
      <c r="BG150" s="332"/>
      <c r="BH150" s="332"/>
      <c r="BI150" s="332"/>
      <c r="BJ150" s="332"/>
      <c r="BK150" s="332"/>
      <c r="BL150" s="332"/>
      <c r="BM150" s="332"/>
      <c r="BN150" s="332"/>
    </row>
    <row r="151" spans="1:66" ht="30" x14ac:dyDescent="0.15">
      <c r="A151" s="773"/>
      <c r="B151" s="332"/>
      <c r="C151" s="332"/>
      <c r="D151" s="332"/>
      <c r="E151" s="332"/>
      <c r="F151" s="332" t="str">
        <f ca="1">IFERROR(__xludf.DUMMYFUNCTION("""COMPUTED_VALUE"""),"actionLootLocation10")</f>
        <v>actionLootLocation10</v>
      </c>
      <c r="G151" s="332"/>
      <c r="H151" s="332"/>
      <c r="I151" s="332"/>
      <c r="J151" s="332"/>
      <c r="K151" s="332"/>
      <c r="L151" s="332"/>
      <c r="M151" s="332"/>
      <c r="N151" s="332"/>
      <c r="O151" s="332"/>
      <c r="P151" s="332"/>
      <c r="Q151" s="332"/>
      <c r="R151" s="332"/>
      <c r="S151" s="22"/>
      <c r="T151" s="305"/>
      <c r="U151" s="305" t="s">
        <v>6849</v>
      </c>
      <c r="V151" s="305" t="s">
        <v>6850</v>
      </c>
      <c r="W151" s="22"/>
      <c r="X151" s="22"/>
      <c r="Y151" s="22"/>
      <c r="Z151" s="22"/>
      <c r="AA151" s="22"/>
      <c r="AB151" s="332"/>
      <c r="AC151" s="332"/>
      <c r="AD151" s="332"/>
      <c r="AE151" s="332"/>
      <c r="AF151" s="332"/>
      <c r="AG151" s="332"/>
      <c r="AH151" s="332"/>
      <c r="AI151" s="332"/>
      <c r="AJ151" s="332"/>
      <c r="AK151" s="332"/>
      <c r="AL151" s="332"/>
      <c r="AM151" s="334"/>
      <c r="AN151" s="332"/>
      <c r="AO151" s="332"/>
      <c r="AP151" s="332"/>
      <c r="AQ151" s="332"/>
      <c r="AR151" s="332"/>
      <c r="AS151" s="332"/>
      <c r="AT151" s="332"/>
      <c r="AU151" s="332"/>
      <c r="AV151" s="332"/>
      <c r="AW151" s="332"/>
      <c r="AX151" s="332"/>
      <c r="AY151" s="332"/>
      <c r="AZ151" s="332"/>
      <c r="BA151" s="332"/>
      <c r="BB151" s="332"/>
      <c r="BC151" s="332"/>
      <c r="BD151" s="332"/>
      <c r="BE151" s="332"/>
      <c r="BF151" s="332"/>
      <c r="BG151" s="332"/>
      <c r="BH151" s="332"/>
      <c r="BI151" s="332"/>
      <c r="BJ151" s="332"/>
      <c r="BK151" s="332"/>
      <c r="BL151" s="332"/>
      <c r="BM151" s="332"/>
      <c r="BN151" s="332"/>
    </row>
    <row r="152" spans="1:66" ht="17" x14ac:dyDescent="0.15">
      <c r="A152" s="773"/>
      <c r="B152" s="332"/>
      <c r="C152" s="332"/>
      <c r="D152" s="332"/>
      <c r="E152" s="332"/>
      <c r="F152" s="332" t="str">
        <f ca="1">IFERROR(__xludf.DUMMYFUNCTION("""COMPUTED_VALUE"""),"lootTap10")</f>
        <v>lootTap10</v>
      </c>
      <c r="G152" s="332"/>
      <c r="H152" s="332"/>
      <c r="I152" s="332"/>
      <c r="J152" s="332"/>
      <c r="K152" s="332"/>
      <c r="L152" s="332"/>
      <c r="M152" s="332"/>
      <c r="N152" s="332"/>
      <c r="O152" s="332"/>
      <c r="P152" s="332"/>
      <c r="Q152" s="332"/>
      <c r="R152" s="332"/>
      <c r="S152" s="22"/>
      <c r="T152" s="305"/>
      <c r="U152" s="305" t="s">
        <v>6851</v>
      </c>
      <c r="V152" s="305" t="s">
        <v>6852</v>
      </c>
      <c r="W152" s="22"/>
      <c r="X152" s="22"/>
      <c r="Y152" s="22"/>
      <c r="Z152" s="22"/>
      <c r="AA152" s="22"/>
      <c r="AB152" s="332"/>
      <c r="AC152" s="332"/>
      <c r="AD152" s="332"/>
      <c r="AE152" s="332"/>
      <c r="AF152" s="332"/>
      <c r="AG152" s="332"/>
      <c r="AH152" s="332"/>
      <c r="AI152" s="332"/>
      <c r="AJ152" s="332"/>
      <c r="AK152" s="332"/>
      <c r="AL152" s="332"/>
      <c r="AM152" s="334"/>
      <c r="AN152" s="332"/>
      <c r="AO152" s="332"/>
      <c r="AP152" s="332"/>
      <c r="AQ152" s="332"/>
      <c r="AR152" s="332"/>
      <c r="AS152" s="332"/>
      <c r="AT152" s="332"/>
      <c r="AU152" s="332"/>
      <c r="AV152" s="332"/>
      <c r="AW152" s="332"/>
      <c r="AX152" s="332"/>
      <c r="AY152" s="332"/>
      <c r="AZ152" s="332"/>
      <c r="BA152" s="332"/>
      <c r="BB152" s="332"/>
      <c r="BC152" s="332"/>
      <c r="BD152" s="332"/>
      <c r="BE152" s="332"/>
      <c r="BF152" s="332"/>
      <c r="BG152" s="332"/>
      <c r="BH152" s="332"/>
      <c r="BI152" s="332"/>
      <c r="BJ152" s="332"/>
      <c r="BK152" s="332"/>
      <c r="BL152" s="332"/>
      <c r="BM152" s="332"/>
      <c r="BN152" s="332"/>
    </row>
    <row r="153" spans="1:66" ht="30" x14ac:dyDescent="0.15">
      <c r="A153" s="773"/>
      <c r="B153" s="332"/>
      <c r="C153" s="332"/>
      <c r="D153" s="332"/>
      <c r="E153" s="332"/>
      <c r="F153" s="332" t="str">
        <f ca="1">IFERROR(__xludf.DUMMYFUNCTION("""COMPUTED_VALUE"""),"actionLootLocation12")</f>
        <v>actionLootLocation12</v>
      </c>
      <c r="G153" s="332"/>
      <c r="H153" s="332"/>
      <c r="I153" s="332"/>
      <c r="J153" s="332"/>
      <c r="K153" s="332"/>
      <c r="L153" s="332"/>
      <c r="M153" s="332"/>
      <c r="N153" s="332"/>
      <c r="O153" s="332"/>
      <c r="P153" s="332"/>
      <c r="Q153" s="332"/>
      <c r="R153" s="332"/>
      <c r="S153" s="22"/>
      <c r="T153" s="305"/>
      <c r="U153" s="305" t="s">
        <v>6853</v>
      </c>
      <c r="V153" s="305" t="s">
        <v>6854</v>
      </c>
      <c r="W153" s="22"/>
      <c r="X153" s="22"/>
      <c r="Y153" s="22"/>
      <c r="Z153" s="22"/>
      <c r="AA153" s="22"/>
      <c r="AB153" s="332"/>
      <c r="AC153" s="332"/>
      <c r="AD153" s="332"/>
      <c r="AE153" s="332"/>
      <c r="AF153" s="332"/>
      <c r="AG153" s="332"/>
      <c r="AH153" s="332"/>
      <c r="AI153" s="332"/>
      <c r="AJ153" s="332"/>
      <c r="AK153" s="332"/>
      <c r="AL153" s="332"/>
      <c r="AM153" s="334"/>
      <c r="AN153" s="332"/>
      <c r="AO153" s="332"/>
      <c r="AP153" s="332"/>
      <c r="AQ153" s="332"/>
      <c r="AR153" s="332"/>
      <c r="AS153" s="332"/>
      <c r="AT153" s="332"/>
      <c r="AU153" s="332"/>
      <c r="AV153" s="332"/>
      <c r="AW153" s="332"/>
      <c r="AX153" s="332"/>
      <c r="AY153" s="332"/>
      <c r="AZ153" s="332"/>
      <c r="BA153" s="332"/>
      <c r="BB153" s="332"/>
      <c r="BC153" s="332"/>
      <c r="BD153" s="332"/>
      <c r="BE153" s="332"/>
      <c r="BF153" s="332"/>
      <c r="BG153" s="332"/>
      <c r="BH153" s="332"/>
      <c r="BI153" s="332"/>
      <c r="BJ153" s="332"/>
      <c r="BK153" s="332"/>
      <c r="BL153" s="332"/>
      <c r="BM153" s="332"/>
      <c r="BN153" s="332"/>
    </row>
    <row r="154" spans="1:66" ht="17" x14ac:dyDescent="0.15">
      <c r="A154" s="773"/>
      <c r="B154" s="332"/>
      <c r="C154" s="332"/>
      <c r="D154" s="332"/>
      <c r="E154" s="332"/>
      <c r="F154" s="332" t="str">
        <f ca="1">IFERROR(__xludf.DUMMYFUNCTION("""COMPUTED_VALUE"""),"lootTap12")</f>
        <v>lootTap12</v>
      </c>
      <c r="G154" s="332"/>
      <c r="H154" s="332"/>
      <c r="I154" s="332"/>
      <c r="J154" s="332"/>
      <c r="K154" s="332"/>
      <c r="L154" s="332"/>
      <c r="M154" s="332"/>
      <c r="N154" s="332"/>
      <c r="O154" s="332"/>
      <c r="P154" s="332"/>
      <c r="Q154" s="332"/>
      <c r="R154" s="332"/>
      <c r="S154" s="22"/>
      <c r="T154" s="305"/>
      <c r="U154" s="305" t="s">
        <v>6855</v>
      </c>
      <c r="V154" s="305" t="s">
        <v>6856</v>
      </c>
      <c r="W154" s="22"/>
      <c r="X154" s="22"/>
      <c r="Y154" s="22"/>
      <c r="Z154" s="22"/>
      <c r="AA154" s="22"/>
      <c r="AB154" s="332"/>
      <c r="AC154" s="332"/>
      <c r="AD154" s="332"/>
      <c r="AE154" s="332"/>
      <c r="AF154" s="332"/>
      <c r="AG154" s="332"/>
      <c r="AH154" s="332"/>
      <c r="AI154" s="332"/>
      <c r="AJ154" s="332"/>
      <c r="AK154" s="332"/>
      <c r="AL154" s="332"/>
      <c r="AM154" s="334"/>
      <c r="AN154" s="332"/>
      <c r="AO154" s="332"/>
      <c r="AP154" s="332"/>
      <c r="AQ154" s="332"/>
      <c r="AR154" s="332"/>
      <c r="AS154" s="332"/>
      <c r="AT154" s="332"/>
      <c r="AU154" s="332"/>
      <c r="AV154" s="332"/>
      <c r="AW154" s="332"/>
      <c r="AX154" s="332"/>
      <c r="AY154" s="332"/>
      <c r="AZ154" s="332"/>
      <c r="BA154" s="332"/>
      <c r="BB154" s="332"/>
      <c r="BC154" s="332"/>
      <c r="BD154" s="332"/>
      <c r="BE154" s="332"/>
      <c r="BF154" s="332"/>
      <c r="BG154" s="332"/>
      <c r="BH154" s="332"/>
      <c r="BI154" s="332"/>
      <c r="BJ154" s="332"/>
      <c r="BK154" s="332"/>
      <c r="BL154" s="332"/>
      <c r="BM154" s="332"/>
      <c r="BN154" s="332"/>
    </row>
    <row r="155" spans="1:66" ht="30" x14ac:dyDescent="0.15">
      <c r="A155" s="773"/>
      <c r="B155" s="332"/>
      <c r="C155" s="332"/>
      <c r="D155" s="332"/>
      <c r="E155" s="332"/>
      <c r="F155" s="332" t="str">
        <f ca="1">IFERROR(__xludf.DUMMYFUNCTION("""COMPUTED_VALUE"""),"lootV6common")</f>
        <v>lootV6common</v>
      </c>
      <c r="G155" s="332"/>
      <c r="H155" s="332"/>
      <c r="I155" s="332"/>
      <c r="J155" s="332"/>
      <c r="K155" s="332"/>
      <c r="L155" s="332"/>
      <c r="M155" s="332"/>
      <c r="N155" s="332"/>
      <c r="O155" s="332"/>
      <c r="P155" s="332"/>
      <c r="Q155" s="332"/>
      <c r="R155" s="332"/>
      <c r="S155" s="22"/>
      <c r="T155" s="305"/>
      <c r="U155" s="305" t="s">
        <v>6857</v>
      </c>
      <c r="V155" s="305" t="s">
        <v>6858</v>
      </c>
      <c r="W155" s="22"/>
      <c r="X155" s="22"/>
      <c r="Y155" s="22"/>
      <c r="Z155" s="22"/>
      <c r="AA155" s="22"/>
      <c r="AB155" s="332"/>
      <c r="AC155" s="332"/>
      <c r="AD155" s="332"/>
      <c r="AE155" s="332"/>
      <c r="AF155" s="332"/>
      <c r="AG155" s="332"/>
      <c r="AH155" s="332"/>
      <c r="AI155" s="332"/>
      <c r="AJ155" s="332"/>
      <c r="AK155" s="332"/>
      <c r="AL155" s="332"/>
      <c r="AM155" s="334"/>
      <c r="AN155" s="332"/>
      <c r="AO155" s="332"/>
      <c r="AP155" s="332"/>
      <c r="AQ155" s="332"/>
      <c r="AR155" s="332"/>
      <c r="AS155" s="332"/>
      <c r="AT155" s="332"/>
      <c r="AU155" s="332"/>
      <c r="AV155" s="332"/>
      <c r="AW155" s="332"/>
      <c r="AX155" s="332"/>
      <c r="AY155" s="332"/>
      <c r="AZ155" s="332"/>
      <c r="BA155" s="332"/>
      <c r="BB155" s="332"/>
      <c r="BC155" s="332"/>
      <c r="BD155" s="332"/>
      <c r="BE155" s="332"/>
      <c r="BF155" s="332"/>
      <c r="BG155" s="332"/>
      <c r="BH155" s="332"/>
      <c r="BI155" s="332"/>
      <c r="BJ155" s="332"/>
      <c r="BK155" s="332"/>
      <c r="BL155" s="332"/>
      <c r="BM155" s="332"/>
      <c r="BN155" s="332"/>
    </row>
    <row r="156" spans="1:66" ht="30" x14ac:dyDescent="0.15">
      <c r="A156" s="773"/>
      <c r="B156" s="332"/>
      <c r="C156" s="332"/>
      <c r="D156" s="332"/>
      <c r="E156" s="332"/>
      <c r="F156" s="332" t="str">
        <f ca="1">IFERROR(__xludf.DUMMYFUNCTION("""COMPUTED_VALUE"""),"lootCookieRobot")</f>
        <v>lootCookieRobot</v>
      </c>
      <c r="G156" s="332"/>
      <c r="H156" s="332"/>
      <c r="I156" s="332"/>
      <c r="J156" s="332"/>
      <c r="K156" s="332"/>
      <c r="L156" s="332"/>
      <c r="M156" s="332"/>
      <c r="N156" s="332"/>
      <c r="O156" s="332"/>
      <c r="P156" s="332"/>
      <c r="Q156" s="332"/>
      <c r="R156" s="332"/>
      <c r="S156" s="22"/>
      <c r="T156" s="305"/>
      <c r="U156" s="305" t="s">
        <v>6859</v>
      </c>
      <c r="V156" s="305" t="s">
        <v>6860</v>
      </c>
      <c r="W156" s="22"/>
      <c r="X156" s="22"/>
      <c r="Y156" s="22"/>
      <c r="Z156" s="22"/>
      <c r="AA156" s="22"/>
      <c r="AB156" s="332"/>
      <c r="AC156" s="332"/>
      <c r="AD156" s="332"/>
      <c r="AE156" s="332"/>
      <c r="AF156" s="332"/>
      <c r="AG156" s="332"/>
      <c r="AH156" s="332"/>
      <c r="AI156" s="332"/>
      <c r="AJ156" s="332"/>
      <c r="AK156" s="332"/>
      <c r="AL156" s="332"/>
      <c r="AM156" s="334"/>
      <c r="AN156" s="332"/>
      <c r="AO156" s="332"/>
      <c r="AP156" s="332"/>
      <c r="AQ156" s="332"/>
      <c r="AR156" s="332"/>
      <c r="AS156" s="332"/>
      <c r="AT156" s="332"/>
      <c r="AU156" s="332"/>
      <c r="AV156" s="332"/>
      <c r="AW156" s="332"/>
      <c r="AX156" s="332"/>
      <c r="AY156" s="332"/>
      <c r="AZ156" s="332"/>
      <c r="BA156" s="332"/>
      <c r="BB156" s="332"/>
      <c r="BC156" s="332"/>
      <c r="BD156" s="332"/>
      <c r="BE156" s="332"/>
      <c r="BF156" s="332"/>
      <c r="BG156" s="332"/>
      <c r="BH156" s="332"/>
      <c r="BI156" s="332"/>
      <c r="BJ156" s="332"/>
      <c r="BK156" s="332"/>
      <c r="BL156" s="332"/>
      <c r="BM156" s="332"/>
      <c r="BN156" s="332"/>
    </row>
    <row r="157" spans="1:66" ht="30" x14ac:dyDescent="0.15">
      <c r="A157" s="773"/>
      <c r="B157" s="332"/>
      <c r="C157" s="332"/>
      <c r="D157" s="332"/>
      <c r="E157" s="332"/>
      <c r="F157" s="332" t="str">
        <f ca="1">IFERROR(__xludf.DUMMYFUNCTION("""COMPUTED_VALUE"""),"lootBoogieRobot")</f>
        <v>lootBoogieRobot</v>
      </c>
      <c r="G157" s="332"/>
      <c r="H157" s="332"/>
      <c r="I157" s="332"/>
      <c r="J157" s="332"/>
      <c r="K157" s="332"/>
      <c r="L157" s="332"/>
      <c r="M157" s="332"/>
      <c r="N157" s="332"/>
      <c r="O157" s="332"/>
      <c r="P157" s="332"/>
      <c r="Q157" s="332"/>
      <c r="R157" s="332"/>
      <c r="S157" s="22"/>
      <c r="T157" s="305"/>
      <c r="U157" s="305" t="s">
        <v>6861</v>
      </c>
      <c r="V157" s="305" t="s">
        <v>6862</v>
      </c>
      <c r="W157" s="22"/>
      <c r="X157" s="22"/>
      <c r="Y157" s="22"/>
      <c r="Z157" s="22"/>
      <c r="AA157" s="22"/>
      <c r="AB157" s="332"/>
      <c r="AC157" s="332"/>
      <c r="AD157" s="332"/>
      <c r="AE157" s="332"/>
      <c r="AF157" s="332"/>
      <c r="AG157" s="332"/>
      <c r="AH157" s="332"/>
      <c r="AI157" s="332"/>
      <c r="AJ157" s="332"/>
      <c r="AK157" s="332"/>
      <c r="AL157" s="332"/>
      <c r="AM157" s="334"/>
      <c r="AN157" s="332"/>
      <c r="AO157" s="332"/>
      <c r="AP157" s="332"/>
      <c r="AQ157" s="332"/>
      <c r="AR157" s="332"/>
      <c r="AS157" s="332"/>
      <c r="AT157" s="332"/>
      <c r="AU157" s="332"/>
      <c r="AV157" s="332"/>
      <c r="AW157" s="332"/>
      <c r="AX157" s="332"/>
      <c r="AY157" s="332"/>
      <c r="AZ157" s="332"/>
      <c r="BA157" s="332"/>
      <c r="BB157" s="332"/>
      <c r="BC157" s="332"/>
      <c r="BD157" s="332"/>
      <c r="BE157" s="332"/>
      <c r="BF157" s="332"/>
      <c r="BG157" s="332"/>
      <c r="BH157" s="332"/>
      <c r="BI157" s="332"/>
      <c r="BJ157" s="332"/>
      <c r="BK157" s="332"/>
      <c r="BL157" s="332"/>
      <c r="BM157" s="332"/>
      <c r="BN157" s="332"/>
    </row>
    <row r="158" spans="1:66" ht="30" x14ac:dyDescent="0.15">
      <c r="A158" s="773"/>
      <c r="B158" s="332"/>
      <c r="C158" s="332"/>
      <c r="D158" s="332"/>
      <c r="E158" s="332"/>
      <c r="F158" s="332" t="str">
        <f ca="1">IFERROR(__xludf.DUMMYFUNCTION("""COMPUTED_VALUE"""),"lootV6uncommon")</f>
        <v>lootV6uncommon</v>
      </c>
      <c r="G158" s="332"/>
      <c r="H158" s="332"/>
      <c r="I158" s="332"/>
      <c r="J158" s="332"/>
      <c r="K158" s="332"/>
      <c r="L158" s="332"/>
      <c r="M158" s="332"/>
      <c r="N158" s="332"/>
      <c r="O158" s="332"/>
      <c r="P158" s="332"/>
      <c r="Q158" s="332"/>
      <c r="R158" s="332"/>
      <c r="S158" s="22"/>
      <c r="T158" s="305"/>
      <c r="U158" s="305" t="s">
        <v>6863</v>
      </c>
      <c r="V158" s="305" t="s">
        <v>6864</v>
      </c>
      <c r="W158" s="22"/>
      <c r="X158" s="22"/>
      <c r="Y158" s="22"/>
      <c r="Z158" s="22"/>
      <c r="AA158" s="22"/>
      <c r="AB158" s="332"/>
      <c r="AC158" s="332"/>
      <c r="AD158" s="332"/>
      <c r="AE158" s="332"/>
      <c r="AF158" s="332"/>
      <c r="AG158" s="332"/>
      <c r="AH158" s="332"/>
      <c r="AI158" s="332"/>
      <c r="AJ158" s="332"/>
      <c r="AK158" s="332"/>
      <c r="AL158" s="332"/>
      <c r="AM158" s="334"/>
      <c r="AN158" s="332"/>
      <c r="AO158" s="332"/>
      <c r="AP158" s="332"/>
      <c r="AQ158" s="332"/>
      <c r="AR158" s="332"/>
      <c r="AS158" s="332"/>
      <c r="AT158" s="332"/>
      <c r="AU158" s="332"/>
      <c r="AV158" s="332"/>
      <c r="AW158" s="332"/>
      <c r="AX158" s="332"/>
      <c r="AY158" s="332"/>
      <c r="AZ158" s="332"/>
      <c r="BA158" s="332"/>
      <c r="BB158" s="332"/>
      <c r="BC158" s="332"/>
      <c r="BD158" s="332"/>
      <c r="BE158" s="332"/>
      <c r="BF158" s="332"/>
      <c r="BG158" s="332"/>
      <c r="BH158" s="332"/>
      <c r="BI158" s="332"/>
      <c r="BJ158" s="332"/>
      <c r="BK158" s="332"/>
      <c r="BL158" s="332"/>
      <c r="BM158" s="332"/>
      <c r="BN158" s="332"/>
    </row>
    <row r="159" spans="1:66" ht="17" x14ac:dyDescent="0.15">
      <c r="A159" s="773"/>
      <c r="B159" s="332"/>
      <c r="C159" s="332"/>
      <c r="D159" s="332"/>
      <c r="E159" s="332"/>
      <c r="F159" s="332" t="str">
        <f ca="1">IFERROR(__xludf.DUMMYFUNCTION("""COMPUTED_VALUE"""),"lootV6rare")</f>
        <v>lootV6rare</v>
      </c>
      <c r="G159" s="332"/>
      <c r="H159" s="332"/>
      <c r="I159" s="332"/>
      <c r="J159" s="332"/>
      <c r="K159" s="332"/>
      <c r="L159" s="332"/>
      <c r="M159" s="332"/>
      <c r="N159" s="332"/>
      <c r="O159" s="332"/>
      <c r="P159" s="332"/>
      <c r="Q159" s="332"/>
      <c r="R159" s="332"/>
      <c r="S159" s="22"/>
      <c r="T159" s="305"/>
      <c r="U159" s="305" t="s">
        <v>6865</v>
      </c>
      <c r="V159" s="305" t="s">
        <v>6866</v>
      </c>
      <c r="W159" s="22"/>
      <c r="X159" s="22"/>
      <c r="Y159" s="22"/>
      <c r="Z159" s="22"/>
      <c r="AA159" s="22"/>
      <c r="AB159" s="332"/>
      <c r="AC159" s="332"/>
      <c r="AD159" s="332"/>
      <c r="AE159" s="332"/>
      <c r="AF159" s="332"/>
      <c r="AG159" s="332"/>
      <c r="AH159" s="332"/>
      <c r="AI159" s="332"/>
      <c r="AJ159" s="332"/>
      <c r="AK159" s="332"/>
      <c r="AL159" s="332"/>
      <c r="AM159" s="334"/>
      <c r="AN159" s="332"/>
      <c r="AO159" s="332"/>
      <c r="AP159" s="332"/>
      <c r="AQ159" s="332"/>
      <c r="AR159" s="332"/>
      <c r="AS159" s="332"/>
      <c r="AT159" s="332"/>
      <c r="AU159" s="332"/>
      <c r="AV159" s="332"/>
      <c r="AW159" s="332"/>
      <c r="AX159" s="332"/>
      <c r="AY159" s="332"/>
      <c r="AZ159" s="332"/>
      <c r="BA159" s="332"/>
      <c r="BB159" s="332"/>
      <c r="BC159" s="332"/>
      <c r="BD159" s="332"/>
      <c r="BE159" s="332"/>
      <c r="BF159" s="332"/>
      <c r="BG159" s="332"/>
      <c r="BH159" s="332"/>
      <c r="BI159" s="332"/>
      <c r="BJ159" s="332"/>
      <c r="BK159" s="332"/>
      <c r="BL159" s="332"/>
      <c r="BM159" s="332"/>
      <c r="BN159" s="332"/>
    </row>
    <row r="160" spans="1:66" ht="30" x14ac:dyDescent="0.15">
      <c r="A160" s="773"/>
      <c r="B160" s="332"/>
      <c r="C160" s="332"/>
      <c r="D160" s="332"/>
      <c r="E160" s="332"/>
      <c r="F160" s="332" t="str">
        <f ca="1">IFERROR(__xludf.DUMMYFUNCTION("""COMPUTED_VALUE"""),"lootGuacSombrero")</f>
        <v>lootGuacSombrero</v>
      </c>
      <c r="G160" s="332"/>
      <c r="H160" s="332"/>
      <c r="I160" s="332"/>
      <c r="J160" s="332"/>
      <c r="K160" s="332"/>
      <c r="L160" s="332"/>
      <c r="M160" s="332"/>
      <c r="N160" s="332"/>
      <c r="O160" s="332"/>
      <c r="P160" s="332"/>
      <c r="Q160" s="332"/>
      <c r="R160" s="332"/>
      <c r="S160" s="22"/>
      <c r="T160" s="305"/>
      <c r="U160" s="305" t="s">
        <v>6867</v>
      </c>
      <c r="V160" s="305" t="s">
        <v>6868</v>
      </c>
      <c r="W160" s="22"/>
      <c r="X160" s="22"/>
      <c r="Y160" s="22"/>
      <c r="Z160" s="22"/>
      <c r="AA160" s="22"/>
      <c r="AB160" s="332"/>
      <c r="AC160" s="332"/>
      <c r="AD160" s="332"/>
      <c r="AE160" s="332"/>
      <c r="AF160" s="332"/>
      <c r="AG160" s="332"/>
      <c r="AH160" s="332"/>
      <c r="AI160" s="332"/>
      <c r="AJ160" s="332"/>
      <c r="AK160" s="332"/>
      <c r="AL160" s="332"/>
      <c r="AM160" s="334"/>
      <c r="AN160" s="332"/>
      <c r="AO160" s="332"/>
      <c r="AP160" s="332"/>
      <c r="AQ160" s="332"/>
      <c r="AR160" s="332"/>
      <c r="AS160" s="332"/>
      <c r="AT160" s="332"/>
      <c r="AU160" s="332"/>
      <c r="AV160" s="332"/>
      <c r="AW160" s="332"/>
      <c r="AX160" s="332"/>
      <c r="AY160" s="332"/>
      <c r="AZ160" s="332"/>
      <c r="BA160" s="332"/>
      <c r="BB160" s="332"/>
      <c r="BC160" s="332"/>
      <c r="BD160" s="332"/>
      <c r="BE160" s="332"/>
      <c r="BF160" s="332"/>
      <c r="BG160" s="332"/>
      <c r="BH160" s="332"/>
      <c r="BI160" s="332"/>
      <c r="BJ160" s="332"/>
      <c r="BK160" s="332"/>
      <c r="BL160" s="332"/>
      <c r="BM160" s="332"/>
      <c r="BN160" s="332"/>
    </row>
    <row r="161" spans="1:66" ht="30" x14ac:dyDescent="0.15">
      <c r="A161" s="773"/>
      <c r="B161" s="332"/>
      <c r="C161" s="332"/>
      <c r="D161" s="332"/>
      <c r="E161" s="332"/>
      <c r="F161" s="332" t="str">
        <f ca="1">IFERROR(__xludf.DUMMYFUNCTION("""COMPUTED_VALUE"""),"lootLipstickTaser")</f>
        <v>lootLipstickTaser</v>
      </c>
      <c r="G161" s="332"/>
      <c r="H161" s="332"/>
      <c r="I161" s="332"/>
      <c r="J161" s="332"/>
      <c r="K161" s="332"/>
      <c r="L161" s="332"/>
      <c r="M161" s="332"/>
      <c r="N161" s="332"/>
      <c r="O161" s="332"/>
      <c r="P161" s="332"/>
      <c r="Q161" s="332"/>
      <c r="R161" s="332"/>
      <c r="S161" s="22"/>
      <c r="T161" s="305"/>
      <c r="U161" s="305" t="s">
        <v>6869</v>
      </c>
      <c r="V161" s="305" t="s">
        <v>6870</v>
      </c>
      <c r="W161" s="22"/>
      <c r="X161" s="22"/>
      <c r="Y161" s="22"/>
      <c r="Z161" s="22"/>
      <c r="AA161" s="22"/>
      <c r="AB161" s="332"/>
      <c r="AC161" s="332"/>
      <c r="AD161" s="332"/>
      <c r="AE161" s="332"/>
      <c r="AF161" s="332"/>
      <c r="AG161" s="332"/>
      <c r="AH161" s="332"/>
      <c r="AI161" s="332"/>
      <c r="AJ161" s="332"/>
      <c r="AK161" s="332"/>
      <c r="AL161" s="332"/>
      <c r="AM161" s="334"/>
      <c r="AN161" s="332"/>
      <c r="AO161" s="332"/>
      <c r="AP161" s="332"/>
      <c r="AQ161" s="332"/>
      <c r="AR161" s="332"/>
      <c r="AS161" s="332"/>
      <c r="AT161" s="332"/>
      <c r="AU161" s="332"/>
      <c r="AV161" s="332"/>
      <c r="AW161" s="332"/>
      <c r="AX161" s="332"/>
      <c r="AY161" s="332"/>
      <c r="AZ161" s="332"/>
      <c r="BA161" s="332"/>
      <c r="BB161" s="332"/>
      <c r="BC161" s="332"/>
      <c r="BD161" s="332"/>
      <c r="BE161" s="332"/>
      <c r="BF161" s="332"/>
      <c r="BG161" s="332"/>
      <c r="BH161" s="332"/>
      <c r="BI161" s="332"/>
      <c r="BJ161" s="332"/>
      <c r="BK161" s="332"/>
      <c r="BL161" s="332"/>
      <c r="BM161" s="332"/>
      <c r="BN161" s="332"/>
    </row>
    <row r="162" spans="1:66" ht="17" x14ac:dyDescent="0.15">
      <c r="A162" s="773"/>
      <c r="B162" s="332"/>
      <c r="C162" s="332"/>
      <c r="D162" s="332"/>
      <c r="E162" s="332"/>
      <c r="F162" s="332" t="str">
        <f ca="1">IFERROR(__xludf.DUMMYFUNCTION("""COMPUTED_VALUE"""),"lootHypnoHat")</f>
        <v>lootHypnoHat</v>
      </c>
      <c r="G162" s="332"/>
      <c r="H162" s="332"/>
      <c r="I162" s="332"/>
      <c r="J162" s="332"/>
      <c r="K162" s="332"/>
      <c r="L162" s="332"/>
      <c r="M162" s="332"/>
      <c r="N162" s="332"/>
      <c r="O162" s="332"/>
      <c r="P162" s="332"/>
      <c r="Q162" s="332"/>
      <c r="R162" s="332"/>
      <c r="S162" s="22"/>
      <c r="T162" s="305"/>
      <c r="U162" s="305" t="s">
        <v>6871</v>
      </c>
      <c r="V162" s="305" t="s">
        <v>6872</v>
      </c>
      <c r="W162" s="22"/>
      <c r="X162" s="22"/>
      <c r="Y162" s="22"/>
      <c r="Z162" s="22"/>
      <c r="AA162" s="22"/>
      <c r="AB162" s="332"/>
      <c r="AC162" s="332"/>
      <c r="AD162" s="332"/>
      <c r="AE162" s="332"/>
      <c r="AF162" s="332"/>
      <c r="AG162" s="332"/>
      <c r="AH162" s="332"/>
      <c r="AI162" s="332"/>
      <c r="AJ162" s="332"/>
      <c r="AK162" s="332"/>
      <c r="AL162" s="332"/>
      <c r="AM162" s="334"/>
      <c r="AN162" s="332"/>
      <c r="AO162" s="332"/>
      <c r="AP162" s="332"/>
      <c r="AQ162" s="332"/>
      <c r="AR162" s="332"/>
      <c r="AS162" s="332"/>
      <c r="AT162" s="332"/>
      <c r="AU162" s="332"/>
      <c r="AV162" s="332"/>
      <c r="AW162" s="332"/>
      <c r="AX162" s="332"/>
      <c r="AY162" s="332"/>
      <c r="AZ162" s="332"/>
      <c r="BA162" s="332"/>
      <c r="BB162" s="332"/>
      <c r="BC162" s="332"/>
      <c r="BD162" s="332"/>
      <c r="BE162" s="332"/>
      <c r="BF162" s="332"/>
      <c r="BG162" s="332"/>
      <c r="BH162" s="332"/>
      <c r="BI162" s="332"/>
      <c r="BJ162" s="332"/>
      <c r="BK162" s="332"/>
      <c r="BL162" s="332"/>
      <c r="BM162" s="332"/>
      <c r="BN162" s="332"/>
    </row>
    <row r="163" spans="1:66" ht="17" x14ac:dyDescent="0.15">
      <c r="A163" s="773"/>
      <c r="B163" s="332"/>
      <c r="C163" s="332"/>
      <c r="D163" s="332"/>
      <c r="E163" s="332"/>
      <c r="F163" s="332" t="str">
        <f ca="1">IFERROR(__xludf.DUMMYFUNCTION("""COMPUTED_VALUE"""),"lootGrusJelly")</f>
        <v>lootGrusJelly</v>
      </c>
      <c r="G163" s="332"/>
      <c r="H163" s="332"/>
      <c r="I163" s="332"/>
      <c r="J163" s="332"/>
      <c r="K163" s="332"/>
      <c r="L163" s="332"/>
      <c r="M163" s="332"/>
      <c r="N163" s="332"/>
      <c r="O163" s="332"/>
      <c r="P163" s="332"/>
      <c r="Q163" s="332"/>
      <c r="R163" s="332"/>
      <c r="S163" s="22"/>
      <c r="T163" s="305"/>
      <c r="U163" s="305" t="s">
        <v>6873</v>
      </c>
      <c r="V163" s="305" t="s">
        <v>6874</v>
      </c>
      <c r="W163" s="22"/>
      <c r="X163" s="22"/>
      <c r="Y163" s="22"/>
      <c r="Z163" s="22"/>
      <c r="AA163" s="22"/>
      <c r="AB163" s="332"/>
      <c r="AC163" s="332"/>
      <c r="AD163" s="332"/>
      <c r="AE163" s="332"/>
      <c r="AF163" s="332"/>
      <c r="AG163" s="332"/>
      <c r="AH163" s="332"/>
      <c r="AI163" s="332"/>
      <c r="AJ163" s="332"/>
      <c r="AK163" s="332"/>
      <c r="AL163" s="332"/>
      <c r="AM163" s="334"/>
      <c r="AN163" s="332"/>
      <c r="AO163" s="332"/>
      <c r="AP163" s="332"/>
      <c r="AQ163" s="332"/>
      <c r="AR163" s="332"/>
      <c r="AS163" s="332"/>
      <c r="AT163" s="332"/>
      <c r="AU163" s="332"/>
      <c r="AV163" s="332"/>
      <c r="AW163" s="332"/>
      <c r="AX163" s="332"/>
      <c r="AY163" s="332"/>
      <c r="AZ163" s="332"/>
      <c r="BA163" s="332"/>
      <c r="BB163" s="332"/>
      <c r="BC163" s="332"/>
      <c r="BD163" s="332"/>
      <c r="BE163" s="332"/>
      <c r="BF163" s="332"/>
      <c r="BG163" s="332"/>
      <c r="BH163" s="332"/>
      <c r="BI163" s="332"/>
      <c r="BJ163" s="332"/>
      <c r="BK163" s="332"/>
      <c r="BL163" s="332"/>
      <c r="BM163" s="332"/>
      <c r="BN163" s="332"/>
    </row>
    <row r="164" spans="1:66" ht="17" x14ac:dyDescent="0.15">
      <c r="A164" s="773"/>
      <c r="B164" s="332"/>
      <c r="C164" s="332"/>
      <c r="D164" s="332"/>
      <c r="E164" s="332"/>
      <c r="F164" s="332" t="str">
        <f ca="1">IFERROR(__xludf.DUMMYFUNCTION("""COMPUTED_VALUE"""),"lootBrattToy")</f>
        <v>lootBrattToy</v>
      </c>
      <c r="G164" s="332"/>
      <c r="H164" s="332"/>
      <c r="I164" s="332"/>
      <c r="J164" s="332"/>
      <c r="K164" s="332"/>
      <c r="L164" s="332"/>
      <c r="M164" s="332"/>
      <c r="N164" s="332"/>
      <c r="O164" s="332"/>
      <c r="P164" s="332"/>
      <c r="Q164" s="332"/>
      <c r="R164" s="332"/>
      <c r="S164" s="22"/>
      <c r="T164" s="305"/>
      <c r="U164" s="305" t="s">
        <v>6875</v>
      </c>
      <c r="V164" s="305" t="s">
        <v>6876</v>
      </c>
      <c r="W164" s="22"/>
      <c r="X164" s="22"/>
      <c r="Y164" s="22"/>
      <c r="Z164" s="22"/>
      <c r="AA164" s="22"/>
      <c r="AB164" s="332"/>
      <c r="AC164" s="332"/>
      <c r="AD164" s="332"/>
      <c r="AE164" s="332"/>
      <c r="AF164" s="332"/>
      <c r="AG164" s="332"/>
      <c r="AH164" s="332"/>
      <c r="AI164" s="332"/>
      <c r="AJ164" s="332"/>
      <c r="AK164" s="332"/>
      <c r="AL164" s="332"/>
      <c r="AM164" s="334"/>
      <c r="AN164" s="332"/>
      <c r="AO164" s="332"/>
      <c r="AP164" s="332"/>
      <c r="AQ164" s="332"/>
      <c r="AR164" s="332"/>
      <c r="AS164" s="332"/>
      <c r="AT164" s="332"/>
      <c r="AU164" s="332"/>
      <c r="AV164" s="332"/>
      <c r="AW164" s="332"/>
      <c r="AX164" s="332"/>
      <c r="AY164" s="332"/>
      <c r="AZ164" s="332"/>
      <c r="BA164" s="332"/>
      <c r="BB164" s="332"/>
      <c r="BC164" s="332"/>
      <c r="BD164" s="332"/>
      <c r="BE164" s="332"/>
      <c r="BF164" s="332"/>
      <c r="BG164" s="332"/>
      <c r="BH164" s="332"/>
      <c r="BI164" s="332"/>
      <c r="BJ164" s="332"/>
      <c r="BK164" s="332"/>
      <c r="BL164" s="332"/>
      <c r="BM164" s="332"/>
      <c r="BN164" s="332"/>
    </row>
    <row r="165" spans="1:66" ht="30" x14ac:dyDescent="0.15">
      <c r="A165" s="773"/>
      <c r="B165" s="332"/>
      <c r="C165" s="332"/>
      <c r="D165" s="332"/>
      <c r="E165" s="332"/>
      <c r="F165" s="332" t="str">
        <f ca="1">IFERROR(__xludf.DUMMYFUNCTION("""COMPUTED_VALUE"""),"lootCoconutties")</f>
        <v>lootCoconutties</v>
      </c>
      <c r="G165" s="332"/>
      <c r="H165" s="332"/>
      <c r="I165" s="332"/>
      <c r="J165" s="332"/>
      <c r="K165" s="332"/>
      <c r="L165" s="332"/>
      <c r="M165" s="332"/>
      <c r="N165" s="332"/>
      <c r="O165" s="332"/>
      <c r="P165" s="332"/>
      <c r="Q165" s="332"/>
      <c r="R165" s="332"/>
      <c r="S165" s="22"/>
      <c r="T165" s="305"/>
      <c r="U165" s="305" t="s">
        <v>6877</v>
      </c>
      <c r="V165" s="305" t="s">
        <v>6878</v>
      </c>
      <c r="W165" s="22"/>
      <c r="X165" s="22"/>
      <c r="Y165" s="22"/>
      <c r="Z165" s="22"/>
      <c r="AA165" s="22"/>
      <c r="AB165" s="332"/>
      <c r="AC165" s="332"/>
      <c r="AD165" s="332"/>
      <c r="AE165" s="332"/>
      <c r="AF165" s="332"/>
      <c r="AG165" s="332"/>
      <c r="AH165" s="332"/>
      <c r="AI165" s="332"/>
      <c r="AJ165" s="332"/>
      <c r="AK165" s="332"/>
      <c r="AL165" s="332"/>
      <c r="AM165" s="334"/>
      <c r="AN165" s="332"/>
      <c r="AO165" s="332"/>
      <c r="AP165" s="332"/>
      <c r="AQ165" s="332"/>
      <c r="AR165" s="332"/>
      <c r="AS165" s="332"/>
      <c r="AT165" s="332"/>
      <c r="AU165" s="332"/>
      <c r="AV165" s="332"/>
      <c r="AW165" s="332"/>
      <c r="AX165" s="332"/>
      <c r="AY165" s="332"/>
      <c r="AZ165" s="332"/>
      <c r="BA165" s="332"/>
      <c r="BB165" s="332"/>
      <c r="BC165" s="332"/>
      <c r="BD165" s="332"/>
      <c r="BE165" s="332"/>
      <c r="BF165" s="332"/>
      <c r="BG165" s="332"/>
      <c r="BH165" s="332"/>
      <c r="BI165" s="332"/>
      <c r="BJ165" s="332"/>
      <c r="BK165" s="332"/>
      <c r="BL165" s="332"/>
      <c r="BM165" s="332"/>
      <c r="BN165" s="332"/>
    </row>
    <row r="166" spans="1:66" ht="30" x14ac:dyDescent="0.15">
      <c r="A166" s="773"/>
      <c r="B166" s="332"/>
      <c r="C166" s="332"/>
      <c r="D166" s="332"/>
      <c r="E166" s="332"/>
      <c r="F166" s="332" t="str">
        <f ca="1">IFERROR(__xludf.DUMMYFUNCTION("""COMPUTED_VALUE"""),"lootBubbleGum")</f>
        <v>lootBubbleGum</v>
      </c>
      <c r="G166" s="332"/>
      <c r="H166" s="332"/>
      <c r="I166" s="332"/>
      <c r="J166" s="332"/>
      <c r="K166" s="332"/>
      <c r="L166" s="332"/>
      <c r="M166" s="332"/>
      <c r="N166" s="332"/>
      <c r="O166" s="332"/>
      <c r="P166" s="332"/>
      <c r="Q166" s="332"/>
      <c r="R166" s="332"/>
      <c r="S166" s="22"/>
      <c r="T166" s="305"/>
      <c r="U166" s="305" t="s">
        <v>6879</v>
      </c>
      <c r="V166" s="305" t="s">
        <v>6880</v>
      </c>
      <c r="W166" s="22"/>
      <c r="X166" s="22"/>
      <c r="Y166" s="22"/>
      <c r="Z166" s="22"/>
      <c r="AA166" s="22"/>
      <c r="AB166" s="332"/>
      <c r="AC166" s="332"/>
      <c r="AD166" s="332"/>
      <c r="AE166" s="332"/>
      <c r="AF166" s="332"/>
      <c r="AG166" s="332"/>
      <c r="AH166" s="332"/>
      <c r="AI166" s="332"/>
      <c r="AJ166" s="332"/>
      <c r="AK166" s="332"/>
      <c r="AL166" s="332"/>
      <c r="AM166" s="334"/>
      <c r="AN166" s="332"/>
      <c r="AO166" s="332"/>
      <c r="AP166" s="332"/>
      <c r="AQ166" s="332"/>
      <c r="AR166" s="332"/>
      <c r="AS166" s="332"/>
      <c r="AT166" s="332"/>
      <c r="AU166" s="332"/>
      <c r="AV166" s="332"/>
      <c r="AW166" s="332"/>
      <c r="AX166" s="332"/>
      <c r="AY166" s="332"/>
      <c r="AZ166" s="332"/>
      <c r="BA166" s="332"/>
      <c r="BB166" s="332"/>
      <c r="BC166" s="332"/>
      <c r="BD166" s="332"/>
      <c r="BE166" s="332"/>
      <c r="BF166" s="332"/>
      <c r="BG166" s="332"/>
      <c r="BH166" s="332"/>
      <c r="BI166" s="332"/>
      <c r="BJ166" s="332"/>
      <c r="BK166" s="332"/>
      <c r="BL166" s="332"/>
      <c r="BM166" s="332"/>
      <c r="BN166" s="332"/>
    </row>
    <row r="167" spans="1:66" ht="30" x14ac:dyDescent="0.15">
      <c r="A167" s="773"/>
      <c r="B167" s="332"/>
      <c r="C167" s="332"/>
      <c r="D167" s="332"/>
      <c r="E167" s="332"/>
      <c r="F167" s="332" t="str">
        <f ca="1">IFERROR(__xludf.DUMMYFUNCTION("""COMPUTED_VALUE"""),"lootElMachoMask")</f>
        <v>lootElMachoMask</v>
      </c>
      <c r="G167" s="332"/>
      <c r="H167" s="332"/>
      <c r="I167" s="332"/>
      <c r="J167" s="332"/>
      <c r="K167" s="332"/>
      <c r="L167" s="332"/>
      <c r="M167" s="332"/>
      <c r="N167" s="332"/>
      <c r="O167" s="332"/>
      <c r="P167" s="332"/>
      <c r="Q167" s="332"/>
      <c r="R167" s="332"/>
      <c r="S167" s="22"/>
      <c r="T167" s="305"/>
      <c r="U167" s="305" t="s">
        <v>6881</v>
      </c>
      <c r="V167" s="305" t="s">
        <v>6882</v>
      </c>
      <c r="W167" s="22"/>
      <c r="X167" s="22"/>
      <c r="Y167" s="22"/>
      <c r="Z167" s="22"/>
      <c r="AA167" s="22"/>
      <c r="AB167" s="332"/>
      <c r="AC167" s="332"/>
      <c r="AD167" s="332"/>
      <c r="AE167" s="332"/>
      <c r="AF167" s="332"/>
      <c r="AG167" s="332"/>
      <c r="AH167" s="332"/>
      <c r="AI167" s="332"/>
      <c r="AJ167" s="332"/>
      <c r="AK167" s="332"/>
      <c r="AL167" s="332"/>
      <c r="AM167" s="334"/>
      <c r="AN167" s="332"/>
      <c r="AO167" s="332"/>
      <c r="AP167" s="332"/>
      <c r="AQ167" s="332"/>
      <c r="AR167" s="332"/>
      <c r="AS167" s="332"/>
      <c r="AT167" s="332"/>
      <c r="AU167" s="332"/>
      <c r="AV167" s="332"/>
      <c r="AW167" s="332"/>
      <c r="AX167" s="332"/>
      <c r="AY167" s="332"/>
      <c r="AZ167" s="332"/>
      <c r="BA167" s="332"/>
      <c r="BB167" s="332"/>
      <c r="BC167" s="332"/>
      <c r="BD167" s="332"/>
      <c r="BE167" s="332"/>
      <c r="BF167" s="332"/>
      <c r="BG167" s="332"/>
      <c r="BH167" s="332"/>
      <c r="BI167" s="332"/>
      <c r="BJ167" s="332"/>
      <c r="BK167" s="332"/>
      <c r="BL167" s="332"/>
      <c r="BM167" s="332"/>
      <c r="BN167" s="332"/>
    </row>
    <row r="168" spans="1:66" ht="30" x14ac:dyDescent="0.15">
      <c r="A168" s="773"/>
      <c r="B168" s="332"/>
      <c r="C168" s="332"/>
      <c r="D168" s="332"/>
      <c r="E168" s="332"/>
      <c r="F168" s="332" t="str">
        <f ca="1">IFERROR(__xludf.DUMMYFUNCTION("""COMPUTED_VALUE"""),"lootPinkSpacesuit")</f>
        <v>lootPinkSpacesuit</v>
      </c>
      <c r="G168" s="332"/>
      <c r="H168" s="332"/>
      <c r="I168" s="332"/>
      <c r="J168" s="332"/>
      <c r="K168" s="332"/>
      <c r="L168" s="332"/>
      <c r="M168" s="332"/>
      <c r="N168" s="332"/>
      <c r="O168" s="332"/>
      <c r="P168" s="332"/>
      <c r="Q168" s="332"/>
      <c r="R168" s="332"/>
      <c r="S168" s="22"/>
      <c r="T168" s="305"/>
      <c r="U168" s="305" t="s">
        <v>6883</v>
      </c>
      <c r="V168" s="305"/>
      <c r="W168" s="22"/>
      <c r="X168" s="22"/>
      <c r="Y168" s="22"/>
      <c r="Z168" s="22"/>
      <c r="AA168" s="22"/>
      <c r="AB168" s="332"/>
      <c r="AC168" s="332"/>
      <c r="AD168" s="332"/>
      <c r="AE168" s="332"/>
      <c r="AF168" s="332"/>
      <c r="AG168" s="332"/>
      <c r="AH168" s="332"/>
      <c r="AI168" s="332"/>
      <c r="AJ168" s="332"/>
      <c r="AK168" s="332"/>
      <c r="AL168" s="332"/>
      <c r="AM168" s="334"/>
      <c r="AN168" s="332"/>
      <c r="AO168" s="332"/>
      <c r="AP168" s="332"/>
      <c r="AQ168" s="332"/>
      <c r="AR168" s="332"/>
      <c r="AS168" s="332"/>
      <c r="AT168" s="332"/>
      <c r="AU168" s="332"/>
      <c r="AV168" s="332"/>
      <c r="AW168" s="332"/>
      <c r="AX168" s="332"/>
      <c r="AY168" s="332"/>
      <c r="AZ168" s="332"/>
      <c r="BA168" s="332"/>
      <c r="BB168" s="332"/>
      <c r="BC168" s="332"/>
      <c r="BD168" s="332"/>
      <c r="BE168" s="332"/>
      <c r="BF168" s="332"/>
      <c r="BG168" s="332"/>
      <c r="BH168" s="332"/>
      <c r="BI168" s="332"/>
      <c r="BJ168" s="332"/>
      <c r="BK168" s="332"/>
      <c r="BL168" s="332"/>
      <c r="BM168" s="332"/>
      <c r="BN168" s="332"/>
    </row>
    <row r="169" spans="1:66" ht="30" x14ac:dyDescent="0.15">
      <c r="A169" s="773"/>
      <c r="B169" s="332"/>
      <c r="C169" s="332"/>
      <c r="D169" s="332"/>
      <c r="E169" s="332"/>
      <c r="F169" s="332" t="str">
        <f ca="1">IFERROR(__xludf.DUMMYFUNCTION("""COMPUTED_VALUE"""),"lootStickyFingers")</f>
        <v>lootStickyFingers</v>
      </c>
      <c r="G169" s="332"/>
      <c r="H169" s="332"/>
      <c r="I169" s="332"/>
      <c r="J169" s="332"/>
      <c r="K169" s="332"/>
      <c r="L169" s="332"/>
      <c r="M169" s="332"/>
      <c r="N169" s="332"/>
      <c r="O169" s="332"/>
      <c r="P169" s="332"/>
      <c r="Q169" s="332"/>
      <c r="R169" s="332"/>
      <c r="S169" s="22"/>
      <c r="T169" s="305"/>
      <c r="U169" s="305" t="s">
        <v>6884</v>
      </c>
      <c r="V169" s="305"/>
      <c r="W169" s="22"/>
      <c r="X169" s="22"/>
      <c r="Y169" s="22"/>
      <c r="Z169" s="22"/>
      <c r="AA169" s="22"/>
      <c r="AB169" s="332"/>
      <c r="AC169" s="332"/>
      <c r="AD169" s="332"/>
      <c r="AE169" s="332"/>
      <c r="AF169" s="332"/>
      <c r="AG169" s="332"/>
      <c r="AH169" s="332"/>
      <c r="AI169" s="332"/>
      <c r="AJ169" s="332"/>
      <c r="AK169" s="332"/>
      <c r="AL169" s="332"/>
      <c r="AM169" s="334"/>
      <c r="AN169" s="332"/>
      <c r="AO169" s="332"/>
      <c r="AP169" s="332"/>
      <c r="AQ169" s="332"/>
      <c r="AR169" s="332"/>
      <c r="AS169" s="332"/>
      <c r="AT169" s="332"/>
      <c r="AU169" s="332"/>
      <c r="AV169" s="332"/>
      <c r="AW169" s="332"/>
      <c r="AX169" s="332"/>
      <c r="AY169" s="332"/>
      <c r="AZ169" s="332"/>
      <c r="BA169" s="332"/>
      <c r="BB169" s="332"/>
      <c r="BC169" s="332"/>
      <c r="BD169" s="332"/>
      <c r="BE169" s="332"/>
      <c r="BF169" s="332"/>
      <c r="BG169" s="332"/>
      <c r="BH169" s="332"/>
      <c r="BI169" s="332"/>
      <c r="BJ169" s="332"/>
      <c r="BK169" s="332"/>
      <c r="BL169" s="332"/>
      <c r="BM169" s="332"/>
      <c r="BN169" s="332"/>
    </row>
    <row r="170" spans="1:66" ht="17" x14ac:dyDescent="0.15">
      <c r="A170" s="773"/>
      <c r="B170" s="332"/>
      <c r="C170" s="332"/>
      <c r="D170" s="332"/>
      <c r="E170" s="332"/>
      <c r="F170" s="332" t="str">
        <f ca="1">IFERROR(__xludf.DUMMYFUNCTION("""COMPUTED_VALUE"""),"lootLunchbox")</f>
        <v>lootLunchbox</v>
      </c>
      <c r="G170" s="332"/>
      <c r="H170" s="332"/>
      <c r="I170" s="332"/>
      <c r="J170" s="332"/>
      <c r="K170" s="332"/>
      <c r="L170" s="332"/>
      <c r="M170" s="332"/>
      <c r="N170" s="332"/>
      <c r="O170" s="332"/>
      <c r="P170" s="332"/>
      <c r="Q170" s="332"/>
      <c r="R170" s="332"/>
      <c r="S170" s="22"/>
      <c r="T170" s="305"/>
      <c r="U170" s="305" t="s">
        <v>6885</v>
      </c>
      <c r="V170" s="305"/>
      <c r="W170" s="22"/>
      <c r="X170" s="22"/>
      <c r="Y170" s="22"/>
      <c r="Z170" s="22"/>
      <c r="AA170" s="22"/>
      <c r="AB170" s="332"/>
      <c r="AC170" s="332"/>
      <c r="AD170" s="332"/>
      <c r="AE170" s="332"/>
      <c r="AF170" s="332"/>
      <c r="AG170" s="332"/>
      <c r="AH170" s="332"/>
      <c r="AI170" s="332"/>
      <c r="AJ170" s="332"/>
      <c r="AK170" s="332"/>
      <c r="AL170" s="332"/>
      <c r="AM170" s="334"/>
      <c r="AN170" s="332"/>
      <c r="AO170" s="332"/>
      <c r="AP170" s="332"/>
      <c r="AQ170" s="332"/>
      <c r="AR170" s="332"/>
      <c r="AS170" s="332"/>
      <c r="AT170" s="332"/>
      <c r="AU170" s="332"/>
      <c r="AV170" s="332"/>
      <c r="AW170" s="332"/>
      <c r="AX170" s="332"/>
      <c r="AY170" s="332"/>
      <c r="AZ170" s="332"/>
      <c r="BA170" s="332"/>
      <c r="BB170" s="332"/>
      <c r="BC170" s="332"/>
      <c r="BD170" s="332"/>
      <c r="BE170" s="332"/>
      <c r="BF170" s="332"/>
      <c r="BG170" s="332"/>
      <c r="BH170" s="332"/>
      <c r="BI170" s="332"/>
      <c r="BJ170" s="332"/>
      <c r="BK170" s="332"/>
      <c r="BL170" s="332"/>
      <c r="BM170" s="332"/>
      <c r="BN170" s="332"/>
    </row>
    <row r="171" spans="1:66" ht="30" x14ac:dyDescent="0.15">
      <c r="A171" s="773"/>
      <c r="B171" s="332"/>
      <c r="C171" s="332"/>
      <c r="D171" s="332"/>
      <c r="E171" s="332"/>
      <c r="F171" s="332" t="str">
        <f ca="1">IFERROR(__xludf.DUMMYFUNCTION("""COMPUTED_VALUE"""),"lootBigBenSnowglobe")</f>
        <v>lootBigBenSnowglobe</v>
      </c>
      <c r="G171" s="332"/>
      <c r="H171" s="332"/>
      <c r="I171" s="332"/>
      <c r="J171" s="332"/>
      <c r="K171" s="332"/>
      <c r="L171" s="332"/>
      <c r="M171" s="332"/>
      <c r="N171" s="332"/>
      <c r="O171" s="332"/>
      <c r="P171" s="332"/>
      <c r="Q171" s="332"/>
      <c r="R171" s="332"/>
      <c r="S171" s="22"/>
      <c r="T171" s="305"/>
      <c r="U171" s="305" t="s">
        <v>6886</v>
      </c>
      <c r="V171" s="305"/>
      <c r="W171" s="22"/>
      <c r="X171" s="22"/>
      <c r="Y171" s="22"/>
      <c r="Z171" s="22"/>
      <c r="AA171" s="22"/>
      <c r="AB171" s="332"/>
      <c r="AC171" s="332"/>
      <c r="AD171" s="332"/>
      <c r="AE171" s="332"/>
      <c r="AF171" s="332"/>
      <c r="AG171" s="332"/>
      <c r="AH171" s="332"/>
      <c r="AI171" s="332"/>
      <c r="AJ171" s="332"/>
      <c r="AK171" s="332"/>
      <c r="AL171" s="332"/>
      <c r="AM171" s="334"/>
      <c r="AN171" s="332"/>
      <c r="AO171" s="332"/>
      <c r="AP171" s="332"/>
      <c r="AQ171" s="332"/>
      <c r="AR171" s="332"/>
      <c r="AS171" s="332"/>
      <c r="AT171" s="332"/>
      <c r="AU171" s="332"/>
      <c r="AV171" s="332"/>
      <c r="AW171" s="332"/>
      <c r="AX171" s="332"/>
      <c r="AY171" s="332"/>
      <c r="AZ171" s="332"/>
      <c r="BA171" s="332"/>
      <c r="BB171" s="332"/>
      <c r="BC171" s="332"/>
      <c r="BD171" s="332"/>
      <c r="BE171" s="332"/>
      <c r="BF171" s="332"/>
      <c r="BG171" s="332"/>
      <c r="BH171" s="332"/>
      <c r="BI171" s="332"/>
      <c r="BJ171" s="332"/>
      <c r="BK171" s="332"/>
      <c r="BL171" s="332"/>
      <c r="BM171" s="332"/>
      <c r="BN171" s="332"/>
    </row>
    <row r="172" spans="1:66" ht="30" x14ac:dyDescent="0.15">
      <c r="A172" s="773"/>
      <c r="B172" s="332"/>
      <c r="C172" s="332"/>
      <c r="D172" s="332"/>
      <c r="E172" s="332"/>
      <c r="F172" s="332" t="str">
        <f ca="1">IFERROR(__xludf.DUMMYFUNCTION("""COMPUTED_VALUE"""),"lootBoxOfShame")</f>
        <v>lootBoxOfShame</v>
      </c>
      <c r="G172" s="332"/>
      <c r="H172" s="332"/>
      <c r="I172" s="332"/>
      <c r="J172" s="332"/>
      <c r="K172" s="332"/>
      <c r="L172" s="332"/>
      <c r="M172" s="332"/>
      <c r="N172" s="332"/>
      <c r="O172" s="332"/>
      <c r="P172" s="332"/>
      <c r="Q172" s="332"/>
      <c r="R172" s="332"/>
      <c r="S172" s="22"/>
      <c r="T172" s="305"/>
      <c r="U172" s="305" t="s">
        <v>6887</v>
      </c>
      <c r="V172" s="305"/>
      <c r="W172" s="22"/>
      <c r="X172" s="22"/>
      <c r="Y172" s="22"/>
      <c r="Z172" s="22"/>
      <c r="AA172" s="22"/>
      <c r="AB172" s="332"/>
      <c r="AC172" s="332"/>
      <c r="AD172" s="332"/>
      <c r="AE172" s="332"/>
      <c r="AF172" s="332"/>
      <c r="AG172" s="332"/>
      <c r="AH172" s="332"/>
      <c r="AI172" s="332"/>
      <c r="AJ172" s="332"/>
      <c r="AK172" s="332"/>
      <c r="AL172" s="332"/>
      <c r="AM172" s="334"/>
      <c r="AN172" s="332"/>
      <c r="AO172" s="332"/>
      <c r="AP172" s="332"/>
      <c r="AQ172" s="332"/>
      <c r="AR172" s="332"/>
      <c r="AS172" s="332"/>
      <c r="AT172" s="332"/>
      <c r="AU172" s="332"/>
      <c r="AV172" s="332"/>
      <c r="AW172" s="332"/>
      <c r="AX172" s="332"/>
      <c r="AY172" s="332"/>
      <c r="AZ172" s="332"/>
      <c r="BA172" s="332"/>
      <c r="BB172" s="332"/>
      <c r="BC172" s="332"/>
      <c r="BD172" s="332"/>
      <c r="BE172" s="332"/>
      <c r="BF172" s="332"/>
      <c r="BG172" s="332"/>
      <c r="BH172" s="332"/>
      <c r="BI172" s="332"/>
      <c r="BJ172" s="332"/>
      <c r="BK172" s="332"/>
      <c r="BL172" s="332"/>
      <c r="BM172" s="332"/>
      <c r="BN172" s="332"/>
    </row>
    <row r="173" spans="1:66" ht="30" x14ac:dyDescent="0.15">
      <c r="A173" s="773"/>
      <c r="B173" s="332"/>
      <c r="C173" s="332"/>
      <c r="D173" s="332"/>
      <c r="E173" s="332"/>
      <c r="F173" s="332" t="str">
        <f ca="1">IFERROR(__xludf.DUMMYFUNCTION("""COMPUTED_VALUE"""),"lootSleepyKittens")</f>
        <v>lootSleepyKittens</v>
      </c>
      <c r="G173" s="332"/>
      <c r="H173" s="332"/>
      <c r="I173" s="332"/>
      <c r="J173" s="332"/>
      <c r="K173" s="332"/>
      <c r="L173" s="332"/>
      <c r="M173" s="332"/>
      <c r="N173" s="332"/>
      <c r="O173" s="332"/>
      <c r="P173" s="332"/>
      <c r="Q173" s="332"/>
      <c r="R173" s="332"/>
      <c r="S173" s="22"/>
      <c r="T173" s="305"/>
      <c r="U173" s="305" t="s">
        <v>6888</v>
      </c>
      <c r="V173" s="305"/>
      <c r="W173" s="22"/>
      <c r="X173" s="22"/>
      <c r="Y173" s="22"/>
      <c r="Z173" s="22"/>
      <c r="AA173" s="22"/>
      <c r="AB173" s="332"/>
      <c r="AC173" s="332"/>
      <c r="AD173" s="332"/>
      <c r="AE173" s="332"/>
      <c r="AF173" s="332"/>
      <c r="AG173" s="332"/>
      <c r="AH173" s="332"/>
      <c r="AI173" s="332"/>
      <c r="AJ173" s="332"/>
      <c r="AK173" s="332"/>
      <c r="AL173" s="332"/>
      <c r="AM173" s="334"/>
      <c r="AN173" s="332"/>
      <c r="AO173" s="332"/>
      <c r="AP173" s="332"/>
      <c r="AQ173" s="332"/>
      <c r="AR173" s="332"/>
      <c r="AS173" s="332"/>
      <c r="AT173" s="332"/>
      <c r="AU173" s="332"/>
      <c r="AV173" s="332"/>
      <c r="AW173" s="332"/>
      <c r="AX173" s="332"/>
      <c r="AY173" s="332"/>
      <c r="AZ173" s="332"/>
      <c r="BA173" s="332"/>
      <c r="BB173" s="332"/>
      <c r="BC173" s="332"/>
      <c r="BD173" s="332"/>
      <c r="BE173" s="332"/>
      <c r="BF173" s="332"/>
      <c r="BG173" s="332"/>
      <c r="BH173" s="332"/>
      <c r="BI173" s="332"/>
      <c r="BJ173" s="332"/>
      <c r="BK173" s="332"/>
      <c r="BL173" s="332"/>
      <c r="BM173" s="332"/>
      <c r="BN173" s="332"/>
    </row>
    <row r="174" spans="1:66" ht="17" x14ac:dyDescent="0.15">
      <c r="A174" s="773"/>
      <c r="B174" s="332"/>
      <c r="C174" s="332"/>
      <c r="D174" s="332"/>
      <c r="E174" s="332"/>
      <c r="F174" s="332" t="str">
        <f ca="1">IFERROR(__xludf.DUMMYFUNCTION("""COMPUTED_VALUE"""),"lootVCHat")</f>
        <v>lootVCHat</v>
      </c>
      <c r="G174" s="332"/>
      <c r="H174" s="332"/>
      <c r="I174" s="332"/>
      <c r="J174" s="332"/>
      <c r="K174" s="332"/>
      <c r="L174" s="332"/>
      <c r="M174" s="332"/>
      <c r="N174" s="332"/>
      <c r="O174" s="332"/>
      <c r="P174" s="332"/>
      <c r="Q174" s="332"/>
      <c r="R174" s="332"/>
      <c r="S174" s="22"/>
      <c r="T174" s="305"/>
      <c r="U174" s="305" t="s">
        <v>6889</v>
      </c>
      <c r="V174" s="305"/>
      <c r="W174" s="22"/>
      <c r="X174" s="22"/>
      <c r="Y174" s="22"/>
      <c r="Z174" s="22"/>
      <c r="AA174" s="22"/>
      <c r="AB174" s="332"/>
      <c r="AC174" s="332"/>
      <c r="AD174" s="332"/>
      <c r="AE174" s="332"/>
      <c r="AF174" s="332"/>
      <c r="AG174" s="332"/>
      <c r="AH174" s="332"/>
      <c r="AI174" s="332"/>
      <c r="AJ174" s="332"/>
      <c r="AK174" s="332"/>
      <c r="AL174" s="332"/>
      <c r="AM174" s="334"/>
      <c r="AN174" s="332"/>
      <c r="AO174" s="332"/>
      <c r="AP174" s="332"/>
      <c r="AQ174" s="332"/>
      <c r="AR174" s="332"/>
      <c r="AS174" s="332"/>
      <c r="AT174" s="332"/>
      <c r="AU174" s="332"/>
      <c r="AV174" s="332"/>
      <c r="AW174" s="332"/>
      <c r="AX174" s="332"/>
      <c r="AY174" s="332"/>
      <c r="AZ174" s="332"/>
      <c r="BA174" s="332"/>
      <c r="BB174" s="332"/>
      <c r="BC174" s="332"/>
      <c r="BD174" s="332"/>
      <c r="BE174" s="332"/>
      <c r="BF174" s="332"/>
      <c r="BG174" s="332"/>
      <c r="BH174" s="332"/>
      <c r="BI174" s="332"/>
      <c r="BJ174" s="332"/>
      <c r="BK174" s="332"/>
      <c r="BL174" s="332"/>
      <c r="BM174" s="332"/>
      <c r="BN174" s="332"/>
    </row>
    <row r="175" spans="1:66" ht="17" x14ac:dyDescent="0.15">
      <c r="A175" s="773"/>
      <c r="B175" s="332"/>
      <c r="C175" s="332"/>
      <c r="D175" s="332"/>
      <c r="E175" s="332"/>
      <c r="F175" s="332" t="str">
        <f ca="1">IFERROR(__xludf.DUMMYFUNCTION("""COMPUTED_VALUE"""),"lootVCShirt")</f>
        <v>lootVCShirt</v>
      </c>
      <c r="G175" s="332"/>
      <c r="H175" s="332"/>
      <c r="I175" s="332"/>
      <c r="J175" s="332"/>
      <c r="K175" s="332"/>
      <c r="L175" s="332"/>
      <c r="M175" s="332"/>
      <c r="N175" s="332"/>
      <c r="O175" s="332"/>
      <c r="P175" s="332"/>
      <c r="Q175" s="332"/>
      <c r="R175" s="332"/>
      <c r="S175" s="22"/>
      <c r="T175" s="305"/>
      <c r="U175" s="305" t="s">
        <v>6890</v>
      </c>
      <c r="V175" s="305"/>
      <c r="W175" s="22"/>
      <c r="X175" s="22"/>
      <c r="Y175" s="22"/>
      <c r="Z175" s="22"/>
      <c r="AA175" s="22"/>
      <c r="AB175" s="332"/>
      <c r="AC175" s="332"/>
      <c r="AD175" s="332"/>
      <c r="AE175" s="332"/>
      <c r="AF175" s="332"/>
      <c r="AG175" s="332"/>
      <c r="AH175" s="332"/>
      <c r="AI175" s="332"/>
      <c r="AJ175" s="332"/>
      <c r="AK175" s="332"/>
      <c r="AL175" s="332"/>
      <c r="AM175" s="334"/>
      <c r="AN175" s="332"/>
      <c r="AO175" s="332"/>
      <c r="AP175" s="332"/>
      <c r="AQ175" s="332"/>
      <c r="AR175" s="332"/>
      <c r="AS175" s="332"/>
      <c r="AT175" s="332"/>
      <c r="AU175" s="332"/>
      <c r="AV175" s="332"/>
      <c r="AW175" s="332"/>
      <c r="AX175" s="332"/>
      <c r="AY175" s="332"/>
      <c r="AZ175" s="332"/>
      <c r="BA175" s="332"/>
      <c r="BB175" s="332"/>
      <c r="BC175" s="332"/>
      <c r="BD175" s="332"/>
      <c r="BE175" s="332"/>
      <c r="BF175" s="332"/>
      <c r="BG175" s="332"/>
      <c r="BH175" s="332"/>
      <c r="BI175" s="332"/>
      <c r="BJ175" s="332"/>
      <c r="BK175" s="332"/>
      <c r="BL175" s="332"/>
      <c r="BM175" s="332"/>
      <c r="BN175" s="332"/>
    </row>
    <row r="176" spans="1:66" ht="17" x14ac:dyDescent="0.15">
      <c r="A176" s="773"/>
      <c r="B176" s="332"/>
      <c r="C176" s="332"/>
      <c r="D176" s="332"/>
      <c r="E176" s="332"/>
      <c r="F176" s="332" t="str">
        <f ca="1">IFERROR(__xludf.DUMMYFUNCTION("""COMPUTED_VALUE"""),"lootGrusScarf")</f>
        <v>lootGrusScarf</v>
      </c>
      <c r="G176" s="332"/>
      <c r="H176" s="332"/>
      <c r="I176" s="332"/>
      <c r="J176" s="332"/>
      <c r="K176" s="332"/>
      <c r="L176" s="332"/>
      <c r="M176" s="332"/>
      <c r="N176" s="332"/>
      <c r="O176" s="332"/>
      <c r="P176" s="332"/>
      <c r="Q176" s="332"/>
      <c r="R176" s="332"/>
      <c r="S176" s="22"/>
      <c r="T176" s="305"/>
      <c r="U176" s="305" t="s">
        <v>6891</v>
      </c>
      <c r="V176" s="305"/>
      <c r="W176" s="22"/>
      <c r="X176" s="22"/>
      <c r="Y176" s="22"/>
      <c r="Z176" s="22"/>
      <c r="AA176" s="22"/>
      <c r="AB176" s="332"/>
      <c r="AC176" s="332"/>
      <c r="AD176" s="332"/>
      <c r="AE176" s="332"/>
      <c r="AF176" s="332"/>
      <c r="AG176" s="332"/>
      <c r="AH176" s="332"/>
      <c r="AI176" s="332"/>
      <c r="AJ176" s="332"/>
      <c r="AK176" s="332"/>
      <c r="AL176" s="332"/>
      <c r="AM176" s="334"/>
      <c r="AN176" s="332"/>
      <c r="AO176" s="332"/>
      <c r="AP176" s="332"/>
      <c r="AQ176" s="332"/>
      <c r="AR176" s="332"/>
      <c r="AS176" s="332"/>
      <c r="AT176" s="332"/>
      <c r="AU176" s="332"/>
      <c r="AV176" s="332"/>
      <c r="AW176" s="332"/>
      <c r="AX176" s="332"/>
      <c r="AY176" s="332"/>
      <c r="AZ176" s="332"/>
      <c r="BA176" s="332"/>
      <c r="BB176" s="332"/>
      <c r="BC176" s="332"/>
      <c r="BD176" s="332"/>
      <c r="BE176" s="332"/>
      <c r="BF176" s="332"/>
      <c r="BG176" s="332"/>
      <c r="BH176" s="332"/>
      <c r="BI176" s="332"/>
      <c r="BJ176" s="332"/>
      <c r="BK176" s="332"/>
      <c r="BL176" s="332"/>
      <c r="BM176" s="332"/>
      <c r="BN176" s="332"/>
    </row>
    <row r="177" spans="1:66" ht="30" x14ac:dyDescent="0.15">
      <c r="A177" s="773"/>
      <c r="B177" s="332"/>
      <c r="C177" s="332"/>
      <c r="D177" s="332"/>
      <c r="E177" s="332"/>
      <c r="F177" s="332" t="str">
        <f ca="1">IFERROR(__xludf.DUMMYFUNCTION("""COMPUTED_VALUE"""),"lootManicEnergy")</f>
        <v>lootManicEnergy</v>
      </c>
      <c r="G177" s="332"/>
      <c r="H177" s="332"/>
      <c r="I177" s="332"/>
      <c r="J177" s="332"/>
      <c r="K177" s="332"/>
      <c r="L177" s="332"/>
      <c r="M177" s="332"/>
      <c r="N177" s="332"/>
      <c r="O177" s="332"/>
      <c r="P177" s="332"/>
      <c r="Q177" s="332"/>
      <c r="R177" s="332"/>
      <c r="S177" s="22"/>
      <c r="T177" s="305"/>
      <c r="U177" s="305" t="s">
        <v>6892</v>
      </c>
      <c r="V177" s="305"/>
      <c r="W177" s="22"/>
      <c r="X177" s="22"/>
      <c r="Y177" s="22"/>
      <c r="Z177" s="22"/>
      <c r="AA177" s="22"/>
      <c r="AB177" s="332"/>
      <c r="AC177" s="332"/>
      <c r="AD177" s="332"/>
      <c r="AE177" s="332"/>
      <c r="AF177" s="332"/>
      <c r="AG177" s="332"/>
      <c r="AH177" s="332"/>
      <c r="AI177" s="332"/>
      <c r="AJ177" s="332"/>
      <c r="AK177" s="332"/>
      <c r="AL177" s="332"/>
      <c r="AM177" s="334"/>
      <c r="AN177" s="332"/>
      <c r="AO177" s="332"/>
      <c r="AP177" s="332"/>
      <c r="AQ177" s="332"/>
      <c r="AR177" s="332"/>
      <c r="AS177" s="332"/>
      <c r="AT177" s="332"/>
      <c r="AU177" s="332"/>
      <c r="AV177" s="332"/>
      <c r="AW177" s="332"/>
      <c r="AX177" s="332"/>
      <c r="AY177" s="332"/>
      <c r="AZ177" s="332"/>
      <c r="BA177" s="332"/>
      <c r="BB177" s="332"/>
      <c r="BC177" s="332"/>
      <c r="BD177" s="332"/>
      <c r="BE177" s="332"/>
      <c r="BF177" s="332"/>
      <c r="BG177" s="332"/>
      <c r="BH177" s="332"/>
      <c r="BI177" s="332"/>
      <c r="BJ177" s="332"/>
      <c r="BK177" s="332"/>
      <c r="BL177" s="332"/>
      <c r="BM177" s="332"/>
      <c r="BN177" s="332"/>
    </row>
    <row r="178" spans="1:66" ht="30" x14ac:dyDescent="0.15">
      <c r="A178" s="773"/>
      <c r="B178" s="332"/>
      <c r="C178" s="332"/>
      <c r="D178" s="332"/>
      <c r="E178" s="332"/>
      <c r="F178" s="332" t="str">
        <f ca="1">IFERROR(__xludf.DUMMYFUNCTION("""COMPUTED_VALUE"""),"lootStretchArm")</f>
        <v>lootStretchArm</v>
      </c>
      <c r="G178" s="332"/>
      <c r="H178" s="332"/>
      <c r="I178" s="332"/>
      <c r="J178" s="332"/>
      <c r="K178" s="332"/>
      <c r="L178" s="332"/>
      <c r="M178" s="332"/>
      <c r="N178" s="332"/>
      <c r="O178" s="332"/>
      <c r="P178" s="332"/>
      <c r="Q178" s="332"/>
      <c r="R178" s="332"/>
      <c r="S178" s="22"/>
      <c r="T178" s="305"/>
      <c r="U178" s="305" t="s">
        <v>6893</v>
      </c>
      <c r="V178" s="305"/>
      <c r="W178" s="22"/>
      <c r="X178" s="22"/>
      <c r="Y178" s="22"/>
      <c r="Z178" s="22"/>
      <c r="AA178" s="22"/>
      <c r="AB178" s="332"/>
      <c r="AC178" s="332"/>
      <c r="AD178" s="332"/>
      <c r="AE178" s="332"/>
      <c r="AF178" s="332"/>
      <c r="AG178" s="332"/>
      <c r="AH178" s="332"/>
      <c r="AI178" s="332"/>
      <c r="AJ178" s="332"/>
      <c r="AK178" s="332"/>
      <c r="AL178" s="332"/>
      <c r="AM178" s="334"/>
      <c r="AN178" s="332"/>
      <c r="AO178" s="332"/>
      <c r="AP178" s="332"/>
      <c r="AQ178" s="332"/>
      <c r="AR178" s="332"/>
      <c r="AS178" s="332"/>
      <c r="AT178" s="332"/>
      <c r="AU178" s="332"/>
      <c r="AV178" s="332"/>
      <c r="AW178" s="332"/>
      <c r="AX178" s="332"/>
      <c r="AY178" s="332"/>
      <c r="AZ178" s="332"/>
      <c r="BA178" s="332"/>
      <c r="BB178" s="332"/>
      <c r="BC178" s="332"/>
      <c r="BD178" s="332"/>
      <c r="BE178" s="332"/>
      <c r="BF178" s="332"/>
      <c r="BG178" s="332"/>
      <c r="BH178" s="332"/>
      <c r="BI178" s="332"/>
      <c r="BJ178" s="332"/>
      <c r="BK178" s="332"/>
      <c r="BL178" s="332"/>
      <c r="BM178" s="332"/>
      <c r="BN178" s="332"/>
    </row>
    <row r="179" spans="1:66" ht="17" x14ac:dyDescent="0.15">
      <c r="A179" s="773"/>
      <c r="B179" s="332"/>
      <c r="C179" s="332"/>
      <c r="D179" s="332"/>
      <c r="E179" s="332"/>
      <c r="F179" s="332" t="str">
        <f ca="1">IFERROR(__xludf.DUMMYFUNCTION("""COMPUTED_VALUE"""),"lootV6Figures")</f>
        <v>lootV6Figures</v>
      </c>
      <c r="G179" s="332"/>
      <c r="H179" s="332"/>
      <c r="I179" s="332"/>
      <c r="J179" s="332"/>
      <c r="K179" s="332"/>
      <c r="L179" s="332"/>
      <c r="M179" s="332"/>
      <c r="N179" s="332"/>
      <c r="O179" s="332"/>
      <c r="P179" s="332"/>
      <c r="Q179" s="332"/>
      <c r="R179" s="332"/>
      <c r="S179" s="22"/>
      <c r="T179" s="305"/>
      <c r="U179" s="305" t="s">
        <v>6894</v>
      </c>
      <c r="V179" s="305"/>
      <c r="W179" s="22"/>
      <c r="X179" s="22"/>
      <c r="Y179" s="22"/>
      <c r="Z179" s="22"/>
      <c r="AA179" s="22"/>
      <c r="AB179" s="332"/>
      <c r="AC179" s="332"/>
      <c r="AD179" s="332"/>
      <c r="AE179" s="332"/>
      <c r="AF179" s="332"/>
      <c r="AG179" s="332"/>
      <c r="AH179" s="332"/>
      <c r="AI179" s="332"/>
      <c r="AJ179" s="332"/>
      <c r="AK179" s="332"/>
      <c r="AL179" s="332"/>
      <c r="AM179" s="334"/>
      <c r="AN179" s="332"/>
      <c r="AO179" s="332"/>
      <c r="AP179" s="332"/>
      <c r="AQ179" s="332"/>
      <c r="AR179" s="332"/>
      <c r="AS179" s="332"/>
      <c r="AT179" s="332"/>
      <c r="AU179" s="332"/>
      <c r="AV179" s="332"/>
      <c r="AW179" s="332"/>
      <c r="AX179" s="332"/>
      <c r="AY179" s="332"/>
      <c r="AZ179" s="332"/>
      <c r="BA179" s="332"/>
      <c r="BB179" s="332"/>
      <c r="BC179" s="332"/>
      <c r="BD179" s="332"/>
      <c r="BE179" s="332"/>
      <c r="BF179" s="332"/>
      <c r="BG179" s="332"/>
      <c r="BH179" s="332"/>
      <c r="BI179" s="332"/>
      <c r="BJ179" s="332"/>
      <c r="BK179" s="332"/>
      <c r="BL179" s="332"/>
      <c r="BM179" s="332"/>
      <c r="BN179" s="332"/>
    </row>
    <row r="180" spans="1:66" ht="30" x14ac:dyDescent="0.15">
      <c r="A180" s="773"/>
      <c r="B180" s="332"/>
      <c r="C180" s="332"/>
      <c r="D180" s="332"/>
      <c r="E180" s="332"/>
      <c r="F180" s="332" t="str">
        <f ca="1">IFERROR(__xludf.DUMMYFUNCTION("""COMPUTED_VALUE"""),"lootGoldenGuardianRobot")</f>
        <v>lootGoldenGuardianRobot</v>
      </c>
      <c r="G180" s="332"/>
      <c r="H180" s="332"/>
      <c r="I180" s="332"/>
      <c r="J180" s="332"/>
      <c r="K180" s="332"/>
      <c r="L180" s="332"/>
      <c r="M180" s="332"/>
      <c r="N180" s="332"/>
      <c r="O180" s="332"/>
      <c r="P180" s="332"/>
      <c r="Q180" s="332"/>
      <c r="R180" s="332"/>
      <c r="S180" s="22"/>
      <c r="T180" s="305"/>
      <c r="U180" s="305" t="s">
        <v>6895</v>
      </c>
      <c r="V180" s="305"/>
      <c r="W180" s="22"/>
      <c r="X180" s="22"/>
      <c r="Y180" s="22"/>
      <c r="Z180" s="22"/>
      <c r="AA180" s="22"/>
      <c r="AB180" s="332"/>
      <c r="AC180" s="332"/>
      <c r="AD180" s="332"/>
      <c r="AE180" s="332"/>
      <c r="AF180" s="332"/>
      <c r="AG180" s="332"/>
      <c r="AH180" s="332"/>
      <c r="AI180" s="332"/>
      <c r="AJ180" s="332"/>
      <c r="AK180" s="332"/>
      <c r="AL180" s="332"/>
      <c r="AM180" s="334"/>
      <c r="AN180" s="332"/>
      <c r="AO180" s="332"/>
      <c r="AP180" s="332"/>
      <c r="AQ180" s="332"/>
      <c r="AR180" s="332"/>
      <c r="AS180" s="332"/>
      <c r="AT180" s="332"/>
      <c r="AU180" s="332"/>
      <c r="AV180" s="332"/>
      <c r="AW180" s="332"/>
      <c r="AX180" s="332"/>
      <c r="AY180" s="332"/>
      <c r="AZ180" s="332"/>
      <c r="BA180" s="332"/>
      <c r="BB180" s="332"/>
      <c r="BC180" s="332"/>
      <c r="BD180" s="332"/>
      <c r="BE180" s="332"/>
      <c r="BF180" s="332"/>
      <c r="BG180" s="332"/>
      <c r="BH180" s="332"/>
      <c r="BI180" s="332"/>
      <c r="BJ180" s="332"/>
      <c r="BK180" s="332"/>
      <c r="BL180" s="332"/>
      <c r="BM180" s="332"/>
      <c r="BN180" s="332"/>
    </row>
    <row r="181" spans="1:66" ht="17" x14ac:dyDescent="0.15">
      <c r="A181" s="773"/>
      <c r="B181" s="332"/>
      <c r="C181" s="332"/>
      <c r="D181" s="332"/>
      <c r="E181" s="332"/>
      <c r="F181" s="332" t="str">
        <f ca="1">IFERROR(__xludf.DUMMYFUNCTION("""COMPUTED_VALUE"""),"lootBeeDoh")</f>
        <v>lootBeeDoh</v>
      </c>
      <c r="G181" s="332"/>
      <c r="H181" s="332"/>
      <c r="I181" s="332"/>
      <c r="J181" s="332"/>
      <c r="K181" s="332"/>
      <c r="L181" s="332"/>
      <c r="M181" s="332"/>
      <c r="N181" s="332"/>
      <c r="O181" s="332"/>
      <c r="P181" s="332"/>
      <c r="Q181" s="332"/>
      <c r="R181" s="332"/>
      <c r="S181" s="22"/>
      <c r="T181" s="305"/>
      <c r="U181" s="305" t="s">
        <v>6896</v>
      </c>
      <c r="V181" s="305"/>
      <c r="W181" s="22"/>
      <c r="X181" s="22"/>
      <c r="Y181" s="22"/>
      <c r="Z181" s="22"/>
      <c r="AA181" s="22"/>
      <c r="AB181" s="332"/>
      <c r="AC181" s="332"/>
      <c r="AD181" s="332"/>
      <c r="AE181" s="332"/>
      <c r="AF181" s="332"/>
      <c r="AG181" s="332"/>
      <c r="AH181" s="332"/>
      <c r="AI181" s="332"/>
      <c r="AJ181" s="332"/>
      <c r="AK181" s="332"/>
      <c r="AL181" s="332"/>
      <c r="AM181" s="334"/>
      <c r="AN181" s="332"/>
      <c r="AO181" s="332"/>
      <c r="AP181" s="332"/>
      <c r="AQ181" s="332"/>
      <c r="AR181" s="332"/>
      <c r="AS181" s="332"/>
      <c r="AT181" s="332"/>
      <c r="AU181" s="332"/>
      <c r="AV181" s="332"/>
      <c r="AW181" s="332"/>
      <c r="AX181" s="332"/>
      <c r="AY181" s="332"/>
      <c r="AZ181" s="332"/>
      <c r="BA181" s="332"/>
      <c r="BB181" s="332"/>
      <c r="BC181" s="332"/>
      <c r="BD181" s="332"/>
      <c r="BE181" s="332"/>
      <c r="BF181" s="332"/>
      <c r="BG181" s="332"/>
      <c r="BH181" s="332"/>
      <c r="BI181" s="332"/>
      <c r="BJ181" s="332"/>
      <c r="BK181" s="332"/>
      <c r="BL181" s="332"/>
      <c r="BM181" s="332"/>
      <c r="BN181" s="332"/>
    </row>
    <row r="182" spans="1:66" ht="17" x14ac:dyDescent="0.15">
      <c r="A182" s="773"/>
      <c r="B182" s="332"/>
      <c r="C182" s="332"/>
      <c r="D182" s="332"/>
      <c r="E182" s="332"/>
      <c r="F182" s="332" t="str">
        <f ca="1">IFERROR(__xludf.DUMMYFUNCTION("""COMPUTED_VALUE"""),"lootClive")</f>
        <v>lootClive</v>
      </c>
      <c r="G182" s="332"/>
      <c r="H182" s="332"/>
      <c r="I182" s="332"/>
      <c r="J182" s="332"/>
      <c r="K182" s="332"/>
      <c r="L182" s="332"/>
      <c r="M182" s="332"/>
      <c r="N182" s="332"/>
      <c r="O182" s="332"/>
      <c r="P182" s="332"/>
      <c r="Q182" s="332"/>
      <c r="R182" s="332"/>
      <c r="S182" s="22"/>
      <c r="T182" s="305"/>
      <c r="U182" s="305" t="s">
        <v>6897</v>
      </c>
      <c r="V182" s="305"/>
      <c r="W182" s="22"/>
      <c r="X182" s="22"/>
      <c r="Y182" s="22"/>
      <c r="Z182" s="22"/>
      <c r="AA182" s="22"/>
      <c r="AB182" s="332"/>
      <c r="AC182" s="332"/>
      <c r="AD182" s="332"/>
      <c r="AE182" s="332"/>
      <c r="AF182" s="332"/>
      <c r="AG182" s="332"/>
      <c r="AH182" s="332"/>
      <c r="AI182" s="332"/>
      <c r="AJ182" s="332"/>
      <c r="AK182" s="332"/>
      <c r="AL182" s="332"/>
      <c r="AM182" s="334"/>
      <c r="AN182" s="332"/>
      <c r="AO182" s="332"/>
      <c r="AP182" s="332"/>
      <c r="AQ182" s="332"/>
      <c r="AR182" s="332"/>
      <c r="AS182" s="332"/>
      <c r="AT182" s="332"/>
      <c r="AU182" s="332"/>
      <c r="AV182" s="332"/>
      <c r="AW182" s="332"/>
      <c r="AX182" s="332"/>
      <c r="AY182" s="332"/>
      <c r="AZ182" s="332"/>
      <c r="BA182" s="332"/>
      <c r="BB182" s="332"/>
      <c r="BC182" s="332"/>
      <c r="BD182" s="332"/>
      <c r="BE182" s="332"/>
      <c r="BF182" s="332"/>
      <c r="BG182" s="332"/>
      <c r="BH182" s="332"/>
      <c r="BI182" s="332"/>
      <c r="BJ182" s="332"/>
      <c r="BK182" s="332"/>
      <c r="BL182" s="332"/>
      <c r="BM182" s="332"/>
      <c r="BN182" s="332"/>
    </row>
    <row r="183" spans="1:66" ht="30" x14ac:dyDescent="0.15">
      <c r="A183" s="773"/>
      <c r="B183" s="332"/>
      <c r="C183" s="332"/>
      <c r="D183" s="332"/>
      <c r="E183" s="332"/>
      <c r="F183" s="332" t="str">
        <f ca="1">IFERROR(__xludf.DUMMYFUNCTION("""COMPUTED_VALUE"""),"lootUnicornReplacement")</f>
        <v>lootUnicornReplacement</v>
      </c>
      <c r="G183" s="332"/>
      <c r="H183" s="332"/>
      <c r="I183" s="332"/>
      <c r="J183" s="332"/>
      <c r="K183" s="332"/>
      <c r="L183" s="332"/>
      <c r="M183" s="332"/>
      <c r="N183" s="332"/>
      <c r="O183" s="332"/>
      <c r="P183" s="332"/>
      <c r="Q183" s="332"/>
      <c r="R183" s="332"/>
      <c r="S183" s="22"/>
      <c r="T183" s="305"/>
      <c r="U183" s="305" t="s">
        <v>6898</v>
      </c>
      <c r="V183" s="305"/>
      <c r="W183" s="22"/>
      <c r="X183" s="22"/>
      <c r="Y183" s="22"/>
      <c r="Z183" s="22"/>
      <c r="AA183" s="22"/>
      <c r="AB183" s="332"/>
      <c r="AC183" s="332"/>
      <c r="AD183" s="332"/>
      <c r="AE183" s="332"/>
      <c r="AF183" s="332"/>
      <c r="AG183" s="332"/>
      <c r="AH183" s="332"/>
      <c r="AI183" s="332"/>
      <c r="AJ183" s="332"/>
      <c r="AK183" s="332"/>
      <c r="AL183" s="332"/>
      <c r="AM183" s="334"/>
      <c r="AN183" s="332"/>
      <c r="AO183" s="332"/>
      <c r="AP183" s="332"/>
      <c r="AQ183" s="332"/>
      <c r="AR183" s="332"/>
      <c r="AS183" s="332"/>
      <c r="AT183" s="332"/>
      <c r="AU183" s="332"/>
      <c r="AV183" s="332"/>
      <c r="AW183" s="332"/>
      <c r="AX183" s="332"/>
      <c r="AY183" s="332"/>
      <c r="AZ183" s="332"/>
      <c r="BA183" s="332"/>
      <c r="BB183" s="332"/>
      <c r="BC183" s="332"/>
      <c r="BD183" s="332"/>
      <c r="BE183" s="332"/>
      <c r="BF183" s="332"/>
      <c r="BG183" s="332"/>
      <c r="BH183" s="332"/>
      <c r="BI183" s="332"/>
      <c r="BJ183" s="332"/>
      <c r="BK183" s="332"/>
      <c r="BL183" s="332"/>
      <c r="BM183" s="332"/>
      <c r="BN183" s="332"/>
    </row>
    <row r="184" spans="1:66" ht="17" x14ac:dyDescent="0.15">
      <c r="A184" s="773"/>
      <c r="B184" s="332"/>
      <c r="C184" s="332"/>
      <c r="D184" s="332"/>
      <c r="E184" s="332"/>
      <c r="F184" s="332" t="str">
        <f ca="1">IFERROR(__xludf.DUMMYFUNCTION("""COMPUTED_VALUE"""),"lootPetRock")</f>
        <v>lootPetRock</v>
      </c>
      <c r="G184" s="332"/>
      <c r="H184" s="332"/>
      <c r="I184" s="332"/>
      <c r="J184" s="332"/>
      <c r="K184" s="332"/>
      <c r="L184" s="332"/>
      <c r="M184" s="332"/>
      <c r="N184" s="332"/>
      <c r="O184" s="332"/>
      <c r="P184" s="332"/>
      <c r="Q184" s="332"/>
      <c r="R184" s="332"/>
      <c r="S184" s="22"/>
      <c r="T184" s="305"/>
      <c r="U184" s="305" t="s">
        <v>6899</v>
      </c>
      <c r="V184" s="305"/>
      <c r="W184" s="22"/>
      <c r="X184" s="22"/>
      <c r="Y184" s="22"/>
      <c r="Z184" s="22"/>
      <c r="AA184" s="22"/>
      <c r="AB184" s="332"/>
      <c r="AC184" s="332"/>
      <c r="AD184" s="332"/>
      <c r="AE184" s="332"/>
      <c r="AF184" s="332"/>
      <c r="AG184" s="332"/>
      <c r="AH184" s="332"/>
      <c r="AI184" s="332"/>
      <c r="AJ184" s="332"/>
      <c r="AK184" s="332"/>
      <c r="AL184" s="332"/>
      <c r="AM184" s="334"/>
      <c r="AN184" s="332"/>
      <c r="AO184" s="332"/>
      <c r="AP184" s="332"/>
      <c r="AQ184" s="332"/>
      <c r="AR184" s="332"/>
      <c r="AS184" s="332"/>
      <c r="AT184" s="332"/>
      <c r="AU184" s="332"/>
      <c r="AV184" s="332"/>
      <c r="AW184" s="332"/>
      <c r="AX184" s="332"/>
      <c r="AY184" s="332"/>
      <c r="AZ184" s="332"/>
      <c r="BA184" s="332"/>
      <c r="BB184" s="332"/>
      <c r="BC184" s="332"/>
      <c r="BD184" s="332"/>
      <c r="BE184" s="332"/>
      <c r="BF184" s="332"/>
      <c r="BG184" s="332"/>
      <c r="BH184" s="332"/>
      <c r="BI184" s="332"/>
      <c r="BJ184" s="332"/>
      <c r="BK184" s="332"/>
      <c r="BL184" s="332"/>
      <c r="BM184" s="332"/>
      <c r="BN184" s="332"/>
    </row>
    <row r="185" spans="1:66" ht="30" x14ac:dyDescent="0.15">
      <c r="A185" s="773"/>
      <c r="B185" s="332"/>
      <c r="C185" s="332"/>
      <c r="D185" s="332"/>
      <c r="E185" s="332"/>
      <c r="F185" s="332" t="str">
        <f ca="1">IFERROR(__xludf.DUMMYFUNCTION("""COMPUTED_VALUE"""),"lootTeddyBear")</f>
        <v>lootTeddyBear</v>
      </c>
      <c r="G185" s="332"/>
      <c r="H185" s="332"/>
      <c r="I185" s="332"/>
      <c r="J185" s="332"/>
      <c r="K185" s="332"/>
      <c r="L185" s="332"/>
      <c r="M185" s="332"/>
      <c r="N185" s="332"/>
      <c r="O185" s="332"/>
      <c r="P185" s="332"/>
      <c r="Q185" s="332"/>
      <c r="R185" s="332"/>
      <c r="S185" s="22"/>
      <c r="T185" s="305"/>
      <c r="U185" s="305" t="s">
        <v>6900</v>
      </c>
      <c r="V185" s="305"/>
      <c r="W185" s="22"/>
      <c r="X185" s="22"/>
      <c r="Y185" s="22"/>
      <c r="Z185" s="22"/>
      <c r="AA185" s="22"/>
      <c r="AB185" s="332"/>
      <c r="AC185" s="332"/>
      <c r="AD185" s="332"/>
      <c r="AE185" s="332"/>
      <c r="AF185" s="332"/>
      <c r="AG185" s="332"/>
      <c r="AH185" s="332"/>
      <c r="AI185" s="332"/>
      <c r="AJ185" s="332"/>
      <c r="AK185" s="332"/>
      <c r="AL185" s="332"/>
      <c r="AM185" s="334"/>
      <c r="AN185" s="332"/>
      <c r="AO185" s="332"/>
      <c r="AP185" s="332"/>
      <c r="AQ185" s="332"/>
      <c r="AR185" s="332"/>
      <c r="AS185" s="332"/>
      <c r="AT185" s="332"/>
      <c r="AU185" s="332"/>
      <c r="AV185" s="332"/>
      <c r="AW185" s="332"/>
      <c r="AX185" s="332"/>
      <c r="AY185" s="332"/>
      <c r="AZ185" s="332"/>
      <c r="BA185" s="332"/>
      <c r="BB185" s="332"/>
      <c r="BC185" s="332"/>
      <c r="BD185" s="332"/>
      <c r="BE185" s="332"/>
      <c r="BF185" s="332"/>
      <c r="BG185" s="332"/>
      <c r="BH185" s="332"/>
      <c r="BI185" s="332"/>
      <c r="BJ185" s="332"/>
      <c r="BK185" s="332"/>
      <c r="BL185" s="332"/>
      <c r="BM185" s="332"/>
      <c r="BN185" s="332"/>
    </row>
    <row r="186" spans="1:66" ht="17" x14ac:dyDescent="0.15">
      <c r="A186" s="773"/>
      <c r="B186" s="332"/>
      <c r="C186" s="332"/>
      <c r="D186" s="332"/>
      <c r="E186" s="332"/>
      <c r="F186" s="332" t="str">
        <f ca="1">IFERROR(__xludf.DUMMYFUNCTION("""COMPUTED_VALUE"""),"lootTinyMoon")</f>
        <v>lootTinyMoon</v>
      </c>
      <c r="G186" s="332"/>
      <c r="H186" s="332"/>
      <c r="I186" s="332"/>
      <c r="J186" s="332"/>
      <c r="K186" s="332"/>
      <c r="L186" s="332"/>
      <c r="M186" s="332"/>
      <c r="N186" s="332"/>
      <c r="O186" s="332"/>
      <c r="P186" s="332"/>
      <c r="Q186" s="332"/>
      <c r="R186" s="332"/>
      <c r="S186" s="22"/>
      <c r="T186" s="305"/>
      <c r="U186" s="305" t="s">
        <v>6901</v>
      </c>
      <c r="V186" s="305"/>
      <c r="W186" s="22"/>
      <c r="X186" s="22"/>
      <c r="Y186" s="22"/>
      <c r="Z186" s="22"/>
      <c r="AA186" s="22"/>
      <c r="AB186" s="332"/>
      <c r="AC186" s="332"/>
      <c r="AD186" s="332"/>
      <c r="AE186" s="332"/>
      <c r="AF186" s="332"/>
      <c r="AG186" s="332"/>
      <c r="AH186" s="332"/>
      <c r="AI186" s="332"/>
      <c r="AJ186" s="332"/>
      <c r="AK186" s="332"/>
      <c r="AL186" s="332"/>
      <c r="AM186" s="334"/>
      <c r="AN186" s="332"/>
      <c r="AO186" s="332"/>
      <c r="AP186" s="332"/>
      <c r="AQ186" s="332"/>
      <c r="AR186" s="332"/>
      <c r="AS186" s="332"/>
      <c r="AT186" s="332"/>
      <c r="AU186" s="332"/>
      <c r="AV186" s="332"/>
      <c r="AW186" s="332"/>
      <c r="AX186" s="332"/>
      <c r="AY186" s="332"/>
      <c r="AZ186" s="332"/>
      <c r="BA186" s="332"/>
      <c r="BB186" s="332"/>
      <c r="BC186" s="332"/>
      <c r="BD186" s="332"/>
      <c r="BE186" s="332"/>
      <c r="BF186" s="332"/>
      <c r="BG186" s="332"/>
      <c r="BH186" s="332"/>
      <c r="BI186" s="332"/>
      <c r="BJ186" s="332"/>
      <c r="BK186" s="332"/>
      <c r="BL186" s="332"/>
      <c r="BM186" s="332"/>
      <c r="BN186" s="332"/>
    </row>
    <row r="187" spans="1:66" ht="30" x14ac:dyDescent="0.15">
      <c r="A187" s="773"/>
      <c r="B187" s="332"/>
      <c r="C187" s="332"/>
      <c r="D187" s="332"/>
      <c r="E187" s="332"/>
      <c r="F187" s="332" t="str">
        <f ca="1">IFERROR(__xludf.DUMMYFUNCTION("""COMPUTED_VALUE"""),"lootGrusV6Drawing")</f>
        <v>lootGrusV6Drawing</v>
      </c>
      <c r="G187" s="332"/>
      <c r="H187" s="332"/>
      <c r="I187" s="332"/>
      <c r="J187" s="332"/>
      <c r="K187" s="332"/>
      <c r="L187" s="332"/>
      <c r="M187" s="332"/>
      <c r="N187" s="332"/>
      <c r="O187" s="332"/>
      <c r="P187" s="332"/>
      <c r="Q187" s="332"/>
      <c r="R187" s="332"/>
      <c r="S187" s="22"/>
      <c r="T187" s="305"/>
      <c r="U187" s="305" t="s">
        <v>6902</v>
      </c>
      <c r="V187" s="305"/>
      <c r="W187" s="22"/>
      <c r="X187" s="22"/>
      <c r="Y187" s="22"/>
      <c r="Z187" s="22"/>
      <c r="AA187" s="22"/>
      <c r="AB187" s="332"/>
      <c r="AC187" s="332"/>
      <c r="AD187" s="332"/>
      <c r="AE187" s="332"/>
      <c r="AF187" s="332"/>
      <c r="AG187" s="332"/>
      <c r="AH187" s="332"/>
      <c r="AI187" s="332"/>
      <c r="AJ187" s="332"/>
      <c r="AK187" s="332"/>
      <c r="AL187" s="332"/>
      <c r="AM187" s="334"/>
      <c r="AN187" s="332"/>
      <c r="AO187" s="332"/>
      <c r="AP187" s="332"/>
      <c r="AQ187" s="332"/>
      <c r="AR187" s="332"/>
      <c r="AS187" s="332"/>
      <c r="AT187" s="332"/>
      <c r="AU187" s="332"/>
      <c r="AV187" s="332"/>
      <c r="AW187" s="332"/>
      <c r="AX187" s="332"/>
      <c r="AY187" s="332"/>
      <c r="AZ187" s="332"/>
      <c r="BA187" s="332"/>
      <c r="BB187" s="332"/>
      <c r="BC187" s="332"/>
      <c r="BD187" s="332"/>
      <c r="BE187" s="332"/>
      <c r="BF187" s="332"/>
      <c r="BG187" s="332"/>
      <c r="BH187" s="332"/>
      <c r="BI187" s="332"/>
      <c r="BJ187" s="332"/>
      <c r="BK187" s="332"/>
      <c r="BL187" s="332"/>
      <c r="BM187" s="332"/>
      <c r="BN187" s="332"/>
    </row>
    <row r="188" spans="1:66" ht="30" x14ac:dyDescent="0.15">
      <c r="A188" s="773"/>
      <c r="B188" s="332"/>
      <c r="C188" s="332"/>
      <c r="D188" s="332"/>
      <c r="E188" s="332"/>
      <c r="F188" s="332" t="str">
        <f ca="1">IFERROR(__xludf.DUMMYFUNCTION("""COMPUTED_VALUE"""),"lootBrattMixtape")</f>
        <v>lootBrattMixtape</v>
      </c>
      <c r="G188" s="332"/>
      <c r="H188" s="332"/>
      <c r="I188" s="332"/>
      <c r="J188" s="332"/>
      <c r="K188" s="332"/>
      <c r="L188" s="332"/>
      <c r="M188" s="332"/>
      <c r="N188" s="332"/>
      <c r="O188" s="332"/>
      <c r="P188" s="332"/>
      <c r="Q188" s="332"/>
      <c r="R188" s="332"/>
      <c r="S188" s="22"/>
      <c r="T188" s="305"/>
      <c r="U188" s="305" t="s">
        <v>6903</v>
      </c>
      <c r="V188" s="305"/>
      <c r="W188" s="22"/>
      <c r="X188" s="22"/>
      <c r="Y188" s="22"/>
      <c r="Z188" s="22"/>
      <c r="AA188" s="22"/>
      <c r="AB188" s="332"/>
      <c r="AC188" s="332"/>
      <c r="AD188" s="332"/>
      <c r="AE188" s="332"/>
      <c r="AF188" s="332"/>
      <c r="AG188" s="332"/>
      <c r="AH188" s="332"/>
      <c r="AI188" s="332"/>
      <c r="AJ188" s="332"/>
      <c r="AK188" s="332"/>
      <c r="AL188" s="332"/>
      <c r="AM188" s="334"/>
      <c r="AN188" s="332"/>
      <c r="AO188" s="332"/>
      <c r="AP188" s="332"/>
      <c r="AQ188" s="332"/>
      <c r="AR188" s="332"/>
      <c r="AS188" s="332"/>
      <c r="AT188" s="332"/>
      <c r="AU188" s="332"/>
      <c r="AV188" s="332"/>
      <c r="AW188" s="332"/>
      <c r="AX188" s="332"/>
      <c r="AY188" s="332"/>
      <c r="AZ188" s="332"/>
      <c r="BA188" s="332"/>
      <c r="BB188" s="332"/>
      <c r="BC188" s="332"/>
      <c r="BD188" s="332"/>
      <c r="BE188" s="332"/>
      <c r="BF188" s="332"/>
      <c r="BG188" s="332"/>
      <c r="BH188" s="332"/>
      <c r="BI188" s="332"/>
      <c r="BJ188" s="332"/>
      <c r="BK188" s="332"/>
      <c r="BL188" s="332"/>
      <c r="BM188" s="332"/>
      <c r="BN188" s="332"/>
    </row>
    <row r="189" spans="1:66" ht="30" x14ac:dyDescent="0.15">
      <c r="A189" s="773"/>
      <c r="B189" s="332"/>
      <c r="C189" s="332"/>
      <c r="D189" s="332"/>
      <c r="E189" s="332"/>
      <c r="F189" s="332" t="str">
        <f ca="1">IFERROR(__xludf.DUMMYFUNCTION("""COMPUTED_VALUE"""),"lootGirlsDrawing")</f>
        <v>lootGirlsDrawing</v>
      </c>
      <c r="G189" s="332"/>
      <c r="H189" s="332"/>
      <c r="I189" s="332"/>
      <c r="J189" s="332"/>
      <c r="K189" s="332"/>
      <c r="L189" s="332"/>
      <c r="M189" s="332"/>
      <c r="N189" s="332"/>
      <c r="O189" s="332"/>
      <c r="P189" s="332"/>
      <c r="Q189" s="332"/>
      <c r="R189" s="332"/>
      <c r="S189" s="22"/>
      <c r="T189" s="305"/>
      <c r="U189" s="305" t="s">
        <v>6904</v>
      </c>
      <c r="V189" s="305"/>
      <c r="W189" s="22"/>
      <c r="X189" s="22"/>
      <c r="Y189" s="22"/>
      <c r="Z189" s="22"/>
      <c r="AA189" s="22"/>
      <c r="AB189" s="332"/>
      <c r="AC189" s="332"/>
      <c r="AD189" s="332"/>
      <c r="AE189" s="332"/>
      <c r="AF189" s="332"/>
      <c r="AG189" s="332"/>
      <c r="AH189" s="332"/>
      <c r="AI189" s="332"/>
      <c r="AJ189" s="332"/>
      <c r="AK189" s="332"/>
      <c r="AL189" s="332"/>
      <c r="AM189" s="334"/>
      <c r="AN189" s="332"/>
      <c r="AO189" s="332"/>
      <c r="AP189" s="332"/>
      <c r="AQ189" s="332"/>
      <c r="AR189" s="332"/>
      <c r="AS189" s="332"/>
      <c r="AT189" s="332"/>
      <c r="AU189" s="332"/>
      <c r="AV189" s="332"/>
      <c r="AW189" s="332"/>
      <c r="AX189" s="332"/>
      <c r="AY189" s="332"/>
      <c r="AZ189" s="332"/>
      <c r="BA189" s="332"/>
      <c r="BB189" s="332"/>
      <c r="BC189" s="332"/>
      <c r="BD189" s="332"/>
      <c r="BE189" s="332"/>
      <c r="BF189" s="332"/>
      <c r="BG189" s="332"/>
      <c r="BH189" s="332"/>
      <c r="BI189" s="332"/>
      <c r="BJ189" s="332"/>
      <c r="BK189" s="332"/>
      <c r="BL189" s="332"/>
      <c r="BM189" s="332"/>
      <c r="BN189" s="332"/>
    </row>
    <row r="190" spans="1:66" ht="17" x14ac:dyDescent="0.15">
      <c r="A190" s="773"/>
      <c r="B190" s="332"/>
      <c r="C190" s="332"/>
      <c r="D190" s="332"/>
      <c r="E190" s="332"/>
      <c r="F190" s="332" t="str">
        <f ca="1">IFERROR(__xludf.DUMMYFUNCTION("""COMPUTED_VALUE"""),"lootTricycle")</f>
        <v>lootTricycle</v>
      </c>
      <c r="G190" s="332"/>
      <c r="H190" s="332"/>
      <c r="I190" s="332"/>
      <c r="J190" s="332"/>
      <c r="K190" s="332"/>
      <c r="L190" s="332"/>
      <c r="M190" s="332"/>
      <c r="N190" s="332"/>
      <c r="O190" s="332"/>
      <c r="P190" s="332"/>
      <c r="Q190" s="332"/>
      <c r="R190" s="332"/>
      <c r="S190" s="22"/>
      <c r="T190" s="305"/>
      <c r="U190" s="305" t="s">
        <v>6905</v>
      </c>
      <c r="V190" s="305"/>
      <c r="W190" s="22"/>
      <c r="X190" s="22"/>
      <c r="Y190" s="22"/>
      <c r="Z190" s="22"/>
      <c r="AA190" s="22"/>
      <c r="AB190" s="332"/>
      <c r="AC190" s="332"/>
      <c r="AD190" s="332"/>
      <c r="AE190" s="332"/>
      <c r="AF190" s="332"/>
      <c r="AG190" s="332"/>
      <c r="AH190" s="332"/>
      <c r="AI190" s="332"/>
      <c r="AJ190" s="332"/>
      <c r="AK190" s="332"/>
      <c r="AL190" s="332"/>
      <c r="AM190" s="334"/>
      <c r="AN190" s="332"/>
      <c r="AO190" s="332"/>
      <c r="AP190" s="332"/>
      <c r="AQ190" s="332"/>
      <c r="AR190" s="332"/>
      <c r="AS190" s="332"/>
      <c r="AT190" s="332"/>
      <c r="AU190" s="332"/>
      <c r="AV190" s="332"/>
      <c r="AW190" s="332"/>
      <c r="AX190" s="332"/>
      <c r="AY190" s="332"/>
      <c r="AZ190" s="332"/>
      <c r="BA190" s="332"/>
      <c r="BB190" s="332"/>
      <c r="BC190" s="332"/>
      <c r="BD190" s="332"/>
      <c r="BE190" s="332"/>
      <c r="BF190" s="332"/>
      <c r="BG190" s="332"/>
      <c r="BH190" s="332"/>
      <c r="BI190" s="332"/>
      <c r="BJ190" s="332"/>
      <c r="BK190" s="332"/>
      <c r="BL190" s="332"/>
      <c r="BM190" s="332"/>
      <c r="BN190" s="332"/>
    </row>
    <row r="191" spans="1:66" ht="17" x14ac:dyDescent="0.15">
      <c r="A191" s="773"/>
      <c r="B191" s="332"/>
      <c r="C191" s="332"/>
      <c r="D191" s="332"/>
      <c r="E191" s="332"/>
      <c r="F191" s="332" t="str">
        <f ca="1">IFERROR(__xludf.DUMMYFUNCTION("""COMPUTED_VALUE"""),"lootDrusScarf")</f>
        <v>lootDrusScarf</v>
      </c>
      <c r="G191" s="332"/>
      <c r="H191" s="332"/>
      <c r="I191" s="332"/>
      <c r="J191" s="332"/>
      <c r="K191" s="332"/>
      <c r="L191" s="332"/>
      <c r="M191" s="332"/>
      <c r="N191" s="332"/>
      <c r="O191" s="332"/>
      <c r="P191" s="332"/>
      <c r="Q191" s="332"/>
      <c r="R191" s="332"/>
      <c r="S191" s="22"/>
      <c r="T191" s="305"/>
      <c r="U191" s="305" t="s">
        <v>6906</v>
      </c>
      <c r="V191" s="305"/>
      <c r="W191" s="22"/>
      <c r="X191" s="22"/>
      <c r="Y191" s="22"/>
      <c r="Z191" s="22"/>
      <c r="AA191" s="22"/>
      <c r="AB191" s="332"/>
      <c r="AC191" s="332"/>
      <c r="AD191" s="332"/>
      <c r="AE191" s="332"/>
      <c r="AF191" s="332"/>
      <c r="AG191" s="332"/>
      <c r="AH191" s="332"/>
      <c r="AI191" s="332"/>
      <c r="AJ191" s="332"/>
      <c r="AK191" s="332"/>
      <c r="AL191" s="332"/>
      <c r="AM191" s="334"/>
      <c r="AN191" s="332"/>
      <c r="AO191" s="332"/>
      <c r="AP191" s="332"/>
      <c r="AQ191" s="332"/>
      <c r="AR191" s="332"/>
      <c r="AS191" s="332"/>
      <c r="AT191" s="332"/>
      <c r="AU191" s="332"/>
      <c r="AV191" s="332"/>
      <c r="AW191" s="332"/>
      <c r="AX191" s="332"/>
      <c r="AY191" s="332"/>
      <c r="AZ191" s="332"/>
      <c r="BA191" s="332"/>
      <c r="BB191" s="332"/>
      <c r="BC191" s="332"/>
      <c r="BD191" s="332"/>
      <c r="BE191" s="332"/>
      <c r="BF191" s="332"/>
      <c r="BG191" s="332"/>
      <c r="BH191" s="332"/>
      <c r="BI191" s="332"/>
      <c r="BJ191" s="332"/>
      <c r="BK191" s="332"/>
      <c r="BL191" s="332"/>
      <c r="BM191" s="332"/>
      <c r="BN191" s="332"/>
    </row>
    <row r="192" spans="1:66" ht="30" x14ac:dyDescent="0.15">
      <c r="A192" s="773"/>
      <c r="B192" s="332"/>
      <c r="C192" s="332"/>
      <c r="D192" s="332"/>
      <c r="E192" s="332"/>
      <c r="F192" s="332" t="str">
        <f ca="1">IFERROR(__xludf.DUMMYFUNCTION("""COMPUTED_VALUE"""),"lootQueensCrown")</f>
        <v>lootQueensCrown</v>
      </c>
      <c r="G192" s="332"/>
      <c r="H192" s="332"/>
      <c r="I192" s="332"/>
      <c r="J192" s="332"/>
      <c r="K192" s="332"/>
      <c r="L192" s="332"/>
      <c r="M192" s="332"/>
      <c r="N192" s="332"/>
      <c r="O192" s="332"/>
      <c r="P192" s="332"/>
      <c r="Q192" s="332"/>
      <c r="R192" s="332"/>
      <c r="S192" s="22"/>
      <c r="T192" s="305"/>
      <c r="U192" s="305" t="s">
        <v>6907</v>
      </c>
      <c r="V192" s="305"/>
      <c r="W192" s="22"/>
      <c r="X192" s="22"/>
      <c r="Y192" s="22"/>
      <c r="Z192" s="22"/>
      <c r="AA192" s="22"/>
      <c r="AB192" s="332"/>
      <c r="AC192" s="332"/>
      <c r="AD192" s="332"/>
      <c r="AE192" s="332"/>
      <c r="AF192" s="332"/>
      <c r="AG192" s="332"/>
      <c r="AH192" s="332"/>
      <c r="AI192" s="332"/>
      <c r="AJ192" s="332"/>
      <c r="AK192" s="332"/>
      <c r="AL192" s="332"/>
      <c r="AM192" s="334"/>
      <c r="AN192" s="332"/>
      <c r="AO192" s="332"/>
      <c r="AP192" s="332"/>
      <c r="AQ192" s="332"/>
      <c r="AR192" s="332"/>
      <c r="AS192" s="332"/>
      <c r="AT192" s="332"/>
      <c r="AU192" s="332"/>
      <c r="AV192" s="332"/>
      <c r="AW192" s="332"/>
      <c r="AX192" s="332"/>
      <c r="AY192" s="332"/>
      <c r="AZ192" s="332"/>
      <c r="BA192" s="332"/>
      <c r="BB192" s="332"/>
      <c r="BC192" s="332"/>
      <c r="BD192" s="332"/>
      <c r="BE192" s="332"/>
      <c r="BF192" s="332"/>
      <c r="BG192" s="332"/>
      <c r="BH192" s="332"/>
      <c r="BI192" s="332"/>
      <c r="BJ192" s="332"/>
      <c r="BK192" s="332"/>
      <c r="BL192" s="332"/>
      <c r="BM192" s="332"/>
      <c r="BN192" s="332"/>
    </row>
    <row r="193" spans="1:66" ht="30" x14ac:dyDescent="0.15">
      <c r="A193" s="773"/>
      <c r="B193" s="332"/>
      <c r="C193" s="332"/>
      <c r="D193" s="332"/>
      <c r="E193" s="332"/>
      <c r="F193" s="332" t="str">
        <f ca="1">IFERROR(__xludf.DUMMYFUNCTION("""COMPUTED_VALUE"""),"lootZodiacStone")</f>
        <v>lootZodiacStone</v>
      </c>
      <c r="G193" s="332"/>
      <c r="H193" s="332"/>
      <c r="I193" s="332"/>
      <c r="J193" s="332"/>
      <c r="K193" s="332"/>
      <c r="L193" s="332"/>
      <c r="M193" s="332"/>
      <c r="N193" s="332"/>
      <c r="O193" s="332"/>
      <c r="P193" s="332"/>
      <c r="Q193" s="332"/>
      <c r="R193" s="332"/>
      <c r="S193" s="22"/>
      <c r="T193" s="305"/>
      <c r="U193" s="305" t="s">
        <v>6908</v>
      </c>
      <c r="V193" s="305"/>
      <c r="W193" s="22"/>
      <c r="X193" s="22"/>
      <c r="Y193" s="22"/>
      <c r="Z193" s="22"/>
      <c r="AA193" s="22"/>
      <c r="AB193" s="332"/>
      <c r="AC193" s="332"/>
      <c r="AD193" s="332"/>
      <c r="AE193" s="332"/>
      <c r="AF193" s="332"/>
      <c r="AG193" s="332"/>
      <c r="AH193" s="332"/>
      <c r="AI193" s="332"/>
      <c r="AJ193" s="332"/>
      <c r="AK193" s="332"/>
      <c r="AL193" s="332"/>
      <c r="AM193" s="334"/>
      <c r="AN193" s="332"/>
      <c r="AO193" s="332"/>
      <c r="AP193" s="332"/>
      <c r="AQ193" s="332"/>
      <c r="AR193" s="332"/>
      <c r="AS193" s="332"/>
      <c r="AT193" s="332"/>
      <c r="AU193" s="332"/>
      <c r="AV193" s="332"/>
      <c r="AW193" s="332"/>
      <c r="AX193" s="332"/>
      <c r="AY193" s="332"/>
      <c r="AZ193" s="332"/>
      <c r="BA193" s="332"/>
      <c r="BB193" s="332"/>
      <c r="BC193" s="332"/>
      <c r="BD193" s="332"/>
      <c r="BE193" s="332"/>
      <c r="BF193" s="332"/>
      <c r="BG193" s="332"/>
      <c r="BH193" s="332"/>
      <c r="BI193" s="332"/>
      <c r="BJ193" s="332"/>
      <c r="BK193" s="332"/>
      <c r="BL193" s="332"/>
      <c r="BM193" s="332"/>
      <c r="BN193" s="332"/>
    </row>
    <row r="194" spans="1:66" ht="30" x14ac:dyDescent="0.15">
      <c r="A194" s="773"/>
      <c r="B194" s="332"/>
      <c r="C194" s="332"/>
      <c r="D194" s="332"/>
      <c r="E194" s="332"/>
      <c r="F194" s="332" t="str">
        <f ca="1">IFERROR(__xludf.DUMMYFUNCTION("""COMPUTED_VALUE"""),"lootUnicornOriginal")</f>
        <v>lootUnicornOriginal</v>
      </c>
      <c r="G194" s="332"/>
      <c r="H194" s="332"/>
      <c r="I194" s="332"/>
      <c r="J194" s="332"/>
      <c r="K194" s="332"/>
      <c r="L194" s="332"/>
      <c r="M194" s="332"/>
      <c r="N194" s="332"/>
      <c r="O194" s="332"/>
      <c r="P194" s="332"/>
      <c r="Q194" s="332"/>
      <c r="R194" s="332"/>
      <c r="S194" s="22"/>
      <c r="T194" s="305"/>
      <c r="U194" s="305" t="s">
        <v>6909</v>
      </c>
      <c r="V194" s="305"/>
      <c r="W194" s="22"/>
      <c r="X194" s="22"/>
      <c r="Y194" s="22"/>
      <c r="Z194" s="22"/>
      <c r="AA194" s="22"/>
      <c r="AB194" s="332"/>
      <c r="AC194" s="332"/>
      <c r="AD194" s="332"/>
      <c r="AE194" s="332"/>
      <c r="AF194" s="332"/>
      <c r="AG194" s="332"/>
      <c r="AH194" s="332"/>
      <c r="AI194" s="332"/>
      <c r="AJ194" s="332"/>
      <c r="AK194" s="332"/>
      <c r="AL194" s="332"/>
      <c r="AM194" s="334"/>
      <c r="AN194" s="332"/>
      <c r="AO194" s="332"/>
      <c r="AP194" s="332"/>
      <c r="AQ194" s="332"/>
      <c r="AR194" s="332"/>
      <c r="AS194" s="332"/>
      <c r="AT194" s="332"/>
      <c r="AU194" s="332"/>
      <c r="AV194" s="332"/>
      <c r="AW194" s="332"/>
      <c r="AX194" s="332"/>
      <c r="AY194" s="332"/>
      <c r="AZ194" s="332"/>
      <c r="BA194" s="332"/>
      <c r="BB194" s="332"/>
      <c r="BC194" s="332"/>
      <c r="BD194" s="332"/>
      <c r="BE194" s="332"/>
      <c r="BF194" s="332"/>
      <c r="BG194" s="332"/>
      <c r="BH194" s="332"/>
      <c r="BI194" s="332"/>
      <c r="BJ194" s="332"/>
      <c r="BK194" s="332"/>
      <c r="BL194" s="332"/>
      <c r="BM194" s="332"/>
      <c r="BN194" s="332"/>
    </row>
    <row r="195" spans="1:66" ht="17" x14ac:dyDescent="0.15">
      <c r="A195" s="773"/>
      <c r="B195" s="332"/>
      <c r="C195" s="332"/>
      <c r="D195" s="332"/>
      <c r="E195" s="332"/>
      <c r="F195" s="332" t="str">
        <f ca="1">IFERROR(__xludf.DUMMYFUNCTION("""COMPUTED_VALUE"""),"lootDiamond")</f>
        <v>lootDiamond</v>
      </c>
      <c r="G195" s="332"/>
      <c r="H195" s="332"/>
      <c r="I195" s="332"/>
      <c r="J195" s="332"/>
      <c r="K195" s="332"/>
      <c r="L195" s="332"/>
      <c r="M195" s="332"/>
      <c r="N195" s="332"/>
      <c r="O195" s="332"/>
      <c r="P195" s="332"/>
      <c r="Q195" s="332"/>
      <c r="R195" s="332"/>
      <c r="S195" s="22"/>
      <c r="T195" s="305"/>
      <c r="U195" s="305" t="s">
        <v>6910</v>
      </c>
      <c r="V195" s="305"/>
      <c r="W195" s="22"/>
      <c r="X195" s="22"/>
      <c r="Y195" s="22"/>
      <c r="Z195" s="22"/>
      <c r="AA195" s="22"/>
      <c r="AB195" s="332"/>
      <c r="AC195" s="332"/>
      <c r="AD195" s="332"/>
      <c r="AE195" s="332"/>
      <c r="AF195" s="332"/>
      <c r="AG195" s="332"/>
      <c r="AH195" s="332"/>
      <c r="AI195" s="332"/>
      <c r="AJ195" s="332"/>
      <c r="AK195" s="332"/>
      <c r="AL195" s="332"/>
      <c r="AM195" s="334"/>
      <c r="AN195" s="332"/>
      <c r="AO195" s="332"/>
      <c r="AP195" s="332"/>
      <c r="AQ195" s="332"/>
      <c r="AR195" s="332"/>
      <c r="AS195" s="332"/>
      <c r="AT195" s="332"/>
      <c r="AU195" s="332"/>
      <c r="AV195" s="332"/>
      <c r="AW195" s="332"/>
      <c r="AX195" s="332"/>
      <c r="AY195" s="332"/>
      <c r="AZ195" s="332"/>
      <c r="BA195" s="332"/>
      <c r="BB195" s="332"/>
      <c r="BC195" s="332"/>
      <c r="BD195" s="332"/>
      <c r="BE195" s="332"/>
      <c r="BF195" s="332"/>
      <c r="BG195" s="332"/>
      <c r="BH195" s="332"/>
      <c r="BI195" s="332"/>
      <c r="BJ195" s="332"/>
      <c r="BK195" s="332"/>
      <c r="BL195" s="332"/>
      <c r="BM195" s="332"/>
      <c r="BN195" s="332"/>
    </row>
    <row r="196" spans="1:66" ht="30" x14ac:dyDescent="0.15">
      <c r="A196" s="773"/>
      <c r="B196" s="332"/>
      <c r="C196" s="332"/>
      <c r="D196" s="332"/>
      <c r="E196" s="332"/>
      <c r="F196" s="332" t="str">
        <f ca="1">IFERROR(__xludf.DUMMYFUNCTION("""COMPUTED_VALUE"""),"lootKungFuBadge")</f>
        <v>lootKungFuBadge</v>
      </c>
      <c r="G196" s="332"/>
      <c r="H196" s="332"/>
      <c r="I196" s="332"/>
      <c r="J196" s="332"/>
      <c r="K196" s="332"/>
      <c r="L196" s="332"/>
      <c r="M196" s="332"/>
      <c r="N196" s="332"/>
      <c r="O196" s="332"/>
      <c r="P196" s="332"/>
      <c r="Q196" s="332"/>
      <c r="R196" s="332"/>
      <c r="S196" s="22"/>
      <c r="T196" s="305"/>
      <c r="U196" s="305" t="s">
        <v>6911</v>
      </c>
      <c r="V196" s="305"/>
      <c r="W196" s="22"/>
      <c r="X196" s="22"/>
      <c r="Y196" s="22"/>
      <c r="Z196" s="22"/>
      <c r="AA196" s="22"/>
      <c r="AB196" s="332"/>
      <c r="AC196" s="332"/>
      <c r="AD196" s="332"/>
      <c r="AE196" s="332"/>
      <c r="AF196" s="332"/>
      <c r="AG196" s="332"/>
      <c r="AH196" s="332"/>
      <c r="AI196" s="332"/>
      <c r="AJ196" s="332"/>
      <c r="AK196" s="332"/>
      <c r="AL196" s="332"/>
      <c r="AM196" s="334"/>
      <c r="AN196" s="332"/>
      <c r="AO196" s="332"/>
      <c r="AP196" s="332"/>
      <c r="AQ196" s="332"/>
      <c r="AR196" s="332"/>
      <c r="AS196" s="332"/>
      <c r="AT196" s="332"/>
      <c r="AU196" s="332"/>
      <c r="AV196" s="332"/>
      <c r="AW196" s="332"/>
      <c r="AX196" s="332"/>
      <c r="AY196" s="332"/>
      <c r="AZ196" s="332"/>
      <c r="BA196" s="332"/>
      <c r="BB196" s="332"/>
      <c r="BC196" s="332"/>
      <c r="BD196" s="332"/>
      <c r="BE196" s="332"/>
      <c r="BF196" s="332"/>
      <c r="BG196" s="332"/>
      <c r="BH196" s="332"/>
      <c r="BI196" s="332"/>
      <c r="BJ196" s="332"/>
      <c r="BK196" s="332"/>
      <c r="BL196" s="332"/>
      <c r="BM196" s="332"/>
      <c r="BN196" s="332"/>
    </row>
    <row r="197" spans="1:66" ht="17" x14ac:dyDescent="0.15">
      <c r="A197" s="773"/>
      <c r="B197" s="332"/>
      <c r="C197" s="332"/>
      <c r="D197" s="332"/>
      <c r="E197" s="332"/>
      <c r="F197" s="332" t="str">
        <f ca="1">IFERROR(__xludf.DUMMYFUNCTION("""COMPUTED_VALUE"""),"lootExcalibur")</f>
        <v>lootExcalibur</v>
      </c>
      <c r="G197" s="332"/>
      <c r="H197" s="332"/>
      <c r="I197" s="332"/>
      <c r="J197" s="332"/>
      <c r="K197" s="332"/>
      <c r="L197" s="332"/>
      <c r="M197" s="332"/>
      <c r="N197" s="332"/>
      <c r="O197" s="332"/>
      <c r="P197" s="332"/>
      <c r="Q197" s="332"/>
      <c r="R197" s="332"/>
      <c r="S197" s="22"/>
      <c r="T197" s="305"/>
      <c r="U197" s="305" t="s">
        <v>6912</v>
      </c>
      <c r="V197" s="305"/>
      <c r="W197" s="22"/>
      <c r="X197" s="22"/>
      <c r="Y197" s="22"/>
      <c r="Z197" s="22"/>
      <c r="AA197" s="22"/>
      <c r="AB197" s="332"/>
      <c r="AC197" s="332"/>
      <c r="AD197" s="332"/>
      <c r="AE197" s="332"/>
      <c r="AF197" s="332"/>
      <c r="AG197" s="332"/>
      <c r="AH197" s="332"/>
      <c r="AI197" s="332"/>
      <c r="AJ197" s="332"/>
      <c r="AK197" s="332"/>
      <c r="AL197" s="332"/>
      <c r="AM197" s="334"/>
      <c r="AN197" s="332"/>
      <c r="AO197" s="332"/>
      <c r="AP197" s="332"/>
      <c r="AQ197" s="332"/>
      <c r="AR197" s="332"/>
      <c r="AS197" s="332"/>
      <c r="AT197" s="332"/>
      <c r="AU197" s="332"/>
      <c r="AV197" s="332"/>
      <c r="AW197" s="332"/>
      <c r="AX197" s="332"/>
      <c r="AY197" s="332"/>
      <c r="AZ197" s="332"/>
      <c r="BA197" s="332"/>
      <c r="BB197" s="332"/>
      <c r="BC197" s="332"/>
      <c r="BD197" s="332"/>
      <c r="BE197" s="332"/>
      <c r="BF197" s="332"/>
      <c r="BG197" s="332"/>
      <c r="BH197" s="332"/>
      <c r="BI197" s="332"/>
      <c r="BJ197" s="332"/>
      <c r="BK197" s="332"/>
      <c r="BL197" s="332"/>
      <c r="BM197" s="332"/>
      <c r="BN197" s="332"/>
    </row>
    <row r="198" spans="1:66" ht="30" x14ac:dyDescent="0.15">
      <c r="A198" s="773"/>
      <c r="B198" s="332"/>
      <c r="C198" s="332"/>
      <c r="D198" s="332"/>
      <c r="E198" s="332"/>
      <c r="F198" s="332" t="str">
        <f ca="1">IFERROR(__xludf.DUMMYFUNCTION("""COMPUTED_VALUE"""),"actionPlayAttractionEnter")</f>
        <v>actionPlayAttractionEnter</v>
      </c>
      <c r="G198" s="332"/>
      <c r="H198" s="332"/>
      <c r="I198" s="332"/>
      <c r="J198" s="332"/>
      <c r="K198" s="332"/>
      <c r="L198" s="332"/>
      <c r="M198" s="332"/>
      <c r="N198" s="332"/>
      <c r="O198" s="332"/>
      <c r="P198" s="332"/>
      <c r="Q198" s="332"/>
      <c r="R198" s="332"/>
      <c r="S198" s="22"/>
      <c r="T198" s="305"/>
      <c r="U198" s="305" t="s">
        <v>6913</v>
      </c>
      <c r="V198" s="305"/>
      <c r="W198" s="22"/>
      <c r="X198" s="22"/>
      <c r="Y198" s="22"/>
      <c r="Z198" s="22"/>
      <c r="AA198" s="22"/>
      <c r="AB198" s="332"/>
      <c r="AC198" s="332"/>
      <c r="AD198" s="332"/>
      <c r="AE198" s="332"/>
      <c r="AF198" s="332"/>
      <c r="AG198" s="332"/>
      <c r="AH198" s="332"/>
      <c r="AI198" s="332"/>
      <c r="AJ198" s="332"/>
      <c r="AK198" s="332"/>
      <c r="AL198" s="332"/>
      <c r="AM198" s="334"/>
      <c r="AN198" s="332"/>
      <c r="AO198" s="332"/>
      <c r="AP198" s="332"/>
      <c r="AQ198" s="332"/>
      <c r="AR198" s="332"/>
      <c r="AS198" s="332"/>
      <c r="AT198" s="332"/>
      <c r="AU198" s="332"/>
      <c r="AV198" s="332"/>
      <c r="AW198" s="332"/>
      <c r="AX198" s="332"/>
      <c r="AY198" s="332"/>
      <c r="AZ198" s="332"/>
      <c r="BA198" s="332"/>
      <c r="BB198" s="332"/>
      <c r="BC198" s="332"/>
      <c r="BD198" s="332"/>
      <c r="BE198" s="332"/>
      <c r="BF198" s="332"/>
      <c r="BG198" s="332"/>
      <c r="BH198" s="332"/>
      <c r="BI198" s="332"/>
      <c r="BJ198" s="332"/>
      <c r="BK198" s="332"/>
      <c r="BL198" s="332"/>
      <c r="BM198" s="332"/>
      <c r="BN198" s="332"/>
    </row>
    <row r="199" spans="1:66" ht="30" x14ac:dyDescent="0.15">
      <c r="A199" s="773"/>
      <c r="B199" s="332"/>
      <c r="C199" s="332"/>
      <c r="D199" s="332"/>
      <c r="E199" s="332"/>
      <c r="F199" s="332" t="str">
        <f ca="1">IFERROR(__xludf.DUMMYFUNCTION("""COMPUTED_VALUE"""),"actionPlaySC01Enter")</f>
        <v>actionPlaySC01Enter</v>
      </c>
      <c r="G199" s="332"/>
      <c r="H199" s="332"/>
      <c r="I199" s="332"/>
      <c r="J199" s="332"/>
      <c r="K199" s="332"/>
      <c r="L199" s="332"/>
      <c r="M199" s="332"/>
      <c r="N199" s="332"/>
      <c r="O199" s="332"/>
      <c r="P199" s="332"/>
      <c r="Q199" s="332"/>
      <c r="R199" s="332"/>
      <c r="S199" s="22"/>
      <c r="T199" s="305"/>
      <c r="U199" s="305" t="s">
        <v>6914</v>
      </c>
      <c r="V199" s="305"/>
      <c r="W199" s="22"/>
      <c r="X199" s="22"/>
      <c r="Y199" s="22"/>
      <c r="Z199" s="22"/>
      <c r="AA199" s="22"/>
      <c r="AB199" s="332"/>
      <c r="AC199" s="332"/>
      <c r="AD199" s="332"/>
      <c r="AE199" s="332"/>
      <c r="AF199" s="332"/>
      <c r="AG199" s="332"/>
      <c r="AH199" s="332"/>
      <c r="AI199" s="332"/>
      <c r="AJ199" s="332"/>
      <c r="AK199" s="332"/>
      <c r="AL199" s="332"/>
      <c r="AM199" s="334"/>
      <c r="AN199" s="332"/>
      <c r="AO199" s="332"/>
      <c r="AP199" s="332"/>
      <c r="AQ199" s="332"/>
      <c r="AR199" s="332"/>
      <c r="AS199" s="332"/>
      <c r="AT199" s="332"/>
      <c r="AU199" s="332"/>
      <c r="AV199" s="332"/>
      <c r="AW199" s="332"/>
      <c r="AX199" s="332"/>
      <c r="AY199" s="332"/>
      <c r="AZ199" s="332"/>
      <c r="BA199" s="332"/>
      <c r="BB199" s="332"/>
      <c r="BC199" s="332"/>
      <c r="BD199" s="332"/>
      <c r="BE199" s="332"/>
      <c r="BF199" s="332"/>
      <c r="BG199" s="332"/>
      <c r="BH199" s="332"/>
      <c r="BI199" s="332"/>
      <c r="BJ199" s="332"/>
      <c r="BK199" s="332"/>
      <c r="BL199" s="332"/>
      <c r="BM199" s="332"/>
      <c r="BN199" s="332"/>
    </row>
    <row r="200" spans="1:66" ht="30" x14ac:dyDescent="0.15">
      <c r="A200" s="773"/>
      <c r="B200" s="332"/>
      <c r="C200" s="332"/>
      <c r="D200" s="332"/>
      <c r="E200" s="332"/>
      <c r="F200" s="332" t="str">
        <f ca="1">IFERROR(__xludf.DUMMYFUNCTION("""COMPUTED_VALUE"""),"actionPlaySC01Exit")</f>
        <v>actionPlaySC01Exit</v>
      </c>
      <c r="G200" s="332"/>
      <c r="H200" s="332"/>
      <c r="I200" s="332"/>
      <c r="J200" s="332"/>
      <c r="K200" s="332"/>
      <c r="L200" s="332"/>
      <c r="M200" s="332"/>
      <c r="N200" s="332"/>
      <c r="O200" s="332"/>
      <c r="P200" s="332"/>
      <c r="Q200" s="332"/>
      <c r="R200" s="332"/>
      <c r="S200" s="22"/>
      <c r="T200" s="305"/>
      <c r="U200" s="305" t="s">
        <v>6915</v>
      </c>
      <c r="V200" s="305"/>
      <c r="W200" s="22"/>
      <c r="X200" s="22"/>
      <c r="Y200" s="22"/>
      <c r="Z200" s="22"/>
      <c r="AA200" s="22"/>
      <c r="AB200" s="332"/>
      <c r="AC200" s="332"/>
      <c r="AD200" s="332"/>
      <c r="AE200" s="332"/>
      <c r="AF200" s="332"/>
      <c r="AG200" s="332"/>
      <c r="AH200" s="332"/>
      <c r="AI200" s="332"/>
      <c r="AJ200" s="332"/>
      <c r="AK200" s="332"/>
      <c r="AL200" s="332"/>
      <c r="AM200" s="334"/>
      <c r="AN200" s="332"/>
      <c r="AO200" s="332"/>
      <c r="AP200" s="332"/>
      <c r="AQ200" s="332"/>
      <c r="AR200" s="332"/>
      <c r="AS200" s="332"/>
      <c r="AT200" s="332"/>
      <c r="AU200" s="332"/>
      <c r="AV200" s="332"/>
      <c r="AW200" s="332"/>
      <c r="AX200" s="332"/>
      <c r="AY200" s="332"/>
      <c r="AZ200" s="332"/>
      <c r="BA200" s="332"/>
      <c r="BB200" s="332"/>
      <c r="BC200" s="332"/>
      <c r="BD200" s="332"/>
      <c r="BE200" s="332"/>
      <c r="BF200" s="332"/>
      <c r="BG200" s="332"/>
      <c r="BH200" s="332"/>
      <c r="BI200" s="332"/>
      <c r="BJ200" s="332"/>
      <c r="BK200" s="332"/>
      <c r="BL200" s="332"/>
      <c r="BM200" s="332"/>
      <c r="BN200" s="332"/>
    </row>
    <row r="201" spans="1:66" ht="30" x14ac:dyDescent="0.15">
      <c r="A201" s="773"/>
      <c r="B201" s="332"/>
      <c r="C201" s="332"/>
      <c r="D201" s="332"/>
      <c r="E201" s="332"/>
      <c r="F201" s="332" t="str">
        <f ca="1">IFERROR(__xludf.DUMMYFUNCTION("""COMPUTED_VALUE"""),"actionPlaySC02Enter")</f>
        <v>actionPlaySC02Enter</v>
      </c>
      <c r="G201" s="332"/>
      <c r="H201" s="332"/>
      <c r="I201" s="332"/>
      <c r="J201" s="332"/>
      <c r="K201" s="332"/>
      <c r="L201" s="332"/>
      <c r="M201" s="332"/>
      <c r="N201" s="332"/>
      <c r="O201" s="332"/>
      <c r="P201" s="332"/>
      <c r="Q201" s="332"/>
      <c r="R201" s="332"/>
      <c r="S201" s="22"/>
      <c r="T201" s="305"/>
      <c r="U201" s="305" t="s">
        <v>6916</v>
      </c>
      <c r="V201" s="305"/>
      <c r="W201" s="22"/>
      <c r="X201" s="22"/>
      <c r="Y201" s="22"/>
      <c r="Z201" s="22"/>
      <c r="AA201" s="22"/>
      <c r="AB201" s="332"/>
      <c r="AC201" s="332"/>
      <c r="AD201" s="332"/>
      <c r="AE201" s="332"/>
      <c r="AF201" s="332"/>
      <c r="AG201" s="332"/>
      <c r="AH201" s="332"/>
      <c r="AI201" s="332"/>
      <c r="AJ201" s="332"/>
      <c r="AK201" s="332"/>
      <c r="AL201" s="332"/>
      <c r="AM201" s="334"/>
      <c r="AN201" s="332"/>
      <c r="AO201" s="332"/>
      <c r="AP201" s="332"/>
      <c r="AQ201" s="332"/>
      <c r="AR201" s="332"/>
      <c r="AS201" s="332"/>
      <c r="AT201" s="332"/>
      <c r="AU201" s="332"/>
      <c r="AV201" s="332"/>
      <c r="AW201" s="332"/>
      <c r="AX201" s="332"/>
      <c r="AY201" s="332"/>
      <c r="AZ201" s="332"/>
      <c r="BA201" s="332"/>
      <c r="BB201" s="332"/>
      <c r="BC201" s="332"/>
      <c r="BD201" s="332"/>
      <c r="BE201" s="332"/>
      <c r="BF201" s="332"/>
      <c r="BG201" s="332"/>
      <c r="BH201" s="332"/>
      <c r="BI201" s="332"/>
      <c r="BJ201" s="332"/>
      <c r="BK201" s="332"/>
      <c r="BL201" s="332"/>
      <c r="BM201" s="332"/>
      <c r="BN201" s="332"/>
    </row>
    <row r="202" spans="1:66" ht="30" x14ac:dyDescent="0.15">
      <c r="A202" s="773"/>
      <c r="B202" s="332"/>
      <c r="C202" s="332"/>
      <c r="D202" s="332"/>
      <c r="E202" s="332"/>
      <c r="F202" s="332" t="str">
        <f ca="1">IFERROR(__xludf.DUMMYFUNCTION("""COMPUTED_VALUE"""),"actionPlaySC02Exit")</f>
        <v>actionPlaySC02Exit</v>
      </c>
      <c r="G202" s="332"/>
      <c r="H202" s="332"/>
      <c r="I202" s="332"/>
      <c r="J202" s="332"/>
      <c r="K202" s="332"/>
      <c r="L202" s="332"/>
      <c r="M202" s="332"/>
      <c r="N202" s="332"/>
      <c r="O202" s="332"/>
      <c r="P202" s="332"/>
      <c r="Q202" s="332"/>
      <c r="R202" s="332"/>
      <c r="S202" s="22"/>
      <c r="T202" s="305"/>
      <c r="U202" s="305" t="s">
        <v>6917</v>
      </c>
      <c r="V202" s="305"/>
      <c r="W202" s="22"/>
      <c r="X202" s="22"/>
      <c r="Y202" s="22"/>
      <c r="Z202" s="22"/>
      <c r="AA202" s="22"/>
      <c r="AB202" s="332"/>
      <c r="AC202" s="332"/>
      <c r="AD202" s="332"/>
      <c r="AE202" s="332"/>
      <c r="AF202" s="332"/>
      <c r="AG202" s="332"/>
      <c r="AH202" s="332"/>
      <c r="AI202" s="332"/>
      <c r="AJ202" s="332"/>
      <c r="AK202" s="332"/>
      <c r="AL202" s="332"/>
      <c r="AM202" s="334"/>
      <c r="AN202" s="332"/>
      <c r="AO202" s="332"/>
      <c r="AP202" s="332"/>
      <c r="AQ202" s="332"/>
      <c r="AR202" s="332"/>
      <c r="AS202" s="332"/>
      <c r="AT202" s="332"/>
      <c r="AU202" s="332"/>
      <c r="AV202" s="332"/>
      <c r="AW202" s="332"/>
      <c r="AX202" s="332"/>
      <c r="AY202" s="332"/>
      <c r="AZ202" s="332"/>
      <c r="BA202" s="332"/>
      <c r="BB202" s="332"/>
      <c r="BC202" s="332"/>
      <c r="BD202" s="332"/>
      <c r="BE202" s="332"/>
      <c r="BF202" s="332"/>
      <c r="BG202" s="332"/>
      <c r="BH202" s="332"/>
      <c r="BI202" s="332"/>
      <c r="BJ202" s="332"/>
      <c r="BK202" s="332"/>
      <c r="BL202" s="332"/>
      <c r="BM202" s="332"/>
      <c r="BN202" s="332"/>
    </row>
    <row r="203" spans="1:66" ht="30" x14ac:dyDescent="0.15">
      <c r="A203" s="773"/>
      <c r="B203" s="332"/>
      <c r="C203" s="332"/>
      <c r="D203" s="332"/>
      <c r="E203" s="332"/>
      <c r="F203" s="332" t="str">
        <f ca="1">IFERROR(__xludf.DUMMYFUNCTION("""COMPUTED_VALUE"""),"actionPlaySC03Enter")</f>
        <v>actionPlaySC03Enter</v>
      </c>
      <c r="G203" s="332"/>
      <c r="H203" s="332"/>
      <c r="I203" s="332"/>
      <c r="J203" s="332"/>
      <c r="K203" s="332"/>
      <c r="L203" s="332"/>
      <c r="M203" s="332"/>
      <c r="N203" s="332"/>
      <c r="O203" s="332"/>
      <c r="P203" s="332"/>
      <c r="Q203" s="332"/>
      <c r="R203" s="332"/>
      <c r="S203" s="22"/>
      <c r="T203" s="305"/>
      <c r="U203" s="305" t="s">
        <v>6918</v>
      </c>
      <c r="V203" s="305"/>
      <c r="W203" s="22"/>
      <c r="X203" s="22"/>
      <c r="Y203" s="22"/>
      <c r="Z203" s="22"/>
      <c r="AA203" s="22"/>
      <c r="AB203" s="332"/>
      <c r="AC203" s="332"/>
      <c r="AD203" s="332"/>
      <c r="AE203" s="332"/>
      <c r="AF203" s="332"/>
      <c r="AG203" s="332"/>
      <c r="AH203" s="332"/>
      <c r="AI203" s="332"/>
      <c r="AJ203" s="332"/>
      <c r="AK203" s="332"/>
      <c r="AL203" s="332"/>
      <c r="AM203" s="334"/>
      <c r="AN203" s="332"/>
      <c r="AO203" s="332"/>
      <c r="AP203" s="332"/>
      <c r="AQ203" s="332"/>
      <c r="AR203" s="332"/>
      <c r="AS203" s="332"/>
      <c r="AT203" s="332"/>
      <c r="AU203" s="332"/>
      <c r="AV203" s="332"/>
      <c r="AW203" s="332"/>
      <c r="AX203" s="332"/>
      <c r="AY203" s="332"/>
      <c r="AZ203" s="332"/>
      <c r="BA203" s="332"/>
      <c r="BB203" s="332"/>
      <c r="BC203" s="332"/>
      <c r="BD203" s="332"/>
      <c r="BE203" s="332"/>
      <c r="BF203" s="332"/>
      <c r="BG203" s="332"/>
      <c r="BH203" s="332"/>
      <c r="BI203" s="332"/>
      <c r="BJ203" s="332"/>
      <c r="BK203" s="332"/>
      <c r="BL203" s="332"/>
      <c r="BM203" s="332"/>
      <c r="BN203" s="332"/>
    </row>
    <row r="204" spans="1:66" ht="30" x14ac:dyDescent="0.15">
      <c r="A204" s="773"/>
      <c r="B204" s="332"/>
      <c r="C204" s="332"/>
      <c r="D204" s="332"/>
      <c r="E204" s="332"/>
      <c r="F204" s="332" t="str">
        <f ca="1">IFERROR(__xludf.DUMMYFUNCTION("""COMPUTED_VALUE"""),"actionPlaySC03Exit")</f>
        <v>actionPlaySC03Exit</v>
      </c>
      <c r="G204" s="332"/>
      <c r="H204" s="332"/>
      <c r="I204" s="332"/>
      <c r="J204" s="332"/>
      <c r="K204" s="332"/>
      <c r="L204" s="332"/>
      <c r="M204" s="332"/>
      <c r="N204" s="332"/>
      <c r="O204" s="332"/>
      <c r="P204" s="332"/>
      <c r="Q204" s="332"/>
      <c r="R204" s="332"/>
      <c r="S204" s="22"/>
      <c r="T204" s="305"/>
      <c r="U204" s="305" t="s">
        <v>6919</v>
      </c>
      <c r="V204" s="305"/>
      <c r="W204" s="22"/>
      <c r="X204" s="22"/>
      <c r="Y204" s="22"/>
      <c r="Z204" s="22"/>
      <c r="AA204" s="22"/>
      <c r="AB204" s="332"/>
      <c r="AC204" s="332"/>
      <c r="AD204" s="332"/>
      <c r="AE204" s="332"/>
      <c r="AF204" s="332"/>
      <c r="AG204" s="332"/>
      <c r="AH204" s="332"/>
      <c r="AI204" s="332"/>
      <c r="AJ204" s="332"/>
      <c r="AK204" s="332"/>
      <c r="AL204" s="332"/>
      <c r="AM204" s="334"/>
      <c r="AN204" s="332"/>
      <c r="AO204" s="332"/>
      <c r="AP204" s="332"/>
      <c r="AQ204" s="332"/>
      <c r="AR204" s="332"/>
      <c r="AS204" s="332"/>
      <c r="AT204" s="332"/>
      <c r="AU204" s="332"/>
      <c r="AV204" s="332"/>
      <c r="AW204" s="332"/>
      <c r="AX204" s="332"/>
      <c r="AY204" s="332"/>
      <c r="AZ204" s="332"/>
      <c r="BA204" s="332"/>
      <c r="BB204" s="332"/>
      <c r="BC204" s="332"/>
      <c r="BD204" s="332"/>
      <c r="BE204" s="332"/>
      <c r="BF204" s="332"/>
      <c r="BG204" s="332"/>
      <c r="BH204" s="332"/>
      <c r="BI204" s="332"/>
      <c r="BJ204" s="332"/>
      <c r="BK204" s="332"/>
      <c r="BL204" s="332"/>
      <c r="BM204" s="332"/>
      <c r="BN204" s="332"/>
    </row>
    <row r="205" spans="1:66" ht="30" x14ac:dyDescent="0.15">
      <c r="A205" s="773"/>
      <c r="B205" s="332"/>
      <c r="C205" s="332"/>
      <c r="D205" s="332"/>
      <c r="E205" s="332"/>
      <c r="F205" s="332" t="str">
        <f ca="1">IFERROR(__xludf.DUMMYFUNCTION("""COMPUTED_VALUE"""),"actionPlaySC04Enter")</f>
        <v>actionPlaySC04Enter</v>
      </c>
      <c r="G205" s="332"/>
      <c r="H205" s="332"/>
      <c r="I205" s="332"/>
      <c r="J205" s="332"/>
      <c r="K205" s="332"/>
      <c r="L205" s="332"/>
      <c r="M205" s="332"/>
      <c r="N205" s="332"/>
      <c r="O205" s="332"/>
      <c r="P205" s="332"/>
      <c r="Q205" s="332"/>
      <c r="R205" s="332"/>
      <c r="S205" s="22"/>
      <c r="T205" s="305"/>
      <c r="U205" s="305" t="s">
        <v>6920</v>
      </c>
      <c r="V205" s="305"/>
      <c r="W205" s="22"/>
      <c r="X205" s="22"/>
      <c r="Y205" s="22"/>
      <c r="Z205" s="22"/>
      <c r="AA205" s="22"/>
      <c r="AB205" s="332"/>
      <c r="AC205" s="332"/>
      <c r="AD205" s="332"/>
      <c r="AE205" s="332"/>
      <c r="AF205" s="332"/>
      <c r="AG205" s="332"/>
      <c r="AH205" s="332"/>
      <c r="AI205" s="332"/>
      <c r="AJ205" s="332"/>
      <c r="AK205" s="332"/>
      <c r="AL205" s="332"/>
      <c r="AM205" s="334"/>
      <c r="AN205" s="332"/>
      <c r="AO205" s="332"/>
      <c r="AP205" s="332"/>
      <c r="AQ205" s="332"/>
      <c r="AR205" s="332"/>
      <c r="AS205" s="332"/>
      <c r="AT205" s="332"/>
      <c r="AU205" s="332"/>
      <c r="AV205" s="332"/>
      <c r="AW205" s="332"/>
      <c r="AX205" s="332"/>
      <c r="AY205" s="332"/>
      <c r="AZ205" s="332"/>
      <c r="BA205" s="332"/>
      <c r="BB205" s="332"/>
      <c r="BC205" s="332"/>
      <c r="BD205" s="332"/>
      <c r="BE205" s="332"/>
      <c r="BF205" s="332"/>
      <c r="BG205" s="332"/>
      <c r="BH205" s="332"/>
      <c r="BI205" s="332"/>
      <c r="BJ205" s="332"/>
      <c r="BK205" s="332"/>
      <c r="BL205" s="332"/>
      <c r="BM205" s="332"/>
      <c r="BN205" s="332"/>
    </row>
    <row r="206" spans="1:66" ht="30" x14ac:dyDescent="0.15">
      <c r="A206" s="773"/>
      <c r="B206" s="332"/>
      <c r="C206" s="332"/>
      <c r="D206" s="332"/>
      <c r="E206" s="332"/>
      <c r="F206" s="332" t="str">
        <f ca="1">IFERROR(__xludf.DUMMYFUNCTION("""COMPUTED_VALUE"""),"actionPlaySC04Exit")</f>
        <v>actionPlaySC04Exit</v>
      </c>
      <c r="G206" s="332"/>
      <c r="H206" s="332"/>
      <c r="I206" s="332"/>
      <c r="J206" s="332"/>
      <c r="K206" s="332"/>
      <c r="L206" s="332"/>
      <c r="M206" s="332"/>
      <c r="N206" s="332"/>
      <c r="O206" s="332"/>
      <c r="P206" s="332"/>
      <c r="Q206" s="332"/>
      <c r="R206" s="332"/>
      <c r="S206" s="22"/>
      <c r="T206" s="305"/>
      <c r="U206" s="305" t="s">
        <v>6921</v>
      </c>
      <c r="V206" s="305"/>
      <c r="W206" s="22"/>
      <c r="X206" s="22"/>
      <c r="Y206" s="22"/>
      <c r="Z206" s="22"/>
      <c r="AA206" s="22"/>
      <c r="AB206" s="332"/>
      <c r="AC206" s="332"/>
      <c r="AD206" s="332"/>
      <c r="AE206" s="332"/>
      <c r="AF206" s="332"/>
      <c r="AG206" s="332"/>
      <c r="AH206" s="332"/>
      <c r="AI206" s="332"/>
      <c r="AJ206" s="332"/>
      <c r="AK206" s="332"/>
      <c r="AL206" s="332"/>
      <c r="AM206" s="334"/>
      <c r="AN206" s="332"/>
      <c r="AO206" s="332"/>
      <c r="AP206" s="332"/>
      <c r="AQ206" s="332"/>
      <c r="AR206" s="332"/>
      <c r="AS206" s="332"/>
      <c r="AT206" s="332"/>
      <c r="AU206" s="332"/>
      <c r="AV206" s="332"/>
      <c r="AW206" s="332"/>
      <c r="AX206" s="332"/>
      <c r="AY206" s="332"/>
      <c r="AZ206" s="332"/>
      <c r="BA206" s="332"/>
      <c r="BB206" s="332"/>
      <c r="BC206" s="332"/>
      <c r="BD206" s="332"/>
      <c r="BE206" s="332"/>
      <c r="BF206" s="332"/>
      <c r="BG206" s="332"/>
      <c r="BH206" s="332"/>
      <c r="BI206" s="332"/>
      <c r="BJ206" s="332"/>
      <c r="BK206" s="332"/>
      <c r="BL206" s="332"/>
      <c r="BM206" s="332"/>
      <c r="BN206" s="332"/>
    </row>
    <row r="207" spans="1:66" ht="30" x14ac:dyDescent="0.15">
      <c r="A207" s="773"/>
      <c r="B207" s="332"/>
      <c r="C207" s="332"/>
      <c r="D207" s="332"/>
      <c r="E207" s="332"/>
      <c r="F207" s="332" t="str">
        <f ca="1">IFERROR(__xludf.DUMMYFUNCTION("""COMPUTED_VALUE"""),"actionPlaySC05Enter")</f>
        <v>actionPlaySC05Enter</v>
      </c>
      <c r="G207" s="332"/>
      <c r="H207" s="332"/>
      <c r="I207" s="332"/>
      <c r="J207" s="332"/>
      <c r="K207" s="332"/>
      <c r="L207" s="332"/>
      <c r="M207" s="332"/>
      <c r="N207" s="332"/>
      <c r="O207" s="332"/>
      <c r="P207" s="332"/>
      <c r="Q207" s="332"/>
      <c r="R207" s="332"/>
      <c r="S207" s="22"/>
      <c r="T207" s="305"/>
      <c r="U207" s="305" t="s">
        <v>6922</v>
      </c>
      <c r="V207" s="305"/>
      <c r="W207" s="22"/>
      <c r="X207" s="22"/>
      <c r="Y207" s="22"/>
      <c r="Z207" s="22"/>
      <c r="AA207" s="22"/>
      <c r="AB207" s="332"/>
      <c r="AC207" s="332"/>
      <c r="AD207" s="332"/>
      <c r="AE207" s="332"/>
      <c r="AF207" s="332"/>
      <c r="AG207" s="332"/>
      <c r="AH207" s="332"/>
      <c r="AI207" s="332"/>
      <c r="AJ207" s="332"/>
      <c r="AK207" s="332"/>
      <c r="AL207" s="332"/>
      <c r="AM207" s="334"/>
      <c r="AN207" s="332"/>
      <c r="AO207" s="332"/>
      <c r="AP207" s="332"/>
      <c r="AQ207" s="332"/>
      <c r="AR207" s="332"/>
      <c r="AS207" s="332"/>
      <c r="AT207" s="332"/>
      <c r="AU207" s="332"/>
      <c r="AV207" s="332"/>
      <c r="AW207" s="332"/>
      <c r="AX207" s="332"/>
      <c r="AY207" s="332"/>
      <c r="AZ207" s="332"/>
      <c r="BA207" s="332"/>
      <c r="BB207" s="332"/>
      <c r="BC207" s="332"/>
      <c r="BD207" s="332"/>
      <c r="BE207" s="332"/>
      <c r="BF207" s="332"/>
      <c r="BG207" s="332"/>
      <c r="BH207" s="332"/>
      <c r="BI207" s="332"/>
      <c r="BJ207" s="332"/>
      <c r="BK207" s="332"/>
      <c r="BL207" s="332"/>
      <c r="BM207" s="332"/>
      <c r="BN207" s="332"/>
    </row>
    <row r="208" spans="1:66" ht="30" x14ac:dyDescent="0.15">
      <c r="A208" s="773"/>
      <c r="B208" s="332"/>
      <c r="C208" s="332"/>
      <c r="D208" s="332"/>
      <c r="E208" s="332"/>
      <c r="F208" s="332" t="str">
        <f ca="1">IFERROR(__xludf.DUMMYFUNCTION("""COMPUTED_VALUE"""),"actionPlaySC05Exit")</f>
        <v>actionPlaySC05Exit</v>
      </c>
      <c r="G208" s="332"/>
      <c r="H208" s="332"/>
      <c r="I208" s="332"/>
      <c r="J208" s="332"/>
      <c r="K208" s="332"/>
      <c r="L208" s="332"/>
      <c r="M208" s="332"/>
      <c r="N208" s="332"/>
      <c r="O208" s="332"/>
      <c r="P208" s="332"/>
      <c r="Q208" s="332"/>
      <c r="R208" s="332"/>
      <c r="S208" s="22"/>
      <c r="T208" s="305"/>
      <c r="U208" s="305" t="s">
        <v>6923</v>
      </c>
      <c r="V208" s="305"/>
      <c r="W208" s="22"/>
      <c r="X208" s="22"/>
      <c r="Y208" s="22"/>
      <c r="Z208" s="22"/>
      <c r="AA208" s="22"/>
      <c r="AB208" s="332"/>
      <c r="AC208" s="332"/>
      <c r="AD208" s="332"/>
      <c r="AE208" s="332"/>
      <c r="AF208" s="332"/>
      <c r="AG208" s="332"/>
      <c r="AH208" s="332"/>
      <c r="AI208" s="332"/>
      <c r="AJ208" s="332"/>
      <c r="AK208" s="332"/>
      <c r="AL208" s="332"/>
      <c r="AM208" s="334"/>
      <c r="AN208" s="332"/>
      <c r="AO208" s="332"/>
      <c r="AP208" s="332"/>
      <c r="AQ208" s="332"/>
      <c r="AR208" s="332"/>
      <c r="AS208" s="332"/>
      <c r="AT208" s="332"/>
      <c r="AU208" s="332"/>
      <c r="AV208" s="332"/>
      <c r="AW208" s="332"/>
      <c r="AX208" s="332"/>
      <c r="AY208" s="332"/>
      <c r="AZ208" s="332"/>
      <c r="BA208" s="332"/>
      <c r="BB208" s="332"/>
      <c r="BC208" s="332"/>
      <c r="BD208" s="332"/>
      <c r="BE208" s="332"/>
      <c r="BF208" s="332"/>
      <c r="BG208" s="332"/>
      <c r="BH208" s="332"/>
      <c r="BI208" s="332"/>
      <c r="BJ208" s="332"/>
      <c r="BK208" s="332"/>
      <c r="BL208" s="332"/>
      <c r="BM208" s="332"/>
      <c r="BN208" s="332"/>
    </row>
    <row r="209" spans="1:66" ht="30" x14ac:dyDescent="0.15">
      <c r="A209" s="773"/>
      <c r="B209" s="332"/>
      <c r="C209" s="332"/>
      <c r="D209" s="332"/>
      <c r="E209" s="332"/>
      <c r="F209" s="332" t="str">
        <f ca="1">IFERROR(__xludf.DUMMYFUNCTION("""COMPUTED_VALUE"""),"actionPlaySC06Enter")</f>
        <v>actionPlaySC06Enter</v>
      </c>
      <c r="G209" s="332"/>
      <c r="H209" s="332"/>
      <c r="I209" s="332"/>
      <c r="J209" s="332"/>
      <c r="K209" s="332"/>
      <c r="L209" s="332"/>
      <c r="M209" s="332"/>
      <c r="N209" s="332"/>
      <c r="O209" s="332"/>
      <c r="P209" s="332"/>
      <c r="Q209" s="332"/>
      <c r="R209" s="332"/>
      <c r="S209" s="22"/>
      <c r="T209" s="305"/>
      <c r="U209" s="305" t="s">
        <v>6924</v>
      </c>
      <c r="V209" s="305"/>
      <c r="W209" s="22"/>
      <c r="X209" s="22"/>
      <c r="Y209" s="22"/>
      <c r="Z209" s="22"/>
      <c r="AA209" s="22"/>
      <c r="AB209" s="332"/>
      <c r="AC209" s="332"/>
      <c r="AD209" s="332"/>
      <c r="AE209" s="332"/>
      <c r="AF209" s="332"/>
      <c r="AG209" s="332"/>
      <c r="AH209" s="332"/>
      <c r="AI209" s="332"/>
      <c r="AJ209" s="332"/>
      <c r="AK209" s="332"/>
      <c r="AL209" s="332"/>
      <c r="AM209" s="334"/>
      <c r="AN209" s="332"/>
      <c r="AO209" s="332"/>
      <c r="AP209" s="332"/>
      <c r="AQ209" s="332"/>
      <c r="AR209" s="332"/>
      <c r="AS209" s="332"/>
      <c r="AT209" s="332"/>
      <c r="AU209" s="332"/>
      <c r="AV209" s="332"/>
      <c r="AW209" s="332"/>
      <c r="AX209" s="332"/>
      <c r="AY209" s="332"/>
      <c r="AZ209" s="332"/>
      <c r="BA209" s="332"/>
      <c r="BB209" s="332"/>
      <c r="BC209" s="332"/>
      <c r="BD209" s="332"/>
      <c r="BE209" s="332"/>
      <c r="BF209" s="332"/>
      <c r="BG209" s="332"/>
      <c r="BH209" s="332"/>
      <c r="BI209" s="332"/>
      <c r="BJ209" s="332"/>
      <c r="BK209" s="332"/>
      <c r="BL209" s="332"/>
      <c r="BM209" s="332"/>
      <c r="BN209" s="332"/>
    </row>
    <row r="210" spans="1:66" ht="30" x14ac:dyDescent="0.15">
      <c r="A210" s="773"/>
      <c r="B210" s="332"/>
      <c r="C210" s="332"/>
      <c r="D210" s="332"/>
      <c r="E210" s="332"/>
      <c r="F210" s="332" t="str">
        <f ca="1">IFERROR(__xludf.DUMMYFUNCTION("""COMPUTED_VALUE"""),"actionPlaySC06Exit")</f>
        <v>actionPlaySC06Exit</v>
      </c>
      <c r="G210" s="332"/>
      <c r="H210" s="332"/>
      <c r="I210" s="332"/>
      <c r="J210" s="332"/>
      <c r="K210" s="332"/>
      <c r="L210" s="332"/>
      <c r="M210" s="332"/>
      <c r="N210" s="332"/>
      <c r="O210" s="332"/>
      <c r="P210" s="332"/>
      <c r="Q210" s="332"/>
      <c r="R210" s="332"/>
      <c r="S210" s="22"/>
      <c r="T210" s="305"/>
      <c r="U210" s="305" t="s">
        <v>6925</v>
      </c>
      <c r="V210" s="305"/>
      <c r="W210" s="22"/>
      <c r="X210" s="22"/>
      <c r="Y210" s="22"/>
      <c r="Z210" s="22"/>
      <c r="AA210" s="22"/>
      <c r="AB210" s="332"/>
      <c r="AC210" s="332"/>
      <c r="AD210" s="332"/>
      <c r="AE210" s="332"/>
      <c r="AF210" s="332"/>
      <c r="AG210" s="332"/>
      <c r="AH210" s="332"/>
      <c r="AI210" s="332"/>
      <c r="AJ210" s="332"/>
      <c r="AK210" s="332"/>
      <c r="AL210" s="332"/>
      <c r="AM210" s="334"/>
      <c r="AN210" s="332"/>
      <c r="AO210" s="332"/>
      <c r="AP210" s="332"/>
      <c r="AQ210" s="332"/>
      <c r="AR210" s="332"/>
      <c r="AS210" s="332"/>
      <c r="AT210" s="332"/>
      <c r="AU210" s="332"/>
      <c r="AV210" s="332"/>
      <c r="AW210" s="332"/>
      <c r="AX210" s="332"/>
      <c r="AY210" s="332"/>
      <c r="AZ210" s="332"/>
      <c r="BA210" s="332"/>
      <c r="BB210" s="332"/>
      <c r="BC210" s="332"/>
      <c r="BD210" s="332"/>
      <c r="BE210" s="332"/>
      <c r="BF210" s="332"/>
      <c r="BG210" s="332"/>
      <c r="BH210" s="332"/>
      <c r="BI210" s="332"/>
      <c r="BJ210" s="332"/>
      <c r="BK210" s="332"/>
      <c r="BL210" s="332"/>
      <c r="BM210" s="332"/>
      <c r="BN210" s="332"/>
    </row>
    <row r="211" spans="1:66" ht="30" x14ac:dyDescent="0.15">
      <c r="A211" s="773"/>
      <c r="B211" s="332"/>
      <c r="C211" s="332"/>
      <c r="D211" s="332"/>
      <c r="E211" s="332"/>
      <c r="F211" s="332" t="str">
        <f ca="1">IFERROR(__xludf.DUMMYFUNCTION("""COMPUTED_VALUE"""),"actionPlaySC07Enter")</f>
        <v>actionPlaySC07Enter</v>
      </c>
      <c r="G211" s="332"/>
      <c r="H211" s="332"/>
      <c r="I211" s="332"/>
      <c r="J211" s="332"/>
      <c r="K211" s="332"/>
      <c r="L211" s="332"/>
      <c r="M211" s="332"/>
      <c r="N211" s="332"/>
      <c r="O211" s="332"/>
      <c r="P211" s="332"/>
      <c r="Q211" s="332"/>
      <c r="R211" s="332"/>
      <c r="S211" s="22"/>
      <c r="T211" s="305"/>
      <c r="U211" s="305" t="s">
        <v>6926</v>
      </c>
      <c r="V211" s="305"/>
      <c r="W211" s="22"/>
      <c r="X211" s="22"/>
      <c r="Y211" s="22"/>
      <c r="Z211" s="22"/>
      <c r="AA211" s="22"/>
      <c r="AB211" s="332"/>
      <c r="AC211" s="332"/>
      <c r="AD211" s="332"/>
      <c r="AE211" s="332"/>
      <c r="AF211" s="332"/>
      <c r="AG211" s="332"/>
      <c r="AH211" s="332"/>
      <c r="AI211" s="332"/>
      <c r="AJ211" s="332"/>
      <c r="AK211" s="332"/>
      <c r="AL211" s="332"/>
      <c r="AM211" s="334"/>
      <c r="AN211" s="332"/>
      <c r="AO211" s="332"/>
      <c r="AP211" s="332"/>
      <c r="AQ211" s="332"/>
      <c r="AR211" s="332"/>
      <c r="AS211" s="332"/>
      <c r="AT211" s="332"/>
      <c r="AU211" s="332"/>
      <c r="AV211" s="332"/>
      <c r="AW211" s="332"/>
      <c r="AX211" s="332"/>
      <c r="AY211" s="332"/>
      <c r="AZ211" s="332"/>
      <c r="BA211" s="332"/>
      <c r="BB211" s="332"/>
      <c r="BC211" s="332"/>
      <c r="BD211" s="332"/>
      <c r="BE211" s="332"/>
      <c r="BF211" s="332"/>
      <c r="BG211" s="332"/>
      <c r="BH211" s="332"/>
      <c r="BI211" s="332"/>
      <c r="BJ211" s="332"/>
      <c r="BK211" s="332"/>
      <c r="BL211" s="332"/>
      <c r="BM211" s="332"/>
      <c r="BN211" s="332"/>
    </row>
    <row r="212" spans="1:66" ht="30" x14ac:dyDescent="0.15">
      <c r="A212" s="773"/>
      <c r="B212" s="332"/>
      <c r="C212" s="332"/>
      <c r="D212" s="332"/>
      <c r="E212" s="332"/>
      <c r="F212" s="332" t="str">
        <f ca="1">IFERROR(__xludf.DUMMYFUNCTION("""COMPUTED_VALUE"""),"actionPlaySC07Exit")</f>
        <v>actionPlaySC07Exit</v>
      </c>
      <c r="G212" s="332"/>
      <c r="H212" s="332"/>
      <c r="I212" s="332"/>
      <c r="J212" s="332"/>
      <c r="K212" s="332"/>
      <c r="L212" s="332"/>
      <c r="M212" s="332"/>
      <c r="N212" s="332"/>
      <c r="O212" s="332"/>
      <c r="P212" s="332"/>
      <c r="Q212" s="332"/>
      <c r="R212" s="332"/>
      <c r="S212" s="22"/>
      <c r="T212" s="305"/>
      <c r="U212" s="305" t="s">
        <v>6927</v>
      </c>
      <c r="V212" s="305"/>
      <c r="W212" s="22"/>
      <c r="X212" s="22"/>
      <c r="Y212" s="22"/>
      <c r="Z212" s="22"/>
      <c r="AA212" s="22"/>
      <c r="AB212" s="332"/>
      <c r="AC212" s="332"/>
      <c r="AD212" s="332"/>
      <c r="AE212" s="332"/>
      <c r="AF212" s="332"/>
      <c r="AG212" s="332"/>
      <c r="AH212" s="332"/>
      <c r="AI212" s="332"/>
      <c r="AJ212" s="332"/>
      <c r="AK212" s="332"/>
      <c r="AL212" s="332"/>
      <c r="AM212" s="334"/>
      <c r="AN212" s="332"/>
      <c r="AO212" s="332"/>
      <c r="AP212" s="332"/>
      <c r="AQ212" s="332"/>
      <c r="AR212" s="332"/>
      <c r="AS212" s="332"/>
      <c r="AT212" s="332"/>
      <c r="AU212" s="332"/>
      <c r="AV212" s="332"/>
      <c r="AW212" s="332"/>
      <c r="AX212" s="332"/>
      <c r="AY212" s="332"/>
      <c r="AZ212" s="332"/>
      <c r="BA212" s="332"/>
      <c r="BB212" s="332"/>
      <c r="BC212" s="332"/>
      <c r="BD212" s="332"/>
      <c r="BE212" s="332"/>
      <c r="BF212" s="332"/>
      <c r="BG212" s="332"/>
      <c r="BH212" s="332"/>
      <c r="BI212" s="332"/>
      <c r="BJ212" s="332"/>
      <c r="BK212" s="332"/>
      <c r="BL212" s="332"/>
      <c r="BM212" s="332"/>
      <c r="BN212" s="332"/>
    </row>
    <row r="213" spans="1:66" ht="30" x14ac:dyDescent="0.15">
      <c r="A213" s="773"/>
      <c r="B213" s="332"/>
      <c r="C213" s="332"/>
      <c r="D213" s="332"/>
      <c r="E213" s="332"/>
      <c r="F213" s="332" t="str">
        <f ca="1">IFERROR(__xludf.DUMMYFUNCTION("""COMPUTED_VALUE"""),"actionPlaySC08Enter")</f>
        <v>actionPlaySC08Enter</v>
      </c>
      <c r="G213" s="332"/>
      <c r="H213" s="332"/>
      <c r="I213" s="332"/>
      <c r="J213" s="332"/>
      <c r="K213" s="332"/>
      <c r="L213" s="332"/>
      <c r="M213" s="332"/>
      <c r="N213" s="332"/>
      <c r="O213" s="332"/>
      <c r="P213" s="332"/>
      <c r="Q213" s="332"/>
      <c r="R213" s="332"/>
      <c r="S213" s="22"/>
      <c r="T213" s="305"/>
      <c r="U213" s="305" t="s">
        <v>6928</v>
      </c>
      <c r="V213" s="305"/>
      <c r="W213" s="22"/>
      <c r="X213" s="22"/>
      <c r="Y213" s="22"/>
      <c r="Z213" s="22"/>
      <c r="AA213" s="22"/>
      <c r="AB213" s="332"/>
      <c r="AC213" s="332"/>
      <c r="AD213" s="332"/>
      <c r="AE213" s="332"/>
      <c r="AF213" s="332"/>
      <c r="AG213" s="332"/>
      <c r="AH213" s="332"/>
      <c r="AI213" s="332"/>
      <c r="AJ213" s="332"/>
      <c r="AK213" s="332"/>
      <c r="AL213" s="332"/>
      <c r="AM213" s="334"/>
      <c r="AN213" s="332"/>
      <c r="AO213" s="332"/>
      <c r="AP213" s="332"/>
      <c r="AQ213" s="332"/>
      <c r="AR213" s="332"/>
      <c r="AS213" s="332"/>
      <c r="AT213" s="332"/>
      <c r="AU213" s="332"/>
      <c r="AV213" s="332"/>
      <c r="AW213" s="332"/>
      <c r="AX213" s="332"/>
      <c r="AY213" s="332"/>
      <c r="AZ213" s="332"/>
      <c r="BA213" s="332"/>
      <c r="BB213" s="332"/>
      <c r="BC213" s="332"/>
      <c r="BD213" s="332"/>
      <c r="BE213" s="332"/>
      <c r="BF213" s="332"/>
      <c r="BG213" s="332"/>
      <c r="BH213" s="332"/>
      <c r="BI213" s="332"/>
      <c r="BJ213" s="332"/>
      <c r="BK213" s="332"/>
      <c r="BL213" s="332"/>
      <c r="BM213" s="332"/>
      <c r="BN213" s="332"/>
    </row>
    <row r="214" spans="1:66" ht="30" x14ac:dyDescent="0.15">
      <c r="A214" s="773"/>
      <c r="B214" s="332"/>
      <c r="C214" s="332"/>
      <c r="D214" s="332"/>
      <c r="E214" s="332"/>
      <c r="F214" s="332" t="str">
        <f ca="1">IFERROR(__xludf.DUMMYFUNCTION("""COMPUTED_VALUE"""),"actionPlaySC08Exit")</f>
        <v>actionPlaySC08Exit</v>
      </c>
      <c r="G214" s="332"/>
      <c r="H214" s="332"/>
      <c r="I214" s="332"/>
      <c r="J214" s="332"/>
      <c r="K214" s="332"/>
      <c r="L214" s="332"/>
      <c r="M214" s="332"/>
      <c r="N214" s="332"/>
      <c r="O214" s="332"/>
      <c r="P214" s="332"/>
      <c r="Q214" s="332"/>
      <c r="R214" s="332"/>
      <c r="S214" s="22"/>
      <c r="T214" s="305"/>
      <c r="U214" s="305" t="s">
        <v>6929</v>
      </c>
      <c r="V214" s="305"/>
      <c r="W214" s="22"/>
      <c r="X214" s="22"/>
      <c r="Y214" s="22"/>
      <c r="Z214" s="22"/>
      <c r="AA214" s="22"/>
      <c r="AB214" s="332"/>
      <c r="AC214" s="332"/>
      <c r="AD214" s="332"/>
      <c r="AE214" s="332"/>
      <c r="AF214" s="332"/>
      <c r="AG214" s="332"/>
      <c r="AH214" s="332"/>
      <c r="AI214" s="332"/>
      <c r="AJ214" s="332"/>
      <c r="AK214" s="332"/>
      <c r="AL214" s="332"/>
      <c r="AM214" s="334"/>
      <c r="AN214" s="332"/>
      <c r="AO214" s="332"/>
      <c r="AP214" s="332"/>
      <c r="AQ214" s="332"/>
      <c r="AR214" s="332"/>
      <c r="AS214" s="332"/>
      <c r="AT214" s="332"/>
      <c r="AU214" s="332"/>
      <c r="AV214" s="332"/>
      <c r="AW214" s="332"/>
      <c r="AX214" s="332"/>
      <c r="AY214" s="332"/>
      <c r="AZ214" s="332"/>
      <c r="BA214" s="332"/>
      <c r="BB214" s="332"/>
      <c r="BC214" s="332"/>
      <c r="BD214" s="332"/>
      <c r="BE214" s="332"/>
      <c r="BF214" s="332"/>
      <c r="BG214" s="332"/>
      <c r="BH214" s="332"/>
      <c r="BI214" s="332"/>
      <c r="BJ214" s="332"/>
      <c r="BK214" s="332"/>
      <c r="BL214" s="332"/>
      <c r="BM214" s="332"/>
      <c r="BN214" s="332"/>
    </row>
    <row r="215" spans="1:66" ht="30" x14ac:dyDescent="0.15">
      <c r="A215" s="773"/>
      <c r="B215" s="332"/>
      <c r="C215" s="332"/>
      <c r="D215" s="332"/>
      <c r="E215" s="332"/>
      <c r="F215" s="332" t="str">
        <f ca="1">IFERROR(__xludf.DUMMYFUNCTION("""COMPUTED_VALUE"""),"actionPlayAttractionExit")</f>
        <v>actionPlayAttractionExit</v>
      </c>
      <c r="G215" s="332"/>
      <c r="H215" s="332"/>
      <c r="I215" s="332"/>
      <c r="J215" s="332"/>
      <c r="K215" s="332"/>
      <c r="L215" s="332"/>
      <c r="M215" s="332"/>
      <c r="N215" s="332"/>
      <c r="O215" s="332"/>
      <c r="P215" s="332"/>
      <c r="Q215" s="332"/>
      <c r="R215" s="332"/>
      <c r="S215" s="22"/>
      <c r="T215" s="305"/>
      <c r="U215" s="305" t="s">
        <v>6930</v>
      </c>
      <c r="V215" s="305"/>
      <c r="W215" s="22"/>
      <c r="X215" s="22"/>
      <c r="Y215" s="22"/>
      <c r="Z215" s="22"/>
      <c r="AA215" s="22"/>
      <c r="AB215" s="332"/>
      <c r="AC215" s="332"/>
      <c r="AD215" s="332"/>
      <c r="AE215" s="332"/>
      <c r="AF215" s="332"/>
      <c r="AG215" s="332"/>
      <c r="AH215" s="332"/>
      <c r="AI215" s="332"/>
      <c r="AJ215" s="332"/>
      <c r="AK215" s="332"/>
      <c r="AL215" s="332"/>
      <c r="AM215" s="334"/>
      <c r="AN215" s="332"/>
      <c r="AO215" s="332"/>
      <c r="AP215" s="332"/>
      <c r="AQ215" s="332"/>
      <c r="AR215" s="332"/>
      <c r="AS215" s="332"/>
      <c r="AT215" s="332"/>
      <c r="AU215" s="332"/>
      <c r="AV215" s="332"/>
      <c r="AW215" s="332"/>
      <c r="AX215" s="332"/>
      <c r="AY215" s="332"/>
      <c r="AZ215" s="332"/>
      <c r="BA215" s="332"/>
      <c r="BB215" s="332"/>
      <c r="BC215" s="332"/>
      <c r="BD215" s="332"/>
      <c r="BE215" s="332"/>
      <c r="BF215" s="332"/>
      <c r="BG215" s="332"/>
      <c r="BH215" s="332"/>
      <c r="BI215" s="332"/>
      <c r="BJ215" s="332"/>
      <c r="BK215" s="332"/>
      <c r="BL215" s="332"/>
      <c r="BM215" s="332"/>
      <c r="BN215" s="332"/>
    </row>
    <row r="216" spans="1:66" ht="45" x14ac:dyDescent="0.15">
      <c r="A216" s="773"/>
      <c r="B216" s="332"/>
      <c r="C216" s="332"/>
      <c r="D216" s="332"/>
      <c r="E216" s="332"/>
      <c r="F216" s="332" t="str">
        <f ca="1">IFERROR(__xludf.DUMMYFUNCTION("""COMPUTED_VALUE"""),"achievementPlayBestStudent")</f>
        <v>achievementPlayBestStudent</v>
      </c>
      <c r="G216" s="332"/>
      <c r="H216" s="332"/>
      <c r="I216" s="332"/>
      <c r="J216" s="332"/>
      <c r="K216" s="332"/>
      <c r="L216" s="332"/>
      <c r="M216" s="332"/>
      <c r="N216" s="332"/>
      <c r="O216" s="332"/>
      <c r="P216" s="332"/>
      <c r="Q216" s="332"/>
      <c r="R216" s="332"/>
      <c r="S216" s="22"/>
      <c r="T216" s="305"/>
      <c r="U216" s="305" t="s">
        <v>6931</v>
      </c>
      <c r="V216" s="305"/>
      <c r="W216" s="22"/>
      <c r="X216" s="22"/>
      <c r="Y216" s="22"/>
      <c r="Z216" s="22"/>
      <c r="AA216" s="22"/>
      <c r="AB216" s="332"/>
      <c r="AC216" s="332"/>
      <c r="AD216" s="332"/>
      <c r="AE216" s="332"/>
      <c r="AF216" s="332"/>
      <c r="AG216" s="332"/>
      <c r="AH216" s="332"/>
      <c r="AI216" s="332"/>
      <c r="AJ216" s="332"/>
      <c r="AK216" s="332"/>
      <c r="AL216" s="332"/>
      <c r="AM216" s="334"/>
      <c r="AN216" s="332"/>
      <c r="AO216" s="332"/>
      <c r="AP216" s="332"/>
      <c r="AQ216" s="332"/>
      <c r="AR216" s="332"/>
      <c r="AS216" s="332"/>
      <c r="AT216" s="332"/>
      <c r="AU216" s="332"/>
      <c r="AV216" s="332"/>
      <c r="AW216" s="332"/>
      <c r="AX216" s="332"/>
      <c r="AY216" s="332"/>
      <c r="AZ216" s="332"/>
      <c r="BA216" s="332"/>
      <c r="BB216" s="332"/>
      <c r="BC216" s="332"/>
      <c r="BD216" s="332"/>
      <c r="BE216" s="332"/>
      <c r="BF216" s="332"/>
      <c r="BG216" s="332"/>
      <c r="BH216" s="332"/>
      <c r="BI216" s="332"/>
      <c r="BJ216" s="332"/>
      <c r="BK216" s="332"/>
      <c r="BL216" s="332"/>
      <c r="BM216" s="332"/>
      <c r="BN216" s="332"/>
    </row>
    <row r="217" spans="1:66" ht="30" x14ac:dyDescent="0.15">
      <c r="A217" s="773"/>
      <c r="B217" s="332"/>
      <c r="C217" s="332"/>
      <c r="D217" s="332"/>
      <c r="E217" s="332"/>
      <c r="F217" s="332" t="str">
        <f ca="1">IFERROR(__xludf.DUMMYFUNCTION("""COMPUTED_VALUE"""),"achievementMissionAll")</f>
        <v>achievementMissionAll</v>
      </c>
      <c r="G217" s="332"/>
      <c r="H217" s="332"/>
      <c r="I217" s="332"/>
      <c r="J217" s="332"/>
      <c r="K217" s="332"/>
      <c r="L217" s="332"/>
      <c r="M217" s="332"/>
      <c r="N217" s="332"/>
      <c r="O217" s="332"/>
      <c r="P217" s="332"/>
      <c r="Q217" s="332"/>
      <c r="R217" s="332"/>
      <c r="S217" s="22"/>
      <c r="T217" s="305"/>
      <c r="U217" s="305" t="s">
        <v>6932</v>
      </c>
      <c r="V217" s="305"/>
      <c r="W217" s="22"/>
      <c r="X217" s="22"/>
      <c r="Y217" s="22"/>
      <c r="Z217" s="22"/>
      <c r="AA217" s="22"/>
      <c r="AB217" s="332"/>
      <c r="AC217" s="332"/>
      <c r="AD217" s="332"/>
      <c r="AE217" s="332"/>
      <c r="AF217" s="332"/>
      <c r="AG217" s="332"/>
      <c r="AH217" s="332"/>
      <c r="AI217" s="332"/>
      <c r="AJ217" s="332"/>
      <c r="AK217" s="332"/>
      <c r="AL217" s="332"/>
      <c r="AM217" s="334"/>
      <c r="AN217" s="332"/>
      <c r="AO217" s="332"/>
      <c r="AP217" s="332"/>
      <c r="AQ217" s="332"/>
      <c r="AR217" s="332"/>
      <c r="AS217" s="332"/>
      <c r="AT217" s="332"/>
      <c r="AU217" s="332"/>
      <c r="AV217" s="332"/>
      <c r="AW217" s="332"/>
      <c r="AX217" s="332"/>
      <c r="AY217" s="332"/>
      <c r="AZ217" s="332"/>
      <c r="BA217" s="332"/>
      <c r="BB217" s="332"/>
      <c r="BC217" s="332"/>
      <c r="BD217" s="332"/>
      <c r="BE217" s="332"/>
      <c r="BF217" s="332"/>
      <c r="BG217" s="332"/>
      <c r="BH217" s="332"/>
      <c r="BI217" s="332"/>
      <c r="BJ217" s="332"/>
      <c r="BK217" s="332"/>
      <c r="BL217" s="332"/>
      <c r="BM217" s="332"/>
      <c r="BN217" s="332"/>
    </row>
    <row r="218" spans="1:66" ht="17" x14ac:dyDescent="0.15">
      <c r="A218" s="773"/>
      <c r="B218" s="332"/>
      <c r="C218" s="332"/>
      <c r="D218" s="332"/>
      <c r="E218" s="332"/>
      <c r="F218" s="332"/>
      <c r="G218" s="332"/>
      <c r="H218" s="332"/>
      <c r="I218" s="332"/>
      <c r="J218" s="332"/>
      <c r="K218" s="332"/>
      <c r="L218" s="332"/>
      <c r="M218" s="332"/>
      <c r="N218" s="332"/>
      <c r="O218" s="332"/>
      <c r="P218" s="332"/>
      <c r="Q218" s="332"/>
      <c r="R218" s="332"/>
      <c r="S218" s="22"/>
      <c r="T218" s="305"/>
      <c r="U218" s="305" t="s">
        <v>6933</v>
      </c>
      <c r="V218" s="305"/>
      <c r="W218" s="22"/>
      <c r="X218" s="22"/>
      <c r="Y218" s="22"/>
      <c r="Z218" s="22"/>
      <c r="AA218" s="22"/>
      <c r="AB218" s="332"/>
      <c r="AC218" s="332"/>
      <c r="AD218" s="332"/>
      <c r="AE218" s="332"/>
      <c r="AF218" s="332"/>
      <c r="AG218" s="332"/>
      <c r="AH218" s="332"/>
      <c r="AI218" s="332"/>
      <c r="AJ218" s="332"/>
      <c r="AK218" s="332"/>
      <c r="AL218" s="332"/>
      <c r="AM218" s="334"/>
      <c r="AN218" s="332"/>
      <c r="AO218" s="332"/>
      <c r="AP218" s="332"/>
      <c r="AQ218" s="332"/>
      <c r="AR218" s="332"/>
      <c r="AS218" s="332"/>
      <c r="AT218" s="332"/>
      <c r="AU218" s="332"/>
      <c r="AV218" s="332"/>
      <c r="AW218" s="332"/>
      <c r="AX218" s="332"/>
      <c r="AY218" s="332"/>
      <c r="AZ218" s="332"/>
      <c r="BA218" s="332"/>
      <c r="BB218" s="332"/>
      <c r="BC218" s="332"/>
      <c r="BD218" s="332"/>
      <c r="BE218" s="332"/>
      <c r="BF218" s="332"/>
      <c r="BG218" s="332"/>
      <c r="BH218" s="332"/>
      <c r="BI218" s="332"/>
      <c r="BJ218" s="332"/>
      <c r="BK218" s="332"/>
      <c r="BL218" s="332"/>
      <c r="BM218" s="332"/>
      <c r="BN218" s="332"/>
    </row>
    <row r="219" spans="1:66" ht="17" x14ac:dyDescent="0.15">
      <c r="A219" s="773"/>
      <c r="B219" s="332"/>
      <c r="C219" s="332"/>
      <c r="D219" s="332"/>
      <c r="E219" s="332"/>
      <c r="F219" s="332"/>
      <c r="G219" s="332"/>
      <c r="H219" s="332"/>
      <c r="I219" s="332"/>
      <c r="J219" s="332"/>
      <c r="K219" s="332"/>
      <c r="L219" s="332"/>
      <c r="M219" s="332"/>
      <c r="N219" s="332"/>
      <c r="O219" s="332"/>
      <c r="P219" s="332"/>
      <c r="Q219" s="332"/>
      <c r="R219" s="332"/>
      <c r="S219" s="22"/>
      <c r="T219" s="305"/>
      <c r="U219" s="305" t="s">
        <v>6934</v>
      </c>
      <c r="V219" s="305"/>
      <c r="W219" s="22"/>
      <c r="X219" s="22"/>
      <c r="Y219" s="22"/>
      <c r="Z219" s="22"/>
      <c r="AA219" s="22"/>
      <c r="AB219" s="332"/>
      <c r="AC219" s="332"/>
      <c r="AD219" s="332"/>
      <c r="AE219" s="332"/>
      <c r="AF219" s="332"/>
      <c r="AG219" s="332"/>
      <c r="AH219" s="332"/>
      <c r="AI219" s="332"/>
      <c r="AJ219" s="332"/>
      <c r="AK219" s="332"/>
      <c r="AL219" s="332"/>
      <c r="AM219" s="334"/>
      <c r="AN219" s="332"/>
      <c r="AO219" s="332"/>
      <c r="AP219" s="332"/>
      <c r="AQ219" s="332"/>
      <c r="AR219" s="332"/>
      <c r="AS219" s="332"/>
      <c r="AT219" s="332"/>
      <c r="AU219" s="332"/>
      <c r="AV219" s="332"/>
      <c r="AW219" s="332"/>
      <c r="AX219" s="332"/>
      <c r="AY219" s="332"/>
      <c r="AZ219" s="332"/>
      <c r="BA219" s="332"/>
      <c r="BB219" s="332"/>
      <c r="BC219" s="332"/>
      <c r="BD219" s="332"/>
      <c r="BE219" s="332"/>
      <c r="BF219" s="332"/>
      <c r="BG219" s="332"/>
      <c r="BH219" s="332"/>
      <c r="BI219" s="332"/>
      <c r="BJ219" s="332"/>
      <c r="BK219" s="332"/>
      <c r="BL219" s="332"/>
      <c r="BM219" s="332"/>
      <c r="BN219" s="332"/>
    </row>
    <row r="220" spans="1:66" ht="17" x14ac:dyDescent="0.15">
      <c r="A220" s="773"/>
      <c r="B220" s="332"/>
      <c r="C220" s="332"/>
      <c r="D220" s="332"/>
      <c r="E220" s="332"/>
      <c r="F220" s="332"/>
      <c r="G220" s="332"/>
      <c r="H220" s="332"/>
      <c r="I220" s="332"/>
      <c r="J220" s="332"/>
      <c r="K220" s="332"/>
      <c r="L220" s="332"/>
      <c r="M220" s="332"/>
      <c r="N220" s="332"/>
      <c r="O220" s="332"/>
      <c r="P220" s="332"/>
      <c r="Q220" s="332"/>
      <c r="R220" s="332"/>
      <c r="S220" s="22"/>
      <c r="T220" s="305"/>
      <c r="U220" s="305" t="s">
        <v>6935</v>
      </c>
      <c r="V220" s="305"/>
      <c r="W220" s="22"/>
      <c r="X220" s="22"/>
      <c r="Y220" s="22"/>
      <c r="Z220" s="22"/>
      <c r="AA220" s="22"/>
      <c r="AB220" s="332"/>
      <c r="AC220" s="332"/>
      <c r="AD220" s="332"/>
      <c r="AE220" s="332"/>
      <c r="AF220" s="332"/>
      <c r="AG220" s="332"/>
      <c r="AH220" s="332"/>
      <c r="AI220" s="332"/>
      <c r="AJ220" s="332"/>
      <c r="AK220" s="332"/>
      <c r="AL220" s="332"/>
      <c r="AM220" s="334"/>
      <c r="AN220" s="332"/>
      <c r="AO220" s="332"/>
      <c r="AP220" s="332"/>
      <c r="AQ220" s="332"/>
      <c r="AR220" s="332"/>
      <c r="AS220" s="332"/>
      <c r="AT220" s="332"/>
      <c r="AU220" s="332"/>
      <c r="AV220" s="332"/>
      <c r="AW220" s="332"/>
      <c r="AX220" s="332"/>
      <c r="AY220" s="332"/>
      <c r="AZ220" s="332"/>
      <c r="BA220" s="332"/>
      <c r="BB220" s="332"/>
      <c r="BC220" s="332"/>
      <c r="BD220" s="332"/>
      <c r="BE220" s="332"/>
      <c r="BF220" s="332"/>
      <c r="BG220" s="332"/>
      <c r="BH220" s="332"/>
      <c r="BI220" s="332"/>
      <c r="BJ220" s="332"/>
      <c r="BK220" s="332"/>
      <c r="BL220" s="332"/>
      <c r="BM220" s="332"/>
      <c r="BN220" s="332"/>
    </row>
    <row r="221" spans="1:66" ht="17" x14ac:dyDescent="0.15">
      <c r="A221" s="773"/>
      <c r="B221" s="332"/>
      <c r="C221" s="332"/>
      <c r="D221" s="332"/>
      <c r="E221" s="332"/>
      <c r="F221" s="332"/>
      <c r="G221" s="332"/>
      <c r="H221" s="332"/>
      <c r="I221" s="332"/>
      <c r="J221" s="332"/>
      <c r="K221" s="332"/>
      <c r="L221" s="332"/>
      <c r="M221" s="332"/>
      <c r="N221" s="332"/>
      <c r="O221" s="332"/>
      <c r="P221" s="332"/>
      <c r="Q221" s="332"/>
      <c r="R221" s="332"/>
      <c r="S221" s="22"/>
      <c r="T221" s="305"/>
      <c r="U221" s="305" t="s">
        <v>6936</v>
      </c>
      <c r="V221" s="305"/>
      <c r="W221" s="22"/>
      <c r="X221" s="22"/>
      <c r="Y221" s="22"/>
      <c r="Z221" s="22"/>
      <c r="AA221" s="22"/>
      <c r="AB221" s="332"/>
      <c r="AC221" s="332"/>
      <c r="AD221" s="332"/>
      <c r="AE221" s="332"/>
      <c r="AF221" s="332"/>
      <c r="AG221" s="332"/>
      <c r="AH221" s="332"/>
      <c r="AI221" s="332"/>
      <c r="AJ221" s="332"/>
      <c r="AK221" s="332"/>
      <c r="AL221" s="332"/>
      <c r="AM221" s="334"/>
      <c r="AN221" s="332"/>
      <c r="AO221" s="332"/>
      <c r="AP221" s="332"/>
      <c r="AQ221" s="332"/>
      <c r="AR221" s="332"/>
      <c r="AS221" s="332"/>
      <c r="AT221" s="332"/>
      <c r="AU221" s="332"/>
      <c r="AV221" s="332"/>
      <c r="AW221" s="332"/>
      <c r="AX221" s="332"/>
      <c r="AY221" s="332"/>
      <c r="AZ221" s="332"/>
      <c r="BA221" s="332"/>
      <c r="BB221" s="332"/>
      <c r="BC221" s="332"/>
      <c r="BD221" s="332"/>
      <c r="BE221" s="332"/>
      <c r="BF221" s="332"/>
      <c r="BG221" s="332"/>
      <c r="BH221" s="332"/>
      <c r="BI221" s="332"/>
      <c r="BJ221" s="332"/>
      <c r="BK221" s="332"/>
      <c r="BL221" s="332"/>
      <c r="BM221" s="332"/>
      <c r="BN221" s="332"/>
    </row>
    <row r="222" spans="1:66" ht="17" x14ac:dyDescent="0.15">
      <c r="A222" s="773"/>
      <c r="B222" s="332"/>
      <c r="C222" s="332"/>
      <c r="D222" s="332"/>
      <c r="E222" s="332"/>
      <c r="F222" s="332"/>
      <c r="G222" s="332"/>
      <c r="H222" s="332"/>
      <c r="I222" s="332"/>
      <c r="J222" s="332"/>
      <c r="K222" s="332"/>
      <c r="L222" s="332"/>
      <c r="M222" s="332"/>
      <c r="N222" s="332"/>
      <c r="O222" s="332"/>
      <c r="P222" s="332"/>
      <c r="Q222" s="332"/>
      <c r="R222" s="332"/>
      <c r="S222" s="22"/>
      <c r="T222" s="305"/>
      <c r="U222" s="305" t="s">
        <v>6937</v>
      </c>
      <c r="V222" s="305"/>
      <c r="W222" s="22"/>
      <c r="X222" s="22"/>
      <c r="Y222" s="22"/>
      <c r="Z222" s="22"/>
      <c r="AA222" s="22"/>
      <c r="AB222" s="332"/>
      <c r="AC222" s="332"/>
      <c r="AD222" s="332"/>
      <c r="AE222" s="332"/>
      <c r="AF222" s="332"/>
      <c r="AG222" s="332"/>
      <c r="AH222" s="332"/>
      <c r="AI222" s="332"/>
      <c r="AJ222" s="332"/>
      <c r="AK222" s="332"/>
      <c r="AL222" s="332"/>
      <c r="AM222" s="334"/>
      <c r="AN222" s="332"/>
      <c r="AO222" s="332"/>
      <c r="AP222" s="332"/>
      <c r="AQ222" s="332"/>
      <c r="AR222" s="332"/>
      <c r="AS222" s="332"/>
      <c r="AT222" s="332"/>
      <c r="AU222" s="332"/>
      <c r="AV222" s="332"/>
      <c r="AW222" s="332"/>
      <c r="AX222" s="332"/>
      <c r="AY222" s="332"/>
      <c r="AZ222" s="332"/>
      <c r="BA222" s="332"/>
      <c r="BB222" s="332"/>
      <c r="BC222" s="332"/>
      <c r="BD222" s="332"/>
      <c r="BE222" s="332"/>
      <c r="BF222" s="332"/>
      <c r="BG222" s="332"/>
      <c r="BH222" s="332"/>
      <c r="BI222" s="332"/>
      <c r="BJ222" s="332"/>
      <c r="BK222" s="332"/>
      <c r="BL222" s="332"/>
      <c r="BM222" s="332"/>
      <c r="BN222" s="332"/>
    </row>
    <row r="223" spans="1:66" ht="17" x14ac:dyDescent="0.15">
      <c r="A223" s="773"/>
      <c r="B223" s="332"/>
      <c r="C223" s="332"/>
      <c r="D223" s="332"/>
      <c r="E223" s="332"/>
      <c r="F223" s="332"/>
      <c r="G223" s="332"/>
      <c r="H223" s="332"/>
      <c r="I223" s="332"/>
      <c r="J223" s="332"/>
      <c r="K223" s="332"/>
      <c r="L223" s="332"/>
      <c r="M223" s="332"/>
      <c r="N223" s="332"/>
      <c r="O223" s="332"/>
      <c r="P223" s="332"/>
      <c r="Q223" s="332"/>
      <c r="R223" s="332"/>
      <c r="S223" s="22"/>
      <c r="T223" s="305"/>
      <c r="U223" s="305" t="s">
        <v>6938</v>
      </c>
      <c r="V223" s="305"/>
      <c r="W223" s="22"/>
      <c r="X223" s="22"/>
      <c r="Y223" s="22"/>
      <c r="Z223" s="22"/>
      <c r="AA223" s="22"/>
      <c r="AB223" s="332"/>
      <c r="AC223" s="332"/>
      <c r="AD223" s="332"/>
      <c r="AE223" s="332"/>
      <c r="AF223" s="332"/>
      <c r="AG223" s="332"/>
      <c r="AH223" s="332"/>
      <c r="AI223" s="332"/>
      <c r="AJ223" s="332"/>
      <c r="AK223" s="332"/>
      <c r="AL223" s="332"/>
      <c r="AM223" s="334"/>
      <c r="AN223" s="332"/>
      <c r="AO223" s="332"/>
      <c r="AP223" s="332"/>
      <c r="AQ223" s="332"/>
      <c r="AR223" s="332"/>
      <c r="AS223" s="332"/>
      <c r="AT223" s="332"/>
      <c r="AU223" s="332"/>
      <c r="AV223" s="332"/>
      <c r="AW223" s="332"/>
      <c r="AX223" s="332"/>
      <c r="AY223" s="332"/>
      <c r="AZ223" s="332"/>
      <c r="BA223" s="332"/>
      <c r="BB223" s="332"/>
      <c r="BC223" s="332"/>
      <c r="BD223" s="332"/>
      <c r="BE223" s="332"/>
      <c r="BF223" s="332"/>
      <c r="BG223" s="332"/>
      <c r="BH223" s="332"/>
      <c r="BI223" s="332"/>
      <c r="BJ223" s="332"/>
      <c r="BK223" s="332"/>
      <c r="BL223" s="332"/>
      <c r="BM223" s="332"/>
      <c r="BN223" s="332"/>
    </row>
    <row r="224" spans="1:66" ht="17" x14ac:dyDescent="0.15">
      <c r="A224" s="773"/>
      <c r="B224" s="332"/>
      <c r="C224" s="332"/>
      <c r="D224" s="332"/>
      <c r="E224" s="332"/>
      <c r="F224" s="332"/>
      <c r="G224" s="332"/>
      <c r="H224" s="332"/>
      <c r="I224" s="332"/>
      <c r="J224" s="332"/>
      <c r="K224" s="332"/>
      <c r="L224" s="332"/>
      <c r="M224" s="332"/>
      <c r="N224" s="332"/>
      <c r="O224" s="332"/>
      <c r="P224" s="332"/>
      <c r="Q224" s="332"/>
      <c r="R224" s="332"/>
      <c r="S224" s="22"/>
      <c r="T224" s="305"/>
      <c r="U224" s="305" t="s">
        <v>6939</v>
      </c>
      <c r="V224" s="305"/>
      <c r="W224" s="22"/>
      <c r="X224" s="22"/>
      <c r="Y224" s="22"/>
      <c r="Z224" s="22"/>
      <c r="AA224" s="22"/>
      <c r="AB224" s="332"/>
      <c r="AC224" s="332"/>
      <c r="AD224" s="332"/>
      <c r="AE224" s="332"/>
      <c r="AF224" s="332"/>
      <c r="AG224" s="332"/>
      <c r="AH224" s="332"/>
      <c r="AI224" s="332"/>
      <c r="AJ224" s="332"/>
      <c r="AK224" s="332"/>
      <c r="AL224" s="332"/>
      <c r="AM224" s="334"/>
      <c r="AN224" s="332"/>
      <c r="AO224" s="332"/>
      <c r="AP224" s="332"/>
      <c r="AQ224" s="332"/>
      <c r="AR224" s="332"/>
      <c r="AS224" s="332"/>
      <c r="AT224" s="332"/>
      <c r="AU224" s="332"/>
      <c r="AV224" s="332"/>
      <c r="AW224" s="332"/>
      <c r="AX224" s="332"/>
      <c r="AY224" s="332"/>
      <c r="AZ224" s="332"/>
      <c r="BA224" s="332"/>
      <c r="BB224" s="332"/>
      <c r="BC224" s="332"/>
      <c r="BD224" s="332"/>
      <c r="BE224" s="332"/>
      <c r="BF224" s="332"/>
      <c r="BG224" s="332"/>
      <c r="BH224" s="332"/>
      <c r="BI224" s="332"/>
      <c r="BJ224" s="332"/>
      <c r="BK224" s="332"/>
      <c r="BL224" s="332"/>
      <c r="BM224" s="332"/>
      <c r="BN224" s="332"/>
    </row>
    <row r="225" spans="1:66" ht="17" x14ac:dyDescent="0.15">
      <c r="A225" s="773"/>
      <c r="B225" s="332"/>
      <c r="C225" s="332"/>
      <c r="D225" s="332"/>
      <c r="E225" s="332"/>
      <c r="F225" s="332"/>
      <c r="G225" s="332"/>
      <c r="H225" s="332"/>
      <c r="I225" s="332"/>
      <c r="J225" s="332"/>
      <c r="K225" s="332"/>
      <c r="L225" s="332"/>
      <c r="M225" s="332"/>
      <c r="N225" s="332"/>
      <c r="O225" s="332"/>
      <c r="P225" s="332"/>
      <c r="Q225" s="332"/>
      <c r="R225" s="332"/>
      <c r="S225" s="22"/>
      <c r="T225" s="305"/>
      <c r="U225" s="305" t="s">
        <v>6940</v>
      </c>
      <c r="V225" s="305"/>
      <c r="W225" s="22"/>
      <c r="X225" s="22"/>
      <c r="Y225" s="22"/>
      <c r="Z225" s="22"/>
      <c r="AA225" s="22"/>
      <c r="AB225" s="332"/>
      <c r="AC225" s="332"/>
      <c r="AD225" s="332"/>
      <c r="AE225" s="332"/>
      <c r="AF225" s="332"/>
      <c r="AG225" s="332"/>
      <c r="AH225" s="332"/>
      <c r="AI225" s="332"/>
      <c r="AJ225" s="332"/>
      <c r="AK225" s="332"/>
      <c r="AL225" s="332"/>
      <c r="AM225" s="334"/>
      <c r="AN225" s="332"/>
      <c r="AO225" s="332"/>
      <c r="AP225" s="332"/>
      <c r="AQ225" s="332"/>
      <c r="AR225" s="332"/>
      <c r="AS225" s="332"/>
      <c r="AT225" s="332"/>
      <c r="AU225" s="332"/>
      <c r="AV225" s="332"/>
      <c r="AW225" s="332"/>
      <c r="AX225" s="332"/>
      <c r="AY225" s="332"/>
      <c r="AZ225" s="332"/>
      <c r="BA225" s="332"/>
      <c r="BB225" s="332"/>
      <c r="BC225" s="332"/>
      <c r="BD225" s="332"/>
      <c r="BE225" s="332"/>
      <c r="BF225" s="332"/>
      <c r="BG225" s="332"/>
      <c r="BH225" s="332"/>
      <c r="BI225" s="332"/>
      <c r="BJ225" s="332"/>
      <c r="BK225" s="332"/>
      <c r="BL225" s="332"/>
      <c r="BM225" s="332"/>
      <c r="BN225" s="332"/>
    </row>
    <row r="226" spans="1:66" ht="17" x14ac:dyDescent="0.15">
      <c r="A226" s="332"/>
      <c r="B226" s="332"/>
      <c r="C226" s="332"/>
      <c r="D226" s="332"/>
      <c r="E226" s="332"/>
      <c r="F226" s="332"/>
      <c r="G226" s="332"/>
      <c r="H226" s="332"/>
      <c r="I226" s="332"/>
      <c r="J226" s="332"/>
      <c r="K226" s="332"/>
      <c r="L226" s="332"/>
      <c r="M226" s="332"/>
      <c r="N226" s="332"/>
      <c r="O226" s="332"/>
      <c r="P226" s="332"/>
      <c r="Q226" s="332"/>
      <c r="R226" s="332"/>
      <c r="S226" s="22"/>
      <c r="T226" s="305"/>
      <c r="U226" s="305" t="s">
        <v>6941</v>
      </c>
      <c r="V226" s="305"/>
      <c r="W226" s="22"/>
      <c r="X226" s="22"/>
      <c r="Y226" s="22"/>
      <c r="Z226" s="22"/>
      <c r="AA226" s="22"/>
      <c r="AB226" s="332"/>
      <c r="AC226" s="332"/>
      <c r="AD226" s="332"/>
      <c r="AE226" s="332"/>
      <c r="AF226" s="332"/>
      <c r="AG226" s="332"/>
      <c r="AH226" s="332"/>
      <c r="AI226" s="332"/>
      <c r="AJ226" s="332"/>
      <c r="AK226" s="332"/>
      <c r="AL226" s="332"/>
      <c r="AM226" s="334"/>
      <c r="AN226" s="332"/>
      <c r="AO226" s="332"/>
      <c r="AP226" s="332"/>
      <c r="AQ226" s="332"/>
      <c r="AR226" s="332"/>
      <c r="AS226" s="332"/>
      <c r="AT226" s="332"/>
      <c r="AU226" s="332"/>
      <c r="AV226" s="332"/>
      <c r="AW226" s="332"/>
      <c r="AX226" s="332"/>
      <c r="AY226" s="332"/>
      <c r="AZ226" s="332"/>
      <c r="BA226" s="332"/>
      <c r="BB226" s="332"/>
      <c r="BC226" s="332"/>
      <c r="BD226" s="332"/>
      <c r="BE226" s="332"/>
      <c r="BF226" s="332"/>
      <c r="BG226" s="332"/>
      <c r="BH226" s="332"/>
      <c r="BI226" s="332"/>
      <c r="BJ226" s="332"/>
      <c r="BK226" s="332"/>
      <c r="BL226" s="332"/>
      <c r="BM226" s="332"/>
      <c r="BN226" s="332"/>
    </row>
    <row r="227" spans="1:66" ht="17" x14ac:dyDescent="0.15">
      <c r="A227" s="332"/>
      <c r="B227" s="332"/>
      <c r="C227" s="332"/>
      <c r="D227" s="332"/>
      <c r="E227" s="332"/>
      <c r="F227" s="332"/>
      <c r="G227" s="332"/>
      <c r="H227" s="332"/>
      <c r="I227" s="332"/>
      <c r="J227" s="332"/>
      <c r="K227" s="332"/>
      <c r="L227" s="332"/>
      <c r="M227" s="332"/>
      <c r="N227" s="332"/>
      <c r="O227" s="332"/>
      <c r="P227" s="332"/>
      <c r="Q227" s="332"/>
      <c r="R227" s="332"/>
      <c r="S227" s="22"/>
      <c r="T227" s="305"/>
      <c r="U227" s="305" t="s">
        <v>6942</v>
      </c>
      <c r="V227" s="305"/>
      <c r="W227" s="22"/>
      <c r="X227" s="22"/>
      <c r="Y227" s="22"/>
      <c r="Z227" s="22"/>
      <c r="AA227" s="22"/>
      <c r="AB227" s="332"/>
      <c r="AC227" s="332"/>
      <c r="AD227" s="332"/>
      <c r="AE227" s="332"/>
      <c r="AF227" s="332"/>
      <c r="AG227" s="332"/>
      <c r="AH227" s="332"/>
      <c r="AI227" s="332"/>
      <c r="AJ227" s="332"/>
      <c r="AK227" s="332"/>
      <c r="AL227" s="332"/>
      <c r="AM227" s="334"/>
      <c r="AN227" s="332"/>
      <c r="AO227" s="332"/>
      <c r="AP227" s="332"/>
      <c r="AQ227" s="332"/>
      <c r="AR227" s="332"/>
      <c r="AS227" s="332"/>
      <c r="AT227" s="332"/>
      <c r="AU227" s="332"/>
      <c r="AV227" s="332"/>
      <c r="AW227" s="332"/>
      <c r="AX227" s="332"/>
      <c r="AY227" s="332"/>
      <c r="AZ227" s="332"/>
      <c r="BA227" s="332"/>
      <c r="BB227" s="332"/>
      <c r="BC227" s="332"/>
      <c r="BD227" s="332"/>
      <c r="BE227" s="332"/>
      <c r="BF227" s="332"/>
      <c r="BG227" s="332"/>
      <c r="BH227" s="332"/>
      <c r="BI227" s="332"/>
      <c r="BJ227" s="332"/>
      <c r="BK227" s="332"/>
      <c r="BL227" s="332"/>
      <c r="BM227" s="332"/>
      <c r="BN227" s="332"/>
    </row>
    <row r="228" spans="1:66" ht="17" x14ac:dyDescent="0.15">
      <c r="A228" s="332"/>
      <c r="B228" s="332"/>
      <c r="C228" s="332"/>
      <c r="D228" s="332"/>
      <c r="E228" s="332"/>
      <c r="F228" s="332"/>
      <c r="G228" s="332"/>
      <c r="H228" s="332"/>
      <c r="I228" s="332"/>
      <c r="J228" s="332"/>
      <c r="K228" s="332"/>
      <c r="L228" s="332"/>
      <c r="M228" s="332"/>
      <c r="N228" s="332"/>
      <c r="O228" s="332"/>
      <c r="P228" s="332"/>
      <c r="Q228" s="332"/>
      <c r="R228" s="332"/>
      <c r="S228" s="22"/>
      <c r="T228" s="305"/>
      <c r="U228" s="305" t="s">
        <v>6943</v>
      </c>
      <c r="V228" s="305"/>
      <c r="W228" s="22"/>
      <c r="X228" s="22"/>
      <c r="Y228" s="22"/>
      <c r="Z228" s="22"/>
      <c r="AA228" s="22"/>
      <c r="AB228" s="332"/>
      <c r="AC228" s="332"/>
      <c r="AD228" s="332"/>
      <c r="AE228" s="332"/>
      <c r="AF228" s="332"/>
      <c r="AG228" s="332"/>
      <c r="AH228" s="332"/>
      <c r="AI228" s="332"/>
      <c r="AJ228" s="332"/>
      <c r="AK228" s="332"/>
      <c r="AL228" s="332"/>
      <c r="AM228" s="334"/>
      <c r="AN228" s="332"/>
      <c r="AO228" s="332"/>
      <c r="AP228" s="332"/>
      <c r="AQ228" s="332"/>
      <c r="AR228" s="332"/>
      <c r="AS228" s="332"/>
      <c r="AT228" s="332"/>
      <c r="AU228" s="332"/>
      <c r="AV228" s="332"/>
      <c r="AW228" s="332"/>
      <c r="AX228" s="332"/>
      <c r="AY228" s="332"/>
      <c r="AZ228" s="332"/>
      <c r="BA228" s="332"/>
      <c r="BB228" s="332"/>
      <c r="BC228" s="332"/>
      <c r="BD228" s="332"/>
      <c r="BE228" s="332"/>
      <c r="BF228" s="332"/>
      <c r="BG228" s="332"/>
      <c r="BH228" s="332"/>
      <c r="BI228" s="332"/>
      <c r="BJ228" s="332"/>
      <c r="BK228" s="332"/>
      <c r="BL228" s="332"/>
      <c r="BM228" s="332"/>
      <c r="BN228" s="332"/>
    </row>
    <row r="229" spans="1:66" ht="17" x14ac:dyDescent="0.15">
      <c r="A229" s="332"/>
      <c r="B229" s="332"/>
      <c r="C229" s="332"/>
      <c r="D229" s="332"/>
      <c r="E229" s="332"/>
      <c r="F229" s="332"/>
      <c r="G229" s="332"/>
      <c r="H229" s="332"/>
      <c r="I229" s="332"/>
      <c r="J229" s="332"/>
      <c r="K229" s="332"/>
      <c r="L229" s="332"/>
      <c r="M229" s="332"/>
      <c r="N229" s="332"/>
      <c r="O229" s="332"/>
      <c r="P229" s="332"/>
      <c r="Q229" s="332"/>
      <c r="R229" s="332"/>
      <c r="S229" s="22"/>
      <c r="T229" s="305"/>
      <c r="U229" s="305" t="s">
        <v>6944</v>
      </c>
      <c r="V229" s="305"/>
      <c r="W229" s="22"/>
      <c r="X229" s="22"/>
      <c r="Y229" s="22"/>
      <c r="Z229" s="22"/>
      <c r="AA229" s="22"/>
      <c r="AB229" s="332"/>
      <c r="AC229" s="332"/>
      <c r="AD229" s="332"/>
      <c r="AE229" s="332"/>
      <c r="AF229" s="332"/>
      <c r="AG229" s="332"/>
      <c r="AH229" s="332"/>
      <c r="AI229" s="332"/>
      <c r="AJ229" s="332"/>
      <c r="AK229" s="332"/>
      <c r="AL229" s="332"/>
      <c r="AM229" s="334"/>
      <c r="AN229" s="332"/>
      <c r="AO229" s="332"/>
      <c r="AP229" s="332"/>
      <c r="AQ229" s="332"/>
      <c r="AR229" s="332"/>
      <c r="AS229" s="332"/>
      <c r="AT229" s="332"/>
      <c r="AU229" s="332"/>
      <c r="AV229" s="332"/>
      <c r="AW229" s="332"/>
      <c r="AX229" s="332"/>
      <c r="AY229" s="332"/>
      <c r="AZ229" s="332"/>
      <c r="BA229" s="332"/>
      <c r="BB229" s="332"/>
      <c r="BC229" s="332"/>
      <c r="BD229" s="332"/>
      <c r="BE229" s="332"/>
      <c r="BF229" s="332"/>
      <c r="BG229" s="332"/>
      <c r="BH229" s="332"/>
      <c r="BI229" s="332"/>
      <c r="BJ229" s="332"/>
      <c r="BK229" s="332"/>
      <c r="BL229" s="332"/>
      <c r="BM229" s="332"/>
      <c r="BN229" s="332"/>
    </row>
    <row r="230" spans="1:66" ht="17" x14ac:dyDescent="0.15">
      <c r="A230" s="332"/>
      <c r="B230" s="332"/>
      <c r="C230" s="332"/>
      <c r="D230" s="332"/>
      <c r="E230" s="332"/>
      <c r="F230" s="332"/>
      <c r="G230" s="332"/>
      <c r="H230" s="332"/>
      <c r="I230" s="332"/>
      <c r="J230" s="332"/>
      <c r="K230" s="332"/>
      <c r="L230" s="332"/>
      <c r="M230" s="332"/>
      <c r="N230" s="332"/>
      <c r="O230" s="332"/>
      <c r="P230" s="332"/>
      <c r="Q230" s="332"/>
      <c r="R230" s="332"/>
      <c r="S230" s="22"/>
      <c r="T230" s="305"/>
      <c r="U230" s="305" t="s">
        <v>6945</v>
      </c>
      <c r="V230" s="305"/>
      <c r="W230" s="22"/>
      <c r="X230" s="22"/>
      <c r="Y230" s="22"/>
      <c r="Z230" s="22"/>
      <c r="AA230" s="22"/>
      <c r="AB230" s="332"/>
      <c r="AC230" s="332"/>
      <c r="AD230" s="332"/>
      <c r="AE230" s="332"/>
      <c r="AF230" s="332"/>
      <c r="AG230" s="332"/>
      <c r="AH230" s="332"/>
      <c r="AI230" s="332"/>
      <c r="AJ230" s="332"/>
      <c r="AK230" s="332"/>
      <c r="AL230" s="332"/>
      <c r="AM230" s="334"/>
      <c r="AN230" s="332"/>
      <c r="AO230" s="332"/>
      <c r="AP230" s="332"/>
      <c r="AQ230" s="332"/>
      <c r="AR230" s="332"/>
      <c r="AS230" s="332"/>
      <c r="AT230" s="332"/>
      <c r="AU230" s="332"/>
      <c r="AV230" s="332"/>
      <c r="AW230" s="332"/>
      <c r="AX230" s="332"/>
      <c r="AY230" s="332"/>
      <c r="AZ230" s="332"/>
      <c r="BA230" s="332"/>
      <c r="BB230" s="332"/>
      <c r="BC230" s="332"/>
      <c r="BD230" s="332"/>
      <c r="BE230" s="332"/>
      <c r="BF230" s="332"/>
      <c r="BG230" s="332"/>
      <c r="BH230" s="332"/>
      <c r="BI230" s="332"/>
      <c r="BJ230" s="332"/>
      <c r="BK230" s="332"/>
      <c r="BL230" s="332"/>
      <c r="BM230" s="332"/>
      <c r="BN230" s="332"/>
    </row>
    <row r="231" spans="1:66" ht="17" x14ac:dyDescent="0.15">
      <c r="A231" s="332"/>
      <c r="B231" s="332"/>
      <c r="C231" s="332"/>
      <c r="D231" s="332"/>
      <c r="E231" s="332"/>
      <c r="F231" s="332"/>
      <c r="G231" s="332"/>
      <c r="H231" s="332"/>
      <c r="I231" s="332"/>
      <c r="J231" s="332"/>
      <c r="K231" s="332"/>
      <c r="L231" s="332"/>
      <c r="M231" s="332"/>
      <c r="N231" s="332"/>
      <c r="O231" s="332"/>
      <c r="P231" s="332"/>
      <c r="Q231" s="332"/>
      <c r="R231" s="332"/>
      <c r="S231" s="22"/>
      <c r="T231" s="305"/>
      <c r="U231" s="305" t="s">
        <v>6946</v>
      </c>
      <c r="V231" s="305"/>
      <c r="W231" s="22"/>
      <c r="X231" s="22"/>
      <c r="Y231" s="22"/>
      <c r="Z231" s="22"/>
      <c r="AA231" s="22"/>
      <c r="AB231" s="332"/>
      <c r="AC231" s="332"/>
      <c r="AD231" s="332"/>
      <c r="AE231" s="332"/>
      <c r="AF231" s="332"/>
      <c r="AG231" s="332"/>
      <c r="AH231" s="332"/>
      <c r="AI231" s="332"/>
      <c r="AJ231" s="332"/>
      <c r="AK231" s="332"/>
      <c r="AL231" s="332"/>
      <c r="AM231" s="334"/>
      <c r="AN231" s="332"/>
      <c r="AO231" s="332"/>
      <c r="AP231" s="332"/>
      <c r="AQ231" s="332"/>
      <c r="AR231" s="332"/>
      <c r="AS231" s="332"/>
      <c r="AT231" s="332"/>
      <c r="AU231" s="332"/>
      <c r="AV231" s="332"/>
      <c r="AW231" s="332"/>
      <c r="AX231" s="332"/>
      <c r="AY231" s="332"/>
      <c r="AZ231" s="332"/>
      <c r="BA231" s="332"/>
      <c r="BB231" s="332"/>
      <c r="BC231" s="332"/>
      <c r="BD231" s="332"/>
      <c r="BE231" s="332"/>
      <c r="BF231" s="332"/>
      <c r="BG231" s="332"/>
      <c r="BH231" s="332"/>
      <c r="BI231" s="332"/>
      <c r="BJ231" s="332"/>
      <c r="BK231" s="332"/>
      <c r="BL231" s="332"/>
      <c r="BM231" s="332"/>
      <c r="BN231" s="332"/>
    </row>
    <row r="232" spans="1:66" ht="17" x14ac:dyDescent="0.15">
      <c r="A232" s="332"/>
      <c r="B232" s="332"/>
      <c r="C232" s="332"/>
      <c r="D232" s="332"/>
      <c r="E232" s="332"/>
      <c r="F232" s="332"/>
      <c r="G232" s="332"/>
      <c r="H232" s="332"/>
      <c r="I232" s="332"/>
      <c r="J232" s="332"/>
      <c r="K232" s="332"/>
      <c r="L232" s="332"/>
      <c r="M232" s="332"/>
      <c r="N232" s="332"/>
      <c r="O232" s="332"/>
      <c r="P232" s="332"/>
      <c r="Q232" s="332"/>
      <c r="R232" s="332"/>
      <c r="S232" s="22"/>
      <c r="T232" s="305"/>
      <c r="U232" s="305" t="s">
        <v>6947</v>
      </c>
      <c r="V232" s="305"/>
      <c r="W232" s="22"/>
      <c r="X232" s="22"/>
      <c r="Y232" s="22"/>
      <c r="Z232" s="22"/>
      <c r="AA232" s="22"/>
      <c r="AB232" s="332"/>
      <c r="AC232" s="332"/>
      <c r="AD232" s="332"/>
      <c r="AE232" s="332"/>
      <c r="AF232" s="332"/>
      <c r="AG232" s="332"/>
      <c r="AH232" s="332"/>
      <c r="AI232" s="332"/>
      <c r="AJ232" s="332"/>
      <c r="AK232" s="332"/>
      <c r="AL232" s="332"/>
      <c r="AM232" s="334"/>
      <c r="AN232" s="332"/>
      <c r="AO232" s="332"/>
      <c r="AP232" s="332"/>
      <c r="AQ232" s="332"/>
      <c r="AR232" s="332"/>
      <c r="AS232" s="332"/>
      <c r="AT232" s="332"/>
      <c r="AU232" s="332"/>
      <c r="AV232" s="332"/>
      <c r="AW232" s="332"/>
      <c r="AX232" s="332"/>
      <c r="AY232" s="332"/>
      <c r="AZ232" s="332"/>
      <c r="BA232" s="332"/>
      <c r="BB232" s="332"/>
      <c r="BC232" s="332"/>
      <c r="BD232" s="332"/>
      <c r="BE232" s="332"/>
      <c r="BF232" s="332"/>
      <c r="BG232" s="332"/>
      <c r="BH232" s="332"/>
      <c r="BI232" s="332"/>
      <c r="BJ232" s="332"/>
      <c r="BK232" s="332"/>
      <c r="BL232" s="332"/>
      <c r="BM232" s="332"/>
      <c r="BN232" s="332"/>
    </row>
    <row r="233" spans="1:66" ht="17" x14ac:dyDescent="0.15">
      <c r="A233" s="332"/>
      <c r="B233" s="332"/>
      <c r="C233" s="332"/>
      <c r="D233" s="332"/>
      <c r="E233" s="332"/>
      <c r="F233" s="332"/>
      <c r="G233" s="332"/>
      <c r="H233" s="332"/>
      <c r="I233" s="332"/>
      <c r="J233" s="332"/>
      <c r="K233" s="332"/>
      <c r="L233" s="332"/>
      <c r="M233" s="332"/>
      <c r="N233" s="332"/>
      <c r="O233" s="332"/>
      <c r="P233" s="332"/>
      <c r="Q233" s="332"/>
      <c r="R233" s="332"/>
      <c r="S233" s="22"/>
      <c r="T233" s="305"/>
      <c r="U233" s="305" t="s">
        <v>6948</v>
      </c>
      <c r="V233" s="305"/>
      <c r="W233" s="22"/>
      <c r="X233" s="22"/>
      <c r="Y233" s="22"/>
      <c r="Z233" s="22"/>
      <c r="AA233" s="22"/>
      <c r="AB233" s="332"/>
      <c r="AC233" s="332"/>
      <c r="AD233" s="332"/>
      <c r="AE233" s="332"/>
      <c r="AF233" s="332"/>
      <c r="AG233" s="332"/>
      <c r="AH233" s="332"/>
      <c r="AI233" s="332"/>
      <c r="AJ233" s="332"/>
      <c r="AK233" s="332"/>
      <c r="AL233" s="332"/>
      <c r="AM233" s="334"/>
      <c r="AN233" s="332"/>
      <c r="AO233" s="332"/>
      <c r="AP233" s="332"/>
      <c r="AQ233" s="332"/>
      <c r="AR233" s="332"/>
      <c r="AS233" s="332"/>
      <c r="AT233" s="332"/>
      <c r="AU233" s="332"/>
      <c r="AV233" s="332"/>
      <c r="AW233" s="332"/>
      <c r="AX233" s="332"/>
      <c r="AY233" s="332"/>
      <c r="AZ233" s="332"/>
      <c r="BA233" s="332"/>
      <c r="BB233" s="332"/>
      <c r="BC233" s="332"/>
      <c r="BD233" s="332"/>
      <c r="BE233" s="332"/>
      <c r="BF233" s="332"/>
      <c r="BG233" s="332"/>
      <c r="BH233" s="332"/>
      <c r="BI233" s="332"/>
      <c r="BJ233" s="332"/>
      <c r="BK233" s="332"/>
      <c r="BL233" s="332"/>
      <c r="BM233" s="332"/>
      <c r="BN233" s="332"/>
    </row>
    <row r="234" spans="1:66" ht="17" x14ac:dyDescent="0.15">
      <c r="A234" s="332"/>
      <c r="B234" s="332"/>
      <c r="C234" s="332"/>
      <c r="D234" s="332"/>
      <c r="E234" s="332"/>
      <c r="F234" s="332"/>
      <c r="G234" s="332"/>
      <c r="H234" s="332"/>
      <c r="I234" s="332"/>
      <c r="J234" s="332"/>
      <c r="K234" s="332"/>
      <c r="L234" s="332"/>
      <c r="M234" s="332"/>
      <c r="N234" s="332"/>
      <c r="O234" s="332"/>
      <c r="P234" s="332"/>
      <c r="Q234" s="332"/>
      <c r="R234" s="332"/>
      <c r="S234" s="22"/>
      <c r="T234" s="305"/>
      <c r="U234" s="305" t="s">
        <v>6949</v>
      </c>
      <c r="V234" s="305"/>
      <c r="W234" s="22"/>
      <c r="X234" s="22"/>
      <c r="Y234" s="22"/>
      <c r="Z234" s="22"/>
      <c r="AA234" s="22"/>
      <c r="AB234" s="332"/>
      <c r="AC234" s="332"/>
      <c r="AD234" s="332"/>
      <c r="AE234" s="332"/>
      <c r="AF234" s="332"/>
      <c r="AG234" s="332"/>
      <c r="AH234" s="332"/>
      <c r="AI234" s="332"/>
      <c r="AJ234" s="332"/>
      <c r="AK234" s="332"/>
      <c r="AL234" s="332"/>
      <c r="AM234" s="334"/>
      <c r="AN234" s="332"/>
      <c r="AO234" s="332"/>
      <c r="AP234" s="332"/>
      <c r="AQ234" s="332"/>
      <c r="AR234" s="332"/>
      <c r="AS234" s="332"/>
      <c r="AT234" s="332"/>
      <c r="AU234" s="332"/>
      <c r="AV234" s="332"/>
      <c r="AW234" s="332"/>
      <c r="AX234" s="332"/>
      <c r="AY234" s="332"/>
      <c r="AZ234" s="332"/>
      <c r="BA234" s="332"/>
      <c r="BB234" s="332"/>
      <c r="BC234" s="332"/>
      <c r="BD234" s="332"/>
      <c r="BE234" s="332"/>
      <c r="BF234" s="332"/>
      <c r="BG234" s="332"/>
      <c r="BH234" s="332"/>
      <c r="BI234" s="332"/>
      <c r="BJ234" s="332"/>
      <c r="BK234" s="332"/>
      <c r="BL234" s="332"/>
      <c r="BM234" s="332"/>
      <c r="BN234" s="332"/>
    </row>
    <row r="235" spans="1:66" ht="17" x14ac:dyDescent="0.15">
      <c r="A235" s="332"/>
      <c r="B235" s="332"/>
      <c r="C235" s="332"/>
      <c r="D235" s="332"/>
      <c r="E235" s="332"/>
      <c r="F235" s="332"/>
      <c r="G235" s="332"/>
      <c r="H235" s="332"/>
      <c r="I235" s="332"/>
      <c r="J235" s="332"/>
      <c r="K235" s="332"/>
      <c r="L235" s="332"/>
      <c r="M235" s="332"/>
      <c r="N235" s="332"/>
      <c r="O235" s="332"/>
      <c r="P235" s="332"/>
      <c r="Q235" s="332"/>
      <c r="R235" s="332"/>
      <c r="S235" s="22"/>
      <c r="T235" s="305"/>
      <c r="U235" s="305" t="s">
        <v>6950</v>
      </c>
      <c r="V235" s="305"/>
      <c r="W235" s="22"/>
      <c r="X235" s="22"/>
      <c r="Y235" s="22"/>
      <c r="Z235" s="22"/>
      <c r="AA235" s="22"/>
      <c r="AB235" s="332"/>
      <c r="AC235" s="332"/>
      <c r="AD235" s="332"/>
      <c r="AE235" s="332"/>
      <c r="AF235" s="332"/>
      <c r="AG235" s="332"/>
      <c r="AH235" s="332"/>
      <c r="AI235" s="332"/>
      <c r="AJ235" s="332"/>
      <c r="AK235" s="332"/>
      <c r="AL235" s="332"/>
      <c r="AM235" s="334"/>
      <c r="AN235" s="332"/>
      <c r="AO235" s="332"/>
      <c r="AP235" s="332"/>
      <c r="AQ235" s="332"/>
      <c r="AR235" s="332"/>
      <c r="AS235" s="332"/>
      <c r="AT235" s="332"/>
      <c r="AU235" s="332"/>
      <c r="AV235" s="332"/>
      <c r="AW235" s="332"/>
      <c r="AX235" s="332"/>
      <c r="AY235" s="332"/>
      <c r="AZ235" s="332"/>
      <c r="BA235" s="332"/>
      <c r="BB235" s="332"/>
      <c r="BC235" s="332"/>
      <c r="BD235" s="332"/>
      <c r="BE235" s="332"/>
      <c r="BF235" s="332"/>
      <c r="BG235" s="332"/>
      <c r="BH235" s="332"/>
      <c r="BI235" s="332"/>
      <c r="BJ235" s="332"/>
      <c r="BK235" s="332"/>
      <c r="BL235" s="332"/>
      <c r="BM235" s="332"/>
      <c r="BN235" s="332"/>
    </row>
    <row r="236" spans="1:66" ht="17" x14ac:dyDescent="0.15">
      <c r="A236" s="332"/>
      <c r="B236" s="332"/>
      <c r="C236" s="332"/>
      <c r="D236" s="332"/>
      <c r="E236" s="332"/>
      <c r="F236" s="332"/>
      <c r="G236" s="332"/>
      <c r="H236" s="332"/>
      <c r="I236" s="332"/>
      <c r="J236" s="332"/>
      <c r="K236" s="332"/>
      <c r="L236" s="332"/>
      <c r="M236" s="332"/>
      <c r="N236" s="332"/>
      <c r="O236" s="332"/>
      <c r="P236" s="332"/>
      <c r="Q236" s="332"/>
      <c r="R236" s="332"/>
      <c r="S236" s="22"/>
      <c r="T236" s="305"/>
      <c r="U236" s="305" t="s">
        <v>6951</v>
      </c>
      <c r="V236" s="305"/>
      <c r="W236" s="22"/>
      <c r="X236" s="22"/>
      <c r="Y236" s="22"/>
      <c r="Z236" s="22"/>
      <c r="AA236" s="22"/>
      <c r="AB236" s="332"/>
      <c r="AC236" s="332"/>
      <c r="AD236" s="332"/>
      <c r="AE236" s="332"/>
      <c r="AF236" s="332"/>
      <c r="AG236" s="332"/>
      <c r="AH236" s="332"/>
      <c r="AI236" s="332"/>
      <c r="AJ236" s="332"/>
      <c r="AK236" s="332"/>
      <c r="AL236" s="332"/>
      <c r="AM236" s="334"/>
      <c r="AN236" s="332"/>
      <c r="AO236" s="332"/>
      <c r="AP236" s="332"/>
      <c r="AQ236" s="332"/>
      <c r="AR236" s="332"/>
      <c r="AS236" s="332"/>
      <c r="AT236" s="332"/>
      <c r="AU236" s="332"/>
      <c r="AV236" s="332"/>
      <c r="AW236" s="332"/>
      <c r="AX236" s="332"/>
      <c r="AY236" s="332"/>
      <c r="AZ236" s="332"/>
      <c r="BA236" s="332"/>
      <c r="BB236" s="332"/>
      <c r="BC236" s="332"/>
      <c r="BD236" s="332"/>
      <c r="BE236" s="332"/>
      <c r="BF236" s="332"/>
      <c r="BG236" s="332"/>
      <c r="BH236" s="332"/>
      <c r="BI236" s="332"/>
      <c r="BJ236" s="332"/>
      <c r="BK236" s="332"/>
      <c r="BL236" s="332"/>
      <c r="BM236" s="332"/>
      <c r="BN236" s="332"/>
    </row>
    <row r="237" spans="1:66" ht="17" x14ac:dyDescent="0.15">
      <c r="A237" s="332"/>
      <c r="B237" s="332"/>
      <c r="C237" s="332"/>
      <c r="D237" s="332"/>
      <c r="E237" s="332"/>
      <c r="F237" s="332"/>
      <c r="G237" s="332"/>
      <c r="H237" s="332"/>
      <c r="I237" s="332"/>
      <c r="J237" s="332"/>
      <c r="K237" s="332"/>
      <c r="L237" s="332"/>
      <c r="M237" s="332"/>
      <c r="N237" s="332"/>
      <c r="O237" s="332"/>
      <c r="P237" s="332"/>
      <c r="Q237" s="332"/>
      <c r="R237" s="332"/>
      <c r="S237" s="22"/>
      <c r="T237" s="305"/>
      <c r="U237" s="305" t="s">
        <v>6952</v>
      </c>
      <c r="V237" s="305"/>
      <c r="W237" s="22"/>
      <c r="X237" s="22"/>
      <c r="Y237" s="22"/>
      <c r="Z237" s="22"/>
      <c r="AA237" s="22"/>
      <c r="AB237" s="332"/>
      <c r="AC237" s="332"/>
      <c r="AD237" s="332"/>
      <c r="AE237" s="332"/>
      <c r="AF237" s="332"/>
      <c r="AG237" s="332"/>
      <c r="AH237" s="332"/>
      <c r="AI237" s="332"/>
      <c r="AJ237" s="332"/>
      <c r="AK237" s="332"/>
      <c r="AL237" s="332"/>
      <c r="AM237" s="334"/>
      <c r="AN237" s="332"/>
      <c r="AO237" s="332"/>
      <c r="AP237" s="332"/>
      <c r="AQ237" s="332"/>
      <c r="AR237" s="332"/>
      <c r="AS237" s="332"/>
      <c r="AT237" s="332"/>
      <c r="AU237" s="332"/>
      <c r="AV237" s="332"/>
      <c r="AW237" s="332"/>
      <c r="AX237" s="332"/>
      <c r="AY237" s="332"/>
      <c r="AZ237" s="332"/>
      <c r="BA237" s="332"/>
      <c r="BB237" s="332"/>
      <c r="BC237" s="332"/>
      <c r="BD237" s="332"/>
      <c r="BE237" s="332"/>
      <c r="BF237" s="332"/>
      <c r="BG237" s="332"/>
      <c r="BH237" s="332"/>
      <c r="BI237" s="332"/>
      <c r="BJ237" s="332"/>
      <c r="BK237" s="332"/>
      <c r="BL237" s="332"/>
      <c r="BM237" s="332"/>
      <c r="BN237" s="332"/>
    </row>
    <row r="238" spans="1:66" ht="17" x14ac:dyDescent="0.15">
      <c r="A238" s="332"/>
      <c r="B238" s="332"/>
      <c r="C238" s="332"/>
      <c r="D238" s="332"/>
      <c r="E238" s="332"/>
      <c r="F238" s="332"/>
      <c r="G238" s="332"/>
      <c r="H238" s="332"/>
      <c r="I238" s="332"/>
      <c r="J238" s="332"/>
      <c r="K238" s="332"/>
      <c r="L238" s="332"/>
      <c r="M238" s="332"/>
      <c r="N238" s="332"/>
      <c r="O238" s="332"/>
      <c r="P238" s="332"/>
      <c r="Q238" s="332"/>
      <c r="R238" s="332"/>
      <c r="S238" s="22"/>
      <c r="T238" s="305"/>
      <c r="U238" s="305" t="s">
        <v>6953</v>
      </c>
      <c r="V238" s="305"/>
      <c r="W238" s="22"/>
      <c r="X238" s="22"/>
      <c r="Y238" s="22"/>
      <c r="Z238" s="22"/>
      <c r="AA238" s="22"/>
      <c r="AB238" s="332"/>
      <c r="AC238" s="332"/>
      <c r="AD238" s="332"/>
      <c r="AE238" s="332"/>
      <c r="AF238" s="332"/>
      <c r="AG238" s="332"/>
      <c r="AH238" s="332"/>
      <c r="AI238" s="332"/>
      <c r="AJ238" s="332"/>
      <c r="AK238" s="332"/>
      <c r="AL238" s="332"/>
      <c r="AM238" s="334"/>
      <c r="AN238" s="332"/>
      <c r="AO238" s="332"/>
      <c r="AP238" s="332"/>
      <c r="AQ238" s="332"/>
      <c r="AR238" s="332"/>
      <c r="AS238" s="332"/>
      <c r="AT238" s="332"/>
      <c r="AU238" s="332"/>
      <c r="AV238" s="332"/>
      <c r="AW238" s="332"/>
      <c r="AX238" s="332"/>
      <c r="AY238" s="332"/>
      <c r="AZ238" s="332"/>
      <c r="BA238" s="332"/>
      <c r="BB238" s="332"/>
      <c r="BC238" s="332"/>
      <c r="BD238" s="332"/>
      <c r="BE238" s="332"/>
      <c r="BF238" s="332"/>
      <c r="BG238" s="332"/>
      <c r="BH238" s="332"/>
      <c r="BI238" s="332"/>
      <c r="BJ238" s="332"/>
      <c r="BK238" s="332"/>
      <c r="BL238" s="332"/>
      <c r="BM238" s="332"/>
      <c r="BN238" s="332"/>
    </row>
    <row r="239" spans="1:66" ht="17" x14ac:dyDescent="0.15">
      <c r="A239" s="332"/>
      <c r="B239" s="332"/>
      <c r="C239" s="332"/>
      <c r="D239" s="332"/>
      <c r="E239" s="332"/>
      <c r="F239" s="332"/>
      <c r="G239" s="332"/>
      <c r="H239" s="332"/>
      <c r="I239" s="332"/>
      <c r="J239" s="332"/>
      <c r="K239" s="332"/>
      <c r="L239" s="332"/>
      <c r="M239" s="332"/>
      <c r="N239" s="332"/>
      <c r="O239" s="332"/>
      <c r="P239" s="332"/>
      <c r="Q239" s="332"/>
      <c r="R239" s="332"/>
      <c r="S239" s="22"/>
      <c r="T239" s="305"/>
      <c r="U239" s="305" t="s">
        <v>6954</v>
      </c>
      <c r="V239" s="305"/>
      <c r="W239" s="22"/>
      <c r="X239" s="22"/>
      <c r="Y239" s="22"/>
      <c r="Z239" s="22"/>
      <c r="AA239" s="22"/>
      <c r="AB239" s="332"/>
      <c r="AC239" s="332"/>
      <c r="AD239" s="332"/>
      <c r="AE239" s="332"/>
      <c r="AF239" s="332"/>
      <c r="AG239" s="332"/>
      <c r="AH239" s="332"/>
      <c r="AI239" s="332"/>
      <c r="AJ239" s="332"/>
      <c r="AK239" s="332"/>
      <c r="AL239" s="332"/>
      <c r="AM239" s="334"/>
      <c r="AN239" s="332"/>
      <c r="AO239" s="332"/>
      <c r="AP239" s="332"/>
      <c r="AQ239" s="332"/>
      <c r="AR239" s="332"/>
      <c r="AS239" s="332"/>
      <c r="AT239" s="332"/>
      <c r="AU239" s="332"/>
      <c r="AV239" s="332"/>
      <c r="AW239" s="332"/>
      <c r="AX239" s="332"/>
      <c r="AY239" s="332"/>
      <c r="AZ239" s="332"/>
      <c r="BA239" s="332"/>
      <c r="BB239" s="332"/>
      <c r="BC239" s="332"/>
      <c r="BD239" s="332"/>
      <c r="BE239" s="332"/>
      <c r="BF239" s="332"/>
      <c r="BG239" s="332"/>
      <c r="BH239" s="332"/>
      <c r="BI239" s="332"/>
      <c r="BJ239" s="332"/>
      <c r="BK239" s="332"/>
      <c r="BL239" s="332"/>
      <c r="BM239" s="332"/>
      <c r="BN239" s="332"/>
    </row>
    <row r="240" spans="1:66" ht="17" x14ac:dyDescent="0.15">
      <c r="A240" s="332"/>
      <c r="B240" s="332"/>
      <c r="C240" s="332"/>
      <c r="D240" s="332"/>
      <c r="E240" s="332"/>
      <c r="F240" s="332"/>
      <c r="G240" s="332"/>
      <c r="H240" s="332"/>
      <c r="I240" s="332"/>
      <c r="J240" s="332"/>
      <c r="K240" s="332"/>
      <c r="L240" s="332"/>
      <c r="M240" s="332"/>
      <c r="N240" s="332"/>
      <c r="O240" s="332"/>
      <c r="P240" s="332"/>
      <c r="Q240" s="332"/>
      <c r="R240" s="332"/>
      <c r="S240" s="22"/>
      <c r="T240" s="305"/>
      <c r="U240" s="305" t="s">
        <v>6955</v>
      </c>
      <c r="V240" s="305"/>
      <c r="W240" s="22"/>
      <c r="X240" s="22"/>
      <c r="Y240" s="22"/>
      <c r="Z240" s="22"/>
      <c r="AA240" s="22"/>
      <c r="AB240" s="332"/>
      <c r="AC240" s="332"/>
      <c r="AD240" s="332"/>
      <c r="AE240" s="332"/>
      <c r="AF240" s="332"/>
      <c r="AG240" s="332"/>
      <c r="AH240" s="332"/>
      <c r="AI240" s="332"/>
      <c r="AJ240" s="332"/>
      <c r="AK240" s="332"/>
      <c r="AL240" s="332"/>
      <c r="AM240" s="334"/>
      <c r="AN240" s="332"/>
      <c r="AO240" s="332"/>
      <c r="AP240" s="332"/>
      <c r="AQ240" s="332"/>
      <c r="AR240" s="332"/>
      <c r="AS240" s="332"/>
      <c r="AT240" s="332"/>
      <c r="AU240" s="332"/>
      <c r="AV240" s="332"/>
      <c r="AW240" s="332"/>
      <c r="AX240" s="332"/>
      <c r="AY240" s="332"/>
      <c r="AZ240" s="332"/>
      <c r="BA240" s="332"/>
      <c r="BB240" s="332"/>
      <c r="BC240" s="332"/>
      <c r="BD240" s="332"/>
      <c r="BE240" s="332"/>
      <c r="BF240" s="332"/>
      <c r="BG240" s="332"/>
      <c r="BH240" s="332"/>
      <c r="BI240" s="332"/>
      <c r="BJ240" s="332"/>
      <c r="BK240" s="332"/>
      <c r="BL240" s="332"/>
      <c r="BM240" s="332"/>
      <c r="BN240" s="332"/>
    </row>
    <row r="241" spans="1:66" ht="17" x14ac:dyDescent="0.15">
      <c r="A241" s="332"/>
      <c r="B241" s="332"/>
      <c r="C241" s="332"/>
      <c r="D241" s="332"/>
      <c r="E241" s="332"/>
      <c r="F241" s="332"/>
      <c r="G241" s="332"/>
      <c r="H241" s="332"/>
      <c r="I241" s="332"/>
      <c r="J241" s="332"/>
      <c r="K241" s="332"/>
      <c r="L241" s="332"/>
      <c r="M241" s="332"/>
      <c r="N241" s="332"/>
      <c r="O241" s="332"/>
      <c r="P241" s="332"/>
      <c r="Q241" s="332"/>
      <c r="R241" s="332"/>
      <c r="S241" s="22"/>
      <c r="T241" s="305"/>
      <c r="U241" s="305" t="s">
        <v>6956</v>
      </c>
      <c r="V241" s="305"/>
      <c r="W241" s="22"/>
      <c r="X241" s="22"/>
      <c r="Y241" s="22"/>
      <c r="Z241" s="22"/>
      <c r="AA241" s="22"/>
      <c r="AB241" s="332"/>
      <c r="AC241" s="332"/>
      <c r="AD241" s="332"/>
      <c r="AE241" s="332"/>
      <c r="AF241" s="332"/>
      <c r="AG241" s="332"/>
      <c r="AH241" s="332"/>
      <c r="AI241" s="332"/>
      <c r="AJ241" s="332"/>
      <c r="AK241" s="332"/>
      <c r="AL241" s="332"/>
      <c r="AM241" s="334"/>
      <c r="AN241" s="332"/>
      <c r="AO241" s="332"/>
      <c r="AP241" s="332"/>
      <c r="AQ241" s="332"/>
      <c r="AR241" s="332"/>
      <c r="AS241" s="332"/>
      <c r="AT241" s="332"/>
      <c r="AU241" s="332"/>
      <c r="AV241" s="332"/>
      <c r="AW241" s="332"/>
      <c r="AX241" s="332"/>
      <c r="AY241" s="332"/>
      <c r="AZ241" s="332"/>
      <c r="BA241" s="332"/>
      <c r="BB241" s="332"/>
      <c r="BC241" s="332"/>
      <c r="BD241" s="332"/>
      <c r="BE241" s="332"/>
      <c r="BF241" s="332"/>
      <c r="BG241" s="332"/>
      <c r="BH241" s="332"/>
      <c r="BI241" s="332"/>
      <c r="BJ241" s="332"/>
      <c r="BK241" s="332"/>
      <c r="BL241" s="332"/>
      <c r="BM241" s="332"/>
      <c r="BN241" s="332"/>
    </row>
    <row r="242" spans="1:66" ht="17" x14ac:dyDescent="0.15">
      <c r="A242" s="332"/>
      <c r="B242" s="332"/>
      <c r="C242" s="332"/>
      <c r="D242" s="332"/>
      <c r="E242" s="332"/>
      <c r="F242" s="332"/>
      <c r="G242" s="332"/>
      <c r="H242" s="332"/>
      <c r="I242" s="332"/>
      <c r="J242" s="332"/>
      <c r="K242" s="332"/>
      <c r="L242" s="332"/>
      <c r="M242" s="332"/>
      <c r="N242" s="332"/>
      <c r="O242" s="332"/>
      <c r="P242" s="332"/>
      <c r="Q242" s="332"/>
      <c r="R242" s="332"/>
      <c r="S242" s="22"/>
      <c r="T242" s="305"/>
      <c r="U242" s="305" t="s">
        <v>6957</v>
      </c>
      <c r="V242" s="305"/>
      <c r="W242" s="22"/>
      <c r="X242" s="22"/>
      <c r="Y242" s="22"/>
      <c r="Z242" s="22"/>
      <c r="AA242" s="22"/>
      <c r="AB242" s="332"/>
      <c r="AC242" s="332"/>
      <c r="AD242" s="332"/>
      <c r="AE242" s="332"/>
      <c r="AF242" s="332"/>
      <c r="AG242" s="332"/>
      <c r="AH242" s="332"/>
      <c r="AI242" s="332"/>
      <c r="AJ242" s="332"/>
      <c r="AK242" s="332"/>
      <c r="AL242" s="332"/>
      <c r="AM242" s="334"/>
      <c r="AN242" s="332"/>
      <c r="AO242" s="332"/>
      <c r="AP242" s="332"/>
      <c r="AQ242" s="332"/>
      <c r="AR242" s="332"/>
      <c r="AS242" s="332"/>
      <c r="AT242" s="332"/>
      <c r="AU242" s="332"/>
      <c r="AV242" s="332"/>
      <c r="AW242" s="332"/>
      <c r="AX242" s="332"/>
      <c r="AY242" s="332"/>
      <c r="AZ242" s="332"/>
      <c r="BA242" s="332"/>
      <c r="BB242" s="332"/>
      <c r="BC242" s="332"/>
      <c r="BD242" s="332"/>
      <c r="BE242" s="332"/>
      <c r="BF242" s="332"/>
      <c r="BG242" s="332"/>
      <c r="BH242" s="332"/>
      <c r="BI242" s="332"/>
      <c r="BJ242" s="332"/>
      <c r="BK242" s="332"/>
      <c r="BL242" s="332"/>
      <c r="BM242" s="332"/>
      <c r="BN242" s="332"/>
    </row>
    <row r="243" spans="1:66" ht="17" x14ac:dyDescent="0.15">
      <c r="A243" s="332"/>
      <c r="B243" s="332"/>
      <c r="C243" s="332"/>
      <c r="D243" s="332"/>
      <c r="E243" s="332"/>
      <c r="F243" s="332"/>
      <c r="G243" s="332"/>
      <c r="H243" s="332"/>
      <c r="I243" s="332"/>
      <c r="J243" s="332"/>
      <c r="K243" s="332"/>
      <c r="L243" s="332"/>
      <c r="M243" s="332"/>
      <c r="N243" s="332"/>
      <c r="O243" s="332"/>
      <c r="P243" s="332"/>
      <c r="Q243" s="332"/>
      <c r="R243" s="332"/>
      <c r="S243" s="22"/>
      <c r="T243" s="305"/>
      <c r="U243" s="305" t="s">
        <v>6958</v>
      </c>
      <c r="V243" s="305"/>
      <c r="W243" s="22"/>
      <c r="X243" s="22"/>
      <c r="Y243" s="22"/>
      <c r="Z243" s="22"/>
      <c r="AA243" s="22"/>
      <c r="AB243" s="332"/>
      <c r="AC243" s="332"/>
      <c r="AD243" s="332"/>
      <c r="AE243" s="332"/>
      <c r="AF243" s="332"/>
      <c r="AG243" s="332"/>
      <c r="AH243" s="332"/>
      <c r="AI243" s="332"/>
      <c r="AJ243" s="332"/>
      <c r="AK243" s="332"/>
      <c r="AL243" s="332"/>
      <c r="AM243" s="334"/>
      <c r="AN243" s="332"/>
      <c r="AO243" s="332"/>
      <c r="AP243" s="332"/>
      <c r="AQ243" s="332"/>
      <c r="AR243" s="332"/>
      <c r="AS243" s="332"/>
      <c r="AT243" s="332"/>
      <c r="AU243" s="332"/>
      <c r="AV243" s="332"/>
      <c r="AW243" s="332"/>
      <c r="AX243" s="332"/>
      <c r="AY243" s="332"/>
      <c r="AZ243" s="332"/>
      <c r="BA243" s="332"/>
      <c r="BB243" s="332"/>
      <c r="BC243" s="332"/>
      <c r="BD243" s="332"/>
      <c r="BE243" s="332"/>
      <c r="BF243" s="332"/>
      <c r="BG243" s="332"/>
      <c r="BH243" s="332"/>
      <c r="BI243" s="332"/>
      <c r="BJ243" s="332"/>
      <c r="BK243" s="332"/>
      <c r="BL243" s="332"/>
      <c r="BM243" s="332"/>
      <c r="BN243" s="332"/>
    </row>
    <row r="244" spans="1:66" ht="17" x14ac:dyDescent="0.15">
      <c r="A244" s="332"/>
      <c r="B244" s="332"/>
      <c r="C244" s="332"/>
      <c r="D244" s="332"/>
      <c r="E244" s="332"/>
      <c r="F244" s="332"/>
      <c r="G244" s="332"/>
      <c r="H244" s="332"/>
      <c r="I244" s="332"/>
      <c r="J244" s="332"/>
      <c r="K244" s="332"/>
      <c r="L244" s="332"/>
      <c r="M244" s="332"/>
      <c r="N244" s="332"/>
      <c r="O244" s="332"/>
      <c r="P244" s="332"/>
      <c r="Q244" s="332"/>
      <c r="R244" s="332"/>
      <c r="S244" s="22"/>
      <c r="T244" s="305"/>
      <c r="U244" s="305" t="s">
        <v>6959</v>
      </c>
      <c r="V244" s="305"/>
      <c r="W244" s="22"/>
      <c r="X244" s="22"/>
      <c r="Y244" s="22"/>
      <c r="Z244" s="22"/>
      <c r="AA244" s="22"/>
      <c r="AB244" s="332"/>
      <c r="AC244" s="332"/>
      <c r="AD244" s="332"/>
      <c r="AE244" s="332"/>
      <c r="AF244" s="332"/>
      <c r="AG244" s="332"/>
      <c r="AH244" s="332"/>
      <c r="AI244" s="332"/>
      <c r="AJ244" s="332"/>
      <c r="AK244" s="332"/>
      <c r="AL244" s="332"/>
      <c r="AM244" s="334"/>
      <c r="AN244" s="332"/>
      <c r="AO244" s="332"/>
      <c r="AP244" s="332"/>
      <c r="AQ244" s="332"/>
      <c r="AR244" s="332"/>
      <c r="AS244" s="332"/>
      <c r="AT244" s="332"/>
      <c r="AU244" s="332"/>
      <c r="AV244" s="332"/>
      <c r="AW244" s="332"/>
      <c r="AX244" s="332"/>
      <c r="AY244" s="332"/>
      <c r="AZ244" s="332"/>
      <c r="BA244" s="332"/>
      <c r="BB244" s="332"/>
      <c r="BC244" s="332"/>
      <c r="BD244" s="332"/>
      <c r="BE244" s="332"/>
      <c r="BF244" s="332"/>
      <c r="BG244" s="332"/>
      <c r="BH244" s="332"/>
      <c r="BI244" s="332"/>
      <c r="BJ244" s="332"/>
      <c r="BK244" s="332"/>
      <c r="BL244" s="332"/>
      <c r="BM244" s="332"/>
      <c r="BN244" s="332"/>
    </row>
    <row r="245" spans="1:66" ht="17" x14ac:dyDescent="0.15">
      <c r="A245" s="332"/>
      <c r="B245" s="332"/>
      <c r="C245" s="332"/>
      <c r="D245" s="332"/>
      <c r="E245" s="332"/>
      <c r="F245" s="332"/>
      <c r="G245" s="332"/>
      <c r="H245" s="332"/>
      <c r="I245" s="332"/>
      <c r="J245" s="332"/>
      <c r="K245" s="332"/>
      <c r="L245" s="332"/>
      <c r="M245" s="332"/>
      <c r="N245" s="332"/>
      <c r="O245" s="332"/>
      <c r="P245" s="332"/>
      <c r="Q245" s="332"/>
      <c r="R245" s="332"/>
      <c r="S245" s="22"/>
      <c r="T245" s="305"/>
      <c r="U245" s="305" t="s">
        <v>6960</v>
      </c>
      <c r="V245" s="305"/>
      <c r="W245" s="22"/>
      <c r="X245" s="22"/>
      <c r="Y245" s="22"/>
      <c r="Z245" s="22"/>
      <c r="AA245" s="22"/>
      <c r="AB245" s="332"/>
      <c r="AC245" s="332"/>
      <c r="AD245" s="332"/>
      <c r="AE245" s="332"/>
      <c r="AF245" s="332"/>
      <c r="AG245" s="332"/>
      <c r="AH245" s="332"/>
      <c r="AI245" s="332"/>
      <c r="AJ245" s="332"/>
      <c r="AK245" s="332"/>
      <c r="AL245" s="332"/>
      <c r="AM245" s="334"/>
      <c r="AN245" s="332"/>
      <c r="AO245" s="332"/>
      <c r="AP245" s="332"/>
      <c r="AQ245" s="332"/>
      <c r="AR245" s="332"/>
      <c r="AS245" s="332"/>
      <c r="AT245" s="332"/>
      <c r="AU245" s="332"/>
      <c r="AV245" s="332"/>
      <c r="AW245" s="332"/>
      <c r="AX245" s="332"/>
      <c r="AY245" s="332"/>
      <c r="AZ245" s="332"/>
      <c r="BA245" s="332"/>
      <c r="BB245" s="332"/>
      <c r="BC245" s="332"/>
      <c r="BD245" s="332"/>
      <c r="BE245" s="332"/>
      <c r="BF245" s="332"/>
      <c r="BG245" s="332"/>
      <c r="BH245" s="332"/>
      <c r="BI245" s="332"/>
      <c r="BJ245" s="332"/>
      <c r="BK245" s="332"/>
      <c r="BL245" s="332"/>
      <c r="BM245" s="332"/>
      <c r="BN245" s="332"/>
    </row>
    <row r="246" spans="1:66" ht="17" x14ac:dyDescent="0.15">
      <c r="A246" s="332"/>
      <c r="B246" s="332"/>
      <c r="C246" s="332"/>
      <c r="D246" s="332"/>
      <c r="E246" s="332"/>
      <c r="F246" s="332"/>
      <c r="G246" s="332"/>
      <c r="H246" s="332"/>
      <c r="I246" s="332"/>
      <c r="J246" s="332"/>
      <c r="K246" s="332"/>
      <c r="L246" s="332"/>
      <c r="M246" s="332"/>
      <c r="N246" s="332"/>
      <c r="O246" s="332"/>
      <c r="P246" s="332"/>
      <c r="Q246" s="332"/>
      <c r="R246" s="332"/>
      <c r="S246" s="22"/>
      <c r="T246" s="305"/>
      <c r="U246" s="305" t="s">
        <v>6961</v>
      </c>
      <c r="V246" s="305"/>
      <c r="W246" s="22"/>
      <c r="X246" s="22"/>
      <c r="Y246" s="22"/>
      <c r="Z246" s="22"/>
      <c r="AA246" s="22"/>
      <c r="AB246" s="332"/>
      <c r="AC246" s="332"/>
      <c r="AD246" s="332"/>
      <c r="AE246" s="332"/>
      <c r="AF246" s="332"/>
      <c r="AG246" s="332"/>
      <c r="AH246" s="332"/>
      <c r="AI246" s="332"/>
      <c r="AJ246" s="332"/>
      <c r="AK246" s="332"/>
      <c r="AL246" s="332"/>
      <c r="AM246" s="334"/>
      <c r="AN246" s="332"/>
      <c r="AO246" s="332"/>
      <c r="AP246" s="332"/>
      <c r="AQ246" s="332"/>
      <c r="AR246" s="332"/>
      <c r="AS246" s="332"/>
      <c r="AT246" s="332"/>
      <c r="AU246" s="332"/>
      <c r="AV246" s="332"/>
      <c r="AW246" s="332"/>
      <c r="AX246" s="332"/>
      <c r="AY246" s="332"/>
      <c r="AZ246" s="332"/>
      <c r="BA246" s="332"/>
      <c r="BB246" s="332"/>
      <c r="BC246" s="332"/>
      <c r="BD246" s="332"/>
      <c r="BE246" s="332"/>
      <c r="BF246" s="332"/>
      <c r="BG246" s="332"/>
      <c r="BH246" s="332"/>
      <c r="BI246" s="332"/>
      <c r="BJ246" s="332"/>
      <c r="BK246" s="332"/>
      <c r="BL246" s="332"/>
      <c r="BM246" s="332"/>
      <c r="BN246" s="332"/>
    </row>
    <row r="247" spans="1:66" ht="17" x14ac:dyDescent="0.15">
      <c r="A247" s="332"/>
      <c r="B247" s="332"/>
      <c r="C247" s="332"/>
      <c r="D247" s="332"/>
      <c r="E247" s="332"/>
      <c r="F247" s="332"/>
      <c r="G247" s="332"/>
      <c r="H247" s="332"/>
      <c r="I247" s="332"/>
      <c r="J247" s="332"/>
      <c r="K247" s="332"/>
      <c r="L247" s="332"/>
      <c r="M247" s="332"/>
      <c r="N247" s="332"/>
      <c r="O247" s="332"/>
      <c r="P247" s="332"/>
      <c r="Q247" s="332"/>
      <c r="R247" s="332"/>
      <c r="S247" s="22"/>
      <c r="T247" s="305"/>
      <c r="U247" s="305" t="s">
        <v>6962</v>
      </c>
      <c r="V247" s="305"/>
      <c r="W247" s="22"/>
      <c r="X247" s="22"/>
      <c r="Y247" s="22"/>
      <c r="Z247" s="22"/>
      <c r="AA247" s="22"/>
      <c r="AB247" s="332"/>
      <c r="AC247" s="332"/>
      <c r="AD247" s="332"/>
      <c r="AE247" s="332"/>
      <c r="AF247" s="332"/>
      <c r="AG247" s="332"/>
      <c r="AH247" s="332"/>
      <c r="AI247" s="332"/>
      <c r="AJ247" s="332"/>
      <c r="AK247" s="332"/>
      <c r="AL247" s="332"/>
      <c r="AM247" s="334"/>
      <c r="AN247" s="332"/>
      <c r="AO247" s="332"/>
      <c r="AP247" s="332"/>
      <c r="AQ247" s="332"/>
      <c r="AR247" s="332"/>
      <c r="AS247" s="332"/>
      <c r="AT247" s="332"/>
      <c r="AU247" s="332"/>
      <c r="AV247" s="332"/>
      <c r="AW247" s="332"/>
      <c r="AX247" s="332"/>
      <c r="AY247" s="332"/>
      <c r="AZ247" s="332"/>
      <c r="BA247" s="332"/>
      <c r="BB247" s="332"/>
      <c r="BC247" s="332"/>
      <c r="BD247" s="332"/>
      <c r="BE247" s="332"/>
      <c r="BF247" s="332"/>
      <c r="BG247" s="332"/>
      <c r="BH247" s="332"/>
      <c r="BI247" s="332"/>
      <c r="BJ247" s="332"/>
      <c r="BK247" s="332"/>
      <c r="BL247" s="332"/>
      <c r="BM247" s="332"/>
      <c r="BN247" s="332"/>
    </row>
    <row r="248" spans="1:66" ht="17" x14ac:dyDescent="0.15">
      <c r="A248" s="332"/>
      <c r="B248" s="332"/>
      <c r="C248" s="332"/>
      <c r="D248" s="332"/>
      <c r="E248" s="332"/>
      <c r="F248" s="332"/>
      <c r="G248" s="332"/>
      <c r="H248" s="332"/>
      <c r="I248" s="332"/>
      <c r="J248" s="332"/>
      <c r="K248" s="332"/>
      <c r="L248" s="332"/>
      <c r="M248" s="332"/>
      <c r="N248" s="332"/>
      <c r="O248" s="332"/>
      <c r="P248" s="332"/>
      <c r="Q248" s="332"/>
      <c r="R248" s="332"/>
      <c r="S248" s="22"/>
      <c r="T248" s="305"/>
      <c r="U248" s="305" t="s">
        <v>6963</v>
      </c>
      <c r="V248" s="305"/>
      <c r="W248" s="22"/>
      <c r="X248" s="22"/>
      <c r="Y248" s="22"/>
      <c r="Z248" s="22"/>
      <c r="AA248" s="22"/>
      <c r="AB248" s="332"/>
      <c r="AC248" s="332"/>
      <c r="AD248" s="332"/>
      <c r="AE248" s="332"/>
      <c r="AF248" s="332"/>
      <c r="AG248" s="332"/>
      <c r="AH248" s="332"/>
      <c r="AI248" s="332"/>
      <c r="AJ248" s="332"/>
      <c r="AK248" s="332"/>
      <c r="AL248" s="332"/>
      <c r="AM248" s="334"/>
      <c r="AN248" s="332"/>
      <c r="AO248" s="332"/>
      <c r="AP248" s="332"/>
      <c r="AQ248" s="332"/>
      <c r="AR248" s="332"/>
      <c r="AS248" s="332"/>
      <c r="AT248" s="332"/>
      <c r="AU248" s="332"/>
      <c r="AV248" s="332"/>
      <c r="AW248" s="332"/>
      <c r="AX248" s="332"/>
      <c r="AY248" s="332"/>
      <c r="AZ248" s="332"/>
      <c r="BA248" s="332"/>
      <c r="BB248" s="332"/>
      <c r="BC248" s="332"/>
      <c r="BD248" s="332"/>
      <c r="BE248" s="332"/>
      <c r="BF248" s="332"/>
      <c r="BG248" s="332"/>
      <c r="BH248" s="332"/>
      <c r="BI248" s="332"/>
      <c r="BJ248" s="332"/>
      <c r="BK248" s="332"/>
      <c r="BL248" s="332"/>
      <c r="BM248" s="332"/>
      <c r="BN248" s="332"/>
    </row>
    <row r="249" spans="1:66" ht="17" x14ac:dyDescent="0.15">
      <c r="A249" s="332"/>
      <c r="B249" s="332"/>
      <c r="C249" s="332"/>
      <c r="D249" s="332"/>
      <c r="E249" s="332"/>
      <c r="F249" s="332"/>
      <c r="G249" s="332"/>
      <c r="H249" s="332"/>
      <c r="I249" s="332"/>
      <c r="J249" s="332"/>
      <c r="K249" s="332"/>
      <c r="L249" s="332"/>
      <c r="M249" s="332"/>
      <c r="N249" s="332"/>
      <c r="O249" s="332"/>
      <c r="P249" s="332"/>
      <c r="Q249" s="332"/>
      <c r="R249" s="332"/>
      <c r="S249" s="22"/>
      <c r="T249" s="305"/>
      <c r="U249" s="305" t="s">
        <v>6964</v>
      </c>
      <c r="V249" s="305"/>
      <c r="W249" s="22"/>
      <c r="X249" s="22"/>
      <c r="Y249" s="22"/>
      <c r="Z249" s="22"/>
      <c r="AA249" s="22"/>
      <c r="AB249" s="332"/>
      <c r="AC249" s="332"/>
      <c r="AD249" s="332"/>
      <c r="AE249" s="332"/>
      <c r="AF249" s="332"/>
      <c r="AG249" s="332"/>
      <c r="AH249" s="332"/>
      <c r="AI249" s="332"/>
      <c r="AJ249" s="332"/>
      <c r="AK249" s="332"/>
      <c r="AL249" s="332"/>
      <c r="AM249" s="334"/>
      <c r="AN249" s="332"/>
      <c r="AO249" s="332"/>
      <c r="AP249" s="332"/>
      <c r="AQ249" s="332"/>
      <c r="AR249" s="332"/>
      <c r="AS249" s="332"/>
      <c r="AT249" s="332"/>
      <c r="AU249" s="332"/>
      <c r="AV249" s="332"/>
      <c r="AW249" s="332"/>
      <c r="AX249" s="332"/>
      <c r="AY249" s="332"/>
      <c r="AZ249" s="332"/>
      <c r="BA249" s="332"/>
      <c r="BB249" s="332"/>
      <c r="BC249" s="332"/>
      <c r="BD249" s="332"/>
      <c r="BE249" s="332"/>
      <c r="BF249" s="332"/>
      <c r="BG249" s="332"/>
      <c r="BH249" s="332"/>
      <c r="BI249" s="332"/>
      <c r="BJ249" s="332"/>
      <c r="BK249" s="332"/>
      <c r="BL249" s="332"/>
      <c r="BM249" s="332"/>
      <c r="BN249" s="332"/>
    </row>
    <row r="250" spans="1:66" ht="17" x14ac:dyDescent="0.15">
      <c r="A250" s="332"/>
      <c r="B250" s="332"/>
      <c r="C250" s="332"/>
      <c r="D250" s="332"/>
      <c r="E250" s="332"/>
      <c r="F250" s="332"/>
      <c r="G250" s="332"/>
      <c r="H250" s="332"/>
      <c r="I250" s="332"/>
      <c r="J250" s="332"/>
      <c r="K250" s="332"/>
      <c r="L250" s="332"/>
      <c r="M250" s="332"/>
      <c r="N250" s="332"/>
      <c r="O250" s="332"/>
      <c r="P250" s="332"/>
      <c r="Q250" s="332"/>
      <c r="R250" s="332"/>
      <c r="S250" s="22"/>
      <c r="T250" s="305"/>
      <c r="U250" s="305" t="s">
        <v>6965</v>
      </c>
      <c r="V250" s="305"/>
      <c r="W250" s="22"/>
      <c r="X250" s="22"/>
      <c r="Y250" s="22"/>
      <c r="Z250" s="22"/>
      <c r="AA250" s="22"/>
      <c r="AB250" s="332"/>
      <c r="AC250" s="332"/>
      <c r="AD250" s="332"/>
      <c r="AE250" s="332"/>
      <c r="AF250" s="332"/>
      <c r="AG250" s="332"/>
      <c r="AH250" s="332"/>
      <c r="AI250" s="332"/>
      <c r="AJ250" s="332"/>
      <c r="AK250" s="332"/>
      <c r="AL250" s="332"/>
      <c r="AM250" s="334"/>
      <c r="AN250" s="332"/>
      <c r="AO250" s="332"/>
      <c r="AP250" s="332"/>
      <c r="AQ250" s="332"/>
      <c r="AR250" s="332"/>
      <c r="AS250" s="332"/>
      <c r="AT250" s="332"/>
      <c r="AU250" s="332"/>
      <c r="AV250" s="332"/>
      <c r="AW250" s="332"/>
      <c r="AX250" s="332"/>
      <c r="AY250" s="332"/>
      <c r="AZ250" s="332"/>
      <c r="BA250" s="332"/>
      <c r="BB250" s="332"/>
      <c r="BC250" s="332"/>
      <c r="BD250" s="332"/>
      <c r="BE250" s="332"/>
      <c r="BF250" s="332"/>
      <c r="BG250" s="332"/>
      <c r="BH250" s="332"/>
      <c r="BI250" s="332"/>
      <c r="BJ250" s="332"/>
      <c r="BK250" s="332"/>
      <c r="BL250" s="332"/>
      <c r="BM250" s="332"/>
      <c r="BN250" s="332"/>
    </row>
    <row r="251" spans="1:66" ht="17" x14ac:dyDescent="0.15">
      <c r="A251" s="332"/>
      <c r="B251" s="332"/>
      <c r="C251" s="332"/>
      <c r="D251" s="332"/>
      <c r="E251" s="332"/>
      <c r="F251" s="332"/>
      <c r="G251" s="332"/>
      <c r="H251" s="332"/>
      <c r="I251" s="332"/>
      <c r="J251" s="332"/>
      <c r="K251" s="332"/>
      <c r="L251" s="332"/>
      <c r="M251" s="332"/>
      <c r="N251" s="332"/>
      <c r="O251" s="332"/>
      <c r="P251" s="332"/>
      <c r="Q251" s="332"/>
      <c r="R251" s="332"/>
      <c r="S251" s="22"/>
      <c r="T251" s="305"/>
      <c r="U251" s="305" t="s">
        <v>6966</v>
      </c>
      <c r="V251" s="305"/>
      <c r="W251" s="22"/>
      <c r="X251" s="22"/>
      <c r="Y251" s="22"/>
      <c r="Z251" s="22"/>
      <c r="AA251" s="22"/>
      <c r="AB251" s="332"/>
      <c r="AC251" s="332"/>
      <c r="AD251" s="332"/>
      <c r="AE251" s="332"/>
      <c r="AF251" s="332"/>
      <c r="AG251" s="332"/>
      <c r="AH251" s="332"/>
      <c r="AI251" s="332"/>
      <c r="AJ251" s="332"/>
      <c r="AK251" s="332"/>
      <c r="AL251" s="332"/>
      <c r="AM251" s="334"/>
      <c r="AN251" s="332"/>
      <c r="AO251" s="332"/>
      <c r="AP251" s="332"/>
      <c r="AQ251" s="332"/>
      <c r="AR251" s="332"/>
      <c r="AS251" s="332"/>
      <c r="AT251" s="332"/>
      <c r="AU251" s="332"/>
      <c r="AV251" s="332"/>
      <c r="AW251" s="332"/>
      <c r="AX251" s="332"/>
      <c r="AY251" s="332"/>
      <c r="AZ251" s="332"/>
      <c r="BA251" s="332"/>
      <c r="BB251" s="332"/>
      <c r="BC251" s="332"/>
      <c r="BD251" s="332"/>
      <c r="BE251" s="332"/>
      <c r="BF251" s="332"/>
      <c r="BG251" s="332"/>
      <c r="BH251" s="332"/>
      <c r="BI251" s="332"/>
      <c r="BJ251" s="332"/>
      <c r="BK251" s="332"/>
      <c r="BL251" s="332"/>
      <c r="BM251" s="332"/>
      <c r="BN251" s="332"/>
    </row>
    <row r="252" spans="1:66" ht="17" x14ac:dyDescent="0.15">
      <c r="A252" s="332"/>
      <c r="B252" s="332"/>
      <c r="C252" s="332"/>
      <c r="D252" s="332"/>
      <c r="E252" s="332"/>
      <c r="F252" s="332"/>
      <c r="G252" s="332"/>
      <c r="H252" s="332"/>
      <c r="I252" s="332"/>
      <c r="J252" s="332"/>
      <c r="K252" s="332"/>
      <c r="L252" s="332"/>
      <c r="M252" s="332"/>
      <c r="N252" s="332"/>
      <c r="O252" s="332"/>
      <c r="P252" s="332"/>
      <c r="Q252" s="332"/>
      <c r="R252" s="332"/>
      <c r="S252" s="22"/>
      <c r="T252" s="305"/>
      <c r="U252" s="305" t="s">
        <v>6967</v>
      </c>
      <c r="V252" s="305"/>
      <c r="W252" s="22"/>
      <c r="X252" s="22"/>
      <c r="Y252" s="22"/>
      <c r="Z252" s="22"/>
      <c r="AA252" s="22"/>
      <c r="AB252" s="332"/>
      <c r="AC252" s="332"/>
      <c r="AD252" s="332"/>
      <c r="AE252" s="332"/>
      <c r="AF252" s="332"/>
      <c r="AG252" s="332"/>
      <c r="AH252" s="332"/>
      <c r="AI252" s="332"/>
      <c r="AJ252" s="332"/>
      <c r="AK252" s="332"/>
      <c r="AL252" s="332"/>
      <c r="AM252" s="334"/>
      <c r="AN252" s="332"/>
      <c r="AO252" s="332"/>
      <c r="AP252" s="332"/>
      <c r="AQ252" s="332"/>
      <c r="AR252" s="332"/>
      <c r="AS252" s="332"/>
      <c r="AT252" s="332"/>
      <c r="AU252" s="332"/>
      <c r="AV252" s="332"/>
      <c r="AW252" s="332"/>
      <c r="AX252" s="332"/>
      <c r="AY252" s="332"/>
      <c r="AZ252" s="332"/>
      <c r="BA252" s="332"/>
      <c r="BB252" s="332"/>
      <c r="BC252" s="332"/>
      <c r="BD252" s="332"/>
      <c r="BE252" s="332"/>
      <c r="BF252" s="332"/>
      <c r="BG252" s="332"/>
      <c r="BH252" s="332"/>
      <c r="BI252" s="332"/>
      <c r="BJ252" s="332"/>
      <c r="BK252" s="332"/>
      <c r="BL252" s="332"/>
      <c r="BM252" s="332"/>
      <c r="BN252" s="332"/>
    </row>
    <row r="253" spans="1:66" ht="17" x14ac:dyDescent="0.15">
      <c r="A253" s="332"/>
      <c r="B253" s="332"/>
      <c r="C253" s="332"/>
      <c r="D253" s="332"/>
      <c r="E253" s="332"/>
      <c r="F253" s="332"/>
      <c r="G253" s="332"/>
      <c r="H253" s="332"/>
      <c r="I253" s="332"/>
      <c r="J253" s="332"/>
      <c r="K253" s="332"/>
      <c r="L253" s="332"/>
      <c r="M253" s="332"/>
      <c r="N253" s="332"/>
      <c r="O253" s="332"/>
      <c r="P253" s="332"/>
      <c r="Q253" s="332"/>
      <c r="R253" s="332"/>
      <c r="S253" s="22"/>
      <c r="T253" s="305"/>
      <c r="U253" s="305" t="s">
        <v>6968</v>
      </c>
      <c r="V253" s="305"/>
      <c r="W253" s="22"/>
      <c r="X253" s="22"/>
      <c r="Y253" s="22"/>
      <c r="Z253" s="22"/>
      <c r="AA253" s="22"/>
      <c r="AB253" s="332"/>
      <c r="AC253" s="332"/>
      <c r="AD253" s="332"/>
      <c r="AE253" s="332"/>
      <c r="AF253" s="332"/>
      <c r="AG253" s="332"/>
      <c r="AH253" s="332"/>
      <c r="AI253" s="332"/>
      <c r="AJ253" s="332"/>
      <c r="AK253" s="332"/>
      <c r="AL253" s="332"/>
      <c r="AM253" s="334"/>
      <c r="AN253" s="332"/>
      <c r="AO253" s="332"/>
      <c r="AP253" s="332"/>
      <c r="AQ253" s="332"/>
      <c r="AR253" s="332"/>
      <c r="AS253" s="332"/>
      <c r="AT253" s="332"/>
      <c r="AU253" s="332"/>
      <c r="AV253" s="332"/>
      <c r="AW253" s="332"/>
      <c r="AX253" s="332"/>
      <c r="AY253" s="332"/>
      <c r="AZ253" s="332"/>
      <c r="BA253" s="332"/>
      <c r="BB253" s="332"/>
      <c r="BC253" s="332"/>
      <c r="BD253" s="332"/>
      <c r="BE253" s="332"/>
      <c r="BF253" s="332"/>
      <c r="BG253" s="332"/>
      <c r="BH253" s="332"/>
      <c r="BI253" s="332"/>
      <c r="BJ253" s="332"/>
      <c r="BK253" s="332"/>
      <c r="BL253" s="332"/>
      <c r="BM253" s="332"/>
      <c r="BN253" s="332"/>
    </row>
    <row r="254" spans="1:66" ht="17" x14ac:dyDescent="0.15">
      <c r="A254" s="332"/>
      <c r="B254" s="332"/>
      <c r="C254" s="332"/>
      <c r="D254" s="332"/>
      <c r="E254" s="332"/>
      <c r="F254" s="332"/>
      <c r="G254" s="332"/>
      <c r="H254" s="332"/>
      <c r="I254" s="332"/>
      <c r="J254" s="332"/>
      <c r="K254" s="332"/>
      <c r="L254" s="332"/>
      <c r="M254" s="332"/>
      <c r="N254" s="332"/>
      <c r="O254" s="332"/>
      <c r="P254" s="332"/>
      <c r="Q254" s="332"/>
      <c r="R254" s="332"/>
      <c r="S254" s="22"/>
      <c r="T254" s="305"/>
      <c r="U254" s="305" t="s">
        <v>6969</v>
      </c>
      <c r="V254" s="305"/>
      <c r="W254" s="22"/>
      <c r="X254" s="22"/>
      <c r="Y254" s="22"/>
      <c r="Z254" s="22"/>
      <c r="AA254" s="22"/>
      <c r="AB254" s="332"/>
      <c r="AC254" s="332"/>
      <c r="AD254" s="332"/>
      <c r="AE254" s="332"/>
      <c r="AF254" s="332"/>
      <c r="AG254" s="332"/>
      <c r="AH254" s="332"/>
      <c r="AI254" s="332"/>
      <c r="AJ254" s="332"/>
      <c r="AK254" s="332"/>
      <c r="AL254" s="332"/>
      <c r="AM254" s="334"/>
      <c r="AN254" s="332"/>
      <c r="AO254" s="332"/>
      <c r="AP254" s="332"/>
      <c r="AQ254" s="332"/>
      <c r="AR254" s="332"/>
      <c r="AS254" s="332"/>
      <c r="AT254" s="332"/>
      <c r="AU254" s="332"/>
      <c r="AV254" s="332"/>
      <c r="AW254" s="332"/>
      <c r="AX254" s="332"/>
      <c r="AY254" s="332"/>
      <c r="AZ254" s="332"/>
      <c r="BA254" s="332"/>
      <c r="BB254" s="332"/>
      <c r="BC254" s="332"/>
      <c r="BD254" s="332"/>
      <c r="BE254" s="332"/>
      <c r="BF254" s="332"/>
      <c r="BG254" s="332"/>
      <c r="BH254" s="332"/>
      <c r="BI254" s="332"/>
      <c r="BJ254" s="332"/>
      <c r="BK254" s="332"/>
      <c r="BL254" s="332"/>
      <c r="BM254" s="332"/>
      <c r="BN254" s="332"/>
    </row>
    <row r="255" spans="1:66" ht="14" x14ac:dyDescent="0.15">
      <c r="A255" s="332"/>
      <c r="B255" s="332"/>
      <c r="C255" s="332"/>
      <c r="D255" s="332"/>
      <c r="E255" s="332"/>
      <c r="F255" s="332"/>
      <c r="G255" s="332"/>
      <c r="H255" s="332"/>
      <c r="I255" s="332"/>
      <c r="J255" s="332"/>
      <c r="K255" s="332"/>
      <c r="L255" s="332"/>
      <c r="M255" s="332"/>
      <c r="N255" s="332"/>
      <c r="O255" s="332"/>
      <c r="P255" s="332"/>
      <c r="Q255" s="332"/>
      <c r="R255" s="332"/>
      <c r="S255" s="332"/>
      <c r="T255" s="332"/>
      <c r="U255" s="332"/>
      <c r="V255" s="332"/>
      <c r="W255" s="332"/>
      <c r="X255" s="332"/>
      <c r="Y255" s="332"/>
      <c r="Z255" s="332"/>
      <c r="AA255" s="332"/>
      <c r="AB255" s="332"/>
      <c r="AC255" s="332"/>
      <c r="AD255" s="332"/>
      <c r="AE255" s="332"/>
      <c r="AF255" s="332"/>
      <c r="AG255" s="332"/>
      <c r="AH255" s="332"/>
      <c r="AI255" s="332"/>
      <c r="AJ255" s="332"/>
      <c r="AK255" s="332"/>
      <c r="AL255" s="332"/>
      <c r="AM255" s="334"/>
      <c r="AN255" s="332"/>
      <c r="AO255" s="332"/>
      <c r="AP255" s="332"/>
      <c r="AQ255" s="332"/>
      <c r="AR255" s="332"/>
      <c r="AS255" s="332"/>
      <c r="AT255" s="332"/>
      <c r="AU255" s="332"/>
      <c r="AV255" s="332"/>
      <c r="AW255" s="332"/>
      <c r="AX255" s="332"/>
      <c r="AY255" s="332"/>
      <c r="AZ255" s="332"/>
      <c r="BA255" s="332"/>
      <c r="BB255" s="332"/>
      <c r="BC255" s="332"/>
      <c r="BD255" s="332"/>
      <c r="BE255" s="332"/>
      <c r="BF255" s="332"/>
      <c r="BG255" s="332"/>
      <c r="BH255" s="332"/>
      <c r="BI255" s="332"/>
      <c r="BJ255" s="332"/>
      <c r="BK255" s="332"/>
      <c r="BL255" s="332"/>
      <c r="BM255" s="332"/>
      <c r="BN255" s="332"/>
    </row>
    <row r="256" spans="1:66" ht="14" x14ac:dyDescent="0.15">
      <c r="A256" s="332"/>
      <c r="B256" s="332"/>
      <c r="C256" s="332"/>
      <c r="D256" s="332"/>
      <c r="E256" s="332"/>
      <c r="F256" s="332"/>
      <c r="G256" s="332"/>
      <c r="H256" s="332"/>
      <c r="I256" s="332"/>
      <c r="J256" s="332"/>
      <c r="K256" s="332"/>
      <c r="L256" s="332"/>
      <c r="M256" s="332"/>
      <c r="N256" s="332"/>
      <c r="O256" s="332"/>
      <c r="P256" s="332"/>
      <c r="Q256" s="332"/>
      <c r="R256" s="332"/>
      <c r="S256" s="332"/>
      <c r="T256" s="332"/>
      <c r="U256" s="332"/>
      <c r="V256" s="332"/>
      <c r="W256" s="332"/>
      <c r="X256" s="332"/>
      <c r="Y256" s="332"/>
      <c r="Z256" s="332"/>
      <c r="AA256" s="332"/>
      <c r="AB256" s="332"/>
      <c r="AC256" s="332"/>
      <c r="AD256" s="332"/>
      <c r="AE256" s="332"/>
      <c r="AF256" s="332"/>
      <c r="AG256" s="332"/>
      <c r="AH256" s="332"/>
      <c r="AI256" s="332"/>
      <c r="AJ256" s="332"/>
      <c r="AK256" s="332"/>
      <c r="AL256" s="332"/>
      <c r="AM256" s="334"/>
      <c r="AN256" s="332"/>
      <c r="AO256" s="332"/>
      <c r="AP256" s="332"/>
      <c r="AQ256" s="332"/>
      <c r="AR256" s="332"/>
      <c r="AS256" s="332"/>
      <c r="AT256" s="332"/>
      <c r="AU256" s="332"/>
      <c r="AV256" s="332"/>
      <c r="AW256" s="332"/>
      <c r="AX256" s="332"/>
      <c r="AY256" s="332"/>
      <c r="AZ256" s="332"/>
      <c r="BA256" s="332"/>
      <c r="BB256" s="332"/>
      <c r="BC256" s="332"/>
      <c r="BD256" s="332"/>
      <c r="BE256" s="332"/>
      <c r="BF256" s="332"/>
      <c r="BG256" s="332"/>
      <c r="BH256" s="332"/>
      <c r="BI256" s="332"/>
      <c r="BJ256" s="332"/>
      <c r="BK256" s="332"/>
      <c r="BL256" s="332"/>
      <c r="BM256" s="332"/>
      <c r="BN256" s="332"/>
    </row>
    <row r="257" spans="1:66" ht="14" x14ac:dyDescent="0.15">
      <c r="A257" s="332"/>
      <c r="B257" s="332"/>
      <c r="C257" s="332"/>
      <c r="D257" s="332"/>
      <c r="E257" s="332"/>
      <c r="F257" s="332"/>
      <c r="G257" s="332"/>
      <c r="H257" s="332"/>
      <c r="I257" s="332"/>
      <c r="J257" s="332"/>
      <c r="K257" s="332"/>
      <c r="L257" s="332"/>
      <c r="M257" s="332"/>
      <c r="N257" s="332"/>
      <c r="O257" s="332"/>
      <c r="P257" s="332"/>
      <c r="Q257" s="332"/>
      <c r="R257" s="332"/>
      <c r="S257" s="332"/>
      <c r="T257" s="332"/>
      <c r="U257" s="332"/>
      <c r="V257" s="332"/>
      <c r="W257" s="332"/>
      <c r="X257" s="332"/>
      <c r="Y257" s="332"/>
      <c r="Z257" s="332"/>
      <c r="AA257" s="332"/>
      <c r="AB257" s="332"/>
      <c r="AC257" s="332"/>
      <c r="AD257" s="332"/>
      <c r="AE257" s="332"/>
      <c r="AF257" s="332"/>
      <c r="AG257" s="332"/>
      <c r="AH257" s="332"/>
      <c r="AI257" s="332"/>
      <c r="AJ257" s="332"/>
      <c r="AK257" s="332"/>
      <c r="AL257" s="332"/>
      <c r="AM257" s="334"/>
      <c r="AN257" s="332"/>
      <c r="AO257" s="332"/>
      <c r="AP257" s="332"/>
      <c r="AQ257" s="332"/>
      <c r="AR257" s="332"/>
      <c r="AS257" s="332"/>
      <c r="AT257" s="332"/>
      <c r="AU257" s="332"/>
      <c r="AV257" s="332"/>
      <c r="AW257" s="332"/>
      <c r="AX257" s="332"/>
      <c r="AY257" s="332"/>
      <c r="AZ257" s="332"/>
      <c r="BA257" s="332"/>
      <c r="BB257" s="332"/>
      <c r="BC257" s="332"/>
      <c r="BD257" s="332"/>
      <c r="BE257" s="332"/>
      <c r="BF257" s="332"/>
      <c r="BG257" s="332"/>
      <c r="BH257" s="332"/>
      <c r="BI257" s="332"/>
      <c r="BJ257" s="332"/>
      <c r="BK257" s="332"/>
      <c r="BL257" s="332"/>
      <c r="BM257" s="332"/>
      <c r="BN257" s="332"/>
    </row>
    <row r="258" spans="1:66" ht="14" x14ac:dyDescent="0.15">
      <c r="A258" s="332"/>
      <c r="B258" s="332"/>
      <c r="C258" s="332"/>
      <c r="D258" s="332"/>
      <c r="E258" s="332"/>
      <c r="F258" s="332"/>
      <c r="G258" s="332"/>
      <c r="H258" s="332"/>
      <c r="I258" s="332"/>
      <c r="J258" s="332"/>
      <c r="K258" s="332"/>
      <c r="L258" s="332"/>
      <c r="M258" s="332"/>
      <c r="N258" s="332"/>
      <c r="O258" s="332"/>
      <c r="P258" s="332"/>
      <c r="Q258" s="332"/>
      <c r="R258" s="332"/>
      <c r="S258" s="332"/>
      <c r="T258" s="332"/>
      <c r="U258" s="332"/>
      <c r="V258" s="332"/>
      <c r="W258" s="332"/>
      <c r="X258" s="332"/>
      <c r="Y258" s="332"/>
      <c r="Z258" s="332"/>
      <c r="AA258" s="332"/>
      <c r="AB258" s="332"/>
      <c r="AC258" s="332"/>
      <c r="AD258" s="332"/>
      <c r="AE258" s="332"/>
      <c r="AF258" s="332"/>
      <c r="AG258" s="332"/>
      <c r="AH258" s="332"/>
      <c r="AI258" s="332"/>
      <c r="AJ258" s="332"/>
      <c r="AK258" s="332"/>
      <c r="AL258" s="332"/>
      <c r="AM258" s="334"/>
      <c r="AN258" s="332"/>
      <c r="AO258" s="332"/>
      <c r="AP258" s="332"/>
      <c r="AQ258" s="332"/>
      <c r="AR258" s="332"/>
      <c r="AS258" s="332"/>
      <c r="AT258" s="332"/>
      <c r="AU258" s="332"/>
      <c r="AV258" s="332"/>
      <c r="AW258" s="332"/>
      <c r="AX258" s="332"/>
      <c r="AY258" s="332"/>
      <c r="AZ258" s="332"/>
      <c r="BA258" s="332"/>
      <c r="BB258" s="332"/>
      <c r="BC258" s="332"/>
      <c r="BD258" s="332"/>
      <c r="BE258" s="332"/>
      <c r="BF258" s="332"/>
      <c r="BG258" s="332"/>
      <c r="BH258" s="332"/>
      <c r="BI258" s="332"/>
      <c r="BJ258" s="332"/>
      <c r="BK258" s="332"/>
      <c r="BL258" s="332"/>
      <c r="BM258" s="332"/>
      <c r="BN258" s="332"/>
    </row>
    <row r="259" spans="1:66" ht="14" x14ac:dyDescent="0.15">
      <c r="A259" s="332"/>
      <c r="B259" s="332"/>
      <c r="C259" s="332"/>
      <c r="D259" s="332"/>
      <c r="E259" s="332"/>
      <c r="F259" s="332"/>
      <c r="G259" s="332"/>
      <c r="H259" s="332"/>
      <c r="I259" s="332"/>
      <c r="J259" s="332"/>
      <c r="K259" s="332"/>
      <c r="L259" s="332"/>
      <c r="M259" s="332"/>
      <c r="N259" s="332"/>
      <c r="O259" s="332"/>
      <c r="P259" s="332"/>
      <c r="Q259" s="332"/>
      <c r="R259" s="332"/>
      <c r="S259" s="332"/>
      <c r="T259" s="332"/>
      <c r="U259" s="332"/>
      <c r="V259" s="332"/>
      <c r="W259" s="332"/>
      <c r="X259" s="332"/>
      <c r="Y259" s="332"/>
      <c r="Z259" s="332"/>
      <c r="AA259" s="332"/>
      <c r="AB259" s="332"/>
      <c r="AC259" s="332"/>
      <c r="AD259" s="332"/>
      <c r="AE259" s="332"/>
      <c r="AF259" s="332"/>
      <c r="AG259" s="332"/>
      <c r="AH259" s="332"/>
      <c r="AI259" s="332"/>
      <c r="AJ259" s="332"/>
      <c r="AK259" s="332"/>
      <c r="AL259" s="332"/>
      <c r="AM259" s="334"/>
      <c r="AN259" s="332"/>
      <c r="AO259" s="332"/>
      <c r="AP259" s="332"/>
      <c r="AQ259" s="332"/>
      <c r="AR259" s="332"/>
      <c r="AS259" s="332"/>
      <c r="AT259" s="332"/>
      <c r="AU259" s="332"/>
      <c r="AV259" s="332"/>
      <c r="AW259" s="332"/>
      <c r="AX259" s="332"/>
      <c r="AY259" s="332"/>
      <c r="AZ259" s="332"/>
      <c r="BA259" s="332"/>
      <c r="BB259" s="332"/>
      <c r="BC259" s="332"/>
      <c r="BD259" s="332"/>
      <c r="BE259" s="332"/>
      <c r="BF259" s="332"/>
      <c r="BG259" s="332"/>
      <c r="BH259" s="332"/>
      <c r="BI259" s="332"/>
      <c r="BJ259" s="332"/>
      <c r="BK259" s="332"/>
      <c r="BL259" s="332"/>
      <c r="BM259" s="332"/>
      <c r="BN259" s="332"/>
    </row>
    <row r="260" spans="1:66" ht="14" x14ac:dyDescent="0.15">
      <c r="A260" s="332"/>
      <c r="B260" s="332"/>
      <c r="C260" s="332"/>
      <c r="D260" s="332"/>
      <c r="E260" s="332"/>
      <c r="F260" s="332"/>
      <c r="G260" s="332"/>
      <c r="H260" s="332"/>
      <c r="I260" s="332"/>
      <c r="J260" s="332"/>
      <c r="K260" s="332"/>
      <c r="L260" s="332"/>
      <c r="M260" s="332"/>
      <c r="N260" s="332"/>
      <c r="O260" s="332"/>
      <c r="P260" s="332"/>
      <c r="Q260" s="332"/>
      <c r="R260" s="332"/>
      <c r="S260" s="332"/>
      <c r="T260" s="332"/>
      <c r="U260" s="332"/>
      <c r="V260" s="332"/>
      <c r="W260" s="332"/>
      <c r="X260" s="332"/>
      <c r="Y260" s="332"/>
      <c r="Z260" s="332"/>
      <c r="AA260" s="332"/>
      <c r="AB260" s="332"/>
      <c r="AC260" s="332"/>
      <c r="AD260" s="332"/>
      <c r="AE260" s="332"/>
      <c r="AF260" s="332"/>
      <c r="AG260" s="332"/>
      <c r="AH260" s="332"/>
      <c r="AI260" s="332"/>
      <c r="AJ260" s="332"/>
      <c r="AK260" s="332"/>
      <c r="AL260" s="332"/>
      <c r="AM260" s="334"/>
      <c r="AN260" s="332"/>
      <c r="AO260" s="332"/>
      <c r="AP260" s="332"/>
      <c r="AQ260" s="332"/>
      <c r="AR260" s="332"/>
      <c r="AS260" s="332"/>
      <c r="AT260" s="332"/>
      <c r="AU260" s="332"/>
      <c r="AV260" s="332"/>
      <c r="AW260" s="332"/>
      <c r="AX260" s="332"/>
      <c r="AY260" s="332"/>
      <c r="AZ260" s="332"/>
      <c r="BA260" s="332"/>
      <c r="BB260" s="332"/>
      <c r="BC260" s="332"/>
      <c r="BD260" s="332"/>
      <c r="BE260" s="332"/>
      <c r="BF260" s="332"/>
      <c r="BG260" s="332"/>
      <c r="BH260" s="332"/>
      <c r="BI260" s="332"/>
      <c r="BJ260" s="332"/>
      <c r="BK260" s="332"/>
      <c r="BL260" s="332"/>
      <c r="BM260" s="332"/>
      <c r="BN260" s="332"/>
    </row>
    <row r="261" spans="1:66" ht="14" x14ac:dyDescent="0.15">
      <c r="A261" s="332"/>
      <c r="B261" s="332"/>
      <c r="C261" s="332"/>
      <c r="D261" s="332"/>
      <c r="E261" s="332"/>
      <c r="F261" s="332"/>
      <c r="G261" s="332"/>
      <c r="H261" s="332"/>
      <c r="I261" s="332"/>
      <c r="J261" s="332"/>
      <c r="K261" s="332"/>
      <c r="L261" s="332"/>
      <c r="M261" s="332"/>
      <c r="N261" s="332"/>
      <c r="O261" s="332"/>
      <c r="P261" s="332"/>
      <c r="Q261" s="332"/>
      <c r="R261" s="332"/>
      <c r="S261" s="332"/>
      <c r="T261" s="332"/>
      <c r="U261" s="332"/>
      <c r="V261" s="332"/>
      <c r="W261" s="332"/>
      <c r="X261" s="332"/>
      <c r="Y261" s="332"/>
      <c r="Z261" s="332"/>
      <c r="AA261" s="332"/>
      <c r="AB261" s="332"/>
      <c r="AC261" s="332"/>
      <c r="AD261" s="332"/>
      <c r="AE261" s="332"/>
      <c r="AF261" s="332"/>
      <c r="AG261" s="332"/>
      <c r="AH261" s="332"/>
      <c r="AI261" s="332"/>
      <c r="AJ261" s="332"/>
      <c r="AK261" s="332"/>
      <c r="AL261" s="332"/>
      <c r="AM261" s="334"/>
      <c r="AN261" s="332"/>
      <c r="AO261" s="332"/>
      <c r="AP261" s="332"/>
      <c r="AQ261" s="332"/>
      <c r="AR261" s="332"/>
      <c r="AS261" s="332"/>
      <c r="AT261" s="332"/>
      <c r="AU261" s="332"/>
      <c r="AV261" s="332"/>
      <c r="AW261" s="332"/>
      <c r="AX261" s="332"/>
      <c r="AY261" s="332"/>
      <c r="AZ261" s="332"/>
      <c r="BA261" s="332"/>
      <c r="BB261" s="332"/>
      <c r="BC261" s="332"/>
      <c r="BD261" s="332"/>
      <c r="BE261" s="332"/>
      <c r="BF261" s="332"/>
      <c r="BG261" s="332"/>
      <c r="BH261" s="332"/>
      <c r="BI261" s="332"/>
      <c r="BJ261" s="332"/>
      <c r="BK261" s="332"/>
      <c r="BL261" s="332"/>
      <c r="BM261" s="332"/>
      <c r="BN261" s="332"/>
    </row>
    <row r="262" spans="1:66" ht="14" x14ac:dyDescent="0.15">
      <c r="A262" s="332"/>
      <c r="B262" s="332"/>
      <c r="C262" s="332"/>
      <c r="D262" s="332"/>
      <c r="E262" s="332"/>
      <c r="F262" s="332"/>
      <c r="G262" s="332"/>
      <c r="H262" s="332"/>
      <c r="I262" s="332"/>
      <c r="J262" s="332"/>
      <c r="K262" s="332"/>
      <c r="L262" s="332"/>
      <c r="M262" s="332"/>
      <c r="N262" s="332"/>
      <c r="O262" s="332"/>
      <c r="P262" s="332"/>
      <c r="Q262" s="332"/>
      <c r="R262" s="332"/>
      <c r="S262" s="332"/>
      <c r="T262" s="332"/>
      <c r="U262" s="332"/>
      <c r="V262" s="332"/>
      <c r="W262" s="332"/>
      <c r="X262" s="332"/>
      <c r="Y262" s="332"/>
      <c r="Z262" s="332"/>
      <c r="AA262" s="332"/>
      <c r="AB262" s="332"/>
      <c r="AC262" s="332"/>
      <c r="AD262" s="332"/>
      <c r="AE262" s="332"/>
      <c r="AF262" s="332"/>
      <c r="AG262" s="332"/>
      <c r="AH262" s="332"/>
      <c r="AI262" s="332"/>
      <c r="AJ262" s="332"/>
      <c r="AK262" s="332"/>
      <c r="AL262" s="332"/>
      <c r="AM262" s="334"/>
      <c r="AN262" s="332"/>
      <c r="AO262" s="332"/>
      <c r="AP262" s="332"/>
      <c r="AQ262" s="332"/>
      <c r="AR262" s="332"/>
      <c r="AS262" s="332"/>
      <c r="AT262" s="332"/>
      <c r="AU262" s="332"/>
      <c r="AV262" s="332"/>
      <c r="AW262" s="332"/>
      <c r="AX262" s="332"/>
      <c r="AY262" s="332"/>
      <c r="AZ262" s="332"/>
      <c r="BA262" s="332"/>
      <c r="BB262" s="332"/>
      <c r="BC262" s="332"/>
      <c r="BD262" s="332"/>
      <c r="BE262" s="332"/>
      <c r="BF262" s="332"/>
      <c r="BG262" s="332"/>
      <c r="BH262" s="332"/>
      <c r="BI262" s="332"/>
      <c r="BJ262" s="332"/>
      <c r="BK262" s="332"/>
      <c r="BL262" s="332"/>
      <c r="BM262" s="332"/>
      <c r="BN262" s="332"/>
    </row>
    <row r="263" spans="1:66" ht="14" x14ac:dyDescent="0.15">
      <c r="A263" s="332"/>
      <c r="B263" s="332"/>
      <c r="C263" s="332"/>
      <c r="D263" s="332"/>
      <c r="E263" s="332"/>
      <c r="F263" s="332"/>
      <c r="G263" s="332"/>
      <c r="H263" s="332"/>
      <c r="I263" s="332"/>
      <c r="J263" s="332"/>
      <c r="K263" s="332"/>
      <c r="L263" s="332"/>
      <c r="M263" s="332"/>
      <c r="N263" s="332"/>
      <c r="O263" s="332"/>
      <c r="P263" s="332"/>
      <c r="Q263" s="332"/>
      <c r="R263" s="332"/>
      <c r="S263" s="332"/>
      <c r="T263" s="332"/>
      <c r="U263" s="332"/>
      <c r="V263" s="332"/>
      <c r="W263" s="332"/>
      <c r="X263" s="332"/>
      <c r="Y263" s="332"/>
      <c r="Z263" s="332"/>
      <c r="AA263" s="332"/>
      <c r="AB263" s="332"/>
      <c r="AC263" s="332"/>
      <c r="AD263" s="332"/>
      <c r="AE263" s="332"/>
      <c r="AF263" s="332"/>
      <c r="AG263" s="332"/>
      <c r="AH263" s="332"/>
      <c r="AI263" s="332"/>
      <c r="AJ263" s="332"/>
      <c r="AK263" s="332"/>
      <c r="AL263" s="332"/>
      <c r="AM263" s="334"/>
      <c r="AN263" s="332"/>
      <c r="AO263" s="332"/>
      <c r="AP263" s="332"/>
      <c r="AQ263" s="332"/>
      <c r="AR263" s="332"/>
      <c r="AS263" s="332"/>
      <c r="AT263" s="332"/>
      <c r="AU263" s="332"/>
      <c r="AV263" s="332"/>
      <c r="AW263" s="332"/>
      <c r="AX263" s="332"/>
      <c r="AY263" s="332"/>
      <c r="AZ263" s="332"/>
      <c r="BA263" s="332"/>
      <c r="BB263" s="332"/>
      <c r="BC263" s="332"/>
      <c r="BD263" s="332"/>
      <c r="BE263" s="332"/>
      <c r="BF263" s="332"/>
      <c r="BG263" s="332"/>
      <c r="BH263" s="332"/>
      <c r="BI263" s="332"/>
      <c r="BJ263" s="332"/>
      <c r="BK263" s="332"/>
      <c r="BL263" s="332"/>
      <c r="BM263" s="332"/>
      <c r="BN263" s="332"/>
    </row>
    <row r="264" spans="1:66" ht="14" x14ac:dyDescent="0.15">
      <c r="A264" s="332"/>
      <c r="B264" s="332"/>
      <c r="C264" s="332"/>
      <c r="D264" s="332"/>
      <c r="E264" s="332"/>
      <c r="F264" s="332"/>
      <c r="G264" s="332"/>
      <c r="H264" s="332"/>
      <c r="I264" s="332"/>
      <c r="J264" s="332"/>
      <c r="K264" s="332"/>
      <c r="L264" s="332"/>
      <c r="M264" s="332"/>
      <c r="N264" s="332"/>
      <c r="O264" s="332"/>
      <c r="P264" s="332"/>
      <c r="Q264" s="332"/>
      <c r="R264" s="332"/>
      <c r="S264" s="332"/>
      <c r="T264" s="332"/>
      <c r="U264" s="332"/>
      <c r="V264" s="332"/>
      <c r="W264" s="332"/>
      <c r="X264" s="332"/>
      <c r="Y264" s="332"/>
      <c r="Z264" s="332"/>
      <c r="AA264" s="332"/>
      <c r="AB264" s="332"/>
      <c r="AC264" s="332"/>
      <c r="AD264" s="332"/>
      <c r="AE264" s="332"/>
      <c r="AF264" s="332"/>
      <c r="AG264" s="332"/>
      <c r="AH264" s="332"/>
      <c r="AI264" s="332"/>
      <c r="AJ264" s="332"/>
      <c r="AK264" s="332"/>
      <c r="AL264" s="332"/>
      <c r="AM264" s="334"/>
      <c r="AN264" s="332"/>
      <c r="AO264" s="332"/>
      <c r="AP264" s="332"/>
      <c r="AQ264" s="332"/>
      <c r="AR264" s="332"/>
      <c r="AS264" s="332"/>
      <c r="AT264" s="332"/>
      <c r="AU264" s="332"/>
      <c r="AV264" s="332"/>
      <c r="AW264" s="332"/>
      <c r="AX264" s="332"/>
      <c r="AY264" s="332"/>
      <c r="AZ264" s="332"/>
      <c r="BA264" s="332"/>
      <c r="BB264" s="332"/>
      <c r="BC264" s="332"/>
      <c r="BD264" s="332"/>
      <c r="BE264" s="332"/>
      <c r="BF264" s="332"/>
      <c r="BG264" s="332"/>
      <c r="BH264" s="332"/>
      <c r="BI264" s="332"/>
      <c r="BJ264" s="332"/>
      <c r="BK264" s="332"/>
      <c r="BL264" s="332"/>
      <c r="BM264" s="332"/>
      <c r="BN264" s="332"/>
    </row>
    <row r="265" spans="1:66" ht="14" x14ac:dyDescent="0.15">
      <c r="A265" s="332"/>
      <c r="B265" s="332"/>
      <c r="C265" s="332"/>
      <c r="D265" s="332"/>
      <c r="E265" s="332"/>
      <c r="F265" s="332"/>
      <c r="G265" s="332"/>
      <c r="H265" s="332"/>
      <c r="I265" s="332"/>
      <c r="J265" s="332"/>
      <c r="K265" s="332"/>
      <c r="L265" s="332"/>
      <c r="M265" s="332"/>
      <c r="N265" s="332"/>
      <c r="O265" s="332"/>
      <c r="P265" s="332"/>
      <c r="Q265" s="332"/>
      <c r="R265" s="332"/>
      <c r="S265" s="332"/>
      <c r="T265" s="332"/>
      <c r="U265" s="332"/>
      <c r="V265" s="332"/>
      <c r="W265" s="332"/>
      <c r="X265" s="332"/>
      <c r="Y265" s="332"/>
      <c r="Z265" s="332"/>
      <c r="AA265" s="332"/>
      <c r="AB265" s="332"/>
      <c r="AC265" s="332"/>
      <c r="AD265" s="332"/>
      <c r="AE265" s="332"/>
      <c r="AF265" s="332"/>
      <c r="AG265" s="332"/>
      <c r="AH265" s="332"/>
      <c r="AI265" s="332"/>
      <c r="AJ265" s="332"/>
      <c r="AK265" s="332"/>
      <c r="AL265" s="332"/>
      <c r="AM265" s="334"/>
      <c r="AN265" s="332"/>
      <c r="AO265" s="332"/>
      <c r="AP265" s="332"/>
      <c r="AQ265" s="332"/>
      <c r="AR265" s="332"/>
      <c r="AS265" s="332"/>
      <c r="AT265" s="332"/>
      <c r="AU265" s="332"/>
      <c r="AV265" s="332"/>
      <c r="AW265" s="332"/>
      <c r="AX265" s="332"/>
      <c r="AY265" s="332"/>
      <c r="AZ265" s="332"/>
      <c r="BA265" s="332"/>
      <c r="BB265" s="332"/>
      <c r="BC265" s="332"/>
      <c r="BD265" s="332"/>
      <c r="BE265" s="332"/>
      <c r="BF265" s="332"/>
      <c r="BG265" s="332"/>
      <c r="BH265" s="332"/>
      <c r="BI265" s="332"/>
      <c r="BJ265" s="332"/>
      <c r="BK265" s="332"/>
      <c r="BL265" s="332"/>
      <c r="BM265" s="332"/>
      <c r="BN265" s="332"/>
    </row>
    <row r="266" spans="1:66" ht="14" x14ac:dyDescent="0.15">
      <c r="A266" s="332"/>
      <c r="B266" s="332"/>
      <c r="C266" s="332"/>
      <c r="D266" s="332"/>
      <c r="E266" s="332"/>
      <c r="F266" s="332"/>
      <c r="G266" s="332"/>
      <c r="H266" s="332"/>
      <c r="I266" s="332"/>
      <c r="J266" s="332"/>
      <c r="K266" s="332"/>
      <c r="L266" s="332"/>
      <c r="M266" s="332"/>
      <c r="N266" s="332"/>
      <c r="O266" s="332"/>
      <c r="P266" s="332"/>
      <c r="Q266" s="332"/>
      <c r="R266" s="332"/>
      <c r="S266" s="332"/>
      <c r="T266" s="332"/>
      <c r="U266" s="332"/>
      <c r="V266" s="332"/>
      <c r="W266" s="332"/>
      <c r="X266" s="332"/>
      <c r="Y266" s="332"/>
      <c r="Z266" s="332"/>
      <c r="AA266" s="332"/>
      <c r="AB266" s="332"/>
      <c r="AC266" s="332"/>
      <c r="AD266" s="332"/>
      <c r="AE266" s="332"/>
      <c r="AF266" s="332"/>
      <c r="AG266" s="332"/>
      <c r="AH266" s="332"/>
      <c r="AI266" s="332"/>
      <c r="AJ266" s="332"/>
      <c r="AK266" s="332"/>
      <c r="AL266" s="332"/>
      <c r="AM266" s="334"/>
      <c r="AN266" s="332"/>
      <c r="AO266" s="332"/>
      <c r="AP266" s="332"/>
      <c r="AQ266" s="332"/>
      <c r="AR266" s="332"/>
      <c r="AS266" s="332"/>
      <c r="AT266" s="332"/>
      <c r="AU266" s="332"/>
      <c r="AV266" s="332"/>
      <c r="AW266" s="332"/>
      <c r="AX266" s="332"/>
      <c r="AY266" s="332"/>
      <c r="AZ266" s="332"/>
      <c r="BA266" s="332"/>
      <c r="BB266" s="332"/>
      <c r="BC266" s="332"/>
      <c r="BD266" s="332"/>
      <c r="BE266" s="332"/>
      <c r="BF266" s="332"/>
      <c r="BG266" s="332"/>
      <c r="BH266" s="332"/>
      <c r="BI266" s="332"/>
      <c r="BJ266" s="332"/>
      <c r="BK266" s="332"/>
      <c r="BL266" s="332"/>
      <c r="BM266" s="332"/>
      <c r="BN266" s="332"/>
    </row>
    <row r="267" spans="1:66" ht="14" x14ac:dyDescent="0.15">
      <c r="A267" s="332"/>
      <c r="B267" s="332"/>
      <c r="C267" s="332"/>
      <c r="D267" s="332"/>
      <c r="E267" s="332"/>
      <c r="F267" s="332"/>
      <c r="G267" s="332"/>
      <c r="H267" s="332"/>
      <c r="I267" s="332"/>
      <c r="J267" s="332"/>
      <c r="K267" s="332"/>
      <c r="L267" s="332"/>
      <c r="M267" s="332"/>
      <c r="N267" s="332"/>
      <c r="O267" s="332"/>
      <c r="P267" s="332"/>
      <c r="Q267" s="332"/>
      <c r="R267" s="332"/>
      <c r="S267" s="332"/>
      <c r="T267" s="332"/>
      <c r="U267" s="332"/>
      <c r="V267" s="332"/>
      <c r="W267" s="332"/>
      <c r="X267" s="332"/>
      <c r="Y267" s="332"/>
      <c r="Z267" s="332"/>
      <c r="AA267" s="332"/>
      <c r="AB267" s="332"/>
      <c r="AC267" s="332"/>
      <c r="AD267" s="332"/>
      <c r="AE267" s="332"/>
      <c r="AF267" s="332"/>
      <c r="AG267" s="332"/>
      <c r="AH267" s="332"/>
      <c r="AI267" s="332"/>
      <c r="AJ267" s="332"/>
      <c r="AK267" s="332"/>
      <c r="AL267" s="332"/>
      <c r="AM267" s="334"/>
      <c r="AN267" s="332"/>
      <c r="AO267" s="332"/>
      <c r="AP267" s="332"/>
      <c r="AQ267" s="332"/>
      <c r="AR267" s="332"/>
      <c r="AS267" s="332"/>
      <c r="AT267" s="332"/>
      <c r="AU267" s="332"/>
      <c r="AV267" s="332"/>
      <c r="AW267" s="332"/>
      <c r="AX267" s="332"/>
      <c r="AY267" s="332"/>
      <c r="AZ267" s="332"/>
      <c r="BA267" s="332"/>
      <c r="BB267" s="332"/>
      <c r="BC267" s="332"/>
      <c r="BD267" s="332"/>
      <c r="BE267" s="332"/>
      <c r="BF267" s="332"/>
      <c r="BG267" s="332"/>
      <c r="BH267" s="332"/>
      <c r="BI267" s="332"/>
      <c r="BJ267" s="332"/>
      <c r="BK267" s="332"/>
      <c r="BL267" s="332"/>
      <c r="BM267" s="332"/>
      <c r="BN267" s="332"/>
    </row>
    <row r="268" spans="1:66" ht="14" x14ac:dyDescent="0.15">
      <c r="A268" s="672"/>
      <c r="B268" s="672"/>
      <c r="C268" s="672"/>
      <c r="D268" s="672"/>
      <c r="E268" s="672"/>
      <c r="F268" s="332"/>
      <c r="G268" s="672"/>
      <c r="H268" s="332"/>
      <c r="I268" s="332"/>
      <c r="J268" s="332"/>
      <c r="K268" s="332"/>
      <c r="L268" s="672"/>
      <c r="M268" s="672"/>
      <c r="N268" s="672"/>
      <c r="O268" s="672"/>
      <c r="P268" s="672"/>
      <c r="Q268" s="672"/>
      <c r="R268" s="672"/>
      <c r="S268" s="672"/>
      <c r="T268" s="672"/>
      <c r="U268" s="672"/>
      <c r="V268" s="672"/>
      <c r="W268" s="672"/>
      <c r="X268" s="672"/>
      <c r="Y268" s="672"/>
      <c r="Z268" s="672"/>
      <c r="AA268" s="672"/>
      <c r="AB268" s="672"/>
      <c r="AC268" s="672"/>
      <c r="AD268" s="672"/>
      <c r="AE268" s="672"/>
      <c r="AF268" s="672"/>
      <c r="AG268" s="672"/>
      <c r="AH268" s="672"/>
      <c r="AI268" s="672"/>
      <c r="AJ268" s="672"/>
      <c r="AK268" s="672"/>
      <c r="AL268" s="672"/>
      <c r="AM268" s="22"/>
      <c r="AN268" s="672"/>
      <c r="AO268" s="672"/>
      <c r="AP268" s="672"/>
      <c r="AQ268" s="672"/>
      <c r="AR268" s="672"/>
      <c r="AS268" s="672"/>
      <c r="AT268" s="672"/>
      <c r="AU268" s="672"/>
      <c r="AV268" s="672"/>
      <c r="AW268" s="672"/>
      <c r="AX268" s="672"/>
      <c r="AY268" s="672"/>
      <c r="AZ268" s="672"/>
      <c r="BA268" s="672"/>
      <c r="BB268" s="672"/>
      <c r="BC268" s="672"/>
      <c r="BD268" s="672"/>
      <c r="BE268" s="672"/>
      <c r="BF268" s="672"/>
      <c r="BG268" s="672"/>
      <c r="BH268" s="672"/>
      <c r="BI268" s="672"/>
      <c r="BJ268" s="672"/>
      <c r="BK268" s="672"/>
      <c r="BL268" s="672"/>
      <c r="BM268" s="672"/>
      <c r="BN268" s="672"/>
    </row>
  </sheetData>
  <mergeCells count="1">
    <mergeCell ref="A6:A225"/>
  </mergeCells>
  <hyperlinks>
    <hyperlink ref="S3" r:id="rId1" location="segmentfiltercomparison"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FF00"/>
    <outlinePr summaryBelow="0" summaryRight="0"/>
  </sheetPr>
  <dimension ref="A1:I19"/>
  <sheetViews>
    <sheetView workbookViewId="0">
      <selection activeCell="B3" sqref="B3"/>
    </sheetView>
  </sheetViews>
  <sheetFormatPr baseColWidth="10" defaultColWidth="12.6640625" defaultRowHeight="15.75" customHeight="1" x14ac:dyDescent="0.15"/>
  <cols>
    <col min="2" max="9" width="50.1640625" customWidth="1"/>
  </cols>
  <sheetData>
    <row r="1" spans="1:9" ht="15.75" customHeight="1" x14ac:dyDescent="0.15">
      <c r="A1" s="713" t="s">
        <v>6970</v>
      </c>
      <c r="B1" s="714"/>
      <c r="C1" s="714"/>
      <c r="D1" s="714"/>
      <c r="E1" s="714"/>
      <c r="F1" s="714"/>
      <c r="G1" s="714"/>
      <c r="H1" s="714"/>
      <c r="I1" s="714"/>
    </row>
    <row r="2" spans="1:9" ht="15.75" customHeight="1" x14ac:dyDescent="0.15">
      <c r="A2" s="247"/>
      <c r="B2" s="714"/>
      <c r="C2" s="247"/>
      <c r="D2" s="247"/>
      <c r="E2" s="247"/>
      <c r="F2" s="247"/>
      <c r="G2" s="247"/>
      <c r="H2" s="247"/>
      <c r="I2" s="247"/>
    </row>
    <row r="3" spans="1:9" ht="15.75" customHeight="1" x14ac:dyDescent="0.15">
      <c r="A3" s="715"/>
      <c r="B3" s="716"/>
      <c r="C3" s="717"/>
      <c r="D3" s="717"/>
      <c r="E3" s="715"/>
      <c r="F3" s="717"/>
      <c r="G3" s="717"/>
      <c r="H3" s="717"/>
      <c r="I3" s="717"/>
    </row>
    <row r="4" spans="1:9" ht="15.75" customHeight="1" x14ac:dyDescent="0.15">
      <c r="A4" s="718" t="s">
        <v>6971</v>
      </c>
      <c r="B4" s="719" t="s">
        <v>6972</v>
      </c>
      <c r="C4" s="720" t="s">
        <v>6973</v>
      </c>
      <c r="D4" s="721" t="s">
        <v>6974</v>
      </c>
      <c r="E4" s="722" t="s">
        <v>6975</v>
      </c>
      <c r="F4" s="721" t="s">
        <v>6976</v>
      </c>
      <c r="G4" s="720" t="s">
        <v>6977</v>
      </c>
      <c r="H4" s="721" t="s">
        <v>6978</v>
      </c>
      <c r="I4" s="723" t="s">
        <v>6979</v>
      </c>
    </row>
    <row r="5" spans="1:9" ht="15.75" customHeight="1" x14ac:dyDescent="0.15">
      <c r="A5" s="724" t="s">
        <v>6980</v>
      </c>
      <c r="B5" s="725" t="s">
        <v>6981</v>
      </c>
      <c r="C5" s="726" t="s">
        <v>6982</v>
      </c>
      <c r="D5" s="725" t="s">
        <v>6983</v>
      </c>
      <c r="E5" s="413" t="s">
        <v>6984</v>
      </c>
      <c r="F5" s="727" t="s">
        <v>6985</v>
      </c>
      <c r="G5" s="413" t="s">
        <v>6986</v>
      </c>
      <c r="H5" s="727" t="s">
        <v>6987</v>
      </c>
      <c r="I5" s="413" t="s">
        <v>6988</v>
      </c>
    </row>
    <row r="6" spans="1:9" ht="15.75" customHeight="1" x14ac:dyDescent="0.15">
      <c r="A6" s="724" t="s">
        <v>6989</v>
      </c>
      <c r="B6" s="725" t="s">
        <v>6990</v>
      </c>
      <c r="C6" s="726" t="s">
        <v>6991</v>
      </c>
      <c r="D6" s="725" t="s">
        <v>6992</v>
      </c>
      <c r="E6" s="726" t="s">
        <v>6993</v>
      </c>
      <c r="F6" s="725" t="s">
        <v>6994</v>
      </c>
      <c r="G6" s="726" t="s">
        <v>6995</v>
      </c>
      <c r="H6" s="725" t="s">
        <v>6996</v>
      </c>
      <c r="I6" s="726" t="s">
        <v>6997</v>
      </c>
    </row>
    <row r="7" spans="1:9" ht="15.75" customHeight="1" x14ac:dyDescent="0.15">
      <c r="A7" s="724" t="s">
        <v>6998</v>
      </c>
      <c r="B7" s="725" t="s">
        <v>6999</v>
      </c>
      <c r="C7" s="726" t="s">
        <v>7000</v>
      </c>
      <c r="D7" s="725" t="s">
        <v>7001</v>
      </c>
      <c r="E7" s="413" t="s">
        <v>7002</v>
      </c>
      <c r="F7" s="727" t="s">
        <v>7003</v>
      </c>
      <c r="G7" s="413" t="s">
        <v>7004</v>
      </c>
      <c r="H7" s="727" t="s">
        <v>7005</v>
      </c>
      <c r="I7" s="413" t="s">
        <v>7006</v>
      </c>
    </row>
    <row r="8" spans="1:9" ht="15.75" customHeight="1" x14ac:dyDescent="0.15">
      <c r="A8" s="724" t="s">
        <v>7007</v>
      </c>
      <c r="B8" s="725" t="s">
        <v>7008</v>
      </c>
      <c r="C8" s="726" t="s">
        <v>7008</v>
      </c>
      <c r="D8" s="725" t="s">
        <v>7008</v>
      </c>
      <c r="E8" s="726" t="s">
        <v>7008</v>
      </c>
      <c r="F8" s="725" t="s">
        <v>7008</v>
      </c>
      <c r="G8" s="726" t="s">
        <v>7008</v>
      </c>
      <c r="H8" s="725" t="s">
        <v>7008</v>
      </c>
      <c r="I8" s="726" t="s">
        <v>7008</v>
      </c>
    </row>
    <row r="9" spans="1:9" ht="15.75" customHeight="1" x14ac:dyDescent="0.15">
      <c r="A9" s="724" t="s">
        <v>7009</v>
      </c>
      <c r="B9" s="725" t="s">
        <v>7010</v>
      </c>
      <c r="C9" s="726" t="s">
        <v>7010</v>
      </c>
      <c r="D9" s="725" t="s">
        <v>7010</v>
      </c>
      <c r="E9" s="726" t="s">
        <v>7010</v>
      </c>
      <c r="F9" s="725" t="s">
        <v>7010</v>
      </c>
      <c r="G9" s="726" t="s">
        <v>7010</v>
      </c>
      <c r="H9" s="725" t="s">
        <v>7010</v>
      </c>
      <c r="I9" s="726" t="s">
        <v>7010</v>
      </c>
    </row>
    <row r="10" spans="1:9" ht="15.75" customHeight="1" x14ac:dyDescent="0.15">
      <c r="A10" s="724" t="s">
        <v>7011</v>
      </c>
      <c r="B10" s="725" t="s">
        <v>7012</v>
      </c>
      <c r="C10" s="726" t="s">
        <v>7013</v>
      </c>
      <c r="D10" s="725" t="s">
        <v>7014</v>
      </c>
      <c r="E10" s="726" t="s">
        <v>7015</v>
      </c>
      <c r="F10" s="725" t="s">
        <v>7016</v>
      </c>
      <c r="G10" s="726" t="s">
        <v>7017</v>
      </c>
      <c r="H10" s="725" t="s">
        <v>7018</v>
      </c>
      <c r="I10" s="726" t="s">
        <v>7019</v>
      </c>
    </row>
    <row r="11" spans="1:9" ht="15.75" customHeight="1" x14ac:dyDescent="0.15">
      <c r="A11" s="724" t="s">
        <v>7020</v>
      </c>
      <c r="B11" s="727" t="s">
        <v>7021</v>
      </c>
      <c r="C11" s="413" t="s">
        <v>7022</v>
      </c>
      <c r="D11" s="727" t="s">
        <v>7023</v>
      </c>
      <c r="E11" s="413" t="s">
        <v>7024</v>
      </c>
      <c r="F11" s="727" t="s">
        <v>7023</v>
      </c>
      <c r="G11" s="413" t="s">
        <v>7025</v>
      </c>
      <c r="H11" s="727" t="s">
        <v>7023</v>
      </c>
      <c r="I11" s="413" t="s">
        <v>7026</v>
      </c>
    </row>
    <row r="12" spans="1:9" ht="15.75" customHeight="1" x14ac:dyDescent="0.15">
      <c r="A12" s="724" t="s">
        <v>7027</v>
      </c>
      <c r="B12" s="727" t="s">
        <v>7028</v>
      </c>
      <c r="C12" s="413" t="s">
        <v>7029</v>
      </c>
      <c r="D12" s="727" t="s">
        <v>7030</v>
      </c>
      <c r="E12" s="413" t="s">
        <v>7031</v>
      </c>
      <c r="F12" s="728"/>
      <c r="G12" s="413"/>
      <c r="H12" s="728"/>
      <c r="I12" s="413"/>
    </row>
    <row r="13" spans="1:9" ht="15.75" customHeight="1" x14ac:dyDescent="0.15">
      <c r="A13" s="724" t="s">
        <v>7032</v>
      </c>
      <c r="B13" s="729" t="s">
        <v>7033</v>
      </c>
      <c r="C13" s="247" t="s">
        <v>7033</v>
      </c>
      <c r="D13" s="729" t="s">
        <v>7033</v>
      </c>
      <c r="E13" s="247" t="s">
        <v>7033</v>
      </c>
      <c r="F13" s="729" t="s">
        <v>7033</v>
      </c>
      <c r="G13" s="247" t="s">
        <v>7033</v>
      </c>
      <c r="H13" s="729" t="s">
        <v>7033</v>
      </c>
      <c r="I13" s="247" t="s">
        <v>7033</v>
      </c>
    </row>
    <row r="14" spans="1:9" ht="15.75" customHeight="1" x14ac:dyDescent="0.15">
      <c r="A14" s="724" t="s">
        <v>7034</v>
      </c>
      <c r="B14" s="729"/>
      <c r="C14" s="247"/>
      <c r="D14" s="729"/>
      <c r="E14" s="247"/>
      <c r="F14" s="729"/>
      <c r="G14" s="247" t="s">
        <v>7035</v>
      </c>
      <c r="H14" s="729"/>
      <c r="I14" s="247"/>
    </row>
    <row r="15" spans="1:9" ht="15.75" customHeight="1" x14ac:dyDescent="0.15">
      <c r="A15" s="724" t="s">
        <v>7036</v>
      </c>
      <c r="B15" s="729" t="s">
        <v>7037</v>
      </c>
      <c r="C15" s="247" t="s">
        <v>7038</v>
      </c>
      <c r="D15" s="729" t="s">
        <v>7038</v>
      </c>
      <c r="E15" s="247" t="s">
        <v>7039</v>
      </c>
      <c r="F15" s="729" t="s">
        <v>7040</v>
      </c>
      <c r="G15" s="247" t="s">
        <v>7040</v>
      </c>
      <c r="H15" s="729" t="s">
        <v>7041</v>
      </c>
      <c r="I15" s="247" t="s">
        <v>7042</v>
      </c>
    </row>
    <row r="16" spans="1:9" ht="15.75" customHeight="1" x14ac:dyDescent="0.15">
      <c r="A16" s="724"/>
      <c r="B16" s="730"/>
      <c r="C16" s="247"/>
      <c r="D16" s="729"/>
      <c r="E16" s="247"/>
      <c r="F16" s="729"/>
      <c r="G16" s="247"/>
      <c r="H16" s="729"/>
      <c r="I16" s="247"/>
    </row>
    <row r="17" spans="1:9" ht="15.75" customHeight="1" x14ac:dyDescent="0.15">
      <c r="A17" s="724"/>
      <c r="B17" s="731" t="s">
        <v>7043</v>
      </c>
      <c r="C17" s="247"/>
      <c r="D17" s="729"/>
      <c r="E17" s="247"/>
      <c r="F17" s="729"/>
      <c r="G17" s="247"/>
      <c r="H17" s="729"/>
      <c r="I17" s="247"/>
    </row>
    <row r="18" spans="1:9" ht="15.75" customHeight="1" x14ac:dyDescent="0.15">
      <c r="A18" s="724"/>
      <c r="B18" s="730"/>
      <c r="C18" s="247"/>
      <c r="D18" s="729"/>
      <c r="E18" s="247"/>
      <c r="F18" s="729"/>
      <c r="G18" s="247"/>
      <c r="H18" s="729"/>
      <c r="I18" s="247"/>
    </row>
    <row r="19" spans="1:9" ht="15.75" customHeight="1" x14ac:dyDescent="0.15">
      <c r="A19" s="724"/>
      <c r="B19" s="730"/>
      <c r="C19" s="247"/>
      <c r="D19" s="729"/>
      <c r="E19" s="247"/>
      <c r="F19" s="729"/>
      <c r="G19" s="247"/>
      <c r="H19" s="729"/>
      <c r="I19" s="24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FF00"/>
    <outlinePr summaryBelow="0" summaryRight="0"/>
  </sheetPr>
  <dimension ref="A1:Z37"/>
  <sheetViews>
    <sheetView workbookViewId="0">
      <selection activeCell="B3" sqref="B3"/>
    </sheetView>
  </sheetViews>
  <sheetFormatPr baseColWidth="10" defaultColWidth="12.6640625" defaultRowHeight="15.75" customHeight="1" x14ac:dyDescent="0.15"/>
  <sheetData>
    <row r="1" spans="1:26" ht="15.75" customHeight="1" x14ac:dyDescent="0.3">
      <c r="A1" s="662" t="s">
        <v>7044</v>
      </c>
      <c r="B1" s="662"/>
      <c r="C1" s="662"/>
      <c r="D1" s="662"/>
      <c r="E1" s="662"/>
      <c r="F1" s="662"/>
      <c r="G1" s="662"/>
      <c r="H1" s="662"/>
      <c r="I1" s="662"/>
      <c r="J1" s="662"/>
      <c r="K1" s="662"/>
      <c r="L1" s="662"/>
      <c r="M1" s="662"/>
      <c r="N1" s="662"/>
      <c r="O1" s="662"/>
      <c r="P1" s="662"/>
      <c r="Q1" s="662"/>
      <c r="R1" s="662"/>
      <c r="S1" s="662"/>
      <c r="T1" s="662"/>
      <c r="U1" s="662"/>
      <c r="V1" s="662"/>
      <c r="W1" s="662"/>
      <c r="X1" s="662"/>
      <c r="Y1" s="662"/>
      <c r="Z1" s="662"/>
    </row>
    <row r="3" spans="1:26" ht="15.75" customHeight="1" x14ac:dyDescent="0.15">
      <c r="A3" s="663"/>
      <c r="B3" s="663" t="s">
        <v>6390</v>
      </c>
      <c r="C3" s="664" t="s">
        <v>7045</v>
      </c>
      <c r="D3" s="664"/>
      <c r="E3" s="13"/>
      <c r="F3" s="13"/>
      <c r="G3" s="13"/>
      <c r="H3" s="13"/>
      <c r="I3" s="13"/>
      <c r="J3" s="13"/>
      <c r="K3" s="13"/>
      <c r="L3" s="13"/>
      <c r="M3" s="13"/>
      <c r="N3" s="13"/>
      <c r="O3" s="13"/>
      <c r="P3" s="13"/>
      <c r="Q3" s="13"/>
      <c r="R3" s="13"/>
      <c r="S3" s="13"/>
      <c r="T3" s="13"/>
      <c r="U3" s="13"/>
      <c r="V3" s="13"/>
      <c r="W3" s="13"/>
      <c r="X3" s="13"/>
      <c r="Y3" s="13"/>
      <c r="Z3" s="13"/>
    </row>
    <row r="4" spans="1:26" ht="15.75" customHeight="1" x14ac:dyDescent="0.15">
      <c r="A4" s="665" t="s">
        <v>7</v>
      </c>
      <c r="B4" s="665" t="s">
        <v>104</v>
      </c>
      <c r="C4" s="46" t="s">
        <v>2474</v>
      </c>
      <c r="D4" s="46" t="s">
        <v>7046</v>
      </c>
      <c r="E4" s="46" t="s">
        <v>7047</v>
      </c>
      <c r="F4" s="46"/>
      <c r="G4" s="13"/>
      <c r="H4" s="13"/>
      <c r="I4" s="13"/>
      <c r="J4" s="13"/>
      <c r="K4" s="13"/>
      <c r="L4" s="13"/>
      <c r="M4" s="13"/>
      <c r="N4" s="13"/>
      <c r="O4" s="13"/>
      <c r="P4" s="13"/>
      <c r="Q4" s="13"/>
      <c r="R4" s="13"/>
      <c r="S4" s="13"/>
      <c r="T4" s="13"/>
      <c r="U4" s="13"/>
      <c r="V4" s="13"/>
      <c r="W4" s="13"/>
      <c r="X4" s="13"/>
      <c r="Y4" s="13"/>
      <c r="Z4" s="13"/>
    </row>
    <row r="5" spans="1:26" ht="15.75" customHeight="1" x14ac:dyDescent="0.15">
      <c r="A5" s="667" t="s">
        <v>4600</v>
      </c>
      <c r="B5" s="668" t="s">
        <v>180</v>
      </c>
      <c r="C5" s="669" t="s">
        <v>2474</v>
      </c>
      <c r="D5" s="670" t="s">
        <v>2477</v>
      </c>
      <c r="E5" s="670" t="s">
        <v>7048</v>
      </c>
      <c r="F5" s="670"/>
      <c r="G5" s="13"/>
      <c r="H5" s="13"/>
      <c r="I5" s="13"/>
      <c r="J5" s="13"/>
      <c r="K5" s="13"/>
      <c r="L5" s="13"/>
      <c r="M5" s="13"/>
      <c r="N5" s="13"/>
      <c r="O5" s="13"/>
      <c r="P5" s="13"/>
      <c r="Q5" s="13"/>
      <c r="R5" s="13"/>
      <c r="S5" s="13"/>
      <c r="T5" s="13"/>
      <c r="U5" s="13"/>
      <c r="V5" s="13"/>
      <c r="W5" s="13"/>
      <c r="X5" s="13"/>
      <c r="Y5" s="13"/>
      <c r="Z5" s="13"/>
    </row>
    <row r="6" spans="1:26" ht="15.75" customHeight="1" x14ac:dyDescent="0.15">
      <c r="A6" s="13"/>
      <c r="B6" s="13"/>
      <c r="C6" s="671" t="s">
        <v>2358</v>
      </c>
      <c r="D6" s="11" t="s">
        <v>283</v>
      </c>
      <c r="E6" s="11" t="s">
        <v>5011</v>
      </c>
      <c r="F6" s="13"/>
      <c r="G6" s="13"/>
      <c r="H6" s="13"/>
      <c r="I6" s="13"/>
      <c r="J6" s="13"/>
      <c r="K6" s="13"/>
      <c r="L6" s="13"/>
      <c r="M6" s="13"/>
      <c r="N6" s="13"/>
      <c r="O6" s="13"/>
      <c r="P6" s="13"/>
      <c r="Q6" s="13"/>
      <c r="R6" s="13"/>
      <c r="S6" s="13"/>
      <c r="T6" s="13"/>
      <c r="U6" s="13"/>
      <c r="V6" s="13"/>
      <c r="W6" s="13"/>
      <c r="X6" s="13"/>
      <c r="Y6" s="13"/>
      <c r="Z6" s="13"/>
    </row>
    <row r="7" spans="1:26" ht="15.75" customHeight="1" x14ac:dyDescent="0.15">
      <c r="A7" s="13"/>
      <c r="B7" s="13"/>
      <c r="C7" s="671" t="s">
        <v>2362</v>
      </c>
      <c r="D7" s="11" t="s">
        <v>283</v>
      </c>
      <c r="E7" s="11" t="s">
        <v>5013</v>
      </c>
      <c r="F7" s="13"/>
      <c r="G7" s="13"/>
      <c r="H7" s="13"/>
      <c r="I7" s="13"/>
      <c r="J7" s="13"/>
      <c r="K7" s="13"/>
      <c r="L7" s="13"/>
      <c r="M7" s="13"/>
      <c r="N7" s="13"/>
      <c r="O7" s="13"/>
      <c r="P7" s="13"/>
      <c r="Q7" s="13"/>
      <c r="R7" s="13"/>
      <c r="S7" s="13"/>
      <c r="T7" s="13"/>
      <c r="U7" s="13"/>
      <c r="V7" s="13"/>
      <c r="W7" s="13"/>
      <c r="X7" s="13"/>
      <c r="Y7" s="13"/>
      <c r="Z7" s="13"/>
    </row>
    <row r="8" spans="1:26" ht="15.75" customHeight="1" x14ac:dyDescent="0.15">
      <c r="A8" s="13"/>
      <c r="B8" s="11"/>
      <c r="C8" s="671" t="s">
        <v>2364</v>
      </c>
      <c r="D8" s="11" t="s">
        <v>283</v>
      </c>
      <c r="E8" s="11" t="s">
        <v>5015</v>
      </c>
      <c r="F8" s="13"/>
      <c r="G8" s="13"/>
      <c r="H8" s="13"/>
      <c r="I8" s="13"/>
      <c r="J8" s="13"/>
      <c r="K8" s="13"/>
      <c r="L8" s="13"/>
      <c r="M8" s="13"/>
      <c r="N8" s="13"/>
      <c r="O8" s="13"/>
      <c r="P8" s="13"/>
      <c r="Q8" s="13"/>
      <c r="R8" s="13"/>
      <c r="S8" s="13"/>
      <c r="T8" s="13"/>
      <c r="U8" s="13"/>
      <c r="V8" s="13"/>
      <c r="W8" s="13"/>
      <c r="X8" s="13"/>
      <c r="Y8" s="13"/>
      <c r="Z8" s="13"/>
    </row>
    <row r="9" spans="1:26" ht="15.75" customHeight="1" x14ac:dyDescent="0.15">
      <c r="A9" s="13"/>
      <c r="B9" s="11"/>
      <c r="C9" s="332" t="s">
        <v>2369</v>
      </c>
      <c r="D9" s="11" t="s">
        <v>283</v>
      </c>
      <c r="E9" s="11" t="s">
        <v>5017</v>
      </c>
      <c r="F9" s="13"/>
      <c r="G9" s="13"/>
      <c r="H9" s="13"/>
      <c r="I9" s="13"/>
      <c r="J9" s="13"/>
      <c r="K9" s="13"/>
      <c r="L9" s="13"/>
      <c r="M9" s="13"/>
      <c r="N9" s="13"/>
      <c r="O9" s="13"/>
      <c r="P9" s="13"/>
      <c r="Q9" s="13"/>
      <c r="R9" s="13"/>
      <c r="S9" s="13"/>
      <c r="T9" s="13"/>
      <c r="U9" s="13"/>
      <c r="V9" s="13"/>
      <c r="W9" s="13"/>
      <c r="X9" s="13"/>
      <c r="Y9" s="13"/>
      <c r="Z9" s="13"/>
    </row>
    <row r="10" spans="1:26" ht="15.75" customHeight="1" x14ac:dyDescent="0.15">
      <c r="A10" s="13"/>
      <c r="B10" s="11"/>
      <c r="C10" s="332" t="s">
        <v>2367</v>
      </c>
      <c r="D10" s="11" t="s">
        <v>283</v>
      </c>
      <c r="E10" s="11" t="s">
        <v>7049</v>
      </c>
      <c r="F10" s="13"/>
      <c r="G10" s="13"/>
      <c r="H10" s="13"/>
      <c r="I10" s="13"/>
      <c r="J10" s="13"/>
      <c r="K10" s="13"/>
      <c r="L10" s="13"/>
      <c r="M10" s="13"/>
      <c r="N10" s="13"/>
      <c r="O10" s="13"/>
      <c r="P10" s="13"/>
      <c r="Q10" s="13"/>
      <c r="R10" s="13"/>
      <c r="S10" s="13"/>
      <c r="T10" s="13"/>
      <c r="U10" s="13"/>
      <c r="V10" s="13"/>
      <c r="W10" s="13"/>
      <c r="X10" s="13"/>
      <c r="Y10" s="13"/>
      <c r="Z10" s="13"/>
    </row>
    <row r="11" spans="1:26" ht="15.75" customHeight="1" x14ac:dyDescent="0.15">
      <c r="A11" s="13"/>
      <c r="B11" s="11"/>
      <c r="C11" s="247" t="s">
        <v>2371</v>
      </c>
      <c r="D11" s="11" t="s">
        <v>283</v>
      </c>
      <c r="E11" s="11" t="s">
        <v>7050</v>
      </c>
      <c r="F11" s="13"/>
      <c r="G11" s="13"/>
      <c r="H11" s="13"/>
      <c r="I11" s="13"/>
      <c r="J11" s="13"/>
      <c r="K11" s="13"/>
      <c r="L11" s="13"/>
      <c r="M11" s="13"/>
      <c r="N11" s="13"/>
      <c r="O11" s="13"/>
      <c r="P11" s="13"/>
      <c r="Q11" s="13"/>
      <c r="R11" s="13"/>
      <c r="S11" s="13"/>
      <c r="T11" s="13"/>
      <c r="U11" s="13"/>
      <c r="V11" s="13"/>
      <c r="W11" s="13"/>
      <c r="X11" s="13"/>
      <c r="Y11" s="13"/>
      <c r="Z11" s="13"/>
    </row>
    <row r="12" spans="1:26" ht="15.75" customHeight="1" x14ac:dyDescent="0.15">
      <c r="A12" s="13"/>
      <c r="B12" s="11"/>
      <c r="C12" s="671" t="s">
        <v>2373</v>
      </c>
      <c r="D12" s="11" t="s">
        <v>283</v>
      </c>
      <c r="E12" s="11" t="s">
        <v>7051</v>
      </c>
      <c r="F12" s="13"/>
      <c r="G12" s="13"/>
      <c r="H12" s="13"/>
      <c r="I12" s="13"/>
      <c r="J12" s="13"/>
      <c r="K12" s="13"/>
      <c r="L12" s="13"/>
      <c r="M12" s="13"/>
      <c r="N12" s="13"/>
      <c r="O12" s="13"/>
      <c r="P12" s="13"/>
      <c r="Q12" s="13"/>
      <c r="R12" s="13"/>
      <c r="S12" s="13"/>
      <c r="T12" s="13"/>
      <c r="U12" s="13"/>
      <c r="V12" s="13"/>
      <c r="W12" s="13"/>
      <c r="X12" s="13"/>
      <c r="Y12" s="13"/>
      <c r="Z12" s="13"/>
    </row>
    <row r="13" spans="1:26" ht="15.75" customHeight="1" x14ac:dyDescent="0.15">
      <c r="A13" s="13"/>
      <c r="B13" s="11"/>
      <c r="C13" s="671"/>
      <c r="D13" s="11"/>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15">
      <c r="A14" s="13"/>
      <c r="B14" s="11"/>
      <c r="C14" s="671"/>
      <c r="D14" s="11"/>
      <c r="E14" s="13"/>
      <c r="F14" s="13"/>
      <c r="G14" s="13"/>
      <c r="H14" s="13"/>
      <c r="I14" s="13"/>
      <c r="J14" s="13"/>
      <c r="K14" s="13"/>
      <c r="L14" s="13"/>
      <c r="M14" s="13"/>
      <c r="N14" s="13"/>
      <c r="O14" s="13"/>
      <c r="P14" s="13"/>
      <c r="Q14" s="13"/>
      <c r="R14" s="13"/>
      <c r="S14" s="13"/>
      <c r="T14" s="13"/>
      <c r="U14" s="13"/>
      <c r="V14" s="13"/>
      <c r="W14" s="13"/>
      <c r="X14" s="13"/>
      <c r="Y14" s="13"/>
      <c r="Z14" s="13"/>
    </row>
    <row r="15" spans="1:26" ht="15.75" customHeight="1" x14ac:dyDescent="0.15">
      <c r="A15" s="13"/>
      <c r="B15" s="13"/>
      <c r="C15" s="671"/>
      <c r="D15" s="11"/>
      <c r="E15" s="13"/>
      <c r="F15" s="13"/>
      <c r="G15" s="13"/>
      <c r="H15" s="13"/>
      <c r="I15" s="13"/>
      <c r="J15" s="13"/>
      <c r="K15" s="13"/>
      <c r="L15" s="13"/>
      <c r="M15" s="13"/>
      <c r="N15" s="13"/>
      <c r="O15" s="13"/>
      <c r="P15" s="13"/>
      <c r="Q15" s="13"/>
      <c r="R15" s="13"/>
      <c r="S15" s="13"/>
      <c r="T15" s="13"/>
      <c r="U15" s="13"/>
      <c r="V15" s="13"/>
      <c r="W15" s="13"/>
      <c r="X15" s="13"/>
      <c r="Y15" s="13"/>
      <c r="Z15" s="13"/>
    </row>
    <row r="16" spans="1:26" ht="15.75" customHeight="1" x14ac:dyDescent="0.15">
      <c r="A16" s="13"/>
      <c r="B16" s="11"/>
      <c r="C16" s="671"/>
      <c r="D16" s="11"/>
      <c r="E16" s="13"/>
      <c r="F16" s="13"/>
      <c r="G16" s="13"/>
      <c r="H16" s="13"/>
      <c r="I16" s="13"/>
      <c r="J16" s="13"/>
      <c r="K16" s="13"/>
      <c r="L16" s="13"/>
      <c r="M16" s="13"/>
      <c r="N16" s="13"/>
      <c r="O16" s="13"/>
      <c r="P16" s="13"/>
      <c r="Q16" s="13"/>
      <c r="R16" s="13"/>
      <c r="S16" s="13"/>
      <c r="T16" s="13"/>
      <c r="U16" s="13"/>
      <c r="V16" s="13"/>
      <c r="W16" s="13"/>
      <c r="X16" s="13"/>
      <c r="Y16" s="13"/>
      <c r="Z16" s="13"/>
    </row>
    <row r="17" spans="1:26" ht="15.75" customHeight="1" x14ac:dyDescent="0.15">
      <c r="A17" s="11"/>
      <c r="B17" s="11"/>
      <c r="C17" s="671"/>
      <c r="D17" s="11"/>
      <c r="E17" s="13"/>
      <c r="F17" s="13"/>
      <c r="G17" s="13"/>
      <c r="H17" s="13"/>
      <c r="I17" s="13"/>
      <c r="J17" s="13"/>
      <c r="K17" s="13"/>
      <c r="L17" s="13"/>
      <c r="M17" s="13"/>
      <c r="N17" s="13"/>
      <c r="O17" s="13"/>
      <c r="P17" s="13"/>
      <c r="Q17" s="13"/>
      <c r="R17" s="13"/>
      <c r="S17" s="13"/>
      <c r="T17" s="13"/>
      <c r="U17" s="13"/>
      <c r="V17" s="13"/>
      <c r="W17" s="13"/>
      <c r="X17" s="13"/>
      <c r="Y17" s="13"/>
      <c r="Z17" s="13"/>
    </row>
    <row r="18" spans="1:26" ht="15.75" customHeight="1" x14ac:dyDescent="0.15">
      <c r="A18" s="11"/>
      <c r="B18" s="11"/>
      <c r="C18" s="671"/>
      <c r="D18" s="11"/>
      <c r="E18" s="13"/>
      <c r="F18" s="13"/>
      <c r="G18" s="13"/>
      <c r="H18" s="13"/>
      <c r="I18" s="13"/>
      <c r="J18" s="13"/>
      <c r="K18" s="13"/>
      <c r="L18" s="13"/>
      <c r="M18" s="13"/>
      <c r="N18" s="13"/>
      <c r="O18" s="13"/>
      <c r="P18" s="13"/>
      <c r="Q18" s="13"/>
      <c r="R18" s="13"/>
      <c r="S18" s="13"/>
      <c r="T18" s="13"/>
      <c r="U18" s="13"/>
      <c r="V18" s="13"/>
      <c r="W18" s="13"/>
      <c r="X18" s="13"/>
      <c r="Y18" s="13"/>
      <c r="Z18" s="13"/>
    </row>
    <row r="19" spans="1:26" ht="15.75" customHeight="1" x14ac:dyDescent="0.15">
      <c r="A19" s="13"/>
      <c r="B19" s="11"/>
      <c r="C19" s="11"/>
      <c r="D19" s="11"/>
      <c r="E19" s="13"/>
      <c r="F19" s="13"/>
      <c r="G19" s="13"/>
      <c r="H19" s="13"/>
      <c r="I19" s="13"/>
      <c r="J19" s="13"/>
      <c r="K19" s="13"/>
      <c r="L19" s="13"/>
      <c r="M19" s="13"/>
      <c r="N19" s="13"/>
      <c r="O19" s="13"/>
      <c r="P19" s="13"/>
      <c r="Q19" s="13"/>
      <c r="R19" s="13"/>
      <c r="S19" s="13"/>
      <c r="T19" s="13"/>
      <c r="U19" s="13"/>
      <c r="V19" s="13"/>
      <c r="W19" s="13"/>
      <c r="X19" s="13"/>
      <c r="Y19" s="13"/>
      <c r="Z19" s="13"/>
    </row>
    <row r="20" spans="1:26" ht="15.75" customHeight="1" x14ac:dyDescent="0.15">
      <c r="A20" s="13"/>
      <c r="B20" s="13"/>
      <c r="C20" s="11"/>
      <c r="D20" s="11"/>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15">
      <c r="A21" s="13"/>
      <c r="B21" s="13"/>
      <c r="C21" s="11"/>
      <c r="D21" s="11"/>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x14ac:dyDescent="0.15">
      <c r="A22" s="13"/>
      <c r="B22" s="13"/>
      <c r="C22" s="332"/>
      <c r="D22" s="11"/>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x14ac:dyDescent="0.15">
      <c r="A23" s="13"/>
      <c r="B23" s="13"/>
      <c r="C23" s="672"/>
      <c r="D23" s="11"/>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x14ac:dyDescent="0.15">
      <c r="A24" s="13"/>
      <c r="B24" s="13"/>
      <c r="C24" s="672"/>
      <c r="D24" s="11"/>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x14ac:dyDescent="0.15">
      <c r="A25" s="13"/>
      <c r="B25" s="13"/>
      <c r="C25" s="672"/>
      <c r="D25" s="11"/>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1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1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1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1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1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1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1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1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1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1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1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1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sheetData>
  <conditionalFormatting sqref="C6:C18">
    <cfRule type="expression" dxfId="19" priority="1">
      <formula>_xludf.ISFORMULA(C6)</formula>
    </cfRule>
  </conditionalFormatting>
  <conditionalFormatting sqref="A6:D1000">
    <cfRule type="expression" dxfId="18" priority="2">
      <formula>$B6</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D9EAD3"/>
    <outlinePr summaryBelow="0" summaryRight="0"/>
  </sheetPr>
  <dimension ref="A1:BO26"/>
  <sheetViews>
    <sheetView workbookViewId="0"/>
  </sheetViews>
  <sheetFormatPr baseColWidth="10" defaultColWidth="12.6640625" defaultRowHeight="15.75" customHeight="1" outlineLevelRow="1" outlineLevelCol="2" x14ac:dyDescent="0.15"/>
  <cols>
    <col min="2" max="2" width="12.6640625" outlineLevel="1"/>
    <col min="4" max="5" width="12.6640625" outlineLevel="1"/>
    <col min="8" max="8" width="12.6640625" outlineLevel="1"/>
    <col min="9" max="9" width="13.5" customWidth="1" outlineLevel="1"/>
    <col min="10" max="10" width="13.5" customWidth="1" outlineLevel="2"/>
    <col min="11" max="11" width="14.33203125" customWidth="1" outlineLevel="2"/>
    <col min="12" max="12" width="13.5" customWidth="1" outlineLevel="1"/>
    <col min="13" max="13" width="13.5" customWidth="1" outlineLevel="2"/>
    <col min="14" max="14" width="13.6640625" customWidth="1" outlineLevel="2"/>
    <col min="15" max="15" width="12.6640625" outlineLevel="1"/>
    <col min="19" max="20" width="12.6640625" outlineLevel="1"/>
    <col min="22" max="23" width="12.6640625" outlineLevel="1"/>
    <col min="26" max="27" width="12.6640625" outlineLevel="1"/>
    <col min="28" max="29" width="12.6640625" outlineLevel="2"/>
    <col min="30" max="30" width="12.6640625" outlineLevel="1"/>
    <col min="31" max="32" width="12.6640625" outlineLevel="2"/>
    <col min="33" max="33" width="12.6640625" outlineLevel="1"/>
    <col min="34" max="34" width="14.33203125" customWidth="1"/>
    <col min="35" max="35" width="12.83203125" customWidth="1" outlineLevel="1"/>
    <col min="36" max="36" width="13.33203125" customWidth="1" outlineLevel="1"/>
    <col min="37" max="37" width="14.1640625" customWidth="1" outlineLevel="1"/>
    <col min="38" max="38" width="12.83203125" customWidth="1"/>
    <col min="39" max="39" width="12.83203125" customWidth="1" outlineLevel="1"/>
    <col min="40" max="40" width="15.1640625" customWidth="1" outlineLevel="1"/>
    <col min="41" max="41" width="15" customWidth="1" outlineLevel="1"/>
    <col min="43" max="47" width="12.6640625" outlineLevel="1"/>
    <col min="49" max="53" width="12.6640625" outlineLevel="1"/>
  </cols>
  <sheetData>
    <row r="1" spans="1:67" ht="15.75" customHeight="1" x14ac:dyDescent="0.15">
      <c r="A1" s="379"/>
      <c r="B1" s="379"/>
      <c r="C1" s="379"/>
      <c r="D1" s="379"/>
      <c r="E1" s="379"/>
      <c r="F1" s="379"/>
      <c r="G1" s="379"/>
      <c r="H1" s="379"/>
      <c r="I1" s="379"/>
      <c r="J1" s="379"/>
      <c r="K1" s="379"/>
      <c r="L1" s="379"/>
      <c r="M1" s="379"/>
      <c r="N1" s="379"/>
      <c r="O1" s="379"/>
      <c r="P1" s="379"/>
      <c r="Q1" s="379"/>
      <c r="R1" s="379"/>
      <c r="S1" s="379"/>
      <c r="T1" s="379"/>
      <c r="U1" s="379"/>
      <c r="V1" s="379"/>
      <c r="W1" s="379"/>
      <c r="X1" s="379"/>
      <c r="Y1" s="379"/>
      <c r="Z1" s="379"/>
      <c r="AA1" s="379"/>
      <c r="AB1" s="379"/>
      <c r="AC1" s="379"/>
      <c r="AD1" s="379"/>
      <c r="AE1" s="379"/>
      <c r="AF1" s="379"/>
      <c r="AG1" s="379"/>
      <c r="AH1" s="379"/>
      <c r="AI1" s="379"/>
      <c r="AJ1" s="379"/>
      <c r="AK1" s="379"/>
      <c r="AL1" s="379"/>
      <c r="AM1" s="379"/>
      <c r="AN1" s="379"/>
      <c r="AO1" s="379"/>
      <c r="AP1" s="379"/>
      <c r="AQ1" s="379"/>
      <c r="AR1" s="379"/>
      <c r="AS1" s="379"/>
      <c r="AT1" s="379"/>
      <c r="AU1" s="379"/>
      <c r="AV1" s="379"/>
      <c r="AW1" s="379"/>
      <c r="AX1" s="379"/>
      <c r="AY1" s="379"/>
      <c r="AZ1" s="379"/>
      <c r="BA1" s="379"/>
      <c r="BB1" s="379"/>
      <c r="BC1" s="379"/>
      <c r="BD1" s="379"/>
      <c r="BE1" s="379"/>
      <c r="BF1" s="379"/>
      <c r="BG1" s="379"/>
      <c r="BH1" s="379"/>
      <c r="BI1" s="379"/>
      <c r="BJ1" s="379"/>
      <c r="BK1" s="379"/>
      <c r="BL1" s="379"/>
      <c r="BM1" s="379"/>
      <c r="BN1" s="379"/>
      <c r="BO1" s="379"/>
    </row>
    <row r="2" spans="1:67" ht="15.75" customHeight="1" x14ac:dyDescent="0.15">
      <c r="A2" s="45" t="s">
        <v>7052</v>
      </c>
      <c r="B2" s="45" t="s">
        <v>7053</v>
      </c>
      <c r="C2" s="45" t="s">
        <v>7054</v>
      </c>
      <c r="D2" s="45" t="s">
        <v>7055</v>
      </c>
      <c r="E2" s="45" t="s">
        <v>7056</v>
      </c>
      <c r="F2" s="732" t="s">
        <v>4363</v>
      </c>
      <c r="G2" s="45" t="s">
        <v>7057</v>
      </c>
      <c r="H2" s="45" t="s">
        <v>7058</v>
      </c>
      <c r="I2" s="733" t="s">
        <v>7059</v>
      </c>
      <c r="J2" s="733" t="s">
        <v>7060</v>
      </c>
      <c r="K2" s="733" t="s">
        <v>7061</v>
      </c>
      <c r="L2" s="733" t="s">
        <v>7062</v>
      </c>
      <c r="M2" s="733" t="s">
        <v>7063</v>
      </c>
      <c r="N2" s="733" t="s">
        <v>7064</v>
      </c>
      <c r="O2" s="45" t="s">
        <v>7065</v>
      </c>
      <c r="P2" s="45" t="s">
        <v>7066</v>
      </c>
      <c r="Q2" s="45" t="s">
        <v>7067</v>
      </c>
      <c r="R2" s="733" t="s">
        <v>7068</v>
      </c>
      <c r="S2" s="733" t="s">
        <v>7069</v>
      </c>
      <c r="T2" s="733" t="s">
        <v>7070</v>
      </c>
      <c r="U2" s="733" t="s">
        <v>7071</v>
      </c>
      <c r="V2" s="733" t="s">
        <v>7072</v>
      </c>
      <c r="W2" s="733" t="s">
        <v>7073</v>
      </c>
      <c r="X2" s="45" t="s">
        <v>7074</v>
      </c>
      <c r="Y2" s="45" t="s">
        <v>7075</v>
      </c>
      <c r="Z2" s="45" t="s">
        <v>7076</v>
      </c>
      <c r="AA2" s="733" t="s">
        <v>7077</v>
      </c>
      <c r="AB2" s="733" t="s">
        <v>7078</v>
      </c>
      <c r="AC2" s="733" t="s">
        <v>7079</v>
      </c>
      <c r="AD2" s="733" t="s">
        <v>7080</v>
      </c>
      <c r="AE2" s="733" t="s">
        <v>7081</v>
      </c>
      <c r="AF2" s="733" t="s">
        <v>7082</v>
      </c>
      <c r="AG2" s="45" t="s">
        <v>7083</v>
      </c>
      <c r="AH2" s="45" t="s">
        <v>7084</v>
      </c>
      <c r="AI2" s="45" t="s">
        <v>7085</v>
      </c>
      <c r="AJ2" s="45" t="s">
        <v>7086</v>
      </c>
      <c r="AK2" s="45" t="s">
        <v>7087</v>
      </c>
      <c r="AL2" s="45" t="s">
        <v>7088</v>
      </c>
      <c r="AM2" s="45" t="s">
        <v>7089</v>
      </c>
      <c r="AN2" s="45" t="s">
        <v>7090</v>
      </c>
      <c r="AO2" s="45" t="s">
        <v>7091</v>
      </c>
      <c r="AP2" s="379"/>
      <c r="AQ2" s="379"/>
      <c r="AR2" s="379"/>
      <c r="AS2" s="379"/>
      <c r="AT2" s="379"/>
      <c r="AU2" s="379"/>
      <c r="AV2" s="379"/>
      <c r="AW2" s="379"/>
      <c r="AX2" s="379"/>
      <c r="AY2" s="379"/>
      <c r="AZ2" s="379"/>
      <c r="BA2" s="379"/>
      <c r="BB2" s="379"/>
      <c r="BC2" s="379"/>
      <c r="BD2" s="379"/>
      <c r="BE2" s="379"/>
      <c r="BF2" s="379"/>
      <c r="BG2" s="379"/>
      <c r="BH2" s="379"/>
      <c r="BI2" s="379"/>
      <c r="BJ2" s="379"/>
      <c r="BK2" s="379"/>
      <c r="BL2" s="379"/>
      <c r="BM2" s="379"/>
      <c r="BN2" s="379"/>
      <c r="BO2" s="379"/>
    </row>
    <row r="3" spans="1:67" ht="15.75" customHeight="1" x14ac:dyDescent="0.15">
      <c r="A3" s="797" t="s">
        <v>7092</v>
      </c>
      <c r="B3" s="773"/>
      <c r="C3" s="773"/>
      <c r="D3" s="773"/>
      <c r="E3" s="773"/>
      <c r="F3" s="798" t="s">
        <v>7093</v>
      </c>
      <c r="G3" s="773"/>
      <c r="H3" s="773"/>
      <c r="I3" s="773"/>
      <c r="J3" s="773"/>
      <c r="K3" s="773"/>
      <c r="L3" s="773"/>
      <c r="M3" s="773"/>
      <c r="N3" s="773"/>
      <c r="O3" s="773"/>
      <c r="P3" s="773"/>
      <c r="Q3" s="773"/>
      <c r="R3" s="773"/>
      <c r="S3" s="773"/>
      <c r="T3" s="773"/>
      <c r="U3" s="773"/>
      <c r="V3" s="773"/>
      <c r="W3" s="773"/>
      <c r="X3" s="773"/>
      <c r="Y3" s="773"/>
      <c r="Z3" s="773"/>
      <c r="AA3" s="773"/>
      <c r="AB3" s="773"/>
      <c r="AC3" s="773"/>
      <c r="AD3" s="773"/>
      <c r="AE3" s="773"/>
      <c r="AF3" s="773"/>
      <c r="AG3" s="773"/>
      <c r="AH3" s="773"/>
      <c r="AI3" s="773"/>
      <c r="AJ3" s="773"/>
      <c r="AK3" s="773"/>
      <c r="AL3" s="773"/>
      <c r="AM3" s="773"/>
      <c r="AN3" s="773"/>
      <c r="AO3" s="773"/>
      <c r="AP3" s="773"/>
      <c r="AQ3" s="773"/>
      <c r="AR3" s="773"/>
      <c r="AS3" s="773"/>
      <c r="AT3" s="773"/>
      <c r="AU3" s="773"/>
      <c r="AV3" s="773"/>
      <c r="AW3" s="773"/>
      <c r="AX3" s="773"/>
      <c r="AY3" s="773"/>
      <c r="AZ3" s="773"/>
      <c r="BA3" s="773"/>
      <c r="BB3" s="773"/>
      <c r="BC3" s="773"/>
      <c r="BD3" s="773"/>
      <c r="BE3" s="773"/>
      <c r="BF3" s="773"/>
      <c r="BG3" s="773"/>
      <c r="BH3" s="773"/>
      <c r="BI3" s="773"/>
      <c r="BJ3" s="773"/>
      <c r="BK3" s="773"/>
      <c r="BL3" s="773"/>
      <c r="BM3" s="773"/>
      <c r="BN3" s="773"/>
      <c r="BO3" s="773"/>
    </row>
    <row r="4" spans="1:67" ht="15.75" customHeight="1" x14ac:dyDescent="0.15">
      <c r="A4" s="799" t="s">
        <v>7094</v>
      </c>
      <c r="B4" s="773"/>
      <c r="C4" s="796" t="s">
        <v>7095</v>
      </c>
      <c r="D4" s="773"/>
      <c r="E4" s="773"/>
      <c r="F4" s="734" t="s">
        <v>2469</v>
      </c>
      <c r="G4" s="796" t="s">
        <v>2593</v>
      </c>
      <c r="H4" s="773"/>
      <c r="I4" s="773"/>
      <c r="J4" s="773"/>
      <c r="K4" s="773"/>
      <c r="L4" s="773"/>
      <c r="M4" s="773"/>
      <c r="N4" s="773"/>
      <c r="O4" s="773"/>
      <c r="P4" s="773"/>
      <c r="Q4" s="773"/>
      <c r="R4" s="773"/>
      <c r="S4" s="773"/>
      <c r="T4" s="773"/>
      <c r="U4" s="773"/>
      <c r="V4" s="773"/>
      <c r="W4" s="773"/>
      <c r="X4" s="773"/>
      <c r="Y4" s="773"/>
      <c r="Z4" s="773"/>
      <c r="AA4" s="773"/>
      <c r="AB4" s="773"/>
      <c r="AC4" s="773"/>
      <c r="AD4" s="773"/>
      <c r="AE4" s="773"/>
      <c r="AF4" s="773"/>
      <c r="AG4" s="773"/>
      <c r="AH4" s="796" t="s">
        <v>7096</v>
      </c>
      <c r="AI4" s="773"/>
      <c r="AJ4" s="773"/>
      <c r="AK4" s="773"/>
      <c r="AL4" s="773"/>
      <c r="AM4" s="773"/>
      <c r="AN4" s="773"/>
      <c r="AO4" s="773"/>
      <c r="AP4" s="796" t="s">
        <v>7097</v>
      </c>
      <c r="AQ4" s="773"/>
      <c r="AR4" s="773"/>
      <c r="AS4" s="773"/>
      <c r="AT4" s="773"/>
      <c r="AU4" s="773"/>
      <c r="AV4" s="773"/>
      <c r="AW4" s="773"/>
      <c r="AX4" s="773"/>
      <c r="AY4" s="773"/>
      <c r="AZ4" s="773"/>
      <c r="BA4" s="773"/>
      <c r="BB4" s="796" t="s">
        <v>7098</v>
      </c>
      <c r="BC4" s="773"/>
      <c r="BD4" s="773"/>
      <c r="BE4" s="773"/>
      <c r="BF4" s="796" t="s">
        <v>7095</v>
      </c>
      <c r="BG4" s="773"/>
      <c r="BH4" s="773"/>
      <c r="BI4" s="773"/>
      <c r="BJ4" s="796" t="s">
        <v>7099</v>
      </c>
      <c r="BK4" s="773"/>
      <c r="BL4" s="773"/>
      <c r="BM4" s="773"/>
      <c r="BN4" s="796" t="s">
        <v>6445</v>
      </c>
      <c r="BO4" s="773"/>
    </row>
    <row r="5" spans="1:67" ht="15.75" customHeight="1" x14ac:dyDescent="0.15">
      <c r="A5" s="802">
        <v>0</v>
      </c>
      <c r="B5" s="773"/>
      <c r="C5" s="800">
        <v>0</v>
      </c>
      <c r="D5" s="773"/>
      <c r="E5" s="773"/>
      <c r="F5" s="736"/>
      <c r="G5" s="800">
        <v>0</v>
      </c>
      <c r="H5" s="773"/>
      <c r="I5" s="773"/>
      <c r="J5" s="773"/>
      <c r="K5" s="773"/>
      <c r="L5" s="773"/>
      <c r="M5" s="773"/>
      <c r="N5" s="773"/>
      <c r="O5" s="773"/>
      <c r="P5" s="800">
        <v>1</v>
      </c>
      <c r="Q5" s="773"/>
      <c r="R5" s="773"/>
      <c r="S5" s="773"/>
      <c r="T5" s="773"/>
      <c r="U5" s="773"/>
      <c r="V5" s="773"/>
      <c r="W5" s="773"/>
      <c r="X5" s="773"/>
      <c r="Y5" s="800">
        <v>2</v>
      </c>
      <c r="Z5" s="773"/>
      <c r="AA5" s="773"/>
      <c r="AB5" s="773"/>
      <c r="AC5" s="773"/>
      <c r="AD5" s="773"/>
      <c r="AE5" s="773"/>
      <c r="AF5" s="773"/>
      <c r="AG5" s="773"/>
      <c r="AH5" s="800">
        <v>0</v>
      </c>
      <c r="AI5" s="773"/>
      <c r="AJ5" s="773"/>
      <c r="AK5" s="773"/>
      <c r="AL5" s="800">
        <v>1</v>
      </c>
      <c r="AM5" s="773"/>
      <c r="AN5" s="773"/>
      <c r="AO5" s="773"/>
      <c r="AP5" s="800">
        <v>0</v>
      </c>
      <c r="AQ5" s="773"/>
      <c r="AR5" s="773"/>
      <c r="AS5" s="773"/>
      <c r="AT5" s="773"/>
      <c r="AU5" s="773"/>
      <c r="AV5" s="800">
        <v>1</v>
      </c>
      <c r="AW5" s="773"/>
      <c r="AX5" s="773"/>
      <c r="AY5" s="773"/>
      <c r="AZ5" s="773"/>
      <c r="BA5" s="773"/>
      <c r="BB5" s="800">
        <v>0</v>
      </c>
      <c r="BC5" s="773"/>
      <c r="BD5" s="801">
        <v>1</v>
      </c>
      <c r="BE5" s="773"/>
      <c r="BF5" s="800">
        <v>0</v>
      </c>
      <c r="BG5" s="773"/>
      <c r="BH5" s="801">
        <v>1</v>
      </c>
      <c r="BI5" s="773"/>
      <c r="BJ5" s="800">
        <v>0</v>
      </c>
      <c r="BK5" s="773"/>
      <c r="BL5" s="801">
        <v>1</v>
      </c>
      <c r="BM5" s="773"/>
      <c r="BN5" s="735" t="s">
        <v>2468</v>
      </c>
      <c r="BO5" s="737" t="s">
        <v>2468</v>
      </c>
    </row>
    <row r="6" spans="1:67" ht="15.75" customHeight="1" x14ac:dyDescent="0.15">
      <c r="A6" s="738" t="s">
        <v>7100</v>
      </c>
      <c r="B6" s="738" t="s">
        <v>7101</v>
      </c>
      <c r="C6" s="738" t="s">
        <v>2468</v>
      </c>
      <c r="D6" s="738" t="s">
        <v>7100</v>
      </c>
      <c r="E6" s="738" t="s">
        <v>7101</v>
      </c>
      <c r="F6" s="739"/>
      <c r="G6" s="738" t="s">
        <v>2468</v>
      </c>
      <c r="H6" s="738" t="s">
        <v>7102</v>
      </c>
      <c r="I6" s="804" t="s">
        <v>7103</v>
      </c>
      <c r="J6" s="773"/>
      <c r="K6" s="773"/>
      <c r="L6" s="773"/>
      <c r="M6" s="773"/>
      <c r="N6" s="773"/>
      <c r="O6" s="738" t="s">
        <v>7104</v>
      </c>
      <c r="P6" s="738" t="s">
        <v>2468</v>
      </c>
      <c r="Q6" s="738" t="s">
        <v>7102</v>
      </c>
      <c r="R6" s="804" t="s">
        <v>7103</v>
      </c>
      <c r="S6" s="773"/>
      <c r="T6" s="773"/>
      <c r="U6" s="773"/>
      <c r="V6" s="773"/>
      <c r="W6" s="773"/>
      <c r="X6" s="738" t="s">
        <v>7104</v>
      </c>
      <c r="Y6" s="738" t="s">
        <v>2468</v>
      </c>
      <c r="Z6" s="738" t="s">
        <v>7102</v>
      </c>
      <c r="AA6" s="804" t="s">
        <v>7103</v>
      </c>
      <c r="AB6" s="773"/>
      <c r="AC6" s="773"/>
      <c r="AD6" s="773"/>
      <c r="AE6" s="773"/>
      <c r="AF6" s="773"/>
      <c r="AG6" s="738" t="s">
        <v>7104</v>
      </c>
      <c r="AH6" s="738" t="s">
        <v>2468</v>
      </c>
      <c r="AI6" s="740" t="s">
        <v>7102</v>
      </c>
      <c r="AJ6" s="740" t="s">
        <v>7105</v>
      </c>
      <c r="AK6" s="740" t="s">
        <v>7104</v>
      </c>
      <c r="AL6" s="738" t="s">
        <v>2468</v>
      </c>
      <c r="AM6" s="740" t="s">
        <v>7102</v>
      </c>
      <c r="AN6" s="740" t="s">
        <v>7105</v>
      </c>
      <c r="AO6" s="740" t="s">
        <v>7104</v>
      </c>
      <c r="AP6" s="804" t="s">
        <v>7106</v>
      </c>
      <c r="AQ6" s="773"/>
      <c r="AR6" s="773"/>
      <c r="AS6" s="740" t="s">
        <v>7102</v>
      </c>
      <c r="AT6" s="740" t="s">
        <v>7105</v>
      </c>
      <c r="AU6" s="740" t="s">
        <v>7104</v>
      </c>
      <c r="AV6" s="804" t="s">
        <v>7106</v>
      </c>
      <c r="AW6" s="773"/>
      <c r="AX6" s="773"/>
      <c r="AY6" s="740" t="s">
        <v>7102</v>
      </c>
      <c r="AZ6" s="740" t="s">
        <v>7105</v>
      </c>
      <c r="BA6" s="740" t="s">
        <v>7104</v>
      </c>
      <c r="BB6" s="738" t="s">
        <v>2468</v>
      </c>
      <c r="BC6" s="740" t="s">
        <v>7102</v>
      </c>
      <c r="BD6" s="738" t="s">
        <v>2468</v>
      </c>
      <c r="BE6" s="740" t="s">
        <v>7102</v>
      </c>
      <c r="BF6" s="738" t="s">
        <v>2468</v>
      </c>
      <c r="BG6" s="740" t="s">
        <v>7102</v>
      </c>
      <c r="BH6" s="738" t="s">
        <v>2468</v>
      </c>
      <c r="BI6" s="740" t="s">
        <v>7102</v>
      </c>
      <c r="BJ6" s="738" t="s">
        <v>7107</v>
      </c>
      <c r="BK6" s="740" t="s">
        <v>7108</v>
      </c>
      <c r="BL6" s="738" t="s">
        <v>7107</v>
      </c>
      <c r="BM6" s="740" t="s">
        <v>7108</v>
      </c>
      <c r="BN6" s="738"/>
      <c r="BO6" s="740"/>
    </row>
    <row r="7" spans="1:67" ht="15.75" customHeight="1" x14ac:dyDescent="0.15">
      <c r="A7" s="741"/>
      <c r="B7" s="742"/>
      <c r="C7" s="742"/>
      <c r="D7" s="742"/>
      <c r="E7" s="742"/>
      <c r="F7" s="743"/>
      <c r="G7" s="742"/>
      <c r="H7" s="742"/>
      <c r="I7" s="803">
        <v>0</v>
      </c>
      <c r="J7" s="773"/>
      <c r="K7" s="773"/>
      <c r="L7" s="803">
        <v>1</v>
      </c>
      <c r="M7" s="773"/>
      <c r="N7" s="773"/>
      <c r="O7" s="742"/>
      <c r="P7" s="742"/>
      <c r="Q7" s="742"/>
      <c r="R7" s="803">
        <v>0</v>
      </c>
      <c r="S7" s="773"/>
      <c r="T7" s="773"/>
      <c r="U7" s="803">
        <v>1</v>
      </c>
      <c r="V7" s="773"/>
      <c r="W7" s="773"/>
      <c r="X7" s="742"/>
      <c r="Y7" s="742"/>
      <c r="Z7" s="742"/>
      <c r="AA7" s="803">
        <v>0</v>
      </c>
      <c r="AB7" s="773"/>
      <c r="AC7" s="773"/>
      <c r="AD7" s="803">
        <v>1</v>
      </c>
      <c r="AE7" s="773"/>
      <c r="AF7" s="773"/>
      <c r="AG7" s="742"/>
      <c r="AH7" s="742"/>
      <c r="AI7" s="744"/>
      <c r="AJ7" s="744"/>
      <c r="AK7" s="744"/>
      <c r="AL7" s="742"/>
      <c r="AM7" s="744"/>
      <c r="AN7" s="744"/>
      <c r="AO7" s="744"/>
      <c r="AP7" s="742">
        <v>0</v>
      </c>
      <c r="AQ7" s="744">
        <v>1</v>
      </c>
      <c r="AR7" s="744">
        <v>2</v>
      </c>
      <c r="AS7" s="744"/>
      <c r="AT7" s="744"/>
      <c r="AU7" s="744"/>
      <c r="AV7" s="742">
        <v>0</v>
      </c>
      <c r="AW7" s="744">
        <v>1</v>
      </c>
      <c r="AX7" s="744">
        <v>2</v>
      </c>
      <c r="AY7" s="744"/>
      <c r="AZ7" s="744"/>
      <c r="BA7" s="744"/>
      <c r="BB7" s="742"/>
      <c r="BC7" s="744"/>
      <c r="BD7" s="744"/>
      <c r="BE7" s="744"/>
      <c r="BF7" s="742"/>
      <c r="BG7" s="744"/>
      <c r="BH7" s="744"/>
      <c r="BI7" s="744"/>
      <c r="BJ7" s="742"/>
      <c r="BK7" s="744"/>
      <c r="BL7" s="744"/>
      <c r="BM7" s="744"/>
      <c r="BN7" s="742"/>
      <c r="BO7" s="744"/>
    </row>
    <row r="8" spans="1:67" ht="15.75" customHeight="1" x14ac:dyDescent="0.15">
      <c r="A8" s="741"/>
      <c r="B8" s="742"/>
      <c r="C8" s="742"/>
      <c r="D8" s="742"/>
      <c r="E8" s="742"/>
      <c r="F8" s="743"/>
      <c r="G8" s="742"/>
      <c r="H8" s="742"/>
      <c r="I8" s="742" t="s">
        <v>7107</v>
      </c>
      <c r="J8" s="744" t="s">
        <v>7108</v>
      </c>
      <c r="K8" s="744" t="s">
        <v>7109</v>
      </c>
      <c r="L8" s="742" t="s">
        <v>7107</v>
      </c>
      <c r="M8" s="744" t="s">
        <v>7108</v>
      </c>
      <c r="N8" s="744" t="s">
        <v>7109</v>
      </c>
      <c r="O8" s="742"/>
      <c r="P8" s="742"/>
      <c r="Q8" s="742"/>
      <c r="R8" s="742" t="s">
        <v>7107</v>
      </c>
      <c r="S8" s="744" t="s">
        <v>7108</v>
      </c>
      <c r="T8" s="744" t="s">
        <v>7109</v>
      </c>
      <c r="U8" s="742" t="s">
        <v>7107</v>
      </c>
      <c r="V8" s="744" t="s">
        <v>7108</v>
      </c>
      <c r="W8" s="744" t="s">
        <v>7109</v>
      </c>
      <c r="X8" s="742"/>
      <c r="Y8" s="742"/>
      <c r="Z8" s="742"/>
      <c r="AA8" s="742" t="s">
        <v>7107</v>
      </c>
      <c r="AB8" s="744" t="s">
        <v>7108</v>
      </c>
      <c r="AC8" s="744" t="s">
        <v>7109</v>
      </c>
      <c r="AD8" s="742" t="s">
        <v>7107</v>
      </c>
      <c r="AE8" s="744" t="s">
        <v>7108</v>
      </c>
      <c r="AF8" s="744" t="s">
        <v>7109</v>
      </c>
      <c r="AG8" s="742"/>
      <c r="AH8" s="742"/>
      <c r="AI8" s="744"/>
      <c r="AJ8" s="744"/>
      <c r="AK8" s="744"/>
      <c r="AL8" s="742"/>
      <c r="AM8" s="744"/>
      <c r="AN8" s="744"/>
      <c r="AO8" s="744"/>
      <c r="AP8" s="742"/>
      <c r="AQ8" s="744"/>
      <c r="AR8" s="744"/>
      <c r="AS8" s="744"/>
      <c r="AT8" s="744"/>
      <c r="AU8" s="744"/>
      <c r="AV8" s="742"/>
      <c r="AW8" s="744"/>
      <c r="AX8" s="744"/>
      <c r="AY8" s="744"/>
      <c r="AZ8" s="744"/>
      <c r="BA8" s="744"/>
      <c r="BB8" s="742"/>
      <c r="BC8" s="744"/>
      <c r="BD8" s="744"/>
      <c r="BE8" s="744"/>
      <c r="BF8" s="742"/>
      <c r="BG8" s="744"/>
      <c r="BH8" s="744"/>
      <c r="BI8" s="744"/>
      <c r="BJ8" s="742"/>
      <c r="BK8" s="744"/>
      <c r="BL8" s="744"/>
      <c r="BM8" s="744"/>
      <c r="BN8" s="742"/>
      <c r="BO8" s="744"/>
    </row>
    <row r="9" spans="1:67" ht="15.75" customHeight="1" outlineLevel="1" x14ac:dyDescent="0.15">
      <c r="A9" s="404"/>
      <c r="B9" s="405" t="s">
        <v>4603</v>
      </c>
      <c r="C9" s="405" t="s">
        <v>4605</v>
      </c>
      <c r="D9" s="459"/>
      <c r="E9" s="405" t="s">
        <v>4603</v>
      </c>
      <c r="F9" s="745" t="s">
        <v>4612</v>
      </c>
      <c r="G9" s="464" t="s">
        <v>4613</v>
      </c>
      <c r="H9" s="464" t="s">
        <v>4614</v>
      </c>
      <c r="I9" s="78"/>
      <c r="J9" s="78"/>
      <c r="K9" s="464" t="s">
        <v>7110</v>
      </c>
      <c r="L9" s="78"/>
      <c r="M9" s="78"/>
      <c r="N9" s="464" t="s">
        <v>7110</v>
      </c>
      <c r="O9" s="464" t="s">
        <v>4615</v>
      </c>
      <c r="P9" s="746"/>
      <c r="Q9" s="464"/>
      <c r="R9" s="78"/>
      <c r="S9" s="78"/>
      <c r="T9" s="464" t="s">
        <v>7110</v>
      </c>
      <c r="U9" s="78"/>
      <c r="V9" s="78"/>
      <c r="W9" s="464" t="s">
        <v>7110</v>
      </c>
      <c r="X9" s="77" t="s">
        <v>4615</v>
      </c>
      <c r="Y9" s="746"/>
      <c r="Z9" s="464"/>
      <c r="AA9" s="78"/>
      <c r="AB9" s="78"/>
      <c r="AC9" s="464" t="s">
        <v>7110</v>
      </c>
      <c r="AD9" s="78"/>
      <c r="AE9" s="78"/>
      <c r="AF9" s="464" t="s">
        <v>7110</v>
      </c>
      <c r="AG9" s="77" t="s">
        <v>4615</v>
      </c>
      <c r="AH9" s="76" t="s">
        <v>4616</v>
      </c>
      <c r="AI9" s="405"/>
      <c r="AJ9" s="405" t="s">
        <v>4617</v>
      </c>
      <c r="AK9" s="405" t="s">
        <v>4615</v>
      </c>
      <c r="AL9" s="76" t="s">
        <v>4616</v>
      </c>
      <c r="AM9" s="405"/>
      <c r="AN9" s="405" t="s">
        <v>4617</v>
      </c>
      <c r="AO9" s="405" t="s">
        <v>4615</v>
      </c>
      <c r="AP9" s="76" t="s">
        <v>4613</v>
      </c>
      <c r="AQ9" s="76" t="s">
        <v>4613</v>
      </c>
      <c r="AR9" s="405" t="s">
        <v>4613</v>
      </c>
      <c r="AS9" s="405"/>
      <c r="AT9" s="405" t="s">
        <v>4617</v>
      </c>
      <c r="AU9" s="405" t="s">
        <v>4615</v>
      </c>
      <c r="AV9" s="76" t="s">
        <v>4613</v>
      </c>
      <c r="AW9" s="470" t="s">
        <v>4618</v>
      </c>
      <c r="AX9" s="76" t="s">
        <v>4613</v>
      </c>
      <c r="AY9" s="405"/>
      <c r="AZ9" s="405" t="s">
        <v>4617</v>
      </c>
      <c r="BA9" s="405" t="s">
        <v>4615</v>
      </c>
      <c r="BB9" s="405"/>
      <c r="BC9" s="405"/>
      <c r="BD9" s="459"/>
      <c r="BE9" s="459"/>
      <c r="BF9" s="405"/>
      <c r="BG9" s="405"/>
      <c r="BH9" s="459"/>
      <c r="BI9" s="459"/>
      <c r="BJ9" s="405"/>
      <c r="BK9" s="405"/>
      <c r="BL9" s="459"/>
      <c r="BM9" s="459"/>
      <c r="BN9" s="405"/>
      <c r="BO9" s="405"/>
    </row>
    <row r="10" spans="1:67" ht="15.75" customHeight="1" outlineLevel="1" x14ac:dyDescent="0.15">
      <c r="A10" s="401"/>
      <c r="B10" s="405" t="s">
        <v>1693</v>
      </c>
      <c r="C10" s="405"/>
      <c r="D10" s="459"/>
      <c r="E10" s="405" t="s">
        <v>1693</v>
      </c>
      <c r="F10" s="747" t="s">
        <v>4376</v>
      </c>
      <c r="G10" s="77"/>
      <c r="H10" s="77">
        <v>1</v>
      </c>
      <c r="I10" s="78"/>
      <c r="J10" s="78"/>
      <c r="K10" s="77"/>
      <c r="L10" s="78"/>
      <c r="M10" s="78"/>
      <c r="N10" s="77"/>
      <c r="O10" s="77" t="s">
        <v>6491</v>
      </c>
      <c r="P10" s="78"/>
      <c r="Q10" s="77">
        <v>1</v>
      </c>
      <c r="R10" s="78"/>
      <c r="S10" s="78"/>
      <c r="T10" s="77"/>
      <c r="U10" s="78"/>
      <c r="V10" s="78"/>
      <c r="W10" s="77"/>
      <c r="X10" s="77" t="s">
        <v>6491</v>
      </c>
      <c r="Y10" s="78"/>
      <c r="Z10" s="77">
        <v>1</v>
      </c>
      <c r="AA10" s="78"/>
      <c r="AB10" s="78"/>
      <c r="AC10" s="77"/>
      <c r="AD10" s="78"/>
      <c r="AE10" s="78"/>
      <c r="AF10" s="77"/>
      <c r="AG10" s="77" t="s">
        <v>6491</v>
      </c>
      <c r="AH10" s="76"/>
      <c r="AI10" s="405">
        <v>1</v>
      </c>
      <c r="AJ10" s="405" t="s">
        <v>6513</v>
      </c>
      <c r="AK10" s="77" t="s">
        <v>6491</v>
      </c>
      <c r="AL10" s="76"/>
      <c r="AM10" s="405">
        <v>1</v>
      </c>
      <c r="AN10" s="405" t="s">
        <v>7111</v>
      </c>
      <c r="AO10" s="77" t="s">
        <v>6491</v>
      </c>
      <c r="AP10" s="76"/>
      <c r="AQ10" s="405"/>
      <c r="AR10" s="405"/>
      <c r="AS10" s="405">
        <v>1</v>
      </c>
      <c r="AT10" s="405" t="s">
        <v>6513</v>
      </c>
      <c r="AU10" s="77" t="s">
        <v>6491</v>
      </c>
      <c r="AV10" s="76"/>
      <c r="AW10" s="76"/>
      <c r="AX10" s="76"/>
      <c r="AY10" s="405">
        <v>1</v>
      </c>
      <c r="AZ10" s="405" t="s">
        <v>7111</v>
      </c>
      <c r="BA10" s="77" t="s">
        <v>6491</v>
      </c>
      <c r="BB10" s="405"/>
      <c r="BC10" s="405"/>
      <c r="BD10" s="459"/>
      <c r="BE10" s="459"/>
      <c r="BF10" s="405"/>
      <c r="BG10" s="405"/>
      <c r="BH10" s="459"/>
      <c r="BI10" s="459"/>
      <c r="BJ10" s="405"/>
      <c r="BK10" s="405"/>
      <c r="BL10" s="459"/>
      <c r="BM10" s="459"/>
      <c r="BN10" s="405"/>
      <c r="BO10" s="405"/>
    </row>
    <row r="11" spans="1:67" ht="15.75" customHeight="1" x14ac:dyDescent="0.15">
      <c r="A11" s="748">
        <v>1</v>
      </c>
      <c r="B11" s="748" t="s">
        <v>1560</v>
      </c>
      <c r="C11" s="748" t="s">
        <v>2359</v>
      </c>
      <c r="D11" s="749">
        <v>125</v>
      </c>
      <c r="E11" s="749" t="s">
        <v>1560</v>
      </c>
      <c r="F11" s="750" t="s">
        <v>4376</v>
      </c>
      <c r="G11" s="748" t="s">
        <v>7112</v>
      </c>
      <c r="H11" s="749">
        <v>1</v>
      </c>
      <c r="I11" s="751"/>
      <c r="J11" s="751"/>
      <c r="K11" s="751"/>
      <c r="L11" s="751"/>
      <c r="M11" s="751"/>
      <c r="N11" s="751"/>
      <c r="O11" s="751"/>
      <c r="P11" s="749" t="s">
        <v>7113</v>
      </c>
      <c r="Q11" s="749">
        <v>1</v>
      </c>
      <c r="R11" s="751"/>
      <c r="S11" s="751"/>
      <c r="T11" s="751"/>
      <c r="U11" s="751"/>
      <c r="V11" s="751"/>
      <c r="W11" s="751"/>
      <c r="X11" s="751"/>
      <c r="Y11" s="749" t="s">
        <v>7114</v>
      </c>
      <c r="Z11" s="749">
        <v>1</v>
      </c>
      <c r="AA11" s="751"/>
      <c r="AB11" s="751"/>
      <c r="AC11" s="751"/>
      <c r="AD11" s="751"/>
      <c r="AE11" s="751"/>
      <c r="AF11" s="751"/>
      <c r="AG11" s="751"/>
      <c r="AH11" s="752"/>
      <c r="AI11" s="751"/>
      <c r="AJ11" s="751"/>
      <c r="AK11" s="751"/>
      <c r="AL11" s="752"/>
      <c r="AM11" s="751"/>
      <c r="AN11" s="751"/>
      <c r="AO11" s="751"/>
      <c r="AP11" s="751"/>
      <c r="AQ11" s="751"/>
      <c r="AR11" s="751"/>
      <c r="AS11" s="751"/>
      <c r="AT11" s="751"/>
      <c r="AU11" s="751"/>
      <c r="AV11" s="751"/>
      <c r="AW11" s="751"/>
      <c r="AX11" s="751"/>
      <c r="AY11" s="751"/>
      <c r="AZ11" s="751"/>
      <c r="BA11" s="751"/>
      <c r="BB11" s="752"/>
      <c r="BC11" s="751"/>
      <c r="BD11" s="751"/>
      <c r="BE11" s="751"/>
      <c r="BF11" s="752"/>
      <c r="BG11" s="751"/>
      <c r="BH11" s="751"/>
      <c r="BI11" s="751"/>
      <c r="BJ11" s="751"/>
      <c r="BK11" s="751"/>
      <c r="BL11" s="751"/>
      <c r="BM11" s="751"/>
      <c r="BN11" s="751"/>
      <c r="BO11" s="751"/>
    </row>
    <row r="12" spans="1:67" ht="15.75" customHeight="1" x14ac:dyDescent="0.15">
      <c r="A12" s="486">
        <v>1</v>
      </c>
      <c r="B12" s="486" t="s">
        <v>1560</v>
      </c>
      <c r="C12" s="486" t="s">
        <v>2359</v>
      </c>
      <c r="D12" s="332">
        <v>65</v>
      </c>
      <c r="E12" s="332" t="s">
        <v>1560</v>
      </c>
      <c r="F12" s="753" t="s">
        <v>6491</v>
      </c>
      <c r="G12" s="488"/>
      <c r="H12" s="306"/>
      <c r="I12" s="306"/>
      <c r="J12" s="306"/>
      <c r="K12" s="306"/>
      <c r="L12" s="306"/>
      <c r="M12" s="306"/>
      <c r="N12" s="306"/>
      <c r="O12" s="306"/>
      <c r="P12" s="306"/>
      <c r="Q12" s="306"/>
      <c r="R12" s="306"/>
      <c r="S12" s="306"/>
      <c r="T12" s="306"/>
      <c r="U12" s="306"/>
      <c r="V12" s="306"/>
      <c r="W12" s="306"/>
      <c r="X12" s="306"/>
      <c r="Y12" s="306"/>
      <c r="Z12" s="306"/>
      <c r="AA12" s="306"/>
      <c r="AB12" s="306"/>
      <c r="AC12" s="306"/>
      <c r="AD12" s="306"/>
      <c r="AE12" s="306"/>
      <c r="AF12" s="306"/>
      <c r="AG12" s="306"/>
      <c r="AH12" s="488"/>
      <c r="AI12" s="306"/>
      <c r="AJ12" s="306"/>
      <c r="AK12" s="306"/>
      <c r="AL12" s="488"/>
      <c r="AM12" s="306"/>
      <c r="AN12" s="306"/>
      <c r="AO12" s="306"/>
      <c r="AP12" s="332" t="s">
        <v>7115</v>
      </c>
      <c r="AQ12" s="332" t="s">
        <v>7116</v>
      </c>
      <c r="AR12" s="332" t="s">
        <v>7117</v>
      </c>
      <c r="AS12" s="332">
        <v>3</v>
      </c>
      <c r="AT12" s="332" t="s">
        <v>6513</v>
      </c>
      <c r="AU12" s="306"/>
      <c r="AV12" s="306"/>
      <c r="AW12" s="306"/>
      <c r="AX12" s="306"/>
      <c r="AY12" s="306"/>
      <c r="AZ12" s="306"/>
      <c r="BA12" s="306"/>
      <c r="BB12" s="488"/>
      <c r="BC12" s="306"/>
      <c r="BD12" s="306"/>
      <c r="BE12" s="306"/>
      <c r="BF12" s="488"/>
      <c r="BG12" s="306"/>
      <c r="BH12" s="306"/>
      <c r="BI12" s="306"/>
      <c r="BJ12" s="306"/>
      <c r="BK12" s="306"/>
      <c r="BL12" s="306"/>
      <c r="BM12" s="306"/>
      <c r="BN12" s="306"/>
      <c r="BO12" s="306"/>
    </row>
    <row r="13" spans="1:67" ht="15.75" customHeight="1" x14ac:dyDescent="0.15">
      <c r="A13" s="486">
        <v>1</v>
      </c>
      <c r="B13" s="486" t="s">
        <v>6399</v>
      </c>
      <c r="C13" s="486" t="s">
        <v>2359</v>
      </c>
      <c r="D13" s="332">
        <v>80</v>
      </c>
      <c r="E13" s="332" t="s">
        <v>6399</v>
      </c>
      <c r="F13" s="754"/>
      <c r="G13" s="488"/>
      <c r="H13" s="306"/>
      <c r="I13" s="306"/>
      <c r="J13" s="306"/>
      <c r="K13" s="306"/>
      <c r="L13" s="306"/>
      <c r="M13" s="306"/>
      <c r="N13" s="306"/>
      <c r="O13" s="306"/>
      <c r="P13" s="306"/>
      <c r="Q13" s="306"/>
      <c r="R13" s="306"/>
      <c r="S13" s="306"/>
      <c r="T13" s="306"/>
      <c r="U13" s="306"/>
      <c r="V13" s="306"/>
      <c r="W13" s="306"/>
      <c r="X13" s="306"/>
      <c r="Y13" s="306"/>
      <c r="Z13" s="306"/>
      <c r="AA13" s="306"/>
      <c r="AB13" s="306"/>
      <c r="AC13" s="306"/>
      <c r="AD13" s="306"/>
      <c r="AE13" s="306"/>
      <c r="AF13" s="306"/>
      <c r="AG13" s="306"/>
      <c r="AH13" s="486" t="s">
        <v>7118</v>
      </c>
      <c r="AI13" s="332">
        <v>1</v>
      </c>
      <c r="AJ13" s="332" t="s">
        <v>6499</v>
      </c>
      <c r="AK13" s="332" t="s">
        <v>2362</v>
      </c>
      <c r="AL13" s="488"/>
      <c r="AM13" s="306"/>
      <c r="AN13" s="306"/>
      <c r="AO13" s="306"/>
      <c r="AP13" s="306"/>
      <c r="AQ13" s="306"/>
      <c r="AR13" s="306"/>
      <c r="AS13" s="306"/>
      <c r="AT13" s="306"/>
      <c r="AU13" s="306"/>
      <c r="AV13" s="306"/>
      <c r="AW13" s="306"/>
      <c r="AX13" s="306"/>
      <c r="AY13" s="306"/>
      <c r="AZ13" s="306"/>
      <c r="BA13" s="306"/>
      <c r="BB13" s="488"/>
      <c r="BC13" s="306"/>
      <c r="BD13" s="306"/>
      <c r="BE13" s="306"/>
      <c r="BF13" s="488"/>
      <c r="BG13" s="306"/>
      <c r="BH13" s="306"/>
      <c r="BI13" s="306"/>
      <c r="BJ13" s="306"/>
      <c r="BK13" s="306"/>
      <c r="BL13" s="306"/>
      <c r="BM13" s="306"/>
      <c r="BN13" s="306"/>
      <c r="BO13" s="306"/>
    </row>
    <row r="14" spans="1:67" ht="15.75" customHeight="1" x14ac:dyDescent="0.15">
      <c r="A14" s="486">
        <v>1</v>
      </c>
      <c r="B14" s="486" t="s">
        <v>1560</v>
      </c>
      <c r="C14" s="486" t="s">
        <v>2359</v>
      </c>
      <c r="D14" s="332">
        <v>100</v>
      </c>
      <c r="E14" s="332" t="s">
        <v>1560</v>
      </c>
      <c r="F14" s="754"/>
      <c r="G14" s="488"/>
      <c r="H14" s="306"/>
      <c r="I14" s="306"/>
      <c r="J14" s="306"/>
      <c r="K14" s="306"/>
      <c r="L14" s="306"/>
      <c r="M14" s="306"/>
      <c r="N14" s="306"/>
      <c r="O14" s="306"/>
      <c r="P14" s="306"/>
      <c r="Q14" s="306"/>
      <c r="R14" s="306"/>
      <c r="S14" s="306"/>
      <c r="T14" s="306"/>
      <c r="U14" s="306"/>
      <c r="V14" s="306"/>
      <c r="W14" s="306"/>
      <c r="X14" s="306"/>
      <c r="Y14" s="306"/>
      <c r="Z14" s="306"/>
      <c r="AA14" s="306"/>
      <c r="AB14" s="306"/>
      <c r="AC14" s="306"/>
      <c r="AD14" s="306"/>
      <c r="AE14" s="306"/>
      <c r="AF14" s="306"/>
      <c r="AG14" s="306"/>
      <c r="AH14" s="486" t="s">
        <v>7119</v>
      </c>
      <c r="AI14" s="332">
        <v>250</v>
      </c>
      <c r="AJ14" s="332" t="s">
        <v>6513</v>
      </c>
      <c r="AK14" s="306"/>
      <c r="AL14" s="488"/>
      <c r="AM14" s="306"/>
      <c r="AN14" s="306"/>
      <c r="AO14" s="306"/>
      <c r="AP14" s="306"/>
      <c r="AQ14" s="306"/>
      <c r="AR14" s="306"/>
      <c r="AS14" s="306"/>
      <c r="AT14" s="306"/>
      <c r="AU14" s="306"/>
      <c r="AV14" s="306"/>
      <c r="AW14" s="306"/>
      <c r="AX14" s="306"/>
      <c r="AY14" s="306"/>
      <c r="AZ14" s="306"/>
      <c r="BA14" s="306"/>
      <c r="BB14" s="488"/>
      <c r="BC14" s="306"/>
      <c r="BD14" s="306"/>
      <c r="BE14" s="306"/>
      <c r="BF14" s="488"/>
      <c r="BG14" s="306"/>
      <c r="BH14" s="306"/>
      <c r="BI14" s="306"/>
      <c r="BJ14" s="306"/>
      <c r="BK14" s="306"/>
      <c r="BL14" s="306"/>
      <c r="BM14" s="306"/>
      <c r="BN14" s="306"/>
      <c r="BO14" s="306"/>
    </row>
    <row r="15" spans="1:67" ht="15.75" customHeight="1" x14ac:dyDescent="0.15">
      <c r="A15" s="486">
        <v>1</v>
      </c>
      <c r="B15" s="486" t="s">
        <v>1560</v>
      </c>
      <c r="C15" s="486" t="s">
        <v>2359</v>
      </c>
      <c r="D15" s="332">
        <v>55</v>
      </c>
      <c r="E15" s="332" t="s">
        <v>1560</v>
      </c>
      <c r="F15" s="753" t="s">
        <v>4376</v>
      </c>
      <c r="G15" s="486" t="s">
        <v>7120</v>
      </c>
      <c r="H15" s="332">
        <v>100</v>
      </c>
      <c r="I15" s="306"/>
      <c r="J15" s="306"/>
      <c r="K15" s="306"/>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488"/>
      <c r="AI15" s="306"/>
      <c r="AJ15" s="306"/>
      <c r="AK15" s="306"/>
      <c r="AL15" s="488"/>
      <c r="AM15" s="306"/>
      <c r="AN15" s="306"/>
      <c r="AO15" s="306"/>
      <c r="AP15" s="306"/>
      <c r="AQ15" s="306"/>
      <c r="AR15" s="306"/>
      <c r="AS15" s="306"/>
      <c r="AT15" s="306"/>
      <c r="AU15" s="306"/>
      <c r="AV15" s="306"/>
      <c r="AW15" s="306"/>
      <c r="AX15" s="306"/>
      <c r="AY15" s="306"/>
      <c r="AZ15" s="306"/>
      <c r="BA15" s="306"/>
      <c r="BB15" s="488"/>
      <c r="BC15" s="306"/>
      <c r="BD15" s="306"/>
      <c r="BE15" s="306"/>
      <c r="BF15" s="488"/>
      <c r="BG15" s="306"/>
      <c r="BH15" s="306"/>
      <c r="BI15" s="306"/>
      <c r="BJ15" s="306"/>
      <c r="BK15" s="306"/>
      <c r="BL15" s="306"/>
      <c r="BM15" s="306"/>
      <c r="BN15" s="306"/>
      <c r="BO15" s="306"/>
    </row>
    <row r="16" spans="1:67" ht="15.75" customHeight="1" x14ac:dyDescent="0.15">
      <c r="A16" s="486">
        <v>1</v>
      </c>
      <c r="B16" s="486" t="s">
        <v>1560</v>
      </c>
      <c r="C16" s="486" t="s">
        <v>2359</v>
      </c>
      <c r="D16" s="332">
        <v>55</v>
      </c>
      <c r="E16" s="332" t="s">
        <v>1560</v>
      </c>
      <c r="F16" s="753" t="s">
        <v>6491</v>
      </c>
      <c r="G16" s="486" t="s">
        <v>7121</v>
      </c>
      <c r="H16" s="332">
        <v>2</v>
      </c>
      <c r="I16" s="332" t="s">
        <v>6516</v>
      </c>
      <c r="J16" s="332" t="s">
        <v>7122</v>
      </c>
      <c r="K16" s="306"/>
      <c r="L16" s="306"/>
      <c r="M16" s="306"/>
      <c r="N16" s="306"/>
      <c r="O16" s="306"/>
      <c r="P16" s="332" t="s">
        <v>7121</v>
      </c>
      <c r="Q16" s="332">
        <v>2</v>
      </c>
      <c r="R16" s="332" t="s">
        <v>6516</v>
      </c>
      <c r="S16" s="306"/>
      <c r="T16" s="306"/>
      <c r="U16" s="332" t="s">
        <v>7123</v>
      </c>
      <c r="V16" s="306"/>
      <c r="W16" s="306"/>
      <c r="X16" s="306"/>
      <c r="Y16" s="306"/>
      <c r="Z16" s="306"/>
      <c r="AA16" s="306"/>
      <c r="AB16" s="306"/>
      <c r="AC16" s="306"/>
      <c r="AD16" s="306"/>
      <c r="AE16" s="306"/>
      <c r="AF16" s="306"/>
      <c r="AG16" s="306"/>
      <c r="AH16" s="488"/>
      <c r="AI16" s="306"/>
      <c r="AJ16" s="306"/>
      <c r="AK16" s="306"/>
      <c r="AL16" s="488"/>
      <c r="AM16" s="306"/>
      <c r="AN16" s="306"/>
      <c r="AO16" s="306"/>
      <c r="AP16" s="306"/>
      <c r="AQ16" s="306"/>
      <c r="AR16" s="306"/>
      <c r="AS16" s="306"/>
      <c r="AT16" s="306"/>
      <c r="AU16" s="306"/>
      <c r="AV16" s="306"/>
      <c r="AW16" s="306"/>
      <c r="AX16" s="306"/>
      <c r="AY16" s="306"/>
      <c r="AZ16" s="306"/>
      <c r="BA16" s="306"/>
      <c r="BB16" s="488"/>
      <c r="BC16" s="306"/>
      <c r="BD16" s="306"/>
      <c r="BE16" s="306"/>
      <c r="BF16" s="488"/>
      <c r="BG16" s="306"/>
      <c r="BH16" s="306"/>
      <c r="BI16" s="306"/>
      <c r="BJ16" s="306"/>
      <c r="BK16" s="306"/>
      <c r="BL16" s="306"/>
      <c r="BM16" s="306"/>
      <c r="BN16" s="306"/>
      <c r="BO16" s="306"/>
    </row>
    <row r="17" spans="1:67" ht="15.75" customHeight="1" x14ac:dyDescent="0.15">
      <c r="A17" s="486">
        <v>1</v>
      </c>
      <c r="B17" s="486" t="s">
        <v>1693</v>
      </c>
      <c r="C17" s="486" t="s">
        <v>2359</v>
      </c>
      <c r="D17" s="332">
        <v>55</v>
      </c>
      <c r="E17" s="338" t="s">
        <v>7124</v>
      </c>
      <c r="F17" s="753" t="s">
        <v>4376</v>
      </c>
      <c r="G17" s="488"/>
      <c r="H17" s="306"/>
      <c r="I17" s="306"/>
      <c r="J17" s="306"/>
      <c r="K17" s="306"/>
      <c r="L17" s="306"/>
      <c r="M17" s="306"/>
      <c r="N17" s="306"/>
      <c r="O17" s="306"/>
      <c r="P17" s="306"/>
      <c r="Q17" s="306"/>
      <c r="R17" s="306"/>
      <c r="S17" s="306"/>
      <c r="T17" s="306"/>
      <c r="U17" s="306"/>
      <c r="V17" s="306"/>
      <c r="W17" s="306"/>
      <c r="X17" s="306"/>
      <c r="Y17" s="306"/>
      <c r="Z17" s="306"/>
      <c r="AA17" s="306"/>
      <c r="AB17" s="306"/>
      <c r="AC17" s="306"/>
      <c r="AD17" s="306"/>
      <c r="AE17" s="306"/>
      <c r="AF17" s="306"/>
      <c r="AG17" s="306"/>
      <c r="AH17" s="488"/>
      <c r="AI17" s="306"/>
      <c r="AJ17" s="306"/>
      <c r="AK17" s="306"/>
      <c r="AL17" s="488"/>
      <c r="AM17" s="306"/>
      <c r="AN17" s="306"/>
      <c r="AO17" s="306"/>
      <c r="AP17" s="306"/>
      <c r="AQ17" s="306"/>
      <c r="AR17" s="306"/>
      <c r="AS17" s="306"/>
      <c r="AT17" s="306"/>
      <c r="AU17" s="306"/>
      <c r="AV17" s="306"/>
      <c r="AW17" s="306"/>
      <c r="AX17" s="306"/>
      <c r="AY17" s="306"/>
      <c r="AZ17" s="306"/>
      <c r="BA17" s="306"/>
      <c r="BB17" s="488"/>
      <c r="BC17" s="306"/>
      <c r="BD17" s="306"/>
      <c r="BE17" s="306"/>
      <c r="BF17" s="488"/>
      <c r="BG17" s="306"/>
      <c r="BH17" s="306"/>
      <c r="BI17" s="306"/>
      <c r="BJ17" s="306"/>
      <c r="BK17" s="306"/>
      <c r="BL17" s="306"/>
      <c r="BM17" s="306"/>
      <c r="BN17" s="332" t="s">
        <v>4873</v>
      </c>
      <c r="BO17" s="306"/>
    </row>
    <row r="18" spans="1:67" ht="15.75" customHeight="1" x14ac:dyDescent="0.15">
      <c r="A18" s="486">
        <v>1</v>
      </c>
      <c r="B18" s="486" t="s">
        <v>1560</v>
      </c>
      <c r="C18" s="488"/>
      <c r="D18" s="306"/>
      <c r="E18" s="306"/>
      <c r="F18" s="753" t="s">
        <v>4376</v>
      </c>
      <c r="G18" s="488"/>
      <c r="H18" s="306"/>
      <c r="I18" s="306"/>
      <c r="J18" s="306"/>
      <c r="K18" s="306"/>
      <c r="L18" s="306"/>
      <c r="M18" s="306"/>
      <c r="N18" s="306"/>
      <c r="O18" s="306"/>
      <c r="P18" s="306"/>
      <c r="Q18" s="306"/>
      <c r="R18" s="306"/>
      <c r="S18" s="306"/>
      <c r="T18" s="306"/>
      <c r="U18" s="306"/>
      <c r="V18" s="306"/>
      <c r="W18" s="306"/>
      <c r="X18" s="306"/>
      <c r="Y18" s="306"/>
      <c r="Z18" s="306"/>
      <c r="AA18" s="306"/>
      <c r="AB18" s="306"/>
      <c r="AC18" s="306"/>
      <c r="AD18" s="306"/>
      <c r="AE18" s="306"/>
      <c r="AF18" s="306"/>
      <c r="AG18" s="306"/>
      <c r="AH18" s="488"/>
      <c r="AI18" s="306"/>
      <c r="AJ18" s="306"/>
      <c r="AK18" s="306"/>
      <c r="AL18" s="488"/>
      <c r="AM18" s="306"/>
      <c r="AN18" s="306"/>
      <c r="AO18" s="306"/>
      <c r="AP18" s="306"/>
      <c r="AQ18" s="306"/>
      <c r="AR18" s="306"/>
      <c r="AS18" s="306"/>
      <c r="AT18" s="306"/>
      <c r="AU18" s="306"/>
      <c r="AV18" s="306"/>
      <c r="AW18" s="306"/>
      <c r="AX18" s="306"/>
      <c r="AY18" s="306"/>
      <c r="AZ18" s="306"/>
      <c r="BA18" s="306"/>
      <c r="BB18" s="488"/>
      <c r="BC18" s="306"/>
      <c r="BD18" s="306"/>
      <c r="BE18" s="306"/>
      <c r="BF18" s="486" t="s">
        <v>2359</v>
      </c>
      <c r="BG18" s="332">
        <v>5000</v>
      </c>
      <c r="BH18" s="306"/>
      <c r="BI18" s="306"/>
      <c r="BJ18" s="332"/>
      <c r="BK18" s="332"/>
      <c r="BL18" s="306"/>
      <c r="BM18" s="306"/>
      <c r="BN18" s="306"/>
      <c r="BO18" s="306"/>
    </row>
    <row r="19" spans="1:67" ht="15.75" customHeight="1" x14ac:dyDescent="0.15">
      <c r="A19" s="499"/>
      <c r="B19" s="486"/>
      <c r="C19" s="488"/>
      <c r="D19" s="306"/>
      <c r="E19" s="306"/>
      <c r="F19" s="753" t="s">
        <v>4376</v>
      </c>
      <c r="G19" s="488"/>
      <c r="H19" s="306"/>
      <c r="I19" s="306"/>
      <c r="J19" s="306"/>
      <c r="K19" s="306"/>
      <c r="L19" s="306"/>
      <c r="M19" s="306"/>
      <c r="N19" s="306"/>
      <c r="O19" s="306"/>
      <c r="P19" s="306"/>
      <c r="Q19" s="306"/>
      <c r="R19" s="306"/>
      <c r="S19" s="306"/>
      <c r="T19" s="306"/>
      <c r="U19" s="306"/>
      <c r="V19" s="306"/>
      <c r="W19" s="306"/>
      <c r="X19" s="306"/>
      <c r="Y19" s="306"/>
      <c r="Z19" s="306"/>
      <c r="AA19" s="306"/>
      <c r="AB19" s="306"/>
      <c r="AC19" s="306"/>
      <c r="AD19" s="306"/>
      <c r="AE19" s="306"/>
      <c r="AF19" s="306"/>
      <c r="AG19" s="306"/>
      <c r="AH19" s="488"/>
      <c r="AI19" s="306"/>
      <c r="AJ19" s="306"/>
      <c r="AK19" s="306"/>
      <c r="AL19" s="488"/>
      <c r="AM19" s="306"/>
      <c r="AN19" s="306"/>
      <c r="AO19" s="306"/>
      <c r="AP19" s="306"/>
      <c r="AQ19" s="306"/>
      <c r="AR19" s="306"/>
      <c r="AS19" s="306"/>
      <c r="AT19" s="306"/>
      <c r="AU19" s="306"/>
      <c r="AV19" s="306"/>
      <c r="AW19" s="306"/>
      <c r="AX19" s="306"/>
      <c r="AY19" s="306"/>
      <c r="AZ19" s="306"/>
      <c r="BA19" s="306"/>
      <c r="BB19" s="488"/>
      <c r="BC19" s="306"/>
      <c r="BD19" s="306"/>
      <c r="BE19" s="306"/>
      <c r="BF19" s="486" t="s">
        <v>2359</v>
      </c>
      <c r="BG19" s="332">
        <v>1000</v>
      </c>
      <c r="BH19" s="306"/>
      <c r="BI19" s="306"/>
      <c r="BJ19" s="332" t="s">
        <v>7125</v>
      </c>
      <c r="BK19" s="332">
        <v>1</v>
      </c>
      <c r="BL19" s="306"/>
      <c r="BM19" s="306"/>
      <c r="BN19" s="306"/>
      <c r="BO19" s="306"/>
    </row>
    <row r="20" spans="1:67" ht="15.75" customHeight="1" x14ac:dyDescent="0.15">
      <c r="A20" s="491"/>
      <c r="B20" s="488"/>
      <c r="C20" s="488"/>
      <c r="D20" s="306"/>
      <c r="E20" s="306"/>
      <c r="F20" s="754"/>
      <c r="G20" s="488"/>
      <c r="H20" s="306"/>
      <c r="I20" s="306"/>
      <c r="J20" s="306"/>
      <c r="K20" s="306"/>
      <c r="L20" s="306"/>
      <c r="M20" s="306"/>
      <c r="N20" s="306"/>
      <c r="O20" s="306"/>
      <c r="P20" s="306"/>
      <c r="Q20" s="306"/>
      <c r="R20" s="306"/>
      <c r="S20" s="306"/>
      <c r="T20" s="306"/>
      <c r="U20" s="306"/>
      <c r="V20" s="306"/>
      <c r="W20" s="306"/>
      <c r="X20" s="306"/>
      <c r="Y20" s="306"/>
      <c r="Z20" s="306"/>
      <c r="AA20" s="306"/>
      <c r="AB20" s="306"/>
      <c r="AC20" s="306"/>
      <c r="AD20" s="306"/>
      <c r="AE20" s="306"/>
      <c r="AF20" s="306"/>
      <c r="AG20" s="306"/>
      <c r="AH20" s="488"/>
      <c r="AI20" s="306"/>
      <c r="AJ20" s="306"/>
      <c r="AK20" s="306"/>
      <c r="AL20" s="488"/>
      <c r="AM20" s="306"/>
      <c r="AN20" s="306"/>
      <c r="AO20" s="306"/>
      <c r="AP20" s="306"/>
      <c r="AQ20" s="306"/>
      <c r="AR20" s="306"/>
      <c r="AS20" s="306"/>
      <c r="AT20" s="306"/>
      <c r="AU20" s="306"/>
      <c r="AV20" s="306"/>
      <c r="AW20" s="306"/>
      <c r="AX20" s="306"/>
      <c r="AY20" s="306"/>
      <c r="AZ20" s="306"/>
      <c r="BA20" s="306"/>
      <c r="BB20" s="488"/>
      <c r="BC20" s="306"/>
      <c r="BD20" s="306"/>
      <c r="BE20" s="306"/>
      <c r="BF20" s="488"/>
      <c r="BG20" s="306"/>
      <c r="BH20" s="306"/>
      <c r="BI20" s="306"/>
      <c r="BJ20" s="306"/>
      <c r="BK20" s="306"/>
      <c r="BL20" s="306"/>
      <c r="BM20" s="306"/>
      <c r="BN20" s="306"/>
      <c r="BO20" s="306"/>
    </row>
    <row r="21" spans="1:67" ht="15.75" customHeight="1" x14ac:dyDescent="0.15">
      <c r="A21" s="491"/>
      <c r="B21" s="488"/>
      <c r="C21" s="488"/>
      <c r="D21" s="306"/>
      <c r="E21" s="306"/>
      <c r="F21" s="754"/>
      <c r="G21" s="488"/>
      <c r="H21" s="306"/>
      <c r="I21" s="306"/>
      <c r="J21" s="306"/>
      <c r="K21" s="306"/>
      <c r="L21" s="306"/>
      <c r="M21" s="306"/>
      <c r="N21" s="306"/>
      <c r="O21" s="306"/>
      <c r="P21" s="306"/>
      <c r="Q21" s="306"/>
      <c r="R21" s="306"/>
      <c r="S21" s="306"/>
      <c r="T21" s="306"/>
      <c r="U21" s="306"/>
      <c r="V21" s="306"/>
      <c r="W21" s="306"/>
      <c r="X21" s="306"/>
      <c r="Y21" s="306"/>
      <c r="Z21" s="306"/>
      <c r="AA21" s="306"/>
      <c r="AB21" s="306"/>
      <c r="AC21" s="306"/>
      <c r="AD21" s="306"/>
      <c r="AE21" s="306"/>
      <c r="AF21" s="306"/>
      <c r="AG21" s="306"/>
      <c r="AH21" s="488"/>
      <c r="AI21" s="306"/>
      <c r="AJ21" s="306"/>
      <c r="AK21" s="306"/>
      <c r="AL21" s="488"/>
      <c r="AM21" s="306"/>
      <c r="AN21" s="306"/>
      <c r="AO21" s="306"/>
      <c r="AP21" s="306"/>
      <c r="AQ21" s="306"/>
      <c r="AR21" s="306"/>
      <c r="AS21" s="306"/>
      <c r="AT21" s="306"/>
      <c r="AU21" s="306"/>
      <c r="AV21" s="306"/>
      <c r="AW21" s="306"/>
      <c r="AX21" s="306"/>
      <c r="AY21" s="306"/>
      <c r="AZ21" s="306"/>
      <c r="BA21" s="306"/>
      <c r="BB21" s="488"/>
      <c r="BC21" s="306"/>
      <c r="BD21" s="306"/>
      <c r="BE21" s="306"/>
      <c r="BF21" s="488"/>
      <c r="BG21" s="306"/>
      <c r="BH21" s="306"/>
      <c r="BI21" s="306"/>
      <c r="BJ21" s="306"/>
      <c r="BK21" s="306"/>
      <c r="BL21" s="306"/>
      <c r="BM21" s="306"/>
      <c r="BN21" s="306"/>
      <c r="BO21" s="306"/>
    </row>
    <row r="22" spans="1:67" ht="15.75" customHeight="1" x14ac:dyDescent="0.15">
      <c r="A22" s="491"/>
      <c r="B22" s="488"/>
      <c r="C22" s="488"/>
      <c r="D22" s="306"/>
      <c r="E22" s="306"/>
      <c r="F22" s="754"/>
      <c r="G22" s="488"/>
      <c r="H22" s="306"/>
      <c r="I22" s="306"/>
      <c r="J22" s="306"/>
      <c r="K22" s="306"/>
      <c r="L22" s="306"/>
      <c r="M22" s="306"/>
      <c r="N22" s="306"/>
      <c r="O22" s="306"/>
      <c r="P22" s="306"/>
      <c r="Q22" s="306"/>
      <c r="R22" s="306"/>
      <c r="S22" s="306"/>
      <c r="T22" s="306"/>
      <c r="U22" s="306"/>
      <c r="V22" s="306"/>
      <c r="W22" s="306"/>
      <c r="X22" s="306"/>
      <c r="Y22" s="306"/>
      <c r="Z22" s="306"/>
      <c r="AA22" s="306"/>
      <c r="AB22" s="306"/>
      <c r="AC22" s="306"/>
      <c r="AD22" s="306"/>
      <c r="AE22" s="306"/>
      <c r="AF22" s="306"/>
      <c r="AG22" s="306"/>
      <c r="AH22" s="488"/>
      <c r="AI22" s="306"/>
      <c r="AJ22" s="306"/>
      <c r="AK22" s="306"/>
      <c r="AL22" s="488"/>
      <c r="AM22" s="306"/>
      <c r="AN22" s="306"/>
      <c r="AO22" s="306"/>
      <c r="AP22" s="306"/>
      <c r="AQ22" s="306"/>
      <c r="AR22" s="306"/>
      <c r="AS22" s="306"/>
      <c r="AT22" s="306"/>
      <c r="AU22" s="306"/>
      <c r="AV22" s="306"/>
      <c r="AW22" s="306"/>
      <c r="AX22" s="306"/>
      <c r="AY22" s="306"/>
      <c r="AZ22" s="306"/>
      <c r="BA22" s="306"/>
      <c r="BB22" s="488"/>
      <c r="BC22" s="306"/>
      <c r="BD22" s="306"/>
      <c r="BE22" s="306"/>
      <c r="BF22" s="488"/>
      <c r="BG22" s="306"/>
      <c r="BH22" s="306"/>
      <c r="BI22" s="306"/>
      <c r="BJ22" s="306"/>
      <c r="BK22" s="306"/>
      <c r="BL22" s="306"/>
      <c r="BM22" s="306"/>
      <c r="BN22" s="306"/>
      <c r="BO22" s="306"/>
    </row>
    <row r="23" spans="1:67" ht="15.75" customHeight="1" x14ac:dyDescent="0.15">
      <c r="A23" s="491"/>
      <c r="B23" s="488"/>
      <c r="C23" s="488"/>
      <c r="D23" s="306"/>
      <c r="E23" s="306"/>
      <c r="F23" s="754"/>
      <c r="G23" s="488"/>
      <c r="H23" s="306"/>
      <c r="I23" s="306"/>
      <c r="J23" s="306"/>
      <c r="K23" s="306"/>
      <c r="L23" s="306"/>
      <c r="M23" s="306"/>
      <c r="N23" s="306"/>
      <c r="O23" s="306"/>
      <c r="P23" s="306"/>
      <c r="Q23" s="306"/>
      <c r="R23" s="306"/>
      <c r="S23" s="306"/>
      <c r="T23" s="306"/>
      <c r="U23" s="306"/>
      <c r="V23" s="306"/>
      <c r="W23" s="306"/>
      <c r="X23" s="306"/>
      <c r="Y23" s="306"/>
      <c r="Z23" s="306"/>
      <c r="AA23" s="306"/>
      <c r="AB23" s="306"/>
      <c r="AC23" s="306"/>
      <c r="AD23" s="306"/>
      <c r="AE23" s="306"/>
      <c r="AF23" s="306"/>
      <c r="AG23" s="306"/>
      <c r="AH23" s="488"/>
      <c r="AI23" s="306"/>
      <c r="AJ23" s="306"/>
      <c r="AK23" s="306"/>
      <c r="AL23" s="488"/>
      <c r="AM23" s="306"/>
      <c r="AN23" s="306"/>
      <c r="AO23" s="306"/>
      <c r="AP23" s="306"/>
      <c r="AQ23" s="306"/>
      <c r="AR23" s="306"/>
      <c r="AS23" s="306"/>
      <c r="AT23" s="306"/>
      <c r="AU23" s="306"/>
      <c r="AV23" s="306"/>
      <c r="AW23" s="306"/>
      <c r="AX23" s="306"/>
      <c r="AY23" s="306"/>
      <c r="AZ23" s="306"/>
      <c r="BA23" s="306"/>
      <c r="BB23" s="488"/>
      <c r="BC23" s="306"/>
      <c r="BD23" s="306"/>
      <c r="BE23" s="306"/>
      <c r="BF23" s="488"/>
      <c r="BG23" s="306"/>
      <c r="BH23" s="306"/>
      <c r="BI23" s="306"/>
      <c r="BJ23" s="306"/>
      <c r="BK23" s="306"/>
      <c r="BL23" s="306"/>
      <c r="BM23" s="306"/>
      <c r="BN23" s="306"/>
      <c r="BO23" s="306"/>
    </row>
    <row r="24" spans="1:67" ht="15.75" customHeight="1" x14ac:dyDescent="0.15">
      <c r="A24" s="491"/>
      <c r="B24" s="488"/>
      <c r="C24" s="488"/>
      <c r="D24" s="306"/>
      <c r="E24" s="306"/>
      <c r="F24" s="754"/>
      <c r="G24" s="488"/>
      <c r="H24" s="306"/>
      <c r="I24" s="306"/>
      <c r="J24" s="306"/>
      <c r="K24" s="306"/>
      <c r="L24" s="306"/>
      <c r="M24" s="306"/>
      <c r="N24" s="306"/>
      <c r="O24" s="306"/>
      <c r="P24" s="306"/>
      <c r="Q24" s="306"/>
      <c r="R24" s="306"/>
      <c r="S24" s="306"/>
      <c r="T24" s="306"/>
      <c r="U24" s="306"/>
      <c r="V24" s="306"/>
      <c r="W24" s="306"/>
      <c r="X24" s="306"/>
      <c r="Y24" s="306"/>
      <c r="Z24" s="306"/>
      <c r="AA24" s="306"/>
      <c r="AB24" s="306"/>
      <c r="AC24" s="306"/>
      <c r="AD24" s="306"/>
      <c r="AE24" s="306"/>
      <c r="AF24" s="306"/>
      <c r="AG24" s="306"/>
      <c r="AH24" s="488"/>
      <c r="AI24" s="306"/>
      <c r="AJ24" s="306"/>
      <c r="AK24" s="306"/>
      <c r="AL24" s="488"/>
      <c r="AM24" s="306"/>
      <c r="AN24" s="306"/>
      <c r="AO24" s="306"/>
      <c r="AP24" s="306"/>
      <c r="AQ24" s="306"/>
      <c r="AR24" s="306"/>
      <c r="AS24" s="306"/>
      <c r="AT24" s="306"/>
      <c r="AU24" s="306"/>
      <c r="AV24" s="306"/>
      <c r="AW24" s="306"/>
      <c r="AX24" s="306"/>
      <c r="AY24" s="306"/>
      <c r="AZ24" s="306"/>
      <c r="BA24" s="306"/>
      <c r="BB24" s="488"/>
      <c r="BC24" s="306"/>
      <c r="BD24" s="306"/>
      <c r="BE24" s="306"/>
      <c r="BF24" s="488"/>
      <c r="BG24" s="306"/>
      <c r="BH24" s="306"/>
      <c r="BI24" s="306"/>
      <c r="BJ24" s="306"/>
      <c r="BK24" s="306"/>
      <c r="BL24" s="306"/>
      <c r="BM24" s="306"/>
      <c r="BN24" s="306"/>
      <c r="BO24" s="306"/>
    </row>
    <row r="25" spans="1:67" ht="15.75" customHeight="1" x14ac:dyDescent="0.15">
      <c r="A25" s="491"/>
      <c r="B25" s="488"/>
      <c r="C25" s="488"/>
      <c r="D25" s="306"/>
      <c r="E25" s="306"/>
      <c r="F25" s="754"/>
      <c r="G25" s="488"/>
      <c r="H25" s="306"/>
      <c r="I25" s="306"/>
      <c r="J25" s="306"/>
      <c r="K25" s="306"/>
      <c r="L25" s="306"/>
      <c r="M25" s="306"/>
      <c r="N25" s="306"/>
      <c r="O25" s="306"/>
      <c r="P25" s="306"/>
      <c r="Q25" s="306"/>
      <c r="R25" s="306"/>
      <c r="S25" s="306"/>
      <c r="T25" s="306"/>
      <c r="U25" s="306"/>
      <c r="V25" s="306"/>
      <c r="W25" s="306"/>
      <c r="X25" s="306"/>
      <c r="Y25" s="306"/>
      <c r="Z25" s="306"/>
      <c r="AA25" s="306"/>
      <c r="AB25" s="306"/>
      <c r="AC25" s="306"/>
      <c r="AD25" s="306"/>
      <c r="AE25" s="306"/>
      <c r="AF25" s="306"/>
      <c r="AG25" s="306"/>
      <c r="AH25" s="488"/>
      <c r="AI25" s="306"/>
      <c r="AJ25" s="306"/>
      <c r="AK25" s="306"/>
      <c r="AL25" s="488"/>
      <c r="AM25" s="306"/>
      <c r="AN25" s="306"/>
      <c r="AO25" s="306"/>
      <c r="AP25" s="306"/>
      <c r="AQ25" s="306"/>
      <c r="AR25" s="306"/>
      <c r="AS25" s="306"/>
      <c r="AT25" s="306"/>
      <c r="AU25" s="306"/>
      <c r="AV25" s="306"/>
      <c r="AW25" s="306"/>
      <c r="AX25" s="306"/>
      <c r="AY25" s="306"/>
      <c r="AZ25" s="306"/>
      <c r="BA25" s="306"/>
      <c r="BB25" s="488"/>
      <c r="BC25" s="306"/>
      <c r="BD25" s="306"/>
      <c r="BE25" s="306"/>
      <c r="BF25" s="488"/>
      <c r="BG25" s="306"/>
      <c r="BH25" s="306"/>
      <c r="BI25" s="306"/>
      <c r="BJ25" s="306"/>
      <c r="BK25" s="306"/>
      <c r="BL25" s="306"/>
      <c r="BM25" s="306"/>
      <c r="BN25" s="306"/>
      <c r="BO25" s="306"/>
    </row>
    <row r="26" spans="1:67" ht="15.75" customHeight="1" x14ac:dyDescent="0.15">
      <c r="A26" s="491"/>
      <c r="B26" s="488"/>
      <c r="C26" s="488"/>
      <c r="D26" s="306"/>
      <c r="E26" s="306"/>
      <c r="F26" s="754"/>
      <c r="G26" s="488"/>
      <c r="H26" s="306"/>
      <c r="I26" s="306"/>
      <c r="J26" s="306"/>
      <c r="K26" s="306"/>
      <c r="L26" s="306"/>
      <c r="M26" s="306"/>
      <c r="N26" s="306"/>
      <c r="O26" s="306"/>
      <c r="P26" s="306"/>
      <c r="Q26" s="306"/>
      <c r="R26" s="306"/>
      <c r="S26" s="306"/>
      <c r="T26" s="306"/>
      <c r="U26" s="306"/>
      <c r="V26" s="306"/>
      <c r="W26" s="306"/>
      <c r="X26" s="306"/>
      <c r="Y26" s="306"/>
      <c r="Z26" s="306"/>
      <c r="AA26" s="306"/>
      <c r="AB26" s="306"/>
      <c r="AC26" s="306"/>
      <c r="AD26" s="306"/>
      <c r="AE26" s="306"/>
      <c r="AF26" s="306"/>
      <c r="AG26" s="306"/>
      <c r="AH26" s="488"/>
      <c r="AI26" s="306"/>
      <c r="AJ26" s="306"/>
      <c r="AK26" s="306"/>
      <c r="AL26" s="488"/>
      <c r="AM26" s="306"/>
      <c r="AN26" s="306"/>
      <c r="AO26" s="306"/>
      <c r="AP26" s="306"/>
      <c r="AQ26" s="306"/>
      <c r="AR26" s="306"/>
      <c r="AS26" s="306"/>
      <c r="AT26" s="306"/>
      <c r="AU26" s="306"/>
      <c r="AV26" s="306"/>
      <c r="AW26" s="306"/>
      <c r="AX26" s="306"/>
      <c r="AY26" s="306"/>
      <c r="AZ26" s="306"/>
      <c r="BA26" s="306"/>
      <c r="BB26" s="488"/>
      <c r="BC26" s="306"/>
      <c r="BD26" s="306"/>
      <c r="BE26" s="306"/>
      <c r="BF26" s="488"/>
      <c r="BG26" s="306"/>
      <c r="BH26" s="306"/>
      <c r="BI26" s="306"/>
      <c r="BJ26" s="306"/>
      <c r="BK26" s="306"/>
      <c r="BL26" s="306"/>
      <c r="BM26" s="306"/>
      <c r="BN26" s="306"/>
      <c r="BO26" s="306"/>
    </row>
  </sheetData>
  <mergeCells count="37">
    <mergeCell ref="AP6:AR6"/>
    <mergeCell ref="AV6:AX6"/>
    <mergeCell ref="I7:K7"/>
    <mergeCell ref="L7:N7"/>
    <mergeCell ref="R7:T7"/>
    <mergeCell ref="U7:W7"/>
    <mergeCell ref="AA7:AC7"/>
    <mergeCell ref="AD7:AF7"/>
    <mergeCell ref="I6:N6"/>
    <mergeCell ref="R6:W6"/>
    <mergeCell ref="AA6:AF6"/>
    <mergeCell ref="BH5:BI5"/>
    <mergeCell ref="BJ5:BK5"/>
    <mergeCell ref="BL5:BM5"/>
    <mergeCell ref="A5:B5"/>
    <mergeCell ref="C5:E5"/>
    <mergeCell ref="G5:O5"/>
    <mergeCell ref="P5:X5"/>
    <mergeCell ref="Y5:AG5"/>
    <mergeCell ref="AH5:AK5"/>
    <mergeCell ref="AL5:AO5"/>
    <mergeCell ref="AP5:AU5"/>
    <mergeCell ref="AV5:BA5"/>
    <mergeCell ref="BB5:BC5"/>
    <mergeCell ref="BD5:BE5"/>
    <mergeCell ref="BF5:BG5"/>
    <mergeCell ref="BB4:BE4"/>
    <mergeCell ref="BF4:BI4"/>
    <mergeCell ref="BJ4:BM4"/>
    <mergeCell ref="BN4:BO4"/>
    <mergeCell ref="A3:E3"/>
    <mergeCell ref="F3:BO3"/>
    <mergeCell ref="A4:B4"/>
    <mergeCell ref="C4:E4"/>
    <mergeCell ref="G4:AG4"/>
    <mergeCell ref="AH4:AO4"/>
    <mergeCell ref="AP4:BA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FF00"/>
    <outlinePr summaryBelow="0" summaryRight="0"/>
  </sheetPr>
  <dimension ref="A1:B14"/>
  <sheetViews>
    <sheetView workbookViewId="0"/>
  </sheetViews>
  <sheetFormatPr baseColWidth="10" defaultColWidth="12.6640625" defaultRowHeight="15.75" customHeight="1" x14ac:dyDescent="0.15"/>
  <cols>
    <col min="1" max="1" width="22.6640625" customWidth="1"/>
  </cols>
  <sheetData>
    <row r="1" spans="1:2" ht="15.75" customHeight="1" x14ac:dyDescent="0.15">
      <c r="A1" s="18" t="s">
        <v>7126</v>
      </c>
    </row>
    <row r="2" spans="1:2" ht="15.75" customHeight="1" x14ac:dyDescent="0.15">
      <c r="A2" s="18" t="s">
        <v>7127</v>
      </c>
      <c r="B2" s="18" t="s">
        <v>7128</v>
      </c>
    </row>
    <row r="3" spans="1:2" ht="15.75" customHeight="1" x14ac:dyDescent="0.15">
      <c r="A3" s="18" t="s">
        <v>7129</v>
      </c>
      <c r="B3" s="18" t="s">
        <v>288</v>
      </c>
    </row>
    <row r="4" spans="1:2" ht="15.75" customHeight="1" x14ac:dyDescent="0.15">
      <c r="A4" s="18" t="s">
        <v>7130</v>
      </c>
      <c r="B4" s="18" t="s">
        <v>288</v>
      </c>
    </row>
    <row r="5" spans="1:2" ht="15.75" customHeight="1" x14ac:dyDescent="0.15">
      <c r="A5" s="18" t="s">
        <v>7131</v>
      </c>
      <c r="B5" s="18" t="s">
        <v>7132</v>
      </c>
    </row>
    <row r="6" spans="1:2" ht="15.75" customHeight="1" x14ac:dyDescent="0.15">
      <c r="A6" s="18" t="s">
        <v>7133</v>
      </c>
      <c r="B6" s="18" t="s">
        <v>288</v>
      </c>
    </row>
    <row r="7" spans="1:2" ht="15.75" customHeight="1" x14ac:dyDescent="0.15">
      <c r="A7" s="18" t="s">
        <v>7134</v>
      </c>
      <c r="B7" s="18" t="s">
        <v>288</v>
      </c>
    </row>
    <row r="8" spans="1:2" ht="15.75" customHeight="1" x14ac:dyDescent="0.15">
      <c r="A8" s="18" t="s">
        <v>7135</v>
      </c>
      <c r="B8" s="18" t="s">
        <v>7136</v>
      </c>
    </row>
    <row r="9" spans="1:2" ht="15.75" customHeight="1" x14ac:dyDescent="0.15">
      <c r="A9" s="18" t="s">
        <v>7137</v>
      </c>
      <c r="B9" s="18" t="s">
        <v>7138</v>
      </c>
    </row>
    <row r="10" spans="1:2" ht="15.75" customHeight="1" x14ac:dyDescent="0.15">
      <c r="A10" s="18" t="s">
        <v>7139</v>
      </c>
      <c r="B10" s="18" t="s">
        <v>7140</v>
      </c>
    </row>
    <row r="11" spans="1:2" ht="15.75" customHeight="1" x14ac:dyDescent="0.15">
      <c r="A11" s="18" t="s">
        <v>7141</v>
      </c>
      <c r="B11" s="18" t="s">
        <v>288</v>
      </c>
    </row>
    <row r="12" spans="1:2" ht="15.75" customHeight="1" x14ac:dyDescent="0.15">
      <c r="A12" s="18" t="s">
        <v>7142</v>
      </c>
      <c r="B12" s="18" t="s">
        <v>7143</v>
      </c>
    </row>
    <row r="13" spans="1:2" ht="15.75" customHeight="1" x14ac:dyDescent="0.15">
      <c r="A13" s="18" t="s">
        <v>7144</v>
      </c>
      <c r="B13" s="18" t="s">
        <v>7145</v>
      </c>
    </row>
    <row r="14" spans="1:2" ht="15.75" customHeight="1" x14ac:dyDescent="0.15">
      <c r="A14" s="18" t="s">
        <v>7146</v>
      </c>
      <c r="B14" s="18" t="s">
        <v>7147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D9EAD3"/>
    <outlinePr summaryBelow="0" summaryRight="0"/>
  </sheetPr>
  <dimension ref="A1:D15"/>
  <sheetViews>
    <sheetView workbookViewId="0"/>
  </sheetViews>
  <sheetFormatPr baseColWidth="10" defaultColWidth="12.6640625" defaultRowHeight="15.75" customHeight="1" x14ac:dyDescent="0.15"/>
  <cols>
    <col min="4" max="4" width="72.1640625" customWidth="1"/>
  </cols>
  <sheetData>
    <row r="1" spans="1:4" ht="15.75" customHeight="1" x14ac:dyDescent="0.15">
      <c r="A1" s="755" t="s">
        <v>7144</v>
      </c>
      <c r="B1" s="755" t="s">
        <v>7148</v>
      </c>
      <c r="C1" s="755" t="s">
        <v>7149</v>
      </c>
      <c r="D1" s="755" t="s">
        <v>7150</v>
      </c>
    </row>
    <row r="2" spans="1:4" ht="15.75" customHeight="1" x14ac:dyDescent="0.15">
      <c r="A2" s="756" t="s">
        <v>7151</v>
      </c>
      <c r="B2" s="756">
        <v>0</v>
      </c>
      <c r="C2" s="756">
        <v>0</v>
      </c>
      <c r="D2" s="756" t="s">
        <v>7152</v>
      </c>
    </row>
    <row r="3" spans="1:4" ht="15.75" customHeight="1" x14ac:dyDescent="0.15">
      <c r="A3" s="756">
        <v>1</v>
      </c>
      <c r="B3" s="757">
        <v>40000</v>
      </c>
      <c r="C3" s="756">
        <v>40000</v>
      </c>
      <c r="D3" s="756" t="s">
        <v>7153</v>
      </c>
    </row>
    <row r="4" spans="1:4" ht="15.75" customHeight="1" x14ac:dyDescent="0.15">
      <c r="A4" s="756">
        <v>2</v>
      </c>
      <c r="B4" s="757">
        <v>100000</v>
      </c>
      <c r="C4" s="756">
        <v>60000</v>
      </c>
      <c r="D4" s="756" t="s">
        <v>7154</v>
      </c>
    </row>
    <row r="5" spans="1:4" ht="15.75" customHeight="1" x14ac:dyDescent="0.15">
      <c r="A5" s="756" t="s">
        <v>7155</v>
      </c>
      <c r="B5" s="757">
        <v>200000</v>
      </c>
      <c r="C5" s="756">
        <v>100000</v>
      </c>
      <c r="D5" s="756" t="s">
        <v>7156</v>
      </c>
    </row>
    <row r="6" spans="1:4" ht="15.75" customHeight="1" x14ac:dyDescent="0.15">
      <c r="A6" s="756">
        <v>4</v>
      </c>
      <c r="B6" s="757">
        <v>300000</v>
      </c>
      <c r="C6" s="756">
        <v>100000</v>
      </c>
      <c r="D6" s="756" t="s">
        <v>7157</v>
      </c>
    </row>
    <row r="7" spans="1:4" ht="15.75" customHeight="1" x14ac:dyDescent="0.15">
      <c r="A7" s="756">
        <v>5</v>
      </c>
      <c r="B7" s="757">
        <v>400000</v>
      </c>
      <c r="C7" s="756">
        <v>100000</v>
      </c>
      <c r="D7" s="756"/>
    </row>
    <row r="8" spans="1:4" ht="15.75" customHeight="1" x14ac:dyDescent="0.15">
      <c r="A8" s="756" t="s">
        <v>7158</v>
      </c>
      <c r="B8" s="757">
        <v>500000</v>
      </c>
      <c r="C8" s="756">
        <v>100000</v>
      </c>
      <c r="D8" s="756"/>
    </row>
    <row r="9" spans="1:4" ht="15.75" customHeight="1" x14ac:dyDescent="0.15">
      <c r="A9" s="756">
        <v>7</v>
      </c>
      <c r="B9" s="757">
        <v>625000</v>
      </c>
      <c r="C9" s="756">
        <v>125000</v>
      </c>
      <c r="D9" s="756"/>
    </row>
    <row r="10" spans="1:4" ht="15.75" customHeight="1" x14ac:dyDescent="0.15">
      <c r="A10" s="756">
        <v>8</v>
      </c>
      <c r="B10" s="757">
        <v>750000</v>
      </c>
      <c r="C10" s="756">
        <v>125000</v>
      </c>
      <c r="D10" s="756"/>
    </row>
    <row r="11" spans="1:4" ht="15.75" customHeight="1" x14ac:dyDescent="0.15">
      <c r="A11" s="756">
        <v>9</v>
      </c>
      <c r="B11" s="757">
        <v>875000</v>
      </c>
      <c r="C11" s="756">
        <v>125000</v>
      </c>
      <c r="D11" s="756"/>
    </row>
    <row r="12" spans="1:4" ht="15.75" customHeight="1" x14ac:dyDescent="0.15">
      <c r="A12" s="756" t="s">
        <v>7159</v>
      </c>
      <c r="B12" s="757">
        <v>1000000</v>
      </c>
      <c r="C12" s="756">
        <v>125000</v>
      </c>
      <c r="D12" s="756"/>
    </row>
    <row r="13" spans="1:4" ht="15.75" customHeight="1" x14ac:dyDescent="0.15">
      <c r="A13" s="756" t="s">
        <v>7160</v>
      </c>
      <c r="B13" s="756" t="s">
        <v>7161</v>
      </c>
      <c r="C13" s="756">
        <v>150000</v>
      </c>
      <c r="D13" s="756" t="s">
        <v>7162</v>
      </c>
    </row>
    <row r="15" spans="1:4" ht="15.75" customHeight="1" x14ac:dyDescent="0.15">
      <c r="D15" s="758" t="s">
        <v>7163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M110"/>
  <sheetViews>
    <sheetView workbookViewId="0">
      <pane xSplit="3" ySplit="1" topLeftCell="D2" activePane="bottomRight" state="frozen"/>
      <selection pane="topRight"/>
      <selection pane="bottomLeft"/>
      <selection pane="bottomRight"/>
    </sheetView>
  </sheetViews>
  <sheetFormatPr baseColWidth="10" defaultColWidth="12.6640625" defaultRowHeight="15.75" customHeight="1" x14ac:dyDescent="0.15"/>
  <cols>
    <col min="1" max="1" width="28.33203125" customWidth="1"/>
    <col min="5" max="5" width="39.6640625" customWidth="1"/>
    <col min="8" max="8" width="10.33203125" customWidth="1"/>
    <col min="9" max="9" width="28.83203125" customWidth="1"/>
    <col min="10" max="11" width="26.1640625" customWidth="1"/>
    <col min="12" max="12" width="38" customWidth="1"/>
  </cols>
  <sheetData>
    <row r="1" spans="1:13" ht="15.75" customHeight="1" x14ac:dyDescent="0.15">
      <c r="A1" s="759" t="s">
        <v>7</v>
      </c>
      <c r="B1" s="760" t="s">
        <v>7164</v>
      </c>
      <c r="C1" s="760" t="s">
        <v>7165</v>
      </c>
      <c r="D1" s="638"/>
      <c r="E1" s="638" t="s">
        <v>7166</v>
      </c>
      <c r="F1" s="638" t="s">
        <v>2662</v>
      </c>
      <c r="G1" s="638" t="s">
        <v>7167</v>
      </c>
      <c r="H1" s="638" t="s">
        <v>7168</v>
      </c>
      <c r="I1" s="552" t="s">
        <v>7169</v>
      </c>
      <c r="J1" s="552" t="s">
        <v>7170</v>
      </c>
      <c r="K1" s="552" t="s">
        <v>7171</v>
      </c>
      <c r="L1" s="638" t="s">
        <v>4336</v>
      </c>
      <c r="M1" s="638"/>
    </row>
    <row r="2" spans="1:13" ht="15.75" customHeight="1" x14ac:dyDescent="0.15">
      <c r="A2" s="539"/>
      <c r="B2" s="761"/>
      <c r="C2" s="761"/>
      <c r="D2" s="234" t="s">
        <v>7172</v>
      </c>
      <c r="L2" s="13"/>
    </row>
    <row r="3" spans="1:13" ht="15.75" customHeight="1" x14ac:dyDescent="0.15">
      <c r="A3" s="539"/>
      <c r="B3" s="762" t="b">
        <v>1</v>
      </c>
      <c r="C3" s="762" t="b">
        <v>1</v>
      </c>
      <c r="E3" s="18" t="s">
        <v>7173</v>
      </c>
      <c r="F3" s="18" t="s">
        <v>5483</v>
      </c>
      <c r="J3" s="18" t="str">
        <f>Catalog!E103</f>
        <v>actionMissionElMachoAttempt</v>
      </c>
      <c r="K3" s="14" t="str">
        <f>Catalog!E104</f>
        <v>missionElMacho</v>
      </c>
      <c r="L3" s="13" t="s">
        <v>7174</v>
      </c>
    </row>
    <row r="4" spans="1:13" ht="15.75" customHeight="1" x14ac:dyDescent="0.15">
      <c r="A4" s="539"/>
      <c r="B4" s="761"/>
      <c r="C4" s="761"/>
      <c r="D4" s="234" t="s">
        <v>7175</v>
      </c>
      <c r="L4" s="13"/>
    </row>
    <row r="5" spans="1:13" ht="15.75" customHeight="1" x14ac:dyDescent="0.15">
      <c r="A5" s="763"/>
      <c r="B5" s="762" t="b">
        <v>1</v>
      </c>
      <c r="C5" s="762" t="b">
        <v>1</v>
      </c>
      <c r="E5" s="14" t="s">
        <v>7176</v>
      </c>
      <c r="G5" s="18" t="s">
        <v>2715</v>
      </c>
      <c r="H5" s="18" t="s">
        <v>5483</v>
      </c>
      <c r="J5" s="18" t="str">
        <f>Catalog!$E$117</f>
        <v>actionMissionStrongholdAttempt</v>
      </c>
      <c r="K5" s="14" t="str">
        <f>Catalog!$E$118</f>
        <v>missionStronghold</v>
      </c>
      <c r="L5" s="11" t="s">
        <v>7177</v>
      </c>
    </row>
    <row r="6" spans="1:13" ht="15.75" customHeight="1" x14ac:dyDescent="0.15">
      <c r="A6" s="539"/>
      <c r="B6" s="762" t="b">
        <v>1</v>
      </c>
      <c r="C6" s="762" t="b">
        <v>1</v>
      </c>
      <c r="E6" s="14" t="s">
        <v>7178</v>
      </c>
      <c r="G6" s="18" t="s">
        <v>2715</v>
      </c>
      <c r="H6" s="18" t="s">
        <v>5483</v>
      </c>
      <c r="J6" s="18" t="str">
        <f>Catalog!E141</f>
        <v>actionLauncherUse</v>
      </c>
      <c r="K6" s="18" t="str">
        <f>Catalog!E142</f>
        <v>achievementPlayLauncherUse</v>
      </c>
      <c r="L6" s="13" t="s">
        <v>7179</v>
      </c>
    </row>
    <row r="7" spans="1:13" ht="15.75" customHeight="1" x14ac:dyDescent="0.15">
      <c r="A7" s="539"/>
      <c r="B7" s="762" t="b">
        <v>1</v>
      </c>
      <c r="C7" s="762" t="b">
        <v>1</v>
      </c>
      <c r="E7" s="18" t="s">
        <v>7180</v>
      </c>
      <c r="G7" s="18" t="s">
        <v>2715</v>
      </c>
      <c r="H7" s="18" t="s">
        <v>5483</v>
      </c>
      <c r="J7" s="18" t="str">
        <f>Catalog!E143</f>
        <v>actionUltimateUse</v>
      </c>
      <c r="K7" s="18" t="str">
        <f>Catalog!E144</f>
        <v>achievementPlayUltimateUse</v>
      </c>
      <c r="L7" s="13" t="s">
        <v>7179</v>
      </c>
    </row>
    <row r="8" spans="1:13" ht="15.75" customHeight="1" x14ac:dyDescent="0.15">
      <c r="A8" s="539"/>
      <c r="B8" s="762" t="b">
        <v>1</v>
      </c>
      <c r="C8" s="762" t="b">
        <v>1</v>
      </c>
      <c r="E8" s="14" t="s">
        <v>7181</v>
      </c>
      <c r="G8" s="18" t="s">
        <v>7182</v>
      </c>
      <c r="H8" s="18" t="s">
        <v>5483</v>
      </c>
      <c r="J8" s="18" t="str">
        <f>Catalog!$E$145</f>
        <v>actionObjectsFreeze</v>
      </c>
      <c r="K8" s="18" t="str">
        <f>Catalog!$E$146</f>
        <v>achievementPlayObjectsFreeze</v>
      </c>
      <c r="L8" s="13" t="s">
        <v>7179</v>
      </c>
    </row>
    <row r="9" spans="1:13" ht="15.75" customHeight="1" x14ac:dyDescent="0.15">
      <c r="A9" s="539"/>
      <c r="B9" s="762" t="b">
        <v>1</v>
      </c>
      <c r="C9" s="762" t="b">
        <v>1</v>
      </c>
      <c r="E9" s="18" t="s">
        <v>7183</v>
      </c>
      <c r="G9" s="18" t="s">
        <v>7182</v>
      </c>
      <c r="H9" s="18" t="s">
        <v>5483</v>
      </c>
      <c r="J9" s="18" t="str">
        <f>Catalog!$E$145</f>
        <v>actionObjectsFreeze</v>
      </c>
      <c r="K9" s="18" t="str">
        <f>Catalog!$E$146</f>
        <v>achievementPlayObjectsFreeze</v>
      </c>
      <c r="L9" s="13" t="s">
        <v>7179</v>
      </c>
    </row>
    <row r="10" spans="1:13" ht="15.75" customHeight="1" x14ac:dyDescent="0.15">
      <c r="A10" s="539"/>
      <c r="B10" s="762" t="b">
        <v>1</v>
      </c>
      <c r="C10" s="762" t="b">
        <v>1</v>
      </c>
      <c r="E10" s="18" t="s">
        <v>7184</v>
      </c>
      <c r="G10" s="18" t="s">
        <v>7185</v>
      </c>
      <c r="H10" s="18" t="s">
        <v>5483</v>
      </c>
      <c r="J10" s="18" t="str">
        <f>Catalog!$E$147</f>
        <v>actionObjectsBurn</v>
      </c>
      <c r="K10" s="764" t="str">
        <f>Catalog!$E$148</f>
        <v>achievementPlayObjectsBurn</v>
      </c>
      <c r="L10" s="13" t="s">
        <v>7179</v>
      </c>
    </row>
    <row r="11" spans="1:13" ht="15.75" customHeight="1" x14ac:dyDescent="0.15">
      <c r="A11" s="539"/>
      <c r="B11" s="762" t="b">
        <v>1</v>
      </c>
      <c r="C11" s="762" t="b">
        <v>1</v>
      </c>
      <c r="E11" s="18" t="s">
        <v>7186</v>
      </c>
      <c r="G11" s="18" t="s">
        <v>7185</v>
      </c>
      <c r="H11" s="18" t="s">
        <v>5483</v>
      </c>
      <c r="J11" s="18" t="str">
        <f>Catalog!$E$147</f>
        <v>actionObjectsBurn</v>
      </c>
      <c r="K11" s="764" t="str">
        <f>Catalog!$E$148</f>
        <v>achievementPlayObjectsBurn</v>
      </c>
      <c r="L11" s="13" t="s">
        <v>7179</v>
      </c>
    </row>
    <row r="12" spans="1:13" ht="15.75" customHeight="1" x14ac:dyDescent="0.15">
      <c r="A12" s="539"/>
      <c r="B12" s="762" t="b">
        <v>1</v>
      </c>
      <c r="C12" s="762" t="b">
        <v>1</v>
      </c>
      <c r="E12" s="18" t="s">
        <v>7187</v>
      </c>
      <c r="G12" s="18" t="s">
        <v>7188</v>
      </c>
      <c r="H12" s="18" t="s">
        <v>5483</v>
      </c>
      <c r="J12" s="18" t="str">
        <f>Catalog!$E$151</f>
        <v>actionObjectsCrush</v>
      </c>
      <c r="K12" s="764" t="str">
        <f>Catalog!$E$152</f>
        <v>achievementPlayObjectsCrush</v>
      </c>
      <c r="L12" s="13" t="s">
        <v>7179</v>
      </c>
    </row>
    <row r="13" spans="1:13" ht="15.75" customHeight="1" x14ac:dyDescent="0.15">
      <c r="A13" s="539"/>
      <c r="B13" s="762" t="b">
        <v>1</v>
      </c>
      <c r="C13" s="762" t="b">
        <v>1</v>
      </c>
      <c r="E13" s="18" t="s">
        <v>7189</v>
      </c>
      <c r="G13" s="18" t="s">
        <v>7188</v>
      </c>
      <c r="H13" s="18" t="s">
        <v>5483</v>
      </c>
      <c r="J13" s="18" t="str">
        <f>Catalog!$E$151</f>
        <v>actionObjectsCrush</v>
      </c>
      <c r="K13" s="764" t="str">
        <f>Catalog!$E$152</f>
        <v>achievementPlayObjectsCrush</v>
      </c>
      <c r="L13" s="13" t="s">
        <v>7179</v>
      </c>
    </row>
    <row r="14" spans="1:13" ht="15.75" customHeight="1" x14ac:dyDescent="0.15">
      <c r="A14" s="539"/>
      <c r="B14" s="762" t="b">
        <v>1</v>
      </c>
      <c r="C14" s="762" t="b">
        <v>1</v>
      </c>
      <c r="E14" s="18" t="s">
        <v>7190</v>
      </c>
      <c r="G14" s="18" t="s">
        <v>7191</v>
      </c>
      <c r="H14" s="18" t="s">
        <v>5483</v>
      </c>
      <c r="J14" s="18" t="str">
        <f>Catalog!$E$149</f>
        <v>actionObjectsElectrify</v>
      </c>
      <c r="K14" s="764" t="str">
        <f>Catalog!$E$150</f>
        <v>achievementPlayObjectsElectrify</v>
      </c>
      <c r="L14" s="13" t="s">
        <v>7179</v>
      </c>
    </row>
    <row r="15" spans="1:13" ht="15.75" customHeight="1" x14ac:dyDescent="0.15">
      <c r="A15" s="539"/>
      <c r="B15" s="762" t="b">
        <v>1</v>
      </c>
      <c r="C15" s="762" t="b">
        <v>1</v>
      </c>
      <c r="E15" s="18" t="s">
        <v>7192</v>
      </c>
      <c r="G15" s="18" t="s">
        <v>7191</v>
      </c>
      <c r="H15" s="18" t="s">
        <v>5483</v>
      </c>
      <c r="J15" s="18" t="str">
        <f>Catalog!$E$149</f>
        <v>actionObjectsElectrify</v>
      </c>
      <c r="K15" s="764" t="str">
        <f>Catalog!$E$150</f>
        <v>achievementPlayObjectsElectrify</v>
      </c>
      <c r="L15" s="13" t="s">
        <v>7179</v>
      </c>
    </row>
    <row r="16" spans="1:13" ht="15.75" customHeight="1" x14ac:dyDescent="0.15">
      <c r="A16" s="539"/>
      <c r="B16" s="762" t="b">
        <v>1</v>
      </c>
      <c r="C16" s="762" t="b">
        <v>1</v>
      </c>
      <c r="E16" s="14" t="s">
        <v>7193</v>
      </c>
      <c r="G16" s="18" t="s">
        <v>2715</v>
      </c>
      <c r="H16" s="18" t="s">
        <v>5483</v>
      </c>
      <c r="J16" s="618" t="str">
        <f>Catalog!E139</f>
        <v>actionMinionsHit</v>
      </c>
      <c r="K16" s="18" t="str">
        <f>Catalog!E140</f>
        <v>achievementPlayNoMinionHits</v>
      </c>
      <c r="L16" s="13" t="s">
        <v>7177</v>
      </c>
    </row>
    <row r="17" spans="1:13" ht="15.75" customHeight="1" x14ac:dyDescent="0.15">
      <c r="A17" s="763"/>
      <c r="B17" s="762" t="b">
        <v>1</v>
      </c>
      <c r="C17" s="762" t="b">
        <v>1</v>
      </c>
      <c r="E17" s="18" t="s">
        <v>7193</v>
      </c>
      <c r="G17" s="18" t="s">
        <v>7185</v>
      </c>
      <c r="H17" s="18" t="s">
        <v>5483</v>
      </c>
      <c r="J17" s="18" t="str">
        <f>Catalog!$E$98</f>
        <v>actionMissionScarletAttempt</v>
      </c>
      <c r="K17" s="14" t="str">
        <f>Catalog!$E$99</f>
        <v>missionScarlet</v>
      </c>
      <c r="L17" s="13" t="s">
        <v>7177</v>
      </c>
    </row>
    <row r="18" spans="1:13" ht="15.75" customHeight="1" x14ac:dyDescent="0.15">
      <c r="A18" s="763"/>
      <c r="B18" s="762" t="b">
        <v>1</v>
      </c>
      <c r="C18" s="762" t="b">
        <v>1</v>
      </c>
      <c r="E18" s="18" t="s">
        <v>7193</v>
      </c>
      <c r="G18" s="18" t="s">
        <v>7182</v>
      </c>
      <c r="H18" s="18" t="s">
        <v>5483</v>
      </c>
      <c r="J18" s="18" t="str">
        <f>Catalog!$E$98</f>
        <v>actionMissionScarletAttempt</v>
      </c>
      <c r="K18" s="14" t="str">
        <f>Catalog!$E$99</f>
        <v>missionScarlet</v>
      </c>
      <c r="L18" s="13" t="s">
        <v>7177</v>
      </c>
    </row>
    <row r="19" spans="1:13" ht="15.75" customHeight="1" x14ac:dyDescent="0.15">
      <c r="A19" s="763"/>
      <c r="B19" s="762" t="b">
        <v>1</v>
      </c>
      <c r="C19" s="762" t="b">
        <v>1</v>
      </c>
      <c r="E19" s="18" t="s">
        <v>7193</v>
      </c>
      <c r="G19" s="18" t="s">
        <v>7191</v>
      </c>
      <c r="H19" s="18" t="s">
        <v>5483</v>
      </c>
      <c r="J19" s="18" t="str">
        <f>Catalog!$E$98</f>
        <v>actionMissionScarletAttempt</v>
      </c>
      <c r="K19" s="14" t="str">
        <f>Catalog!$E$99</f>
        <v>missionScarlet</v>
      </c>
      <c r="L19" s="13" t="s">
        <v>7177</v>
      </c>
    </row>
    <row r="20" spans="1:13" ht="15.75" customHeight="1" x14ac:dyDescent="0.15">
      <c r="A20" s="763"/>
      <c r="B20" s="762" t="b">
        <v>1</v>
      </c>
      <c r="C20" s="762" t="b">
        <v>1</v>
      </c>
      <c r="E20" s="18" t="s">
        <v>7193</v>
      </c>
      <c r="G20" s="18" t="s">
        <v>7188</v>
      </c>
      <c r="H20" s="18" t="s">
        <v>5483</v>
      </c>
      <c r="J20" s="18" t="str">
        <f>Catalog!$E$98</f>
        <v>actionMissionScarletAttempt</v>
      </c>
      <c r="K20" s="14" t="str">
        <f>Catalog!$E$99</f>
        <v>missionScarlet</v>
      </c>
      <c r="L20" s="13" t="s">
        <v>7177</v>
      </c>
    </row>
    <row r="21" spans="1:13" ht="15.75" customHeight="1" x14ac:dyDescent="0.15">
      <c r="A21" s="539"/>
      <c r="B21" s="762" t="b">
        <v>1</v>
      </c>
      <c r="C21" s="762" t="b">
        <v>1</v>
      </c>
      <c r="E21" s="765" t="s">
        <v>7194</v>
      </c>
      <c r="G21" s="18" t="s">
        <v>2838</v>
      </c>
      <c r="H21" s="18" t="s">
        <v>5483</v>
      </c>
      <c r="J21" s="18" t="str">
        <f>Catalog!$E$122</f>
        <v>actionMissionNunchuckAttempt</v>
      </c>
      <c r="K21" s="14" t="str">
        <f>Catalog!$E$123</f>
        <v>missionNunchuck</v>
      </c>
      <c r="L21" s="13" t="s">
        <v>7177</v>
      </c>
    </row>
    <row r="22" spans="1:13" ht="15.75" customHeight="1" x14ac:dyDescent="0.15">
      <c r="A22" s="539"/>
      <c r="B22" s="762" t="b">
        <v>1</v>
      </c>
      <c r="C22" s="762" t="b">
        <v>1</v>
      </c>
      <c r="E22" s="14" t="s">
        <v>7195</v>
      </c>
      <c r="F22" s="766"/>
      <c r="G22" s="18" t="s">
        <v>2838</v>
      </c>
      <c r="H22" s="18" t="s">
        <v>5483</v>
      </c>
      <c r="J22" s="18" t="str">
        <f>Catalog!$E$127</f>
        <v>actionMissionSvengeanceAttempt</v>
      </c>
      <c r="K22" s="14" t="str">
        <f>Catalog!$E$128</f>
        <v>missionSvengeance</v>
      </c>
      <c r="L22" s="13" t="s">
        <v>7177</v>
      </c>
    </row>
    <row r="23" spans="1:13" ht="15.75" customHeight="1" x14ac:dyDescent="0.15">
      <c r="A23" s="539"/>
      <c r="B23" s="762" t="b">
        <v>1</v>
      </c>
      <c r="C23" s="762" t="b">
        <v>1</v>
      </c>
      <c r="E23" s="14" t="s">
        <v>7196</v>
      </c>
      <c r="F23" s="766"/>
      <c r="G23" s="18" t="s">
        <v>2838</v>
      </c>
      <c r="H23" s="18" t="s">
        <v>5483</v>
      </c>
      <c r="J23" s="18" t="str">
        <f>Catalog!$E$127</f>
        <v>actionMissionSvengeanceAttempt</v>
      </c>
      <c r="K23" s="764" t="str">
        <f>Catalog!$E$128</f>
        <v>missionSvengeance</v>
      </c>
      <c r="L23" s="13" t="s">
        <v>7177</v>
      </c>
    </row>
    <row r="24" spans="1:13" ht="15.75" customHeight="1" x14ac:dyDescent="0.15">
      <c r="A24" s="30" t="s">
        <v>7197</v>
      </c>
      <c r="B24" s="762" t="b">
        <v>1</v>
      </c>
      <c r="C24" s="762" t="b">
        <v>1</v>
      </c>
      <c r="E24" s="14" t="s">
        <v>7198</v>
      </c>
      <c r="F24" s="766"/>
      <c r="G24" s="18" t="s">
        <v>2838</v>
      </c>
      <c r="H24" s="18" t="s">
        <v>5483</v>
      </c>
      <c r="J24" s="18" t="str">
        <f>Catalog!E180</f>
        <v>actionSvengeanceSkaterbots</v>
      </c>
      <c r="K24" s="14" t="str">
        <f>Catalog!E181</f>
        <v>achievementPlaySvengeanceSkaterbots</v>
      </c>
      <c r="L24" s="13" t="s">
        <v>7179</v>
      </c>
    </row>
    <row r="25" spans="1:13" ht="15.75" customHeight="1" x14ac:dyDescent="0.15">
      <c r="A25" s="767"/>
      <c r="B25" s="762" t="b">
        <v>1</v>
      </c>
      <c r="C25" s="762" t="b">
        <v>1</v>
      </c>
      <c r="E25" s="14" t="s">
        <v>7198</v>
      </c>
      <c r="G25" s="18" t="s">
        <v>2838</v>
      </c>
      <c r="H25" s="18" t="s">
        <v>5483</v>
      </c>
      <c r="J25" s="18" t="str">
        <f>Catalog!$E$127</f>
        <v>actionMissionSvengeanceAttempt</v>
      </c>
      <c r="K25" s="14" t="str">
        <f>Catalog!$E$128</f>
        <v>missionSvengeance</v>
      </c>
      <c r="L25" s="13" t="s">
        <v>7177</v>
      </c>
    </row>
    <row r="26" spans="1:13" ht="15.75" customHeight="1" x14ac:dyDescent="0.15">
      <c r="A26" s="767"/>
      <c r="B26" s="762" t="b">
        <v>1</v>
      </c>
      <c r="C26" s="762" t="b">
        <v>1</v>
      </c>
      <c r="E26" s="14" t="s">
        <v>7199</v>
      </c>
      <c r="G26" s="18" t="s">
        <v>2838</v>
      </c>
      <c r="H26" s="18" t="s">
        <v>5483</v>
      </c>
      <c r="J26" s="18" t="str">
        <f>Catalog!$E$122</f>
        <v>actionMissionNunchuckAttempt</v>
      </c>
      <c r="K26" s="14" t="str">
        <f>Catalog!$E$123</f>
        <v>missionNunchuck</v>
      </c>
      <c r="L26" s="13" t="s">
        <v>7177</v>
      </c>
    </row>
    <row r="27" spans="1:13" ht="15.75" customHeight="1" x14ac:dyDescent="0.15">
      <c r="A27" s="767"/>
      <c r="B27" s="762" t="b">
        <v>1</v>
      </c>
      <c r="C27" s="762" t="b">
        <v>1</v>
      </c>
      <c r="E27" s="18" t="s">
        <v>7200</v>
      </c>
      <c r="G27" s="18" t="s">
        <v>2715</v>
      </c>
      <c r="H27" s="18" t="s">
        <v>5483</v>
      </c>
      <c r="J27" s="18" t="str">
        <f>Catalog!E112</f>
        <v>actionMissionBelleAttempt</v>
      </c>
      <c r="K27" s="14" t="str">
        <f>Catalog!E113</f>
        <v>missionBelle</v>
      </c>
      <c r="L27" s="11" t="s">
        <v>7177</v>
      </c>
    </row>
    <row r="28" spans="1:13" ht="15.75" customHeight="1" x14ac:dyDescent="0.15">
      <c r="A28" s="768"/>
      <c r="B28" s="769" t="b">
        <v>1</v>
      </c>
      <c r="C28" s="762" t="b">
        <v>1</v>
      </c>
      <c r="D28" s="563"/>
      <c r="E28" s="643" t="s">
        <v>7201</v>
      </c>
      <c r="F28" s="563"/>
      <c r="G28" s="563" t="s">
        <v>2715</v>
      </c>
      <c r="H28" s="563" t="s">
        <v>5483</v>
      </c>
      <c r="I28" s="563"/>
      <c r="J28" s="563"/>
      <c r="K28" s="563"/>
      <c r="L28" s="563"/>
      <c r="M28" s="563"/>
    </row>
    <row r="29" spans="1:13" ht="15.75" customHeight="1" x14ac:dyDescent="0.15">
      <c r="A29" s="767"/>
      <c r="B29" s="762" t="b">
        <v>1</v>
      </c>
      <c r="C29" s="762" t="b">
        <v>1</v>
      </c>
      <c r="E29" s="14" t="s">
        <v>7202</v>
      </c>
      <c r="F29" s="563"/>
      <c r="G29" s="18" t="s">
        <v>2838</v>
      </c>
      <c r="H29" s="18" t="s">
        <v>5483</v>
      </c>
      <c r="J29" s="18" t="str">
        <f>Catalog!$E$153</f>
        <v>actionBombsExplode</v>
      </c>
      <c r="K29" s="18" t="str">
        <f>Catalog!$E$154</f>
        <v>achievementPlayBombsExplode</v>
      </c>
      <c r="L29" s="13" t="s">
        <v>7179</v>
      </c>
    </row>
    <row r="30" spans="1:13" ht="15.75" customHeight="1" x14ac:dyDescent="0.15">
      <c r="A30" s="767"/>
      <c r="B30" s="762" t="b">
        <v>1</v>
      </c>
      <c r="C30" s="762" t="b">
        <v>1</v>
      </c>
      <c r="E30" s="14" t="s">
        <v>7203</v>
      </c>
      <c r="F30" s="563"/>
      <c r="G30" s="18" t="s">
        <v>2838</v>
      </c>
      <c r="H30" s="18" t="s">
        <v>5483</v>
      </c>
      <c r="J30" s="612" t="str">
        <f>Catalog!$E$153</f>
        <v>actionBombsExplode</v>
      </c>
      <c r="K30" s="18" t="str">
        <f>Catalog!$E$154</f>
        <v>achievementPlayBombsExplode</v>
      </c>
      <c r="L30" s="13" t="s">
        <v>7179</v>
      </c>
    </row>
    <row r="31" spans="1:13" ht="15.75" customHeight="1" x14ac:dyDescent="0.15">
      <c r="A31" s="767"/>
      <c r="B31" s="762" t="b">
        <v>1</v>
      </c>
      <c r="C31" s="762" t="b">
        <v>1</v>
      </c>
      <c r="E31" s="14" t="s">
        <v>7204</v>
      </c>
      <c r="F31" s="563"/>
      <c r="G31" s="18" t="s">
        <v>2838</v>
      </c>
      <c r="H31" s="18" t="s">
        <v>5483</v>
      </c>
      <c r="J31" s="612" t="str">
        <f>Catalog!$E$153</f>
        <v>actionBombsExplode</v>
      </c>
      <c r="K31" s="18" t="str">
        <f>Catalog!$E$154</f>
        <v>achievementPlayBombsExplode</v>
      </c>
      <c r="L31" s="13" t="s">
        <v>7179</v>
      </c>
    </row>
    <row r="32" spans="1:13" ht="15.75" customHeight="1" x14ac:dyDescent="0.15">
      <c r="A32" s="767"/>
      <c r="B32" s="762" t="b">
        <v>1</v>
      </c>
      <c r="C32" s="762" t="b">
        <v>1</v>
      </c>
      <c r="E32" s="14" t="s">
        <v>7205</v>
      </c>
      <c r="F32" s="563"/>
      <c r="G32" s="18" t="s">
        <v>2838</v>
      </c>
      <c r="H32" s="18" t="s">
        <v>5483</v>
      </c>
      <c r="J32" s="612" t="str">
        <f>Catalog!$E$153</f>
        <v>actionBombsExplode</v>
      </c>
      <c r="K32" s="18" t="str">
        <f>Catalog!$E$154</f>
        <v>achievementPlayBombsExplode</v>
      </c>
      <c r="L32" s="13" t="s">
        <v>7179</v>
      </c>
    </row>
    <row r="33" spans="1:12" ht="15.75" customHeight="1" x14ac:dyDescent="0.15">
      <c r="A33" s="767"/>
      <c r="B33" s="762" t="b">
        <v>1</v>
      </c>
      <c r="C33" s="762" t="b">
        <v>1</v>
      </c>
      <c r="E33" s="14" t="s">
        <v>7206</v>
      </c>
      <c r="F33" s="563"/>
      <c r="G33" s="18" t="s">
        <v>2838</v>
      </c>
      <c r="H33" s="18" t="s">
        <v>5483</v>
      </c>
      <c r="J33" s="612" t="str">
        <f>Catalog!$E$153</f>
        <v>actionBombsExplode</v>
      </c>
      <c r="K33" s="18" t="str">
        <f>Catalog!$E$154</f>
        <v>achievementPlayBombsExplode</v>
      </c>
      <c r="L33" s="13" t="s">
        <v>7179</v>
      </c>
    </row>
    <row r="34" spans="1:12" ht="15.75" customHeight="1" x14ac:dyDescent="0.15">
      <c r="A34" s="767"/>
      <c r="B34" s="762" t="b">
        <v>1</v>
      </c>
      <c r="C34" s="762" t="b">
        <v>1</v>
      </c>
      <c r="E34" s="14" t="s">
        <v>7207</v>
      </c>
      <c r="F34" s="563"/>
      <c r="G34" s="18" t="s">
        <v>2838</v>
      </c>
      <c r="H34" s="18" t="s">
        <v>5483</v>
      </c>
      <c r="J34" s="612" t="str">
        <f>Catalog!$E$153</f>
        <v>actionBombsExplode</v>
      </c>
      <c r="K34" s="18" t="str">
        <f>Catalog!$E$154</f>
        <v>achievementPlayBombsExplode</v>
      </c>
      <c r="L34" s="13" t="s">
        <v>7179</v>
      </c>
    </row>
    <row r="35" spans="1:12" ht="15.75" customHeight="1" x14ac:dyDescent="0.15">
      <c r="A35" s="767"/>
      <c r="B35" s="762" t="b">
        <v>1</v>
      </c>
      <c r="C35" s="762" t="b">
        <v>1</v>
      </c>
      <c r="E35" s="14" t="s">
        <v>7208</v>
      </c>
      <c r="G35" s="18" t="s">
        <v>2715</v>
      </c>
      <c r="H35" s="18" t="s">
        <v>5483</v>
      </c>
      <c r="J35" s="18" t="str">
        <f>Catalog!E165</f>
        <v>actionCharacterPickup</v>
      </c>
      <c r="K35" s="18" t="str">
        <f>Catalog!E166</f>
        <v>achievementPlayCharacterPickup</v>
      </c>
      <c r="L35" s="13" t="s">
        <v>7179</v>
      </c>
    </row>
    <row r="36" spans="1:12" ht="15.75" customHeight="1" x14ac:dyDescent="0.15">
      <c r="A36" s="767"/>
      <c r="B36" s="762" t="b">
        <v>1</v>
      </c>
      <c r="C36" s="762" t="b">
        <v>1</v>
      </c>
      <c r="E36" s="14" t="s">
        <v>7209</v>
      </c>
      <c r="G36" s="18" t="s">
        <v>2715</v>
      </c>
      <c r="H36" s="18" t="s">
        <v>5483</v>
      </c>
      <c r="J36" s="18" t="str">
        <f>Catalog!E171</f>
        <v>actionAmmoSwap</v>
      </c>
      <c r="K36" s="18" t="str">
        <f>Catalog!E172</f>
        <v>achievementPlayAmmoSwap</v>
      </c>
      <c r="L36" s="13" t="s">
        <v>7179</v>
      </c>
    </row>
    <row r="37" spans="1:12" ht="15.75" customHeight="1" x14ac:dyDescent="0.15">
      <c r="A37" s="767"/>
      <c r="B37" s="762" t="b">
        <v>1</v>
      </c>
      <c r="C37" s="762" t="b">
        <v>1</v>
      </c>
      <c r="E37" s="14" t="s">
        <v>7210</v>
      </c>
      <c r="G37" s="18" t="s">
        <v>2715</v>
      </c>
      <c r="H37" s="18" t="s">
        <v>5483</v>
      </c>
      <c r="J37" s="18" t="str">
        <f>Catalog!E163</f>
        <v>actionPlayerNerfed</v>
      </c>
      <c r="K37" s="18" t="str">
        <f>Catalog!E164</f>
        <v>achievementPlayerNerfed</v>
      </c>
      <c r="L37" s="13" t="s">
        <v>7211</v>
      </c>
    </row>
    <row r="38" spans="1:12" ht="15.75" customHeight="1" x14ac:dyDescent="0.15">
      <c r="A38" s="30" t="s">
        <v>7212</v>
      </c>
      <c r="B38" s="762" t="b">
        <v>1</v>
      </c>
      <c r="C38" s="762" t="b">
        <v>1</v>
      </c>
      <c r="E38" s="14" t="s">
        <v>7213</v>
      </c>
      <c r="G38" s="18" t="s">
        <v>2715</v>
      </c>
      <c r="H38" s="18" t="s">
        <v>5483</v>
      </c>
      <c r="I38" s="14"/>
      <c r="J38" s="18" t="str">
        <f>Catalog!E115</f>
        <v>actionLauncherStronghold</v>
      </c>
      <c r="K38" s="18" t="str">
        <f>Catalog!E116</f>
        <v>actionMissionStrongholdUnlock</v>
      </c>
      <c r="L38" s="13" t="s">
        <v>7211</v>
      </c>
    </row>
    <row r="39" spans="1:12" ht="15.75" customHeight="1" x14ac:dyDescent="0.15">
      <c r="A39" s="30" t="s">
        <v>7212</v>
      </c>
      <c r="B39" s="762" t="b">
        <v>1</v>
      </c>
      <c r="C39" s="762" t="b">
        <v>1</v>
      </c>
      <c r="E39" s="14" t="s">
        <v>7214</v>
      </c>
      <c r="G39" s="18" t="s">
        <v>2715</v>
      </c>
      <c r="H39" s="18" t="s">
        <v>5483</v>
      </c>
      <c r="I39" s="14"/>
      <c r="J39" s="18" t="str">
        <f>Catalog!E120</f>
        <v>actionLauncherNunchuck</v>
      </c>
      <c r="K39" s="18" t="str">
        <f>Catalog!E121</f>
        <v>actionMissionNunchuckUnlock</v>
      </c>
      <c r="L39" s="13" t="s">
        <v>7211</v>
      </c>
    </row>
    <row r="40" spans="1:12" ht="15.75" customHeight="1" x14ac:dyDescent="0.15">
      <c r="A40" s="30" t="s">
        <v>7212</v>
      </c>
      <c r="B40" s="762" t="b">
        <v>1</v>
      </c>
      <c r="C40" s="762" t="b">
        <v>1</v>
      </c>
      <c r="E40" s="18" t="s">
        <v>7215</v>
      </c>
      <c r="G40" s="18" t="s">
        <v>2715</v>
      </c>
      <c r="H40" s="18" t="s">
        <v>5483</v>
      </c>
      <c r="I40" s="14"/>
      <c r="J40" s="18" t="str">
        <f>Catalog!E130</f>
        <v>actionLauncherJeanClawed</v>
      </c>
      <c r="K40" s="18" t="str">
        <f>Catalog!E131</f>
        <v>actionMissionJeanClawedUnlock</v>
      </c>
      <c r="L40" s="13" t="s">
        <v>7211</v>
      </c>
    </row>
    <row r="41" spans="1:12" ht="15.75" customHeight="1" x14ac:dyDescent="0.15">
      <c r="A41" s="30" t="s">
        <v>7212</v>
      </c>
      <c r="B41" s="762" t="b">
        <v>1</v>
      </c>
      <c r="C41" s="762" t="b">
        <v>1</v>
      </c>
      <c r="E41" s="18" t="s">
        <v>7216</v>
      </c>
      <c r="G41" s="18" t="s">
        <v>2715</v>
      </c>
      <c r="H41" s="18" t="s">
        <v>5483</v>
      </c>
      <c r="I41" s="14"/>
      <c r="J41" s="18" t="str">
        <f>Catalog!E125</f>
        <v>actionLauncherSvengeance</v>
      </c>
      <c r="K41" s="14" t="str">
        <f>Catalog!E126</f>
        <v>actionMissionSvengeanceUnlock</v>
      </c>
      <c r="L41" s="13" t="s">
        <v>7211</v>
      </c>
    </row>
    <row r="42" spans="1:12" ht="15.75" customHeight="1" x14ac:dyDescent="0.15">
      <c r="A42" s="30" t="s">
        <v>7212</v>
      </c>
      <c r="B42" s="762" t="b">
        <v>1</v>
      </c>
      <c r="C42" s="762" t="b">
        <v>1</v>
      </c>
      <c r="E42" s="14" t="s">
        <v>7217</v>
      </c>
      <c r="G42" s="18" t="s">
        <v>2715</v>
      </c>
      <c r="H42" s="18" t="s">
        <v>5483</v>
      </c>
      <c r="I42" s="14"/>
      <c r="J42" s="18" t="str">
        <f>Catalog!E110</f>
        <v>actionLauncherBelle</v>
      </c>
      <c r="K42" s="18" t="str">
        <f>Catalog!E111</f>
        <v>actionMissionBelleUnlock</v>
      </c>
      <c r="L42" s="13" t="s">
        <v>7211</v>
      </c>
    </row>
    <row r="43" spans="1:12" ht="15.75" customHeight="1" x14ac:dyDescent="0.15">
      <c r="A43" s="539"/>
      <c r="B43" s="11" t="b">
        <v>1</v>
      </c>
      <c r="C43" s="762" t="b">
        <v>1</v>
      </c>
      <c r="E43" s="14" t="s">
        <v>7218</v>
      </c>
      <c r="F43" s="18" t="s">
        <v>5483</v>
      </c>
      <c r="I43" s="770" t="str">
        <f>Catalog!$E$271</f>
        <v>lootV6common</v>
      </c>
      <c r="J43" s="18" t="str">
        <f>Catalog!$E$132</f>
        <v>actionMissionJeanClawedAttempt</v>
      </c>
      <c r="K43" s="18" t="str">
        <f>Catalog!$E$133</f>
        <v>missionJeanClawed</v>
      </c>
      <c r="L43" s="13" t="s">
        <v>7219</v>
      </c>
    </row>
    <row r="44" spans="1:12" ht="15.75" customHeight="1" x14ac:dyDescent="0.15">
      <c r="A44" s="539"/>
      <c r="B44" s="11" t="b">
        <v>1</v>
      </c>
      <c r="C44" s="762" t="b">
        <v>1</v>
      </c>
      <c r="E44" s="14" t="s">
        <v>7218</v>
      </c>
      <c r="G44" s="18" t="s">
        <v>2715</v>
      </c>
      <c r="H44" s="18" t="s">
        <v>5483</v>
      </c>
      <c r="I44" s="770" t="str">
        <f>Catalog!$E$271</f>
        <v>lootV6common</v>
      </c>
      <c r="J44" s="18" t="str">
        <f>Catalog!$E$90</f>
        <v>actionMissionVectorAttempt</v>
      </c>
      <c r="K44" s="18" t="str">
        <f>Catalog!$E$91</f>
        <v>missionVector</v>
      </c>
      <c r="L44" s="13" t="s">
        <v>7177</v>
      </c>
    </row>
    <row r="45" spans="1:12" ht="15.75" customHeight="1" x14ac:dyDescent="0.15">
      <c r="A45" s="539"/>
      <c r="B45" s="11" t="b">
        <v>1</v>
      </c>
      <c r="C45" s="762" t="b">
        <v>1</v>
      </c>
      <c r="E45" s="18" t="s">
        <v>7220</v>
      </c>
      <c r="F45" s="18" t="s">
        <v>5483</v>
      </c>
      <c r="I45" s="770" t="str">
        <f>Catalog!$E$276</f>
        <v>lootV6uncommon</v>
      </c>
      <c r="J45" s="18" t="str">
        <f>Catalog!$E$132</f>
        <v>actionMissionJeanClawedAttempt</v>
      </c>
      <c r="K45" s="18" t="str">
        <f>Catalog!$E$133</f>
        <v>missionJeanClawed</v>
      </c>
      <c r="L45" s="13" t="s">
        <v>7219</v>
      </c>
    </row>
    <row r="46" spans="1:12" ht="15.75" customHeight="1" x14ac:dyDescent="0.15">
      <c r="A46" s="539"/>
      <c r="B46" s="11" t="b">
        <v>1</v>
      </c>
      <c r="C46" s="762" t="b">
        <v>1</v>
      </c>
      <c r="E46" s="18" t="s">
        <v>7220</v>
      </c>
      <c r="G46" s="18" t="s">
        <v>2715</v>
      </c>
      <c r="H46" s="18" t="s">
        <v>5483</v>
      </c>
      <c r="I46" s="770" t="str">
        <f>Catalog!$E$276</f>
        <v>lootV6uncommon</v>
      </c>
      <c r="J46" s="18" t="str">
        <f>Catalog!$E$90</f>
        <v>actionMissionVectorAttempt</v>
      </c>
      <c r="K46" s="18" t="str">
        <f>Catalog!$E$91</f>
        <v>missionVector</v>
      </c>
      <c r="L46" s="13" t="s">
        <v>7177</v>
      </c>
    </row>
    <row r="47" spans="1:12" ht="15.75" customHeight="1" x14ac:dyDescent="0.15">
      <c r="A47" s="539"/>
      <c r="B47" s="11" t="b">
        <v>1</v>
      </c>
      <c r="C47" s="762" t="b">
        <v>1</v>
      </c>
      <c r="E47" s="18" t="s">
        <v>7221</v>
      </c>
      <c r="F47" s="18" t="s">
        <v>5483</v>
      </c>
      <c r="I47" s="770" t="str">
        <f>Catalog!$E$277</f>
        <v>lootV6rare</v>
      </c>
      <c r="J47" s="18" t="str">
        <f>Catalog!$E$132</f>
        <v>actionMissionJeanClawedAttempt</v>
      </c>
      <c r="K47" s="18" t="str">
        <f>Catalog!$E$133</f>
        <v>missionJeanClawed</v>
      </c>
      <c r="L47" s="13" t="s">
        <v>7219</v>
      </c>
    </row>
    <row r="48" spans="1:12" ht="15.75" customHeight="1" x14ac:dyDescent="0.15">
      <c r="A48" s="539"/>
      <c r="B48" s="11" t="b">
        <v>1</v>
      </c>
      <c r="C48" s="762" t="b">
        <v>1</v>
      </c>
      <c r="E48" s="18" t="s">
        <v>7221</v>
      </c>
      <c r="G48" s="18" t="s">
        <v>2715</v>
      </c>
      <c r="H48" s="18" t="s">
        <v>5483</v>
      </c>
      <c r="I48" s="770" t="str">
        <f>Catalog!$E$277</f>
        <v>lootV6rare</v>
      </c>
      <c r="J48" s="18" t="str">
        <f>Catalog!$E$90</f>
        <v>actionMissionVectorAttempt</v>
      </c>
      <c r="K48" s="18" t="str">
        <f>Catalog!$E$91</f>
        <v>missionVector</v>
      </c>
      <c r="L48" s="13" t="s">
        <v>7177</v>
      </c>
    </row>
    <row r="49" spans="1:12" ht="15.75" customHeight="1" x14ac:dyDescent="0.15">
      <c r="A49" s="539"/>
      <c r="B49" s="11" t="b">
        <v>1</v>
      </c>
      <c r="C49" s="762" t="b">
        <v>1</v>
      </c>
      <c r="E49" s="18" t="s">
        <v>7222</v>
      </c>
      <c r="G49" s="18" t="s">
        <v>2715</v>
      </c>
      <c r="H49" s="18" t="s">
        <v>5483</v>
      </c>
      <c r="I49" s="770" t="str">
        <f>Catalog!E329</f>
        <v>lootUnicornOriginal</v>
      </c>
      <c r="J49" s="18" t="str">
        <f>Catalog!$E$107</f>
        <v>actionMissionBrattAttempt</v>
      </c>
      <c r="K49" s="18" t="str">
        <f>Catalog!$E$108</f>
        <v>missionBratt</v>
      </c>
      <c r="L49" s="13" t="s">
        <v>7177</v>
      </c>
    </row>
    <row r="50" spans="1:12" ht="15.75" customHeight="1" x14ac:dyDescent="0.15">
      <c r="A50" s="539"/>
      <c r="B50" s="11" t="b">
        <v>1</v>
      </c>
      <c r="C50" s="762" t="b">
        <v>1</v>
      </c>
      <c r="E50" s="18" t="s">
        <v>7223</v>
      </c>
      <c r="G50" s="18" t="s">
        <v>2715</v>
      </c>
      <c r="H50" s="18" t="s">
        <v>5483</v>
      </c>
      <c r="I50" s="770" t="str">
        <f>Catalog!E318</f>
        <v>lootUnicornReplacement</v>
      </c>
      <c r="J50" s="18" t="str">
        <f>Catalog!$E$107</f>
        <v>actionMissionBrattAttempt</v>
      </c>
      <c r="K50" s="18" t="str">
        <f>Catalog!$E$108</f>
        <v>missionBratt</v>
      </c>
      <c r="L50" s="13" t="s">
        <v>7177</v>
      </c>
    </row>
    <row r="51" spans="1:12" ht="15.75" customHeight="1" x14ac:dyDescent="0.15">
      <c r="A51" s="539"/>
      <c r="B51" s="11" t="b">
        <v>1</v>
      </c>
      <c r="C51" s="762" t="b">
        <v>1</v>
      </c>
      <c r="E51" s="14" t="s">
        <v>7224</v>
      </c>
      <c r="G51" s="18" t="s">
        <v>2715</v>
      </c>
      <c r="H51" s="18" t="s">
        <v>5483</v>
      </c>
      <c r="I51" s="770" t="str">
        <f>Catalog!E316</f>
        <v>lootBeeDoh</v>
      </c>
      <c r="J51" s="18" t="str">
        <f>Catalog!$E$107</f>
        <v>actionMissionBrattAttempt</v>
      </c>
      <c r="K51" s="18" t="str">
        <f>Catalog!$E$108</f>
        <v>missionBratt</v>
      </c>
      <c r="L51" s="13" t="s">
        <v>7177</v>
      </c>
    </row>
    <row r="52" spans="1:12" ht="15.75" customHeight="1" x14ac:dyDescent="0.15">
      <c r="A52" s="539"/>
      <c r="B52" s="11" t="b">
        <v>1</v>
      </c>
      <c r="C52" s="762" t="b">
        <v>1</v>
      </c>
      <c r="E52" s="18" t="s">
        <v>7225</v>
      </c>
      <c r="G52" s="18" t="s">
        <v>2715</v>
      </c>
      <c r="H52" s="18" t="s">
        <v>5483</v>
      </c>
      <c r="I52" s="770" t="str">
        <f>Catalog!E274</f>
        <v>lootBoogieRobot</v>
      </c>
      <c r="J52" s="18" t="str">
        <f>Catalog!$E$107</f>
        <v>actionMissionBrattAttempt</v>
      </c>
      <c r="K52" s="18" t="str">
        <f>Catalog!$E$108</f>
        <v>missionBratt</v>
      </c>
      <c r="L52" s="13" t="s">
        <v>7177</v>
      </c>
    </row>
    <row r="53" spans="1:12" ht="15.75" customHeight="1" x14ac:dyDescent="0.15">
      <c r="A53" s="539"/>
      <c r="B53" s="11" t="b">
        <v>1</v>
      </c>
      <c r="C53" s="762" t="b">
        <v>1</v>
      </c>
      <c r="E53" s="18" t="s">
        <v>7226</v>
      </c>
      <c r="G53" s="18" t="s">
        <v>2715</v>
      </c>
      <c r="H53" s="18" t="s">
        <v>5483</v>
      </c>
      <c r="I53" s="770" t="str">
        <f>Catalog!E306</f>
        <v>lootBigBenSnowglobe</v>
      </c>
      <c r="J53" s="18" t="str">
        <f>Catalog!$E$107</f>
        <v>actionMissionBrattAttempt</v>
      </c>
      <c r="K53" s="18" t="str">
        <f>Catalog!$E$108</f>
        <v>missionBratt</v>
      </c>
      <c r="L53" s="13" t="s">
        <v>7177</v>
      </c>
    </row>
    <row r="54" spans="1:12" ht="14" x14ac:dyDescent="0.15">
      <c r="A54" s="539"/>
      <c r="B54" s="11" t="b">
        <v>1</v>
      </c>
      <c r="C54" s="762" t="b">
        <v>1</v>
      </c>
      <c r="E54" s="18" t="s">
        <v>7227</v>
      </c>
      <c r="G54" s="18" t="s">
        <v>2715</v>
      </c>
      <c r="H54" s="18" t="s">
        <v>5483</v>
      </c>
      <c r="I54" s="770" t="str">
        <f>Catalog!E286</f>
        <v>lootBrattToy</v>
      </c>
      <c r="J54" s="18" t="str">
        <f>Catalog!$E$107</f>
        <v>actionMissionBrattAttempt</v>
      </c>
      <c r="K54" s="18" t="str">
        <f>Catalog!$E$108</f>
        <v>missionBratt</v>
      </c>
      <c r="L54" s="13" t="s">
        <v>7177</v>
      </c>
    </row>
    <row r="55" spans="1:12" ht="14" x14ac:dyDescent="0.15">
      <c r="A55" s="539"/>
      <c r="B55" s="11" t="b">
        <v>1</v>
      </c>
      <c r="C55" s="762" t="b">
        <v>1</v>
      </c>
      <c r="E55" s="18" t="s">
        <v>7228</v>
      </c>
      <c r="G55" s="18" t="s">
        <v>2715</v>
      </c>
      <c r="H55" s="18" t="s">
        <v>5483</v>
      </c>
      <c r="I55" s="770" t="str">
        <f>Catalog!E301</f>
        <v>lootBubbleGum</v>
      </c>
      <c r="J55" s="18" t="str">
        <f>Catalog!$E$107</f>
        <v>actionMissionBrattAttempt</v>
      </c>
      <c r="K55" s="18" t="str">
        <f>Catalog!$E$108</f>
        <v>missionBratt</v>
      </c>
      <c r="L55" s="13" t="s">
        <v>7177</v>
      </c>
    </row>
    <row r="56" spans="1:12" ht="14" x14ac:dyDescent="0.15">
      <c r="A56" s="539"/>
      <c r="B56" s="11" t="b">
        <v>1</v>
      </c>
      <c r="C56" s="762" t="b">
        <v>1</v>
      </c>
      <c r="E56" s="18" t="s">
        <v>7229</v>
      </c>
      <c r="G56" s="18" t="s">
        <v>2715</v>
      </c>
      <c r="H56" s="18" t="s">
        <v>5483</v>
      </c>
      <c r="I56" s="770" t="str">
        <f>Catalog!E305</f>
        <v>lootLunchbox</v>
      </c>
      <c r="J56" s="18" t="str">
        <f>Catalog!$E$107</f>
        <v>actionMissionBrattAttempt</v>
      </c>
      <c r="K56" s="18" t="str">
        <f>Catalog!$E$108</f>
        <v>missionBratt</v>
      </c>
      <c r="L56" s="13" t="s">
        <v>7177</v>
      </c>
    </row>
    <row r="57" spans="1:12" ht="14" x14ac:dyDescent="0.15">
      <c r="A57" s="539"/>
      <c r="B57" s="11" t="b">
        <v>1</v>
      </c>
      <c r="C57" s="762" t="b">
        <v>1</v>
      </c>
      <c r="E57" s="18" t="s">
        <v>7230</v>
      </c>
      <c r="G57" s="18" t="s">
        <v>2715</v>
      </c>
      <c r="H57" s="18" t="s">
        <v>5483</v>
      </c>
      <c r="I57" s="770" t="str">
        <f>Catalog!E323</f>
        <v>lootBrattMixtape</v>
      </c>
      <c r="J57" s="18" t="str">
        <f>Catalog!$E$107</f>
        <v>actionMissionBrattAttempt</v>
      </c>
      <c r="K57" s="18" t="str">
        <f>Catalog!$E$108</f>
        <v>missionBratt</v>
      </c>
      <c r="L57" s="13" t="s">
        <v>7177</v>
      </c>
    </row>
    <row r="58" spans="1:12" ht="14" x14ac:dyDescent="0.15">
      <c r="A58" s="539"/>
      <c r="B58" s="11" t="b">
        <v>1</v>
      </c>
      <c r="C58" s="762" t="b">
        <v>1</v>
      </c>
      <c r="E58" s="18" t="s">
        <v>7231</v>
      </c>
      <c r="G58" s="18" t="s">
        <v>2715</v>
      </c>
      <c r="H58" s="18" t="s">
        <v>5483</v>
      </c>
      <c r="I58" s="770" t="str">
        <f>Catalog!E317</f>
        <v>lootClive</v>
      </c>
      <c r="J58" s="18" t="str">
        <f>Catalog!$E$107</f>
        <v>actionMissionBrattAttempt</v>
      </c>
      <c r="K58" s="18" t="str">
        <f>Catalog!$E$108</f>
        <v>missionBratt</v>
      </c>
      <c r="L58" s="13" t="s">
        <v>7177</v>
      </c>
    </row>
    <row r="59" spans="1:12" ht="14" x14ac:dyDescent="0.15">
      <c r="A59" s="539"/>
      <c r="B59" s="11" t="b">
        <v>1</v>
      </c>
      <c r="C59" s="762" t="b">
        <v>1</v>
      </c>
      <c r="E59" s="18" t="s">
        <v>7232</v>
      </c>
      <c r="G59" s="18" t="s">
        <v>2715</v>
      </c>
      <c r="H59" s="18" t="s">
        <v>5483</v>
      </c>
      <c r="I59" s="770" t="str">
        <f>Catalog!E291</f>
        <v>lootCoconutties</v>
      </c>
      <c r="J59" s="18" t="str">
        <f>Catalog!$E$107</f>
        <v>actionMissionBrattAttempt</v>
      </c>
      <c r="K59" s="18" t="str">
        <f>Catalog!$E$108</f>
        <v>missionBratt</v>
      </c>
      <c r="L59" s="13" t="s">
        <v>7177</v>
      </c>
    </row>
    <row r="60" spans="1:12" ht="14" x14ac:dyDescent="0.15">
      <c r="A60" s="539"/>
      <c r="B60" s="11" t="b">
        <v>1</v>
      </c>
      <c r="C60" s="762" t="b">
        <v>1</v>
      </c>
      <c r="E60" s="18" t="s">
        <v>7233</v>
      </c>
      <c r="G60" s="18" t="s">
        <v>2715</v>
      </c>
      <c r="H60" s="18" t="s">
        <v>5483</v>
      </c>
      <c r="I60" s="770" t="str">
        <f>Catalog!E273</f>
        <v>lootCookieRobot</v>
      </c>
      <c r="J60" s="18" t="str">
        <f>Catalog!$E$107</f>
        <v>actionMissionBrattAttempt</v>
      </c>
      <c r="K60" s="18" t="str">
        <f>Catalog!$E$108</f>
        <v>missionBratt</v>
      </c>
      <c r="L60" s="13" t="s">
        <v>7177</v>
      </c>
    </row>
    <row r="61" spans="1:12" ht="14" x14ac:dyDescent="0.15">
      <c r="A61" s="539"/>
      <c r="B61" s="11" t="b">
        <v>1</v>
      </c>
      <c r="C61" s="762" t="b">
        <v>1</v>
      </c>
      <c r="E61" s="14" t="s">
        <v>7234</v>
      </c>
      <c r="G61" s="18" t="s">
        <v>2715</v>
      </c>
      <c r="H61" s="18" t="s">
        <v>5483</v>
      </c>
      <c r="I61" s="770" t="str">
        <f>Catalog!E324</f>
        <v>lootGirlsDrawing</v>
      </c>
      <c r="J61" s="18" t="str">
        <f>Catalog!$E$107</f>
        <v>actionMissionBrattAttempt</v>
      </c>
      <c r="K61" s="18" t="str">
        <f>Catalog!$E$108</f>
        <v>missionBratt</v>
      </c>
      <c r="L61" s="13" t="s">
        <v>7177</v>
      </c>
    </row>
    <row r="62" spans="1:12" ht="14" x14ac:dyDescent="0.15">
      <c r="A62" s="539"/>
      <c r="B62" s="11" t="b">
        <v>1</v>
      </c>
      <c r="C62" s="762" t="b">
        <v>1</v>
      </c>
      <c r="E62" s="18" t="s">
        <v>7235</v>
      </c>
      <c r="G62" s="18" t="s">
        <v>2715</v>
      </c>
      <c r="H62" s="18" t="s">
        <v>5483</v>
      </c>
      <c r="I62" s="770" t="str">
        <f>Catalog!E322</f>
        <v>lootGrusV6Drawing</v>
      </c>
      <c r="J62" s="18" t="str">
        <f>Catalog!$E$107</f>
        <v>actionMissionBrattAttempt</v>
      </c>
      <c r="K62" s="18" t="str">
        <f>Catalog!$E$108</f>
        <v>missionBratt</v>
      </c>
      <c r="L62" s="13" t="s">
        <v>7177</v>
      </c>
    </row>
    <row r="63" spans="1:12" ht="14" x14ac:dyDescent="0.15">
      <c r="A63" s="539"/>
      <c r="B63" s="11" t="b">
        <v>1</v>
      </c>
      <c r="C63" s="762" t="b">
        <v>1</v>
      </c>
      <c r="E63" s="18" t="s">
        <v>7236</v>
      </c>
      <c r="G63" s="18" t="s">
        <v>2715</v>
      </c>
      <c r="H63" s="18" t="s">
        <v>5483</v>
      </c>
      <c r="I63" s="770" t="str">
        <f>Catalog!E326</f>
        <v>lootDrusScarf</v>
      </c>
      <c r="J63" s="18" t="str">
        <f>Catalog!$E$107</f>
        <v>actionMissionBrattAttempt</v>
      </c>
      <c r="K63" s="18" t="str">
        <f>Catalog!$E$108</f>
        <v>missionBratt</v>
      </c>
      <c r="L63" s="13" t="s">
        <v>7177</v>
      </c>
    </row>
    <row r="64" spans="1:12" ht="14" x14ac:dyDescent="0.15">
      <c r="A64" s="539"/>
      <c r="B64" s="11" t="b">
        <v>1</v>
      </c>
      <c r="C64" s="762" t="b">
        <v>1</v>
      </c>
      <c r="E64" s="14" t="s">
        <v>7237</v>
      </c>
      <c r="G64" s="18" t="s">
        <v>2715</v>
      </c>
      <c r="H64" s="18" t="s">
        <v>5483</v>
      </c>
      <c r="I64" s="770" t="str">
        <f>Catalog!E330</f>
        <v>lootDiamond</v>
      </c>
      <c r="J64" s="18" t="str">
        <f>Catalog!$E$107</f>
        <v>actionMissionBrattAttempt</v>
      </c>
      <c r="K64" s="18" t="str">
        <f>Catalog!$E$108</f>
        <v>missionBratt</v>
      </c>
      <c r="L64" s="13" t="s">
        <v>7177</v>
      </c>
    </row>
    <row r="65" spans="1:12" ht="14" x14ac:dyDescent="0.15">
      <c r="A65" s="539"/>
      <c r="B65" s="11" t="b">
        <v>1</v>
      </c>
      <c r="C65" s="762" t="b">
        <v>1</v>
      </c>
      <c r="E65" s="18" t="s">
        <v>7238</v>
      </c>
      <c r="G65" s="18" t="s">
        <v>2715</v>
      </c>
      <c r="H65" s="18" t="s">
        <v>5483</v>
      </c>
      <c r="I65" s="770" t="str">
        <f>Catalog!E302</f>
        <v>lootElMachoMask</v>
      </c>
      <c r="J65" s="18" t="str">
        <f>Catalog!$E$107</f>
        <v>actionMissionBrattAttempt</v>
      </c>
      <c r="K65" s="18" t="str">
        <f>Catalog!$E$108</f>
        <v>missionBratt</v>
      </c>
      <c r="L65" s="13" t="s">
        <v>7177</v>
      </c>
    </row>
    <row r="66" spans="1:12" ht="14" x14ac:dyDescent="0.15">
      <c r="A66" s="539"/>
      <c r="B66" s="11" t="b">
        <v>1</v>
      </c>
      <c r="C66" s="762" t="b">
        <v>1</v>
      </c>
      <c r="E66" s="18" t="s">
        <v>7239</v>
      </c>
      <c r="G66" s="18" t="s">
        <v>2715</v>
      </c>
      <c r="H66" s="18" t="s">
        <v>5483</v>
      </c>
      <c r="I66" s="770" t="str">
        <f>Catalog!E315</f>
        <v>lootGoldenGuardianRobot</v>
      </c>
      <c r="J66" s="18" t="str">
        <f>Catalog!$E$107</f>
        <v>actionMissionBrattAttempt</v>
      </c>
      <c r="K66" s="18" t="str">
        <f>Catalog!$E$108</f>
        <v>missionBratt</v>
      </c>
      <c r="L66" s="13" t="s">
        <v>7177</v>
      </c>
    </row>
    <row r="67" spans="1:12" ht="14" x14ac:dyDescent="0.15">
      <c r="A67" s="539"/>
      <c r="B67" s="11" t="b">
        <v>1</v>
      </c>
      <c r="C67" s="762" t="b">
        <v>1</v>
      </c>
      <c r="E67" s="18" t="s">
        <v>7240</v>
      </c>
      <c r="G67" s="18" t="s">
        <v>2715</v>
      </c>
      <c r="H67" s="18" t="s">
        <v>5483</v>
      </c>
      <c r="I67" s="770" t="str">
        <f>Catalog!E303</f>
        <v>lootPinkSpacesuit</v>
      </c>
      <c r="J67" s="18" t="str">
        <f>Catalog!$E$107</f>
        <v>actionMissionBrattAttempt</v>
      </c>
      <c r="K67" s="18" t="str">
        <f>Catalog!$E$108</f>
        <v>missionBratt</v>
      </c>
      <c r="L67" s="13" t="s">
        <v>7177</v>
      </c>
    </row>
    <row r="68" spans="1:12" ht="14" x14ac:dyDescent="0.15">
      <c r="A68" s="539"/>
      <c r="B68" s="11" t="b">
        <v>1</v>
      </c>
      <c r="C68" s="762" t="b">
        <v>1</v>
      </c>
      <c r="E68" s="18" t="s">
        <v>7241</v>
      </c>
      <c r="G68" s="18" t="s">
        <v>2715</v>
      </c>
      <c r="H68" s="18" t="s">
        <v>5483</v>
      </c>
      <c r="I68" s="770" t="str">
        <f>Catalog!E281</f>
        <v>lootGrusJelly</v>
      </c>
      <c r="J68" s="18" t="str">
        <f>Catalog!$E$107</f>
        <v>actionMissionBrattAttempt</v>
      </c>
      <c r="K68" s="18" t="str">
        <f>Catalog!$E$108</f>
        <v>missionBratt</v>
      </c>
      <c r="L68" s="13" t="s">
        <v>7177</v>
      </c>
    </row>
    <row r="69" spans="1:12" ht="14" x14ac:dyDescent="0.15">
      <c r="A69" s="539"/>
      <c r="B69" s="11" t="b">
        <v>1</v>
      </c>
      <c r="C69" s="762" t="b">
        <v>1</v>
      </c>
      <c r="E69" s="18" t="s">
        <v>7242</v>
      </c>
      <c r="G69" s="18" t="s">
        <v>2715</v>
      </c>
      <c r="H69" s="18" t="s">
        <v>5483</v>
      </c>
      <c r="I69" s="770" t="str">
        <f>Catalog!E311</f>
        <v>lootGrusScarf</v>
      </c>
      <c r="J69" s="18" t="str">
        <f>Catalog!$E$107</f>
        <v>actionMissionBrattAttempt</v>
      </c>
      <c r="K69" s="18" t="str">
        <f>Catalog!$E$108</f>
        <v>missionBratt</v>
      </c>
      <c r="L69" s="13" t="s">
        <v>7177</v>
      </c>
    </row>
    <row r="70" spans="1:12" ht="14" x14ac:dyDescent="0.15">
      <c r="A70" s="539"/>
      <c r="B70" s="11" t="b">
        <v>1</v>
      </c>
      <c r="C70" s="762" t="b">
        <v>1</v>
      </c>
      <c r="E70" s="18" t="s">
        <v>7243</v>
      </c>
      <c r="G70" s="18" t="s">
        <v>2715</v>
      </c>
      <c r="H70" s="18" t="s">
        <v>5483</v>
      </c>
      <c r="I70" s="770" t="str">
        <f>Catalog!E278</f>
        <v>lootGuacSombrero</v>
      </c>
      <c r="J70" s="18" t="str">
        <f>Catalog!$E$107</f>
        <v>actionMissionBrattAttempt</v>
      </c>
      <c r="K70" s="18" t="str">
        <f>Catalog!$E$108</f>
        <v>missionBratt</v>
      </c>
      <c r="L70" s="13" t="s">
        <v>7177</v>
      </c>
    </row>
    <row r="71" spans="1:12" ht="14" x14ac:dyDescent="0.15">
      <c r="A71" s="539"/>
      <c r="B71" s="11" t="b">
        <v>1</v>
      </c>
      <c r="C71" s="762" t="b">
        <v>1</v>
      </c>
      <c r="E71" s="18" t="s">
        <v>7244</v>
      </c>
      <c r="G71" s="18" t="s">
        <v>2715</v>
      </c>
      <c r="H71" s="18" t="s">
        <v>5483</v>
      </c>
      <c r="I71" s="770" t="str">
        <f>Catalog!E307</f>
        <v>lootBoxOfShame</v>
      </c>
      <c r="J71" s="18" t="str">
        <f>Catalog!$E$107</f>
        <v>actionMissionBrattAttempt</v>
      </c>
      <c r="K71" s="18" t="str">
        <f>Catalog!$E$108</f>
        <v>missionBratt</v>
      </c>
      <c r="L71" s="13" t="s">
        <v>7177</v>
      </c>
    </row>
    <row r="72" spans="1:12" ht="14" x14ac:dyDescent="0.15">
      <c r="A72" s="539"/>
      <c r="B72" s="11" t="b">
        <v>1</v>
      </c>
      <c r="C72" s="762" t="b">
        <v>1</v>
      </c>
      <c r="E72" s="18" t="s">
        <v>7245</v>
      </c>
      <c r="G72" s="18" t="s">
        <v>2715</v>
      </c>
      <c r="H72" s="18" t="s">
        <v>5483</v>
      </c>
      <c r="I72" s="770" t="str">
        <f>Catalog!E280</f>
        <v>lootHypnoHat</v>
      </c>
      <c r="J72" s="18" t="str">
        <f>Catalog!$E$107</f>
        <v>actionMissionBrattAttempt</v>
      </c>
      <c r="K72" s="18" t="str">
        <f>Catalog!$E$108</f>
        <v>missionBratt</v>
      </c>
      <c r="L72" s="13" t="s">
        <v>7177</v>
      </c>
    </row>
    <row r="73" spans="1:12" ht="14" x14ac:dyDescent="0.15">
      <c r="A73" s="539"/>
      <c r="B73" s="11" t="b">
        <v>1</v>
      </c>
      <c r="C73" s="762" t="b">
        <v>1</v>
      </c>
      <c r="E73" s="18" t="s">
        <v>7246</v>
      </c>
      <c r="G73" s="18" t="s">
        <v>2715</v>
      </c>
      <c r="H73" s="18" t="s">
        <v>5483</v>
      </c>
      <c r="I73" s="770" t="str">
        <f>Catalog!E331</f>
        <v>lootKungFuBadge</v>
      </c>
      <c r="J73" s="18" t="str">
        <f>Catalog!$E$107</f>
        <v>actionMissionBrattAttempt</v>
      </c>
      <c r="K73" s="18" t="str">
        <f>Catalog!$E$108</f>
        <v>missionBratt</v>
      </c>
      <c r="L73" s="13" t="s">
        <v>7177</v>
      </c>
    </row>
    <row r="74" spans="1:12" ht="14" x14ac:dyDescent="0.15">
      <c r="A74" s="539"/>
      <c r="B74" s="11" t="b">
        <v>1</v>
      </c>
      <c r="C74" s="762" t="b">
        <v>1</v>
      </c>
      <c r="E74" s="18" t="s">
        <v>7247</v>
      </c>
      <c r="G74" s="18" t="s">
        <v>2715</v>
      </c>
      <c r="H74" s="18" t="s">
        <v>5483</v>
      </c>
      <c r="I74" s="770" t="str">
        <f>Catalog!E279</f>
        <v>lootLipstickTaser</v>
      </c>
      <c r="J74" s="18" t="str">
        <f>Catalog!$E$107</f>
        <v>actionMissionBrattAttempt</v>
      </c>
      <c r="K74" s="18" t="str">
        <f>Catalog!$E$108</f>
        <v>missionBratt</v>
      </c>
      <c r="L74" s="13" t="s">
        <v>7177</v>
      </c>
    </row>
    <row r="75" spans="1:12" ht="14" x14ac:dyDescent="0.15">
      <c r="A75" s="539"/>
      <c r="B75" s="11" t="b">
        <v>1</v>
      </c>
      <c r="C75" s="762" t="b">
        <v>1</v>
      </c>
      <c r="E75" s="18" t="s">
        <v>7248</v>
      </c>
      <c r="G75" s="18" t="s">
        <v>2715</v>
      </c>
      <c r="H75" s="18" t="s">
        <v>5483</v>
      </c>
      <c r="I75" s="770" t="str">
        <f>Catalog!E312</f>
        <v>lootManicEnergy</v>
      </c>
      <c r="J75" s="18" t="str">
        <f>Catalog!$E$107</f>
        <v>actionMissionBrattAttempt</v>
      </c>
      <c r="K75" s="18" t="str">
        <f>Catalog!$E$108</f>
        <v>missionBratt</v>
      </c>
      <c r="L75" s="13" t="s">
        <v>7177</v>
      </c>
    </row>
    <row r="76" spans="1:12" ht="14" x14ac:dyDescent="0.15">
      <c r="A76" s="539"/>
      <c r="B76" s="11" t="b">
        <v>1</v>
      </c>
      <c r="C76" s="762" t="b">
        <v>1</v>
      </c>
      <c r="E76" s="18" t="s">
        <v>7249</v>
      </c>
      <c r="G76" s="18" t="s">
        <v>2715</v>
      </c>
      <c r="H76" s="18" t="s">
        <v>5483</v>
      </c>
      <c r="I76" s="770" t="str">
        <f>Catalog!E319</f>
        <v>lootPetRock</v>
      </c>
      <c r="J76" s="18" t="str">
        <f>Catalog!$E$107</f>
        <v>actionMissionBrattAttempt</v>
      </c>
      <c r="K76" s="18" t="str">
        <f>Catalog!$E$108</f>
        <v>missionBratt</v>
      </c>
      <c r="L76" s="13" t="s">
        <v>7177</v>
      </c>
    </row>
    <row r="77" spans="1:12" ht="14" x14ac:dyDescent="0.15">
      <c r="A77" s="539"/>
      <c r="B77" s="11" t="b">
        <v>1</v>
      </c>
      <c r="C77" s="762" t="b">
        <v>1</v>
      </c>
      <c r="E77" s="18" t="s">
        <v>7250</v>
      </c>
      <c r="G77" s="18" t="s">
        <v>2715</v>
      </c>
      <c r="H77" s="18" t="s">
        <v>5483</v>
      </c>
      <c r="I77" s="770" t="str">
        <f>Catalog!E325</f>
        <v>lootTricycle</v>
      </c>
      <c r="J77" s="18" t="str">
        <f>Catalog!$E$107</f>
        <v>actionMissionBrattAttempt</v>
      </c>
      <c r="K77" s="18" t="str">
        <f>Catalog!$E$108</f>
        <v>missionBratt</v>
      </c>
      <c r="L77" s="13" t="s">
        <v>7177</v>
      </c>
    </row>
    <row r="78" spans="1:12" ht="14" x14ac:dyDescent="0.15">
      <c r="A78" s="539"/>
      <c r="B78" s="11" t="b">
        <v>1</v>
      </c>
      <c r="C78" s="762" t="b">
        <v>1</v>
      </c>
      <c r="E78" s="18" t="s">
        <v>7251</v>
      </c>
      <c r="G78" s="18" t="s">
        <v>2715</v>
      </c>
      <c r="H78" s="18" t="s">
        <v>5483</v>
      </c>
      <c r="I78" s="770" t="str">
        <f>Catalog!E327</f>
        <v>lootQueensCrown</v>
      </c>
      <c r="J78" s="18" t="str">
        <f>Catalog!$E$107</f>
        <v>actionMissionBrattAttempt</v>
      </c>
      <c r="K78" s="18" t="str">
        <f>Catalog!$E$108</f>
        <v>missionBratt</v>
      </c>
      <c r="L78" s="13" t="s">
        <v>7177</v>
      </c>
    </row>
    <row r="79" spans="1:12" ht="14" x14ac:dyDescent="0.15">
      <c r="A79" s="539"/>
      <c r="B79" s="11" t="b">
        <v>1</v>
      </c>
      <c r="C79" s="762" t="b">
        <v>1</v>
      </c>
      <c r="E79" s="18" t="s">
        <v>7252</v>
      </c>
      <c r="G79" s="18" t="s">
        <v>2715</v>
      </c>
      <c r="H79" s="18" t="s">
        <v>5483</v>
      </c>
      <c r="I79" s="770" t="str">
        <f>Catalog!E308</f>
        <v>lootSleepyKittens</v>
      </c>
      <c r="J79" s="18" t="str">
        <f>Catalog!$E$107</f>
        <v>actionMissionBrattAttempt</v>
      </c>
      <c r="K79" s="18" t="str">
        <f>Catalog!$E$108</f>
        <v>missionBratt</v>
      </c>
      <c r="L79" s="13" t="s">
        <v>7177</v>
      </c>
    </row>
    <row r="80" spans="1:12" ht="14" x14ac:dyDescent="0.15">
      <c r="A80" s="539"/>
      <c r="B80" s="11" t="b">
        <v>1</v>
      </c>
      <c r="C80" s="762" t="b">
        <v>1</v>
      </c>
      <c r="E80" s="18" t="s">
        <v>7253</v>
      </c>
      <c r="G80" s="18" t="s">
        <v>2715</v>
      </c>
      <c r="H80" s="18" t="s">
        <v>5483</v>
      </c>
      <c r="I80" s="770" t="str">
        <f>Catalog!E304</f>
        <v>lootStickyFingers</v>
      </c>
      <c r="J80" s="18" t="str">
        <f>Catalog!$E$107</f>
        <v>actionMissionBrattAttempt</v>
      </c>
      <c r="K80" s="18" t="str">
        <f>Catalog!$E$108</f>
        <v>missionBratt</v>
      </c>
      <c r="L80" s="13" t="s">
        <v>7177</v>
      </c>
    </row>
    <row r="81" spans="1:12" ht="14" x14ac:dyDescent="0.15">
      <c r="A81" s="539"/>
      <c r="B81" s="11" t="b">
        <v>1</v>
      </c>
      <c r="C81" s="762" t="b">
        <v>1</v>
      </c>
      <c r="E81" s="18" t="s">
        <v>7254</v>
      </c>
      <c r="G81" s="18" t="s">
        <v>2715</v>
      </c>
      <c r="H81" s="18" t="s">
        <v>5483</v>
      </c>
      <c r="I81" s="770" t="str">
        <f>Catalog!E313</f>
        <v>lootStretchArm</v>
      </c>
      <c r="J81" s="18" t="str">
        <f>Catalog!$E$107</f>
        <v>actionMissionBrattAttempt</v>
      </c>
      <c r="K81" s="18" t="str">
        <f>Catalog!$E$108</f>
        <v>missionBratt</v>
      </c>
      <c r="L81" s="13" t="s">
        <v>7177</v>
      </c>
    </row>
    <row r="82" spans="1:12" ht="14" x14ac:dyDescent="0.15">
      <c r="A82" s="539"/>
      <c r="B82" s="11" t="b">
        <v>1</v>
      </c>
      <c r="C82" s="762" t="b">
        <v>1</v>
      </c>
      <c r="E82" s="18" t="s">
        <v>7255</v>
      </c>
      <c r="G82" s="18" t="s">
        <v>2715</v>
      </c>
      <c r="H82" s="18" t="s">
        <v>5483</v>
      </c>
      <c r="I82" s="770" t="str">
        <f>Catalog!E361</f>
        <v>lootExcalibur</v>
      </c>
      <c r="J82" s="18" t="str">
        <f>Catalog!$E$107</f>
        <v>actionMissionBrattAttempt</v>
      </c>
      <c r="K82" s="18" t="str">
        <f>Catalog!$E$108</f>
        <v>missionBratt</v>
      </c>
      <c r="L82" s="13" t="s">
        <v>7177</v>
      </c>
    </row>
    <row r="83" spans="1:12" ht="14" x14ac:dyDescent="0.15">
      <c r="A83" s="539"/>
      <c r="B83" s="11" t="b">
        <v>1</v>
      </c>
      <c r="C83" s="762" t="b">
        <v>1</v>
      </c>
      <c r="E83" s="18" t="s">
        <v>7256</v>
      </c>
      <c r="G83" s="18" t="s">
        <v>2715</v>
      </c>
      <c r="H83" s="18" t="s">
        <v>5483</v>
      </c>
      <c r="I83" s="770" t="str">
        <f>Catalog!E320</f>
        <v>lootTeddyBear</v>
      </c>
      <c r="J83" s="18" t="str">
        <f>Catalog!$E$107</f>
        <v>actionMissionBrattAttempt</v>
      </c>
      <c r="K83" s="18" t="str">
        <f>Catalog!$E$108</f>
        <v>missionBratt</v>
      </c>
      <c r="L83" s="13" t="s">
        <v>7177</v>
      </c>
    </row>
    <row r="84" spans="1:12" ht="14" x14ac:dyDescent="0.15">
      <c r="A84" s="539"/>
      <c r="B84" s="11" t="b">
        <v>1</v>
      </c>
      <c r="C84" s="762" t="b">
        <v>1</v>
      </c>
      <c r="E84" s="18" t="s">
        <v>7257</v>
      </c>
      <c r="G84" s="18" t="s">
        <v>2715</v>
      </c>
      <c r="H84" s="18" t="s">
        <v>5483</v>
      </c>
      <c r="I84" s="770" t="str">
        <f>Catalog!E321</f>
        <v>lootTinyMoon</v>
      </c>
      <c r="J84" s="18" t="str">
        <f>Catalog!$E$107</f>
        <v>actionMissionBrattAttempt</v>
      </c>
      <c r="K84" s="18" t="str">
        <f>Catalog!$E$108</f>
        <v>missionBratt</v>
      </c>
      <c r="L84" s="13" t="s">
        <v>7177</v>
      </c>
    </row>
    <row r="85" spans="1:12" ht="14" x14ac:dyDescent="0.15">
      <c r="A85" s="539"/>
      <c r="B85" s="11" t="b">
        <v>1</v>
      </c>
      <c r="C85" s="762" t="b">
        <v>1</v>
      </c>
      <c r="E85" s="18" t="s">
        <v>7258</v>
      </c>
      <c r="G85" s="18" t="s">
        <v>2715</v>
      </c>
      <c r="H85" s="18" t="s">
        <v>5483</v>
      </c>
      <c r="I85" s="770" t="str">
        <f>Catalog!E314</f>
        <v>lootV6Figures</v>
      </c>
      <c r="J85" s="18" t="str">
        <f>Catalog!$E$107</f>
        <v>actionMissionBrattAttempt</v>
      </c>
      <c r="K85" s="18" t="str">
        <f>Catalog!$E$108</f>
        <v>missionBratt</v>
      </c>
      <c r="L85" s="13" t="s">
        <v>7177</v>
      </c>
    </row>
    <row r="86" spans="1:12" ht="14" x14ac:dyDescent="0.15">
      <c r="A86" s="539"/>
      <c r="B86" s="11" t="b">
        <v>1</v>
      </c>
      <c r="C86" s="762" t="b">
        <v>1</v>
      </c>
      <c r="E86" s="18" t="s">
        <v>7259</v>
      </c>
      <c r="G86" s="18" t="s">
        <v>2715</v>
      </c>
      <c r="H86" s="18" t="s">
        <v>5483</v>
      </c>
      <c r="I86" s="770" t="str">
        <f>Catalog!E309</f>
        <v>lootVCHat</v>
      </c>
      <c r="J86" s="18" t="str">
        <f>Catalog!$E$107</f>
        <v>actionMissionBrattAttempt</v>
      </c>
      <c r="K86" s="18" t="str">
        <f>Catalog!$E$108</f>
        <v>missionBratt</v>
      </c>
      <c r="L86" s="13" t="s">
        <v>7177</v>
      </c>
    </row>
    <row r="87" spans="1:12" ht="14" x14ac:dyDescent="0.15">
      <c r="A87" s="539"/>
      <c r="B87" s="11" t="b">
        <v>1</v>
      </c>
      <c r="C87" s="762" t="b">
        <v>1</v>
      </c>
      <c r="E87" s="18" t="s">
        <v>7260</v>
      </c>
      <c r="G87" s="18" t="s">
        <v>2715</v>
      </c>
      <c r="H87" s="18" t="s">
        <v>5483</v>
      </c>
      <c r="I87" s="770" t="str">
        <f>Catalog!E310</f>
        <v>lootVCShirt</v>
      </c>
      <c r="J87" s="18" t="str">
        <f>Catalog!$E$107</f>
        <v>actionMissionBrattAttempt</v>
      </c>
      <c r="K87" s="18" t="str">
        <f>Catalog!$E$108</f>
        <v>missionBratt</v>
      </c>
      <c r="L87" s="13" t="s">
        <v>7177</v>
      </c>
    </row>
    <row r="88" spans="1:12" ht="14" x14ac:dyDescent="0.15">
      <c r="A88" s="539"/>
      <c r="B88" s="11" t="b">
        <v>1</v>
      </c>
      <c r="C88" s="762" t="b">
        <v>1</v>
      </c>
      <c r="E88" s="18" t="s">
        <v>7261</v>
      </c>
      <c r="G88" s="18" t="s">
        <v>2715</v>
      </c>
      <c r="H88" s="18" t="s">
        <v>5483</v>
      </c>
      <c r="I88" s="770" t="str">
        <f>Catalog!E328</f>
        <v>lootZodiacStone</v>
      </c>
      <c r="J88" s="18" t="str">
        <f>Catalog!$E$107</f>
        <v>actionMissionBrattAttempt</v>
      </c>
      <c r="K88" s="18" t="str">
        <f>Catalog!$E$108</f>
        <v>missionBratt</v>
      </c>
      <c r="L88" s="13" t="s">
        <v>7177</v>
      </c>
    </row>
    <row r="89" spans="1:12" ht="14" x14ac:dyDescent="0.15">
      <c r="A89" s="30" t="s">
        <v>7197</v>
      </c>
      <c r="B89" s="762" t="b">
        <v>1</v>
      </c>
      <c r="C89" s="762" t="b">
        <v>1</v>
      </c>
      <c r="E89" s="14" t="s">
        <v>7262</v>
      </c>
      <c r="G89" s="18" t="s">
        <v>2715</v>
      </c>
      <c r="H89" s="18" t="s">
        <v>5483</v>
      </c>
      <c r="J89" s="18" t="str">
        <f>Catalog!E174</f>
        <v>actionStrongholdTankHaywire</v>
      </c>
      <c r="K89" s="18" t="str">
        <f>Catalog!E175</f>
        <v>achievementPlayStrongholdTankHaywire</v>
      </c>
      <c r="L89" s="13" t="s">
        <v>7211</v>
      </c>
    </row>
    <row r="90" spans="1:12" ht="14" x14ac:dyDescent="0.15">
      <c r="A90" s="30" t="s">
        <v>7263</v>
      </c>
      <c r="B90" s="762" t="b">
        <v>1</v>
      </c>
      <c r="C90" s="762" t="b">
        <v>1</v>
      </c>
      <c r="E90" s="14" t="s">
        <v>7264</v>
      </c>
      <c r="G90" s="18" t="s">
        <v>2838</v>
      </c>
      <c r="H90" s="18" t="s">
        <v>5483</v>
      </c>
      <c r="J90" s="18" t="str">
        <f>Catalog!$E$122</f>
        <v>actionMissionNunchuckAttempt</v>
      </c>
      <c r="K90" s="14" t="str">
        <f>Catalog!$E$123</f>
        <v>missionNunchuck</v>
      </c>
      <c r="L90" s="13" t="s">
        <v>7177</v>
      </c>
    </row>
    <row r="91" spans="1:12" ht="14" x14ac:dyDescent="0.15">
      <c r="A91" s="539"/>
      <c r="B91" s="762" t="b">
        <v>1</v>
      </c>
      <c r="C91" s="762" t="b">
        <v>1</v>
      </c>
      <c r="E91" s="14" t="s">
        <v>7265</v>
      </c>
      <c r="G91" s="18" t="s">
        <v>2838</v>
      </c>
      <c r="H91" s="18" t="s">
        <v>5483</v>
      </c>
      <c r="J91" s="18" t="str">
        <f>Catalog!$E$122</f>
        <v>actionMissionNunchuckAttempt</v>
      </c>
      <c r="K91" s="14" t="str">
        <f>Catalog!$E$123</f>
        <v>missionNunchuck</v>
      </c>
      <c r="L91" s="13" t="s">
        <v>7177</v>
      </c>
    </row>
    <row r="92" spans="1:12" ht="14" x14ac:dyDescent="0.15">
      <c r="A92" s="30" t="s">
        <v>7197</v>
      </c>
      <c r="B92" s="762" t="b">
        <v>1</v>
      </c>
      <c r="C92" s="762" t="b">
        <v>1</v>
      </c>
      <c r="E92" s="14" t="s">
        <v>7266</v>
      </c>
      <c r="G92" s="18" t="s">
        <v>2715</v>
      </c>
      <c r="H92" s="18" t="s">
        <v>5483</v>
      </c>
      <c r="J92" s="18" t="str">
        <f>Catalog!E176</f>
        <v>actionNunchuckMusicNotes</v>
      </c>
      <c r="K92" s="14" t="str">
        <f>Catalog!E177</f>
        <v>achievementPlayNunchuckMusicNotes</v>
      </c>
      <c r="L92" s="13" t="s">
        <v>7179</v>
      </c>
    </row>
    <row r="93" spans="1:12" ht="14" x14ac:dyDescent="0.15">
      <c r="A93" s="30" t="s">
        <v>7197</v>
      </c>
      <c r="B93" s="762" t="b">
        <v>1</v>
      </c>
      <c r="C93" s="762" t="b">
        <v>1</v>
      </c>
      <c r="E93" s="18" t="s">
        <v>7267</v>
      </c>
      <c r="G93" s="18" t="s">
        <v>2715</v>
      </c>
      <c r="H93" s="18" t="s">
        <v>5483</v>
      </c>
      <c r="J93" s="18" t="str">
        <f>Catalog!E178</f>
        <v>actionJeanClawedBathtub</v>
      </c>
      <c r="K93" s="18" t="str">
        <f>Catalog!E179</f>
        <v>achievementPlayJeanClawedBathtub</v>
      </c>
      <c r="L93" s="13" t="s">
        <v>7211</v>
      </c>
    </row>
    <row r="94" spans="1:12" ht="14" x14ac:dyDescent="0.15">
      <c r="A94" s="767"/>
      <c r="B94" s="762" t="b">
        <v>1</v>
      </c>
      <c r="C94" s="762" t="b">
        <v>1</v>
      </c>
      <c r="E94" s="14" t="s">
        <v>7268</v>
      </c>
      <c r="G94" s="18" t="s">
        <v>2838</v>
      </c>
      <c r="H94" s="18" t="s">
        <v>5483</v>
      </c>
      <c r="J94" s="18" t="str">
        <f>Catalog!$E$122</f>
        <v>actionMissionNunchuckAttempt</v>
      </c>
      <c r="K94" s="14" t="str">
        <f>Catalog!$E$123</f>
        <v>missionNunchuck</v>
      </c>
      <c r="L94" s="13" t="s">
        <v>7177</v>
      </c>
    </row>
    <row r="95" spans="1:12" ht="14" x14ac:dyDescent="0.15">
      <c r="A95" s="767"/>
      <c r="B95" s="762" t="b">
        <v>1</v>
      </c>
      <c r="C95" s="762" t="b">
        <v>1</v>
      </c>
      <c r="E95" s="14" t="s">
        <v>7269</v>
      </c>
      <c r="G95" s="18" t="s">
        <v>2838</v>
      </c>
      <c r="H95" s="18" t="s">
        <v>5483</v>
      </c>
      <c r="J95" s="18" t="str">
        <f>Catalog!$E$122</f>
        <v>actionMissionNunchuckAttempt</v>
      </c>
      <c r="K95" s="14" t="str">
        <f>Catalog!$E$123</f>
        <v>missionNunchuck</v>
      </c>
      <c r="L95" s="13" t="s">
        <v>7177</v>
      </c>
    </row>
    <row r="96" spans="1:12" ht="14" x14ac:dyDescent="0.15">
      <c r="A96" s="357" t="s">
        <v>7197</v>
      </c>
      <c r="B96" s="762" t="b">
        <v>1</v>
      </c>
      <c r="C96" s="762" t="b">
        <v>1</v>
      </c>
      <c r="E96" s="14" t="s">
        <v>7269</v>
      </c>
      <c r="G96" s="18" t="s">
        <v>2838</v>
      </c>
      <c r="H96" s="18" t="s">
        <v>5483</v>
      </c>
      <c r="J96" s="18" t="str">
        <f>Catalog!$E$182</f>
        <v>actionBelleRecordBreak</v>
      </c>
      <c r="K96" s="18" t="str">
        <f>Catalog!$E$183</f>
        <v>achievementPlayBelleRecordBreak</v>
      </c>
      <c r="L96" s="13" t="s">
        <v>7179</v>
      </c>
    </row>
    <row r="97" spans="1:12" ht="14" x14ac:dyDescent="0.15">
      <c r="A97" s="767"/>
      <c r="B97" s="762" t="b">
        <v>1</v>
      </c>
      <c r="C97" s="762" t="b">
        <v>1</v>
      </c>
      <c r="E97" s="14" t="s">
        <v>7270</v>
      </c>
      <c r="G97" s="18" t="s">
        <v>2838</v>
      </c>
      <c r="H97" s="18" t="s">
        <v>5483</v>
      </c>
      <c r="J97" s="18" t="str">
        <f>Catalog!$E$122</f>
        <v>actionMissionNunchuckAttempt</v>
      </c>
      <c r="K97" s="14" t="str">
        <f>Catalog!$E$123</f>
        <v>missionNunchuck</v>
      </c>
      <c r="L97" s="13" t="s">
        <v>7177</v>
      </c>
    </row>
    <row r="98" spans="1:12" ht="14" x14ac:dyDescent="0.15">
      <c r="A98" s="357" t="s">
        <v>7197</v>
      </c>
      <c r="B98" s="762" t="b">
        <v>1</v>
      </c>
      <c r="C98" s="762" t="b">
        <v>1</v>
      </c>
      <c r="E98" s="18" t="s">
        <v>7270</v>
      </c>
      <c r="G98" s="18" t="s">
        <v>2838</v>
      </c>
      <c r="H98" s="18" t="s">
        <v>5483</v>
      </c>
      <c r="J98" s="18" t="str">
        <f>Catalog!$E$182</f>
        <v>actionBelleRecordBreak</v>
      </c>
      <c r="K98" s="18" t="str">
        <f>Catalog!$E$183</f>
        <v>achievementPlayBelleRecordBreak</v>
      </c>
      <c r="L98" s="13" t="s">
        <v>7179</v>
      </c>
    </row>
    <row r="99" spans="1:12" ht="14" x14ac:dyDescent="0.15">
      <c r="A99" s="767"/>
      <c r="B99" s="762" t="b">
        <v>1</v>
      </c>
      <c r="C99" s="762" t="b">
        <v>1</v>
      </c>
      <c r="E99" s="18" t="s">
        <v>7271</v>
      </c>
      <c r="G99" s="18" t="s">
        <v>2838</v>
      </c>
      <c r="H99" s="18" t="s">
        <v>5483</v>
      </c>
      <c r="J99" s="18" t="str">
        <f>Catalog!$E$122</f>
        <v>actionMissionNunchuckAttempt</v>
      </c>
      <c r="K99" s="14" t="str">
        <f>Catalog!$E$123</f>
        <v>missionNunchuck</v>
      </c>
      <c r="L99" s="13" t="s">
        <v>7177</v>
      </c>
    </row>
    <row r="100" spans="1:12" ht="14" x14ac:dyDescent="0.15">
      <c r="A100" s="357" t="s">
        <v>7197</v>
      </c>
      <c r="B100" s="762" t="b">
        <v>1</v>
      </c>
      <c r="C100" s="762" t="b">
        <v>1</v>
      </c>
      <c r="E100" s="18" t="s">
        <v>7271</v>
      </c>
      <c r="G100" s="18" t="s">
        <v>2838</v>
      </c>
      <c r="H100" s="18" t="s">
        <v>5483</v>
      </c>
      <c r="J100" s="18" t="str">
        <f>Catalog!$E$182</f>
        <v>actionBelleRecordBreak</v>
      </c>
      <c r="K100" s="18" t="str">
        <f>Catalog!$E$183</f>
        <v>achievementPlayBelleRecordBreak</v>
      </c>
      <c r="L100" s="13" t="s">
        <v>7179</v>
      </c>
    </row>
    <row r="101" spans="1:12" ht="14" x14ac:dyDescent="0.15">
      <c r="A101" s="767"/>
      <c r="B101" s="762" t="b">
        <v>1</v>
      </c>
      <c r="C101" s="762" t="b">
        <v>1</v>
      </c>
      <c r="E101" s="18" t="s">
        <v>7272</v>
      </c>
      <c r="G101" s="18" t="s">
        <v>2838</v>
      </c>
      <c r="H101" s="18" t="s">
        <v>5483</v>
      </c>
      <c r="J101" s="18" t="str">
        <f>Catalog!$E$122</f>
        <v>actionMissionNunchuckAttempt</v>
      </c>
      <c r="K101" s="14" t="str">
        <f>Catalog!$E$123</f>
        <v>missionNunchuck</v>
      </c>
      <c r="L101" s="13" t="s">
        <v>7177</v>
      </c>
    </row>
    <row r="102" spans="1:12" ht="14" x14ac:dyDescent="0.15">
      <c r="A102" s="357" t="s">
        <v>7197</v>
      </c>
      <c r="B102" s="762" t="b">
        <v>1</v>
      </c>
      <c r="C102" s="762" t="b">
        <v>1</v>
      </c>
      <c r="E102" s="18" t="s">
        <v>7272</v>
      </c>
      <c r="G102" s="18" t="s">
        <v>2838</v>
      </c>
      <c r="H102" s="18" t="s">
        <v>5483</v>
      </c>
      <c r="J102" s="18" t="str">
        <f>Catalog!$E$182</f>
        <v>actionBelleRecordBreak</v>
      </c>
      <c r="K102" s="18" t="str">
        <f>Catalog!$E$183</f>
        <v>achievementPlayBelleRecordBreak</v>
      </c>
      <c r="L102" s="13" t="s">
        <v>7179</v>
      </c>
    </row>
    <row r="103" spans="1:12" ht="14" x14ac:dyDescent="0.15">
      <c r="A103" s="767"/>
      <c r="B103" s="762" t="b">
        <v>1</v>
      </c>
      <c r="C103" s="762" t="b">
        <v>1</v>
      </c>
      <c r="E103" s="14" t="s">
        <v>7273</v>
      </c>
      <c r="G103" s="18" t="s">
        <v>2838</v>
      </c>
      <c r="H103" s="18" t="s">
        <v>5483</v>
      </c>
      <c r="J103" s="18" t="str">
        <f>Catalog!$E$122</f>
        <v>actionMissionNunchuckAttempt</v>
      </c>
      <c r="K103" s="14" t="str">
        <f>Catalog!$E$123</f>
        <v>missionNunchuck</v>
      </c>
      <c r="L103" s="13" t="s">
        <v>7177</v>
      </c>
    </row>
    <row r="104" spans="1:12" ht="14" x14ac:dyDescent="0.15">
      <c r="A104" s="767"/>
      <c r="B104" s="762" t="b">
        <v>1</v>
      </c>
      <c r="C104" s="762" t="b">
        <v>1</v>
      </c>
      <c r="E104" s="18" t="s">
        <v>7274</v>
      </c>
      <c r="G104" s="18" t="s">
        <v>2838</v>
      </c>
      <c r="H104" s="18" t="s">
        <v>5483</v>
      </c>
      <c r="J104" s="18" t="str">
        <f>Catalog!$E$122</f>
        <v>actionMissionNunchuckAttempt</v>
      </c>
      <c r="K104" s="14" t="str">
        <f>Catalog!$E$123</f>
        <v>missionNunchuck</v>
      </c>
      <c r="L104" s="13" t="s">
        <v>7177</v>
      </c>
    </row>
    <row r="105" spans="1:12" ht="14" x14ac:dyDescent="0.15">
      <c r="A105" s="767"/>
      <c r="B105" s="762" t="b">
        <v>1</v>
      </c>
      <c r="C105" s="762" t="b">
        <v>1</v>
      </c>
      <c r="E105" s="18" t="s">
        <v>7275</v>
      </c>
      <c r="G105" s="18" t="s">
        <v>2838</v>
      </c>
      <c r="H105" s="18" t="s">
        <v>5483</v>
      </c>
      <c r="J105" s="18" t="str">
        <f>Catalog!$E$122</f>
        <v>actionMissionNunchuckAttempt</v>
      </c>
      <c r="K105" s="14" t="str">
        <f>Catalog!$E$123</f>
        <v>missionNunchuck</v>
      </c>
      <c r="L105" s="13" t="s">
        <v>7177</v>
      </c>
    </row>
    <row r="106" spans="1:12" ht="14" x14ac:dyDescent="0.15">
      <c r="A106" s="30" t="s">
        <v>7197</v>
      </c>
      <c r="B106" s="762" t="b">
        <v>1</v>
      </c>
      <c r="C106" s="762" t="b">
        <v>1</v>
      </c>
      <c r="E106" s="14" t="s">
        <v>7276</v>
      </c>
      <c r="G106" s="18" t="s">
        <v>2838</v>
      </c>
      <c r="H106" s="18" t="s">
        <v>5483</v>
      </c>
      <c r="J106" s="18" t="str">
        <f>Catalog!E188</f>
        <v>actionVectorPiranha</v>
      </c>
      <c r="K106" s="18" t="str">
        <f>Catalog!E189</f>
        <v>achievementPlayVectorPiranha</v>
      </c>
      <c r="L106" s="13" t="s">
        <v>7179</v>
      </c>
    </row>
    <row r="107" spans="1:12" ht="13" x14ac:dyDescent="0.15">
      <c r="A107" s="539"/>
      <c r="B107" s="771"/>
      <c r="C107" s="771"/>
      <c r="L107" s="13"/>
    </row>
    <row r="108" spans="1:12" ht="13" x14ac:dyDescent="0.15">
      <c r="A108" s="539"/>
      <c r="B108" s="771"/>
      <c r="C108" s="771"/>
      <c r="L108" s="13"/>
    </row>
    <row r="109" spans="1:12" ht="13" x14ac:dyDescent="0.15">
      <c r="A109" s="539"/>
      <c r="B109" s="771"/>
      <c r="C109" s="771"/>
      <c r="L109" s="13"/>
    </row>
    <row r="110" spans="1:12" ht="13" x14ac:dyDescent="0.15">
      <c r="A110" s="539"/>
      <c r="B110" s="771"/>
      <c r="C110" s="771"/>
      <c r="L110" s="13"/>
    </row>
  </sheetData>
  <conditionalFormatting sqref="L2:L110">
    <cfRule type="containsText" dxfId="17" priority="1" operator="containsText" text="counts across all scenes">
      <formula>NOT(ISERROR(SEARCH(("counts across all scenes"),(L2))))</formula>
    </cfRule>
  </conditionalFormatting>
  <conditionalFormatting sqref="L2:L110">
    <cfRule type="containsText" dxfId="16" priority="2" operator="containsText" text="once,">
      <formula>NOT(ISERROR(SEARCH(("once,"),(L2))))</formula>
    </cfRule>
  </conditionalFormatting>
  <conditionalFormatting sqref="L2:L110">
    <cfRule type="containsText" dxfId="15" priority="3" operator="containsText" text="SCORES">
      <formula>NOT(ISERROR(SEARCH(("SCORES"),(L2))))</formula>
    </cfRule>
  </conditionalFormatting>
  <conditionalFormatting sqref="L2:L110">
    <cfRule type="containsText" dxfId="14" priority="4" operator="containsText" text="multiple">
      <formula>NOT(ISERROR(SEARCH(("multiple"),(L2))))</formula>
    </cfRule>
  </conditionalFormatting>
  <conditionalFormatting sqref="B1:B110 C2:C106">
    <cfRule type="containsText" dxfId="13" priority="5" operator="containsText" text="true">
      <formula>NOT(ISERROR(SEARCH(("true"),(B1))))</formula>
    </cfRule>
  </conditionalFormatting>
  <conditionalFormatting sqref="B1:B110 C2:C106">
    <cfRule type="containsText" dxfId="12" priority="6" operator="containsText" text="false">
      <formula>NOT(ISERROR(SEARCH(("false"),(B1))))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38</vt:i4>
      </vt:variant>
      <vt:variant>
        <vt:lpstr>Named Ranges</vt:lpstr>
      </vt:variant>
      <vt:variant>
        <vt:i4>34</vt:i4>
      </vt:variant>
    </vt:vector>
  </HeadingPairs>
  <TitlesOfParts>
    <vt:vector size="72" baseType="lpstr">
      <vt:lpstr>App Copy - Catalog</vt:lpstr>
      <vt:lpstr>Catalog</vt:lpstr>
      <vt:lpstr>Loot Location IDs</vt:lpstr>
      <vt:lpstr>StatisticsLeaderboards</vt:lpstr>
      <vt:lpstr>TitleData colors.gameMasterTool</vt:lpstr>
      <vt:lpstr>TitleData defaultPlayerNamePref</vt:lpstr>
      <vt:lpstr>TitleData fonts.gameMasterTool</vt:lpstr>
      <vt:lpstr>TitleData images.avatars</vt:lpstr>
      <vt:lpstr>TitleData images.gameMasterTool</vt:lpstr>
      <vt:lpstr>TitleData itemTypes</vt:lpstr>
      <vt:lpstr>TitleData jsonToEndpoints.playe</vt:lpstr>
      <vt:lpstr>TitleData lands</vt:lpstr>
      <vt:lpstr>TitleData leaderboards</vt:lpstr>
      <vt:lpstr>TitleData levels.total_points</vt:lpstr>
      <vt:lpstr>TitleData limits (UI config)</vt:lpstr>
      <vt:lpstr>TitleData parks</vt:lpstr>
      <vt:lpstr>TitleData resorts</vt:lpstr>
      <vt:lpstr>TitleData rewards.items</vt:lpstr>
      <vt:lpstr>TitleData rewards.playerData.le</vt:lpstr>
      <vt:lpstr>TitleData seasons</vt:lpstr>
      <vt:lpstr>TitleData stringComponents.arti</vt:lpstr>
      <vt:lpstr>TitleData texts.gameMasterTool</vt:lpstr>
      <vt:lpstr>TitleData texts.mobileApp</vt:lpstr>
      <vt:lpstr>TitleData texts.nomenclatures</vt:lpstr>
      <vt:lpstr>_DEP App Copy</vt:lpstr>
      <vt:lpstr>_DEP Blaster Sync String Values</vt:lpstr>
      <vt:lpstr>_DEP Old Reward Tab Structure</vt:lpstr>
      <vt:lpstr>_DEP TitleData levels (player &amp;</vt:lpstr>
      <vt:lpstr>_REF Achievement Ideas Using SN</vt:lpstr>
      <vt:lpstr>_REF Blaster Sync</vt:lpstr>
      <vt:lpstr>_REF Catalog Classes</vt:lpstr>
      <vt:lpstr>_REF Data Validation for All Sh</vt:lpstr>
      <vt:lpstr>_REF How To Upload</vt:lpstr>
      <vt:lpstr>_REF Leaderboard Time Ranges</vt:lpstr>
      <vt:lpstr>_REF New Reward Structure with </vt:lpstr>
      <vt:lpstr>_REF Player Defaults</vt:lpstr>
      <vt:lpstr>_REF Player Levels from Conflue</vt:lpstr>
      <vt:lpstr>_REF rideSummaryMapping-creativ</vt:lpstr>
      <vt:lpstr>Catalog_Class</vt:lpstr>
      <vt:lpstr>Catalog_IsDeprecated</vt:lpstr>
      <vt:lpstr>Catalog_ItemId</vt:lpstr>
      <vt:lpstr>Catalog_RewardType</vt:lpstr>
      <vt:lpstr>DataValidation_AnyOrAll</vt:lpstr>
      <vt:lpstr>DataValidation_ArtifactType</vt:lpstr>
      <vt:lpstr>DataValidation_CatalogClass</vt:lpstr>
      <vt:lpstr>DataValidation_CatalogItemsRewarded</vt:lpstr>
      <vt:lpstr>DataValidation_ComparisonType</vt:lpstr>
      <vt:lpstr>DataValidation_ConditionType</vt:lpstr>
      <vt:lpstr>DataValidation_DataUpdateType</vt:lpstr>
      <vt:lpstr>DataValidation_DateTimeKey</vt:lpstr>
      <vt:lpstr>DataValidation_Event</vt:lpstr>
      <vt:lpstr>DataValidation_ItemAll</vt:lpstr>
      <vt:lpstr>DataValidation_ItemDataKey</vt:lpstr>
      <vt:lpstr>DataValidation_ItemReward</vt:lpstr>
      <vt:lpstr>DataValidation_ItemUpdateType</vt:lpstr>
      <vt:lpstr>DataValidation_Locale</vt:lpstr>
      <vt:lpstr>DataValidation_MissionLocks</vt:lpstr>
      <vt:lpstr>DataValidation_Operator</vt:lpstr>
      <vt:lpstr>DataValidation_PlayerDataKey</vt:lpstr>
      <vt:lpstr>DataValidation_PlayFabAggregationMethod</vt:lpstr>
      <vt:lpstr>DataValidation_PlayFabResetInterval</vt:lpstr>
      <vt:lpstr>DataValidation_RewardCountMethod</vt:lpstr>
      <vt:lpstr>DataValidation_RewardRepeat</vt:lpstr>
      <vt:lpstr>DataValidation_RewardType</vt:lpstr>
      <vt:lpstr>DataValidation_RewardWithinSame</vt:lpstr>
      <vt:lpstr>DataValidation_Season</vt:lpstr>
      <vt:lpstr>DataValidation_StatisticAll</vt:lpstr>
      <vt:lpstr>DataValidation_StatisticPrimary</vt:lpstr>
      <vt:lpstr>DataValidation_TrueOrFalse</vt:lpstr>
      <vt:lpstr>DataValidation_WithinSame</vt:lpstr>
      <vt:lpstr>DataValidaton_ItemLauncher</vt:lpstr>
      <vt:lpstr>StatisticLevels_points_IsDeprecated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2023-02-13T17:21:35Z</dcterms:created>
  <dcterms:modified xsi:type="dcterms:W3CDTF">2023-02-13T17:21:42Z</dcterms:modified>
</cp:coreProperties>
</file>