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elodys\Documents\1. Projects\PARETO - Department of Energy\Code Updates\GIT Tracked Folder\project-pareto\pareto\case_studies\"/>
    </mc:Choice>
  </mc:AlternateContent>
  <xr:revisionPtr revIDLastSave="0" documentId="13_ncr:1_{DA0EE640-0C23-4371-9E74-93D4040D3FEB}" xr6:coauthVersionLast="47" xr6:coauthVersionMax="47" xr10:uidLastSave="{00000000-0000-0000-0000-000000000000}"/>
  <bookViews>
    <workbookView xWindow="-28920" yWindow="-120" windowWidth="29040" windowHeight="17640" tabRatio="929" firstSheet="83" activeTab="90" xr2:uid="{FB8C51AB-905F-4544-9E4B-1F4384FA855C}"/>
  </bookViews>
  <sheets>
    <sheet name="Overview" sheetId="33" r:id="rId1"/>
    <sheet name="Schematic" sheetId="82" r:id="rId2"/>
    <sheet name="Units" sheetId="109" r:id="rId3"/>
    <sheet name="ProductionPads" sheetId="1" r:id="rId4"/>
    <sheet name="ProductionTanks" sheetId="34" state="hidden" r:id="rId5"/>
    <sheet name="CompletionsPads" sheetId="3" r:id="rId6"/>
    <sheet name="SWDSites" sheetId="4" r:id="rId7"/>
    <sheet name="FreshwaterSources" sheetId="35" r:id="rId8"/>
    <sheet name="StorageSites" sheetId="36" r:id="rId9"/>
    <sheet name="TreatmentSites" sheetId="37" r:id="rId10"/>
    <sheet name="TreatmentTechnologies" sheetId="110" r:id="rId11"/>
    <sheet name="ReuseOptions" sheetId="38" r:id="rId12"/>
    <sheet name="NetworkNodes" sheetId="39" r:id="rId13"/>
    <sheet name="PipelineDiameters" sheetId="53" r:id="rId14"/>
    <sheet name="StorageCapacities" sheetId="54" r:id="rId15"/>
    <sheet name="TreatmentCapacities" sheetId="86" r:id="rId16"/>
    <sheet name="InjectionCapacities" sheetId="55" r:id="rId17"/>
    <sheet name="PNA" sheetId="56" r:id="rId18"/>
    <sheet name="CNA" sheetId="57" r:id="rId19"/>
    <sheet name="CCA" sheetId="73" r:id="rId20"/>
    <sheet name="NNA" sheetId="58" r:id="rId21"/>
    <sheet name="NCA" sheetId="59" r:id="rId22"/>
    <sheet name="NKA" sheetId="60" r:id="rId23"/>
    <sheet name="NRA" sheetId="61" r:id="rId24"/>
    <sheet name="NSA" sheetId="76" r:id="rId25"/>
    <sheet name="NOA" sheetId="123" r:id="rId26"/>
    <sheet name="SNA" sheetId="77" r:id="rId27"/>
    <sheet name="SOA" sheetId="122" r:id="rId28"/>
    <sheet name="FCA" sheetId="41" r:id="rId29"/>
    <sheet name="RCA" sheetId="83" r:id="rId30"/>
    <sheet name="RSA" sheetId="96" r:id="rId31"/>
    <sheet name="SCA" sheetId="97" r:id="rId32"/>
    <sheet name="RNA" sheetId="62" r:id="rId33"/>
    <sheet name="ROA" sheetId="121" r:id="rId34"/>
    <sheet name="PCT" sheetId="42" r:id="rId35"/>
    <sheet name="FCT" sheetId="70" r:id="rId36"/>
    <sheet name="PKT" sheetId="43" r:id="rId37"/>
    <sheet name="CKT" sheetId="44" r:id="rId38"/>
    <sheet name="CCT" sheetId="74" r:id="rId39"/>
    <sheet name="CST" sheetId="64" r:id="rId40"/>
    <sheet name="RST" sheetId="124" r:id="rId41"/>
    <sheet name="ROT" sheetId="125" r:id="rId42"/>
    <sheet name="SOT" sheetId="126" r:id="rId43"/>
    <sheet name="Elevation" sheetId="117" r:id="rId44"/>
    <sheet name="CompletionsDemand" sheetId="8" r:id="rId45"/>
    <sheet name="PadRates" sheetId="65" r:id="rId46"/>
    <sheet name="FlowbackRates" sheetId="75" r:id="rId47"/>
    <sheet name="WellPressure" sheetId="118" r:id="rId48"/>
    <sheet name="InitialPipelineCapacity" sheetId="120" r:id="rId49"/>
    <sheet name="InitialPipelineDiameters" sheetId="119" r:id="rId50"/>
    <sheet name="InitialDisposalCapacity" sheetId="46" r:id="rId51"/>
    <sheet name="InitialStorageCapacity" sheetId="80" r:id="rId52"/>
    <sheet name="InitialTreatmentCapacity" sheetId="67" r:id="rId53"/>
    <sheet name="ReuseMinimum" sheetId="127" r:id="rId54"/>
    <sheet name="ReuseCapacity" sheetId="128" r:id="rId55"/>
    <sheet name="FreshwaterSourcingAvailability" sheetId="47" r:id="rId56"/>
    <sheet name="CompletionsPadStorage" sheetId="72" r:id="rId57"/>
    <sheet name="PadOffloadingCapacity" sheetId="48" r:id="rId58"/>
    <sheet name="NodeCapacities" sheetId="107" r:id="rId59"/>
    <sheet name="DisposalOperatingCapacity" sheetId="111" r:id="rId60"/>
    <sheet name="DisposalOperationalCost" sheetId="49" r:id="rId61"/>
    <sheet name="TreatmentOperationalCost" sheetId="68" r:id="rId62"/>
    <sheet name="ReuseOperationalCost" sheetId="50" r:id="rId63"/>
    <sheet name="PipelineOperationalCost" sheetId="69" r:id="rId64"/>
    <sheet name="FreshSourcingCost" sheetId="52" r:id="rId65"/>
    <sheet name="TruckingHourlyCost" sheetId="71" r:id="rId66"/>
    <sheet name="TruckingTime" sheetId="7" r:id="rId67"/>
    <sheet name="DisposalExpansionCost" sheetId="90" r:id="rId68"/>
    <sheet name="DisposalCapacityIncrements" sheetId="79" r:id="rId69"/>
    <sheet name="StorageExpansionCost" sheetId="91" r:id="rId70"/>
    <sheet name="StorageCapacityIncrements" sheetId="81" r:id="rId71"/>
    <sheet name="TreatmentExpansionCost" sheetId="92" r:id="rId72"/>
    <sheet name="TreatmentCapacityIncrements" sheetId="87" r:id="rId73"/>
    <sheet name="PipelineCapexDistanceBased" sheetId="89" r:id="rId74"/>
    <sheet name="PipelineExpansionDistance" sheetId="103" r:id="rId75"/>
    <sheet name="PipelineCapexCapacityBased" sheetId="101" r:id="rId76"/>
    <sheet name="PipelineCapacityIncrements" sheetId="100" r:id="rId77"/>
    <sheet name="PipelineDiameterValues" sheetId="93" r:id="rId78"/>
    <sheet name="TreatmentEfficiency" sheetId="85" r:id="rId79"/>
    <sheet name="RemovalEfficiency" sheetId="116" r:id="rId80"/>
    <sheet name="DesalinationTechnologies" sheetId="112" r:id="rId81"/>
    <sheet name="DesalinationSites" sheetId="114" r:id="rId82"/>
    <sheet name="BeneficialReuseCredit" sheetId="129" r:id="rId83"/>
    <sheet name="CompletionsPadOutsideSystem" sheetId="113" r:id="rId84"/>
    <sheet name="Hydraulics" sheetId="95" r:id="rId85"/>
    <sheet name="Economics" sheetId="99" r:id="rId86"/>
    <sheet name="PadWaterQuality" sheetId="104" r:id="rId87"/>
    <sheet name="StorageInitialWaterQuality" sheetId="105" r:id="rId88"/>
    <sheet name="PadStorageInitialWaterQuality" sheetId="106" r:id="rId89"/>
    <sheet name="AirEmissionCoefficients" sheetId="135" r:id="rId90"/>
    <sheet name="TreatmentEmissionCoefficients" sheetId="136" r:id="rId91"/>
    <sheet name="TreatmentExpansionLeadTime" sheetId="130" r:id="rId92"/>
    <sheet name="DisposalExpansionLeadTime" sheetId="131" r:id="rId93"/>
    <sheet name="StorageExpansionLeadTime" sheetId="132" r:id="rId94"/>
    <sheet name="PipelineExpansionLeadTime_Dist" sheetId="133" r:id="rId95"/>
    <sheet name="PipelineExpansionLeadTime_Capac" sheetId="134" r:id="rId96"/>
  </sheets>
  <definedNames>
    <definedName name="_xlnm._FilterDatabase" localSheetId="74" hidden="1">#REF!</definedName>
    <definedName name="_xlnm.Extract" localSheetId="74">PipelineExpansionDistance!$O$3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36" l="1"/>
  <c r="A1" i="135"/>
  <c r="A1" i="134"/>
  <c r="A1" i="133"/>
  <c r="A1" i="132"/>
  <c r="A1" i="131"/>
  <c r="A1" i="130"/>
  <c r="A1" i="128" l="1"/>
  <c r="A1" i="106" l="1"/>
  <c r="A1" i="105"/>
  <c r="A1" i="104"/>
  <c r="A1" i="93"/>
  <c r="A1" i="100"/>
  <c r="A1" i="101"/>
  <c r="A1" i="103"/>
  <c r="A1" i="89"/>
  <c r="A1" i="87"/>
  <c r="A1" i="92"/>
  <c r="A1" i="81"/>
  <c r="A1" i="91"/>
  <c r="A1" i="79"/>
  <c r="A1" i="90"/>
  <c r="A1" i="71"/>
  <c r="A1" i="52"/>
  <c r="A1" i="50"/>
  <c r="A1" i="68"/>
  <c r="A1" i="49"/>
  <c r="A1" i="107"/>
  <c r="A1" i="48"/>
  <c r="A1" i="72"/>
  <c r="A1" i="47"/>
  <c r="A1" i="67"/>
  <c r="A1" i="80"/>
  <c r="A1" i="46"/>
  <c r="A1" i="120"/>
  <c r="A1" i="75"/>
  <c r="A1" i="65"/>
  <c r="A1" i="8"/>
  <c r="A1" i="127"/>
  <c r="A1" i="129"/>
  <c r="A1" i="111" l="1"/>
  <c r="B17" i="65" l="1"/>
  <c r="AT17" i="65" s="1"/>
  <c r="B16" i="65"/>
  <c r="AZ16" i="65" s="1"/>
  <c r="B15" i="65"/>
  <c r="B14" i="65"/>
  <c r="B13" i="65"/>
  <c r="B12" i="65"/>
  <c r="AX12" i="65" s="1"/>
  <c r="B11" i="65"/>
  <c r="AZ11" i="65" s="1"/>
  <c r="B10" i="65"/>
  <c r="AZ10" i="65" s="1"/>
  <c r="B9" i="65"/>
  <c r="Z9" i="65" s="1"/>
  <c r="B8" i="65"/>
  <c r="AZ8" i="65" s="1"/>
  <c r="B7" i="65"/>
  <c r="AZ7" i="65" s="1"/>
  <c r="B6" i="65"/>
  <c r="AR6" i="65" s="1"/>
  <c r="AZ5" i="65"/>
  <c r="AT5" i="65"/>
  <c r="AF5" i="65"/>
  <c r="B5" i="65"/>
  <c r="AX5" i="65" s="1"/>
  <c r="B4" i="65"/>
  <c r="AY4" i="65" s="1"/>
  <c r="B3" i="65"/>
  <c r="AZ3" i="65" s="1"/>
  <c r="W5" i="75"/>
  <c r="AO5" i="75" s="1"/>
  <c r="AL4" i="75"/>
  <c r="AX4" i="75" s="1"/>
  <c r="N3" i="75"/>
  <c r="AQ3" i="75" s="1"/>
  <c r="AR8" i="65" l="1"/>
  <c r="L7" i="65"/>
  <c r="J8" i="65"/>
  <c r="N8" i="65"/>
  <c r="V8" i="65"/>
  <c r="Y8" i="65"/>
  <c r="Z8" i="65"/>
  <c r="AD8" i="65"/>
  <c r="AN8" i="65"/>
  <c r="W3" i="65"/>
  <c r="D9" i="65"/>
  <c r="Y3" i="65"/>
  <c r="AD9" i="65"/>
  <c r="AG3" i="65"/>
  <c r="AK3" i="65"/>
  <c r="AF10" i="65"/>
  <c r="AO4" i="65"/>
  <c r="AW4" i="65"/>
  <c r="J5" i="65"/>
  <c r="AJ8" i="65"/>
  <c r="AP8" i="65"/>
  <c r="F10" i="65"/>
  <c r="AL3" i="65"/>
  <c r="AT3" i="65"/>
  <c r="AR10" i="65"/>
  <c r="AW3" i="65"/>
  <c r="AR11" i="65"/>
  <c r="AG4" i="65"/>
  <c r="V5" i="65"/>
  <c r="H16" i="65"/>
  <c r="J16" i="65"/>
  <c r="N16" i="65"/>
  <c r="Q16" i="65"/>
  <c r="T16" i="65"/>
  <c r="AF3" i="75"/>
  <c r="D12" i="65"/>
  <c r="Z16" i="65"/>
  <c r="N12" i="65"/>
  <c r="AD16" i="65"/>
  <c r="AY3" i="65"/>
  <c r="T7" i="65"/>
  <c r="AQ4" i="75"/>
  <c r="U7" i="65"/>
  <c r="AY4" i="75"/>
  <c r="S4" i="65"/>
  <c r="AK7" i="65"/>
  <c r="AX8" i="65"/>
  <c r="Q12" i="65"/>
  <c r="AJ16" i="65"/>
  <c r="AS7" i="65"/>
  <c r="Z12" i="65"/>
  <c r="AL16" i="65"/>
  <c r="AT7" i="65"/>
  <c r="AD12" i="65"/>
  <c r="AN16" i="65"/>
  <c r="P9" i="65"/>
  <c r="AN12" i="65"/>
  <c r="AW16" i="65"/>
  <c r="H8" i="65"/>
  <c r="R9" i="65"/>
  <c r="AP12" i="65"/>
  <c r="AX16" i="65"/>
  <c r="G3" i="65"/>
  <c r="K3" i="65"/>
  <c r="M3" i="65"/>
  <c r="U3" i="65"/>
  <c r="U5" i="65"/>
  <c r="L8" i="65"/>
  <c r="AP9" i="65"/>
  <c r="R17" i="65"/>
  <c r="R6" i="65"/>
  <c r="V6" i="65"/>
  <c r="Y6" i="65"/>
  <c r="AX13" i="65"/>
  <c r="AP13" i="65"/>
  <c r="AC13" i="65"/>
  <c r="M13" i="65"/>
  <c r="D13" i="65"/>
  <c r="Z13" i="65"/>
  <c r="P13" i="65"/>
  <c r="AZ3" i="75"/>
  <c r="AI3" i="75"/>
  <c r="AA3" i="75"/>
  <c r="X3" i="75"/>
  <c r="AY3" i="75"/>
  <c r="S3" i="75"/>
  <c r="AV3" i="75"/>
  <c r="P3" i="75"/>
  <c r="AR9" i="65"/>
  <c r="AC9" i="65"/>
  <c r="M9" i="65"/>
  <c r="AL9" i="65"/>
  <c r="X9" i="65"/>
  <c r="J9" i="65"/>
  <c r="AZ9" i="65"/>
  <c r="AK9" i="65"/>
  <c r="V9" i="65"/>
  <c r="H9" i="65"/>
  <c r="AX9" i="65"/>
  <c r="AJ9" i="65"/>
  <c r="U9" i="65"/>
  <c r="F9" i="65"/>
  <c r="AV9" i="65"/>
  <c r="AH9" i="65"/>
  <c r="T9" i="65"/>
  <c r="E9" i="65"/>
  <c r="AT9" i="65"/>
  <c r="AF9" i="65"/>
  <c r="AS9" i="65"/>
  <c r="AL13" i="65"/>
  <c r="AZ13" i="65"/>
  <c r="AO6" i="65"/>
  <c r="AT6" i="65"/>
  <c r="T6" i="65"/>
  <c r="AL6" i="65"/>
  <c r="L6" i="65"/>
  <c r="AH6" i="65"/>
  <c r="I6" i="65"/>
  <c r="AG6" i="65"/>
  <c r="H6" i="65"/>
  <c r="AF6" i="65"/>
  <c r="F6" i="65"/>
  <c r="AY5" i="75"/>
  <c r="AR5" i="75"/>
  <c r="AJ5" i="75"/>
  <c r="AG5" i="75"/>
  <c r="AB5" i="75"/>
  <c r="Y5" i="75"/>
  <c r="AW5" i="75"/>
  <c r="AV6" i="65"/>
  <c r="AN3" i="75"/>
  <c r="AZ5" i="75"/>
  <c r="AX6" i="65"/>
  <c r="L9" i="65"/>
  <c r="F17" i="65"/>
  <c r="X16" i="65"/>
  <c r="AP16" i="65"/>
  <c r="J17" i="65"/>
  <c r="D16" i="65"/>
  <c r="Y16" i="65"/>
  <c r="AT16" i="65"/>
  <c r="L17" i="65"/>
  <c r="N3" i="65"/>
  <c r="AA3" i="65"/>
  <c r="AM3" i="65"/>
  <c r="BA3" i="65"/>
  <c r="X7" i="65"/>
  <c r="AX7" i="65"/>
  <c r="C3" i="65"/>
  <c r="O3" i="65"/>
  <c r="AC3" i="65"/>
  <c r="AO3" i="65"/>
  <c r="AH5" i="65"/>
  <c r="E7" i="65"/>
  <c r="AD7" i="65"/>
  <c r="Q8" i="65"/>
  <c r="AF8" i="65"/>
  <c r="AT8" i="65"/>
  <c r="E11" i="65"/>
  <c r="E3" i="65"/>
  <c r="Q3" i="65"/>
  <c r="AD3" i="65"/>
  <c r="AQ3" i="65"/>
  <c r="I4" i="65"/>
  <c r="H5" i="65"/>
  <c r="AJ5" i="65"/>
  <c r="F7" i="65"/>
  <c r="AF7" i="65"/>
  <c r="D8" i="65"/>
  <c r="R8" i="65"/>
  <c r="AG8" i="65"/>
  <c r="AV8" i="65"/>
  <c r="R11" i="65"/>
  <c r="AN4" i="75"/>
  <c r="F3" i="65"/>
  <c r="S3" i="65"/>
  <c r="AE3" i="65"/>
  <c r="AS3" i="65"/>
  <c r="Q4" i="65"/>
  <c r="I5" i="65"/>
  <c r="AS5" i="65"/>
  <c r="H7" i="65"/>
  <c r="AH7" i="65"/>
  <c r="F8" i="65"/>
  <c r="T8" i="65"/>
  <c r="AH8" i="65"/>
  <c r="AW8" i="65"/>
  <c r="AD11" i="65"/>
  <c r="M17" i="65"/>
  <c r="AV4" i="75"/>
  <c r="I3" i="65"/>
  <c r="V3" i="65"/>
  <c r="AI3" i="65"/>
  <c r="AU3" i="65"/>
  <c r="Y4" i="65"/>
  <c r="T5" i="65"/>
  <c r="AV5" i="65"/>
  <c r="R7" i="65"/>
  <c r="AR7" i="65"/>
  <c r="I8" i="65"/>
  <c r="X8" i="65"/>
  <c r="AL8" i="65"/>
  <c r="R10" i="65"/>
  <c r="AZ12" i="65"/>
  <c r="L16" i="65"/>
  <c r="AG16" i="65"/>
  <c r="V17" i="65"/>
  <c r="AL17" i="65"/>
  <c r="D17" i="65"/>
  <c r="C4" i="65"/>
  <c r="AA4" i="65"/>
  <c r="AQ4" i="65"/>
  <c r="AU14" i="65"/>
  <c r="AM14" i="65"/>
  <c r="AE14" i="65"/>
  <c r="W14" i="65"/>
  <c r="O14" i="65"/>
  <c r="G14" i="65"/>
  <c r="BA14" i="65"/>
  <c r="AS14" i="65"/>
  <c r="AK14" i="65"/>
  <c r="AC14" i="65"/>
  <c r="U14" i="65"/>
  <c r="M14" i="65"/>
  <c r="E14" i="65"/>
  <c r="AY14" i="65"/>
  <c r="AQ14" i="65"/>
  <c r="AI14" i="65"/>
  <c r="AA14" i="65"/>
  <c r="S14" i="65"/>
  <c r="K14" i="65"/>
  <c r="C14" i="65"/>
  <c r="P14" i="65"/>
  <c r="AB14" i="65"/>
  <c r="AO14" i="65"/>
  <c r="AY15" i="65"/>
  <c r="AQ15" i="65"/>
  <c r="AI15" i="65"/>
  <c r="AA15" i="65"/>
  <c r="S15" i="65"/>
  <c r="K15" i="65"/>
  <c r="C15" i="65"/>
  <c r="AW15" i="65"/>
  <c r="AO15" i="65"/>
  <c r="AG15" i="65"/>
  <c r="Y15" i="65"/>
  <c r="Q15" i="65"/>
  <c r="I15" i="65"/>
  <c r="AU15" i="65"/>
  <c r="AM15" i="65"/>
  <c r="AE15" i="65"/>
  <c r="W15" i="65"/>
  <c r="O15" i="65"/>
  <c r="G15" i="65"/>
  <c r="N15" i="65"/>
  <c r="AB15" i="65"/>
  <c r="AN15" i="65"/>
  <c r="BA15" i="65"/>
  <c r="H3" i="65"/>
  <c r="P3" i="65"/>
  <c r="X3" i="65"/>
  <c r="AF3" i="65"/>
  <c r="AN3" i="65"/>
  <c r="AV3" i="65"/>
  <c r="D4" i="65"/>
  <c r="L4" i="65"/>
  <c r="T4" i="65"/>
  <c r="AB4" i="65"/>
  <c r="AJ4" i="65"/>
  <c r="AR4" i="65"/>
  <c r="BA4" i="65"/>
  <c r="L5" i="65"/>
  <c r="X5" i="65"/>
  <c r="AK5" i="65"/>
  <c r="J6" i="65"/>
  <c r="X6" i="65"/>
  <c r="AJ6" i="65"/>
  <c r="AW6" i="65"/>
  <c r="J7" i="65"/>
  <c r="V7" i="65"/>
  <c r="AJ7" i="65"/>
  <c r="AV7" i="65"/>
  <c r="H10" i="65"/>
  <c r="T10" i="65"/>
  <c r="AG10" i="65"/>
  <c r="AT10" i="65"/>
  <c r="F11" i="65"/>
  <c r="T11" i="65"/>
  <c r="AF11" i="65"/>
  <c r="AS11" i="65"/>
  <c r="F12" i="65"/>
  <c r="R12" i="65"/>
  <c r="AF12" i="65"/>
  <c r="AR12" i="65"/>
  <c r="E13" i="65"/>
  <c r="R13" i="65"/>
  <c r="AD13" i="65"/>
  <c r="AR13" i="65"/>
  <c r="D14" i="65"/>
  <c r="Q14" i="65"/>
  <c r="AD14" i="65"/>
  <c r="AP14" i="65"/>
  <c r="D15" i="65"/>
  <c r="P15" i="65"/>
  <c r="AC15" i="65"/>
  <c r="AP15" i="65"/>
  <c r="AU16" i="65"/>
  <c r="AM16" i="65"/>
  <c r="AE16" i="65"/>
  <c r="W16" i="65"/>
  <c r="O16" i="65"/>
  <c r="G16" i="65"/>
  <c r="BA16" i="65"/>
  <c r="AS16" i="65"/>
  <c r="AK16" i="65"/>
  <c r="AC16" i="65"/>
  <c r="U16" i="65"/>
  <c r="M16" i="65"/>
  <c r="E16" i="65"/>
  <c r="AY16" i="65"/>
  <c r="AQ16" i="65"/>
  <c r="AI16" i="65"/>
  <c r="AA16" i="65"/>
  <c r="S16" i="65"/>
  <c r="K16" i="65"/>
  <c r="C16" i="65"/>
  <c r="P16" i="65"/>
  <c r="AB16" i="65"/>
  <c r="AO16" i="65"/>
  <c r="BA17" i="65"/>
  <c r="AS17" i="65"/>
  <c r="AK17" i="65"/>
  <c r="AC17" i="65"/>
  <c r="U17" i="65"/>
  <c r="AZ17" i="65"/>
  <c r="AR17" i="65"/>
  <c r="AJ17" i="65"/>
  <c r="AB17" i="65"/>
  <c r="AY17" i="65"/>
  <c r="AQ17" i="65"/>
  <c r="AI17" i="65"/>
  <c r="AA17" i="65"/>
  <c r="S17" i="65"/>
  <c r="K17" i="65"/>
  <c r="C17" i="65"/>
  <c r="AX17" i="65"/>
  <c r="AP17" i="65"/>
  <c r="AH17" i="65"/>
  <c r="Z17" i="65"/>
  <c r="AW17" i="65"/>
  <c r="AO17" i="65"/>
  <c r="AG17" i="65"/>
  <c r="Y17" i="65"/>
  <c r="Q17" i="65"/>
  <c r="I17" i="65"/>
  <c r="AV17" i="65"/>
  <c r="AN17" i="65"/>
  <c r="AF17" i="65"/>
  <c r="X17" i="65"/>
  <c r="P17" i="65"/>
  <c r="AU17" i="65"/>
  <c r="AM17" i="65"/>
  <c r="AE17" i="65"/>
  <c r="W17" i="65"/>
  <c r="O17" i="65"/>
  <c r="G17" i="65"/>
  <c r="N17" i="65"/>
  <c r="M4" i="65"/>
  <c r="AS4" i="65"/>
  <c r="I10" i="65"/>
  <c r="V10" i="65"/>
  <c r="AH10" i="65"/>
  <c r="AV10" i="65"/>
  <c r="H11" i="65"/>
  <c r="U11" i="65"/>
  <c r="AH11" i="65"/>
  <c r="AT11" i="65"/>
  <c r="H12" i="65"/>
  <c r="T12" i="65"/>
  <c r="AG12" i="65"/>
  <c r="AT12" i="65"/>
  <c r="F13" i="65"/>
  <c r="T13" i="65"/>
  <c r="AF13" i="65"/>
  <c r="AS13" i="65"/>
  <c r="F14" i="65"/>
  <c r="R14" i="65"/>
  <c r="AF14" i="65"/>
  <c r="AR14" i="65"/>
  <c r="E15" i="65"/>
  <c r="R15" i="65"/>
  <c r="AD15" i="65"/>
  <c r="AR15" i="65"/>
  <c r="E4" i="65"/>
  <c r="U4" i="65"/>
  <c r="AK4" i="65"/>
  <c r="AY5" i="65"/>
  <c r="AQ5" i="65"/>
  <c r="AI5" i="65"/>
  <c r="AA5" i="65"/>
  <c r="S5" i="65"/>
  <c r="K5" i="65"/>
  <c r="C5" i="65"/>
  <c r="AW5" i="65"/>
  <c r="AO5" i="65"/>
  <c r="AG5" i="65"/>
  <c r="Y5" i="65"/>
  <c r="Q5" i="65"/>
  <c r="AU5" i="65"/>
  <c r="AM5" i="65"/>
  <c r="AE5" i="65"/>
  <c r="W5" i="65"/>
  <c r="O5" i="65"/>
  <c r="G5" i="65"/>
  <c r="M5" i="65"/>
  <c r="Z5" i="65"/>
  <c r="AL5" i="65"/>
  <c r="J3" i="65"/>
  <c r="R3" i="65"/>
  <c r="Z3" i="65"/>
  <c r="AH3" i="65"/>
  <c r="AP3" i="65"/>
  <c r="AX3" i="65"/>
  <c r="F4" i="65"/>
  <c r="N4" i="65"/>
  <c r="V4" i="65"/>
  <c r="AD4" i="65"/>
  <c r="AL4" i="65"/>
  <c r="AT4" i="65"/>
  <c r="D5" i="65"/>
  <c r="N5" i="65"/>
  <c r="AB5" i="65"/>
  <c r="AN5" i="65"/>
  <c r="BA5" i="65"/>
  <c r="N6" i="65"/>
  <c r="Z6" i="65"/>
  <c r="AN6" i="65"/>
  <c r="AZ6" i="65"/>
  <c r="M7" i="65"/>
  <c r="Z7" i="65"/>
  <c r="AL7" i="65"/>
  <c r="J10" i="65"/>
  <c r="X10" i="65"/>
  <c r="AJ10" i="65"/>
  <c r="AW10" i="65"/>
  <c r="J11" i="65"/>
  <c r="V11" i="65"/>
  <c r="AJ11" i="65"/>
  <c r="AV11" i="65"/>
  <c r="I12" i="65"/>
  <c r="V12" i="65"/>
  <c r="AH12" i="65"/>
  <c r="AV12" i="65"/>
  <c r="H13" i="65"/>
  <c r="U13" i="65"/>
  <c r="AH13" i="65"/>
  <c r="AT13" i="65"/>
  <c r="H14" i="65"/>
  <c r="T14" i="65"/>
  <c r="AG14" i="65"/>
  <c r="AT14" i="65"/>
  <c r="F15" i="65"/>
  <c r="T15" i="65"/>
  <c r="AF15" i="65"/>
  <c r="AS15" i="65"/>
  <c r="F16" i="65"/>
  <c r="R16" i="65"/>
  <c r="AF16" i="65"/>
  <c r="AR16" i="65"/>
  <c r="E17" i="65"/>
  <c r="T17" i="65"/>
  <c r="O4" i="65"/>
  <c r="AE4" i="65"/>
  <c r="AM4" i="65"/>
  <c r="E5" i="65"/>
  <c r="AP5" i="65"/>
  <c r="L10" i="65"/>
  <c r="L11" i="65"/>
  <c r="X12" i="65"/>
  <c r="V13" i="65"/>
  <c r="I14" i="65"/>
  <c r="AH14" i="65"/>
  <c r="AV14" i="65"/>
  <c r="U15" i="65"/>
  <c r="AH15" i="65"/>
  <c r="AT15" i="65"/>
  <c r="K4" i="65"/>
  <c r="AI4" i="65"/>
  <c r="AZ4" i="65"/>
  <c r="AC4" i="65"/>
  <c r="G4" i="65"/>
  <c r="W4" i="65"/>
  <c r="AU4" i="65"/>
  <c r="P5" i="65"/>
  <c r="AC5" i="65"/>
  <c r="AU6" i="65"/>
  <c r="AM6" i="65"/>
  <c r="AE6" i="65"/>
  <c r="W6" i="65"/>
  <c r="O6" i="65"/>
  <c r="G6" i="65"/>
  <c r="BA6" i="65"/>
  <c r="AS6" i="65"/>
  <c r="AK6" i="65"/>
  <c r="AC6" i="65"/>
  <c r="U6" i="65"/>
  <c r="M6" i="65"/>
  <c r="E6" i="65"/>
  <c r="AY6" i="65"/>
  <c r="AQ6" i="65"/>
  <c r="AI6" i="65"/>
  <c r="AA6" i="65"/>
  <c r="S6" i="65"/>
  <c r="K6" i="65"/>
  <c r="C6" i="65"/>
  <c r="P6" i="65"/>
  <c r="AB6" i="65"/>
  <c r="AY7" i="65"/>
  <c r="AQ7" i="65"/>
  <c r="AI7" i="65"/>
  <c r="AA7" i="65"/>
  <c r="S7" i="65"/>
  <c r="K7" i="65"/>
  <c r="C7" i="65"/>
  <c r="AW7" i="65"/>
  <c r="AO7" i="65"/>
  <c r="AG7" i="65"/>
  <c r="Y7" i="65"/>
  <c r="Q7" i="65"/>
  <c r="I7" i="65"/>
  <c r="AU7" i="65"/>
  <c r="AM7" i="65"/>
  <c r="AE7" i="65"/>
  <c r="W7" i="65"/>
  <c r="O7" i="65"/>
  <c r="G7" i="65"/>
  <c r="N7" i="65"/>
  <c r="AB7" i="65"/>
  <c r="AN7" i="65"/>
  <c r="BA7" i="65"/>
  <c r="Y10" i="65"/>
  <c r="AL10" i="65"/>
  <c r="AX10" i="65"/>
  <c r="X11" i="65"/>
  <c r="AK11" i="65"/>
  <c r="AX11" i="65"/>
  <c r="J12" i="65"/>
  <c r="AJ12" i="65"/>
  <c r="AW12" i="65"/>
  <c r="J13" i="65"/>
  <c r="AJ13" i="65"/>
  <c r="AV13" i="65"/>
  <c r="V14" i="65"/>
  <c r="H15" i="65"/>
  <c r="D3" i="65"/>
  <c r="L3" i="65"/>
  <c r="T3" i="65"/>
  <c r="AB3" i="65"/>
  <c r="AJ3" i="65"/>
  <c r="AR3" i="65"/>
  <c r="H4" i="65"/>
  <c r="P4" i="65"/>
  <c r="X4" i="65"/>
  <c r="AF4" i="65"/>
  <c r="AN4" i="65"/>
  <c r="AV4" i="65"/>
  <c r="F5" i="65"/>
  <c r="R5" i="65"/>
  <c r="AD5" i="65"/>
  <c r="AR5" i="65"/>
  <c r="D6" i="65"/>
  <c r="Q6" i="65"/>
  <c r="AD6" i="65"/>
  <c r="AP6" i="65"/>
  <c r="D7" i="65"/>
  <c r="P7" i="65"/>
  <c r="AC7" i="65"/>
  <c r="AP7" i="65"/>
  <c r="AU8" i="65"/>
  <c r="AM8" i="65"/>
  <c r="AE8" i="65"/>
  <c r="W8" i="65"/>
  <c r="O8" i="65"/>
  <c r="G8" i="65"/>
  <c r="BA8" i="65"/>
  <c r="AS8" i="65"/>
  <c r="AK8" i="65"/>
  <c r="AC8" i="65"/>
  <c r="U8" i="65"/>
  <c r="M8" i="65"/>
  <c r="E8" i="65"/>
  <c r="AY8" i="65"/>
  <c r="AQ8" i="65"/>
  <c r="AI8" i="65"/>
  <c r="AA8" i="65"/>
  <c r="S8" i="65"/>
  <c r="K8" i="65"/>
  <c r="C8" i="65"/>
  <c r="P8" i="65"/>
  <c r="AB8" i="65"/>
  <c r="AO8" i="65"/>
  <c r="AY9" i="65"/>
  <c r="AQ9" i="65"/>
  <c r="AI9" i="65"/>
  <c r="AA9" i="65"/>
  <c r="S9" i="65"/>
  <c r="K9" i="65"/>
  <c r="C9" i="65"/>
  <c r="AW9" i="65"/>
  <c r="AO9" i="65"/>
  <c r="AG9" i="65"/>
  <c r="Y9" i="65"/>
  <c r="Q9" i="65"/>
  <c r="I9" i="65"/>
  <c r="AU9" i="65"/>
  <c r="AM9" i="65"/>
  <c r="AE9" i="65"/>
  <c r="W9" i="65"/>
  <c r="O9" i="65"/>
  <c r="G9" i="65"/>
  <c r="N9" i="65"/>
  <c r="AB9" i="65"/>
  <c r="AN9" i="65"/>
  <c r="BA9" i="65"/>
  <c r="N10" i="65"/>
  <c r="Z10" i="65"/>
  <c r="AN10" i="65"/>
  <c r="M11" i="65"/>
  <c r="Z11" i="65"/>
  <c r="AL11" i="65"/>
  <c r="L12" i="65"/>
  <c r="Y12" i="65"/>
  <c r="AL12" i="65"/>
  <c r="L13" i="65"/>
  <c r="X13" i="65"/>
  <c r="AK13" i="65"/>
  <c r="J14" i="65"/>
  <c r="X14" i="65"/>
  <c r="AJ14" i="65"/>
  <c r="AW14" i="65"/>
  <c r="J15" i="65"/>
  <c r="V15" i="65"/>
  <c r="AJ15" i="65"/>
  <c r="AV15" i="65"/>
  <c r="I16" i="65"/>
  <c r="V16" i="65"/>
  <c r="AH16" i="65"/>
  <c r="AV16" i="65"/>
  <c r="H17" i="65"/>
  <c r="AD17" i="65"/>
  <c r="AU10" i="65"/>
  <c r="AM10" i="65"/>
  <c r="AE10" i="65"/>
  <c r="W10" i="65"/>
  <c r="O10" i="65"/>
  <c r="G10" i="65"/>
  <c r="BA10" i="65"/>
  <c r="AS10" i="65"/>
  <c r="AK10" i="65"/>
  <c r="AC10" i="65"/>
  <c r="U10" i="65"/>
  <c r="M10" i="65"/>
  <c r="E10" i="65"/>
  <c r="AY10" i="65"/>
  <c r="AQ10" i="65"/>
  <c r="AI10" i="65"/>
  <c r="AA10" i="65"/>
  <c r="S10" i="65"/>
  <c r="K10" i="65"/>
  <c r="C10" i="65"/>
  <c r="P10" i="65"/>
  <c r="AB10" i="65"/>
  <c r="AO10" i="65"/>
  <c r="AY11" i="65"/>
  <c r="AQ11" i="65"/>
  <c r="AI11" i="65"/>
  <c r="AA11" i="65"/>
  <c r="S11" i="65"/>
  <c r="K11" i="65"/>
  <c r="C11" i="65"/>
  <c r="AW11" i="65"/>
  <c r="AO11" i="65"/>
  <c r="AG11" i="65"/>
  <c r="Y11" i="65"/>
  <c r="Q11" i="65"/>
  <c r="I11" i="65"/>
  <c r="AU11" i="65"/>
  <c r="AM11" i="65"/>
  <c r="AE11" i="65"/>
  <c r="W11" i="65"/>
  <c r="O11" i="65"/>
  <c r="G11" i="65"/>
  <c r="N11" i="65"/>
  <c r="AB11" i="65"/>
  <c r="AN11" i="65"/>
  <c r="BA11" i="65"/>
  <c r="L14" i="65"/>
  <c r="Y14" i="65"/>
  <c r="AL14" i="65"/>
  <c r="AX14" i="65"/>
  <c r="L15" i="65"/>
  <c r="X15" i="65"/>
  <c r="AK15" i="65"/>
  <c r="AX15" i="65"/>
  <c r="J4" i="65"/>
  <c r="R4" i="65"/>
  <c r="Z4" i="65"/>
  <c r="AH4" i="65"/>
  <c r="AP4" i="65"/>
  <c r="AX4" i="65"/>
  <c r="D10" i="65"/>
  <c r="Q10" i="65"/>
  <c r="AD10" i="65"/>
  <c r="AP10" i="65"/>
  <c r="D11" i="65"/>
  <c r="P11" i="65"/>
  <c r="AC11" i="65"/>
  <c r="AP11" i="65"/>
  <c r="AU12" i="65"/>
  <c r="AM12" i="65"/>
  <c r="AE12" i="65"/>
  <c r="W12" i="65"/>
  <c r="O12" i="65"/>
  <c r="G12" i="65"/>
  <c r="BA12" i="65"/>
  <c r="AS12" i="65"/>
  <c r="AK12" i="65"/>
  <c r="AC12" i="65"/>
  <c r="U12" i="65"/>
  <c r="M12" i="65"/>
  <c r="E12" i="65"/>
  <c r="AY12" i="65"/>
  <c r="AQ12" i="65"/>
  <c r="AI12" i="65"/>
  <c r="AA12" i="65"/>
  <c r="S12" i="65"/>
  <c r="K12" i="65"/>
  <c r="C12" i="65"/>
  <c r="P12" i="65"/>
  <c r="AB12" i="65"/>
  <c r="AO12" i="65"/>
  <c r="AY13" i="65"/>
  <c r="AQ13" i="65"/>
  <c r="AI13" i="65"/>
  <c r="AA13" i="65"/>
  <c r="S13" i="65"/>
  <c r="K13" i="65"/>
  <c r="C13" i="65"/>
  <c r="AW13" i="65"/>
  <c r="AO13" i="65"/>
  <c r="AG13" i="65"/>
  <c r="Y13" i="65"/>
  <c r="Q13" i="65"/>
  <c r="I13" i="65"/>
  <c r="AU13" i="65"/>
  <c r="AM13" i="65"/>
  <c r="AE13" i="65"/>
  <c r="W13" i="65"/>
  <c r="O13" i="65"/>
  <c r="G13" i="65"/>
  <c r="N13" i="65"/>
  <c r="AB13" i="65"/>
  <c r="AN13" i="65"/>
  <c r="BA13" i="65"/>
  <c r="N14" i="65"/>
  <c r="Z14" i="65"/>
  <c r="AN14" i="65"/>
  <c r="AZ14" i="65"/>
  <c r="M15" i="65"/>
  <c r="Z15" i="65"/>
  <c r="AL15" i="65"/>
  <c r="AZ15" i="65"/>
  <c r="T3" i="75"/>
  <c r="AB3" i="75"/>
  <c r="AJ3" i="75"/>
  <c r="AR3" i="75"/>
  <c r="AR4" i="75"/>
  <c r="AZ4" i="75"/>
  <c r="AC5" i="75"/>
  <c r="AK5" i="75"/>
  <c r="AS5" i="75"/>
  <c r="BA5" i="75"/>
  <c r="U3" i="75"/>
  <c r="AC3" i="75"/>
  <c r="AK3" i="75"/>
  <c r="AS3" i="75"/>
  <c r="BA3" i="75"/>
  <c r="AS4" i="75"/>
  <c r="BA4" i="75"/>
  <c r="AD5" i="75"/>
  <c r="AL5" i="75"/>
  <c r="AT5" i="75"/>
  <c r="V3" i="75"/>
  <c r="AD3" i="75"/>
  <c r="AL3" i="75"/>
  <c r="AT3" i="75"/>
  <c r="AT4" i="75"/>
  <c r="AE5" i="75"/>
  <c r="AM5" i="75"/>
  <c r="AU5" i="75"/>
  <c r="O3" i="75"/>
  <c r="W3" i="75"/>
  <c r="AE3" i="75"/>
  <c r="AM3" i="75"/>
  <c r="AU3" i="75"/>
  <c r="AM4" i="75"/>
  <c r="AU4" i="75"/>
  <c r="X5" i="75"/>
  <c r="AF5" i="75"/>
  <c r="AN5" i="75"/>
  <c r="AV5" i="75"/>
  <c r="Z5" i="75"/>
  <c r="Q3" i="75"/>
  <c r="Y3" i="75"/>
  <c r="AG3" i="75"/>
  <c r="AO3" i="75"/>
  <c r="AW3" i="75"/>
  <c r="AO4" i="75"/>
  <c r="AW4" i="75"/>
  <c r="AH5" i="75"/>
  <c r="AP5" i="75"/>
  <c r="AX5" i="75"/>
  <c r="R3" i="75"/>
  <c r="Z3" i="75"/>
  <c r="AH3" i="75"/>
  <c r="AP3" i="75"/>
  <c r="AX3" i="75"/>
  <c r="AP4" i="75"/>
  <c r="AA5" i="75"/>
  <c r="AI5" i="75"/>
  <c r="AQ5" i="75"/>
</calcChain>
</file>

<file path=xl/sharedStrings.xml><?xml version="1.0" encoding="utf-8"?>
<sst xmlns="http://schemas.openxmlformats.org/spreadsheetml/2006/main" count="3842" uniqueCount="326">
  <si>
    <t>List of all Production Pad Identifiers [-]</t>
  </si>
  <si>
    <t>List of all Completion Pad Identifiers [-]</t>
  </si>
  <si>
    <t>List of all SWD Sites [-]</t>
  </si>
  <si>
    <t>PP02</t>
  </si>
  <si>
    <t>PP03</t>
  </si>
  <si>
    <t>CP01</t>
  </si>
  <si>
    <t>Table of Drive Times between Sites [hours]</t>
  </si>
  <si>
    <t>Data Input Spreadsheet Overview</t>
  </si>
  <si>
    <t>with any/all constraints specified to determine the best possible solution(s). Those</t>
  </si>
  <si>
    <t>solutions are then returned to the user as specific recommendations for action (e.g.</t>
  </si>
  <si>
    <t>haul 2,340 bbl of produced water from production pad A to completions pad B on</t>
  </si>
  <si>
    <t xml:space="preserve">fed into the optimization model. An advanced algorithm then considers this data along </t>
  </si>
  <si>
    <t xml:space="preserve">are intentionally kept separated within the optimization framework. </t>
  </si>
  <si>
    <t xml:space="preserve">Purpose: This data input spreadsheet collects all the case study specific data that is </t>
  </si>
  <si>
    <t>Note 1: None of this data is stored in the model permanently. The model and the data</t>
  </si>
  <si>
    <t xml:space="preserve">Note 2: Data is assumed to be deterministic initially. Eventually, users will be able </t>
  </si>
  <si>
    <t>to specify which inputs are uncertain, and the framework will aim to determine</t>
  </si>
  <si>
    <t>"robustified" recommendations that are near-optimal across a range of uncertainty</t>
  </si>
  <si>
    <t xml:space="preserve">realizations (i.e., "stochastic optimization"). </t>
  </si>
  <si>
    <t>Data Input Tabs</t>
  </si>
  <si>
    <t>Description</t>
  </si>
  <si>
    <t>Production Pads</t>
  </si>
  <si>
    <t>Completion Pads</t>
  </si>
  <si>
    <t>SWD Sites</t>
  </si>
  <si>
    <t>List of all production pads to be considered</t>
  </si>
  <si>
    <t>List of all completion pads to be considered</t>
  </si>
  <si>
    <t>List of all disposal sites to be considered</t>
  </si>
  <si>
    <t>Drive Times</t>
  </si>
  <si>
    <t>Estimated drive times between locations</t>
  </si>
  <si>
    <t>Completions Demand</t>
  </si>
  <si>
    <t>Forecasted water demand at completions sites</t>
  </si>
  <si>
    <t>Flowback Rates</t>
  </si>
  <si>
    <t>Production Rates</t>
  </si>
  <si>
    <t>Forecated production rates (post-flowback)</t>
  </si>
  <si>
    <t>Forecasted flowback rates (post-completions)</t>
  </si>
  <si>
    <t>Disposal Capacity</t>
  </si>
  <si>
    <t>Forecasted disposal capacity</t>
  </si>
  <si>
    <t>Freshwater Costs</t>
  </si>
  <si>
    <t>Cost for sourcing freshwater for frac</t>
  </si>
  <si>
    <t>Disposal Costs</t>
  </si>
  <si>
    <t>Reuse Costs</t>
  </si>
  <si>
    <t>Cost for disposing produced water</t>
  </si>
  <si>
    <t>Cost for FR/chemicals to reuse produced water</t>
  </si>
  <si>
    <t>Hauling Rates</t>
  </si>
  <si>
    <t>Cost for hauling produced water via trucks</t>
  </si>
  <si>
    <t>Transfer Lines</t>
  </si>
  <si>
    <t>Pipeline Expansion</t>
  </si>
  <si>
    <t>List of all existing water transfer lines</t>
  </si>
  <si>
    <t>Cost for installing new transfer lines</t>
  </si>
  <si>
    <t>Tuesday, March 23). See Figure 1 for a process illustration.</t>
  </si>
  <si>
    <t>Figure 1: Illustration of the optimization workflow</t>
  </si>
  <si>
    <t>K02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</si>
  <si>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</si>
  <si>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</si>
  <si>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</si>
  <si>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</si>
  <si>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</si>
  <si>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</si>
  <si>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</si>
  <si>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</si>
  <si>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</si>
  <si>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</si>
  <si>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</si>
  <si>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</si>
  <si>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</si>
  <si>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</si>
  <si>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F01</t>
  </si>
  <si>
    <t>F02</t>
  </si>
  <si>
    <t>List of all Production Tank Identifiers [-]</t>
  </si>
  <si>
    <t>List of all Freshwater Source Identifiers [-]</t>
  </si>
  <si>
    <t>List of all Storage Site Identifiers [-]</t>
  </si>
  <si>
    <t>List of all Treatment Site Identifiers [-]</t>
  </si>
  <si>
    <t>List of all Reuse Option Identifiers [-]</t>
  </si>
  <si>
    <t>List of all Network Node Identifiers [-]</t>
  </si>
  <si>
    <t>Freshwater Sources to Completions Pads Piping Arcs [-]</t>
  </si>
  <si>
    <t>Production Pads to Completions Pads Trucking Arcs [-]</t>
  </si>
  <si>
    <t>Production Pads to Disposal Sites Trucking Arcs [-]</t>
  </si>
  <si>
    <t>Completions Pads to Disposal Sites Trucking Arcs [-]</t>
  </si>
  <si>
    <t>S01</t>
  </si>
  <si>
    <t>R01</t>
  </si>
  <si>
    <t>N02</t>
  </si>
  <si>
    <t>N03</t>
  </si>
  <si>
    <t>N04</t>
  </si>
  <si>
    <t>N05</t>
  </si>
  <si>
    <t>N06</t>
  </si>
  <si>
    <t>N07</t>
  </si>
  <si>
    <t>N08</t>
  </si>
  <si>
    <t>D0</t>
  </si>
  <si>
    <t>List of all Pipeline Diameter Identifiers [-]</t>
  </si>
  <si>
    <t>C0</t>
  </si>
  <si>
    <t>List of all Storage Capacity Identifiers [-]</t>
  </si>
  <si>
    <t>List of all Injection Capacity Identifiers [-]</t>
  </si>
  <si>
    <t>I0</t>
  </si>
  <si>
    <t>Production Pads to Network Nodes Piping Arcs [-]</t>
  </si>
  <si>
    <t>Completions Pads to Network Nodes Piping Arcs [-]</t>
  </si>
  <si>
    <t>Network Nodes to Network Nodes Piping Arcs [-]</t>
  </si>
  <si>
    <t>Network Nodes to Completions Pads Piping Arcs [-]</t>
  </si>
  <si>
    <t>Network Nodes to Disposal Sites Piping Arcs [-]</t>
  </si>
  <si>
    <t>Network Nodes to Treatment Sites Piping Arcs [-]</t>
  </si>
  <si>
    <t>Completions Pads to Storage Sites Trucking Arcs [-]</t>
  </si>
  <si>
    <t>Freshwater Sources to Completions Pads Trucking Arcs [-]</t>
  </si>
  <si>
    <t>Completions Pads to Completions Pads Piping Arcs [-]</t>
  </si>
  <si>
    <t>Completions Pads to Completions Pads Trucking Arcs [-]</t>
  </si>
  <si>
    <t>PP04</t>
  </si>
  <si>
    <t>PP05</t>
  </si>
  <si>
    <t>PP06</t>
  </si>
  <si>
    <t>PP07</t>
  </si>
  <si>
    <t>PP08</t>
  </si>
  <si>
    <t>PP09</t>
  </si>
  <si>
    <t>PP10</t>
  </si>
  <si>
    <t>PP11</t>
  </si>
  <si>
    <t>PP01</t>
  </si>
  <si>
    <t>PP12</t>
  </si>
  <si>
    <t>PP13</t>
  </si>
  <si>
    <t>PP14</t>
  </si>
  <si>
    <t>PP15</t>
  </si>
  <si>
    <t>CP02</t>
  </si>
  <si>
    <t>CP03</t>
  </si>
  <si>
    <t>CP04</t>
  </si>
  <si>
    <t>K03</t>
  </si>
  <si>
    <t>K01</t>
  </si>
  <si>
    <t>F03</t>
  </si>
  <si>
    <t>F04</t>
  </si>
  <si>
    <t>F05</t>
  </si>
  <si>
    <t>F06</t>
  </si>
  <si>
    <t>F07</t>
  </si>
  <si>
    <t>F08</t>
  </si>
  <si>
    <t>R02</t>
  </si>
  <si>
    <t>N01</t>
  </si>
  <si>
    <t>N09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</si>
  <si>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</si>
  <si>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</si>
  <si>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</si>
  <si>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</si>
  <si>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</si>
  <si>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</si>
  <si>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</si>
  <si>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</si>
  <si>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</si>
  <si>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</si>
  <si>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</si>
  <si>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</si>
  <si>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</si>
  <si>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</si>
  <si>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</si>
  <si>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N25</t>
  </si>
  <si>
    <t>N26</t>
  </si>
  <si>
    <t>N27</t>
  </si>
  <si>
    <t>N28</t>
  </si>
  <si>
    <t>Network Nodes to Storage Sites Piping Arcs [-]</t>
  </si>
  <si>
    <t>Storage Sites to Network Nodes Piping Arcs [-]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</si>
  <si>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</si>
  <si>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</si>
  <si>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</si>
  <si>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</si>
  <si>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</si>
  <si>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</si>
  <si>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</si>
  <si>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</si>
  <si>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</si>
  <si>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</si>
  <si>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</si>
  <si>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</si>
  <si>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</si>
  <si>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T01</t>
  </si>
  <si>
    <t>T02</t>
  </si>
  <si>
    <t>T03</t>
  </si>
  <si>
    <t>T04</t>
  </si>
  <si>
    <t>T05</t>
  </si>
  <si>
    <t>T06</t>
  </si>
  <si>
    <t>T07</t>
  </si>
  <si>
    <t>T08</t>
  </si>
  <si>
    <t>T09</t>
  </si>
  <si>
    <t>Table of Treatment Efficiency [%]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</si>
  <si>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</si>
  <si>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</si>
  <si>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</si>
  <si>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</si>
  <si>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</si>
  <si>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</si>
  <si>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</si>
  <si>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</si>
  <si>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</si>
  <si>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</si>
  <si>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</si>
  <si>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</si>
  <si>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</si>
  <si>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</si>
  <si>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</si>
  <si>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</si>
  <si>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</si>
  <si>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</si>
  <si>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</si>
  <si>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</si>
  <si>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</si>
  <si>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</si>
  <si>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</si>
  <si>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</si>
  <si>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</si>
  <si>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</si>
  <si>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</si>
  <si>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</si>
  <si>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T51</t>
  </si>
  <si>
    <t>T52</t>
  </si>
  <si>
    <t>List of all Treatment Capacity Identifiers [-]</t>
  </si>
  <si>
    <t>NODES</t>
  </si>
  <si>
    <t>ProductionPads</t>
  </si>
  <si>
    <t>VALUE</t>
  </si>
  <si>
    <t>CompletionsPads</t>
  </si>
  <si>
    <t>SWDSites</t>
  </si>
  <si>
    <t>FreshwaterSources</t>
  </si>
  <si>
    <t>StorageSites</t>
  </si>
  <si>
    <t>TreatmentSites</t>
  </si>
  <si>
    <t>NetworkNodes</t>
  </si>
  <si>
    <t>PipelineDiameters</t>
  </si>
  <si>
    <t>StorageCapacities</t>
  </si>
  <si>
    <t>InjectionCapacities</t>
  </si>
  <si>
    <t>TreatmentCapacities</t>
  </si>
  <si>
    <t>Hydraulic Settings</t>
  </si>
  <si>
    <t>INDEX</t>
  </si>
  <si>
    <t>value</t>
  </si>
  <si>
    <t>roughness</t>
  </si>
  <si>
    <t>max_head_loss</t>
  </si>
  <si>
    <t>pipeline_expansion_cost</t>
  </si>
  <si>
    <t>Storage to Completions Pads Piping Arcs [-]</t>
  </si>
  <si>
    <t>Economic Settings</t>
  </si>
  <si>
    <t>discount_rate</t>
  </si>
  <si>
    <t>CAPEX_lifetime</t>
  </si>
  <si>
    <t>Pads</t>
  </si>
  <si>
    <t>TDS</t>
  </si>
  <si>
    <t/>
  </si>
  <si>
    <t>Units</t>
  </si>
  <si>
    <t>volume</t>
  </si>
  <si>
    <t>=</t>
  </si>
  <si>
    <t>42 gallons</t>
  </si>
  <si>
    <t>distance</t>
  </si>
  <si>
    <t>mile</t>
  </si>
  <si>
    <t>kmeter</t>
  </si>
  <si>
    <t>1000 m</t>
  </si>
  <si>
    <t>diameter</t>
  </si>
  <si>
    <t>inch</t>
  </si>
  <si>
    <t>concentration</t>
  </si>
  <si>
    <t>mg/liter</t>
  </si>
  <si>
    <t>ppm</t>
  </si>
  <si>
    <t>currency</t>
  </si>
  <si>
    <t>USD</t>
  </si>
  <si>
    <t>kUSD</t>
  </si>
  <si>
    <t>1000 USD</t>
  </si>
  <si>
    <t>time</t>
  </si>
  <si>
    <t>day</t>
  </si>
  <si>
    <t>decision_period</t>
  </si>
  <si>
    <t>decision period</t>
  </si>
  <si>
    <t>week</t>
  </si>
  <si>
    <t>fortnight</t>
  </si>
  <si>
    <t>2 weeks</t>
  </si>
  <si>
    <t>month</t>
  </si>
  <si>
    <t>30.44 days</t>
  </si>
  <si>
    <t>foot</t>
  </si>
  <si>
    <t>cm</t>
  </si>
  <si>
    <t>kg/liter</t>
  </si>
  <si>
    <t>meter</t>
  </si>
  <si>
    <t>Unit Description</t>
  </si>
  <si>
    <t>Unit Relationships</t>
  </si>
  <si>
    <t>bbl</t>
  </si>
  <si>
    <t xml:space="preserve">Volume units are used to represent water flows (e.g. bbl/day), flow capacities, storage capacity, costs etc. </t>
  </si>
  <si>
    <t>kbbl</t>
  </si>
  <si>
    <t>1000 bbl</t>
  </si>
  <si>
    <t>Distance units are used for defining lengths of pipelines and pipeline expansion costs</t>
  </si>
  <si>
    <t>This unit applies to diameter of pipelines and pipeline expansion costs</t>
  </si>
  <si>
    <t>Concentration unit defines water quality (e.g., TDS concentration)</t>
  </si>
  <si>
    <t>Currency unit defines costs</t>
  </si>
  <si>
    <t>Time units refers to input data relative to time (e.g., water flows in bbl/day)</t>
  </si>
  <si>
    <t>The decision period is the amount of time in a single decision period or discretization (e.g., T01 is 1 week)</t>
  </si>
  <si>
    <t>CB</t>
  </si>
  <si>
    <t>CB-EV</t>
  </si>
  <si>
    <t xml:space="preserve"> </t>
  </si>
  <si>
    <t>TreatmentTechnologies</t>
  </si>
  <si>
    <t>Table with Indication  if the Completions Pad is Outside of the System</t>
  </si>
  <si>
    <t>Table with Indication if the treatment site is for desalination technologies (1) or non-desalination technologies (0)</t>
  </si>
  <si>
    <t>J0</t>
  </si>
  <si>
    <t>J1</t>
  </si>
  <si>
    <t>S02</t>
  </si>
  <si>
    <t>Table with indication if the treatment technology is for desalination</t>
  </si>
  <si>
    <t>Fe</t>
  </si>
  <si>
    <t>Table of Removal Efficiency [%]. Note: The removal efficiency of a component can be estimated based on its concentration or its total load (flow times concentration). The default method for calculating removal efficacy is concentration-based. This configuration option is set prior to running the optimization. Refer to 'Water Treatment' in Model Library documentation.</t>
  </si>
  <si>
    <t>Elevation Data in ft</t>
  </si>
  <si>
    <t>Table of Production Rate Forecasts by Pads [bbl/day]</t>
  </si>
  <si>
    <t>Flow-pressure assumption</t>
  </si>
  <si>
    <t>150 psi for 15000 bbl/day and 15 psi for 1500 bbl/day</t>
  </si>
  <si>
    <t>Flow multiplier</t>
  </si>
  <si>
    <t>pressure</t>
  </si>
  <si>
    <t>psi</t>
  </si>
  <si>
    <t>Pressure units when using the hydraulics module</t>
  </si>
  <si>
    <t>6895 Pa</t>
  </si>
  <si>
    <t>pascal</t>
  </si>
  <si>
    <t>elevation</t>
  </si>
  <si>
    <t>Elevation of a network node (including all sites)</t>
  </si>
  <si>
    <t>Table of Initial Pipeline Diameters between Sites [inch]</t>
  </si>
  <si>
    <t>Table of Pipeline Operational Cost between Sites [USD/bbl]</t>
  </si>
  <si>
    <t>min_allowable_pressure</t>
  </si>
  <si>
    <t>max_allowable_pressure</t>
  </si>
  <si>
    <t>Storage Sites to Beneficial Reuse Piping Arcs [-]</t>
  </si>
  <si>
    <t>Network Nodes to Beneficial Reuse Piping Arcs [-]</t>
  </si>
  <si>
    <t>Treatment Sites to Beneficial Reuse Trucking Arcs (1 denotes an arc for the treated stream and 2 denotes an arc for the residual stream) [-]</t>
  </si>
  <si>
    <t>Storage Sites to Beneficial Reuse Trucking Arcs [-]</t>
  </si>
  <si>
    <t>Treatment Sites to Completions Sites Piping Arcs (1 denotes an arc for the treated stream and 2 denotes an arc for the residual stream) [-]</t>
  </si>
  <si>
    <t>Treatment to Storage Sites Piping Arcs (1 denotes an arc for the treated stream and 2 denotes an arc for the residual stream) [-]</t>
  </si>
  <si>
    <t>Treatment Sites to Network Nodes Piping Arcs (1 denotes an arc for the treated stream and 2 denotes an arc for the residual stream) [-]</t>
  </si>
  <si>
    <t>Storage Sites to Beneficial Reuse Piping Arcs (1 denotes an arc for the treated stream and 2 denotes an arc for the residual stream) [-]</t>
  </si>
  <si>
    <t>Treatment to Storage Sites Trucking Arcs (1 denotes an arc for the treated stream and 2 denotes an arc for the residual stream) [-]</t>
  </si>
  <si>
    <t>pipeline_expansion_lead_time</t>
  </si>
  <si>
    <t>CO2</t>
  </si>
  <si>
    <t>NH3</t>
  </si>
  <si>
    <t>NOx</t>
  </si>
  <si>
    <t>SO2</t>
  </si>
  <si>
    <t>PM 2.5</t>
  </si>
  <si>
    <t>Trucking (g/hour)</t>
  </si>
  <si>
    <t>Pipeline Operations (g/(bbl-mile))</t>
  </si>
  <si>
    <t>Pipeline Installation (g/mile)</t>
  </si>
  <si>
    <t>Disposal (g/bbl)</t>
  </si>
  <si>
    <t>Storage (g/bbl-week)</t>
  </si>
  <si>
    <t>g</t>
  </si>
  <si>
    <t>mass</t>
  </si>
  <si>
    <t>kg</t>
  </si>
  <si>
    <t>1000g</t>
  </si>
  <si>
    <t>Mass units is used for measuring emissions coefficients (e.g. 10g per treated produced water bbl).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</si>
</sst>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#,##0.0"/>
    <numFmt numFmtId="165" formatCode="0.0"/>
  </numFmts>
  <fonts count="9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47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0" fontId="6" fillId="0" borderId="0" applyNumberFormat="0" applyFill="0" applyBorder="0" applyAlignment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137">
    <xf numFmtId="0" fontId="0" fillId="0" borderId="0" xfId="0"/>
    <xf numFmtId="0" fontId="1" fillId="0" borderId="0" xfId="0" applyFont="1"/>
    <xf numFmtId="0" fontId="3" fillId="2" borderId="0" xfId="0" applyFont="1" applyFill="1"/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4" fillId="3" borderId="0" xfId="0" applyFont="1" applyFill="1"/>
    <xf numFmtId="0" fontId="0" fillId="3" borderId="0" xfId="0" applyFill="1"/>
    <xf numFmtId="0" fontId="0" fillId="3" borderId="1" xfId="0" applyFill="1" applyBorder="1"/>
    <xf numFmtId="0" fontId="5" fillId="3" borderId="0" xfId="0" applyFont="1" applyFill="1"/>
    <xf numFmtId="0" fontId="6" fillId="3" borderId="0" xfId="1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3" xfId="0" applyFill="1" applyBorder="1"/>
    <xf numFmtId="0" fontId="7" fillId="0" borderId="0" xfId="0" applyFont="1"/>
    <xf numFmtId="0" fontId="3" fillId="3" borderId="1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3" borderId="1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3" fontId="1" fillId="3" borderId="0" xfId="0" applyNumberFormat="1" applyFont="1" applyFill="1" applyAlignment="1">
      <alignment horizontal="center"/>
    </xf>
    <xf numFmtId="3" fontId="1" fillId="3" borderId="1" xfId="0" applyNumberFormat="1" applyFont="1" applyFill="1" applyBorder="1" applyAlignment="1">
      <alignment horizontal="center"/>
    </xf>
    <xf numFmtId="3" fontId="1" fillId="3" borderId="2" xfId="0" applyNumberFormat="1" applyFont="1" applyFill="1" applyBorder="1" applyAlignment="1">
      <alignment horizontal="center"/>
    </xf>
    <xf numFmtId="3" fontId="1" fillId="3" borderId="3" xfId="0" applyNumberFormat="1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1" applyFill="1" applyBorder="1"/>
    <xf numFmtId="3" fontId="3" fillId="3" borderId="0" xfId="0" applyNumberFormat="1" applyFont="1" applyFill="1" applyAlignment="1">
      <alignment horizontal="center"/>
    </xf>
    <xf numFmtId="0" fontId="3" fillId="3" borderId="15" xfId="0" applyFont="1" applyFill="1" applyBorder="1" applyAlignment="1">
      <alignment horizontal="center"/>
    </xf>
    <xf numFmtId="3" fontId="1" fillId="3" borderId="16" xfId="0" applyNumberFormat="1" applyFont="1" applyFill="1" applyBorder="1" applyAlignment="1">
      <alignment horizontal="center"/>
    </xf>
    <xf numFmtId="4" fontId="1" fillId="3" borderId="1" xfId="0" applyNumberFormat="1" applyFont="1" applyFill="1" applyBorder="1" applyAlignment="1">
      <alignment horizontal="center"/>
    </xf>
    <xf numFmtId="0" fontId="3" fillId="3" borderId="19" xfId="0" applyFont="1" applyFill="1" applyBorder="1" applyAlignment="1">
      <alignment horizontal="center"/>
    </xf>
    <xf numFmtId="0" fontId="3" fillId="3" borderId="20" xfId="0" applyFont="1" applyFill="1" applyBorder="1" applyAlignment="1">
      <alignment horizontal="center"/>
    </xf>
    <xf numFmtId="43" fontId="1" fillId="3" borderId="14" xfId="2" applyFont="1" applyFill="1" applyBorder="1" applyAlignment="1">
      <alignment horizontal="center"/>
    </xf>
    <xf numFmtId="43" fontId="1" fillId="3" borderId="21" xfId="2" applyFont="1" applyFill="1" applyBorder="1" applyAlignment="1">
      <alignment horizontal="center"/>
    </xf>
    <xf numFmtId="43" fontId="1" fillId="3" borderId="22" xfId="2" applyFont="1" applyFill="1" applyBorder="1" applyAlignment="1">
      <alignment horizontal="center"/>
    </xf>
    <xf numFmtId="0" fontId="1" fillId="4" borderId="24" xfId="0" applyFont="1" applyFill="1" applyBorder="1" applyAlignment="1">
      <alignment horizontal="center"/>
    </xf>
    <xf numFmtId="0" fontId="1" fillId="4" borderId="25" xfId="0" applyFont="1" applyFill="1" applyBorder="1" applyAlignment="1">
      <alignment horizontal="center"/>
    </xf>
    <xf numFmtId="0" fontId="1" fillId="4" borderId="26" xfId="0" applyFont="1" applyFill="1" applyBorder="1" applyAlignment="1">
      <alignment horizontal="center"/>
    </xf>
    <xf numFmtId="0" fontId="1" fillId="4" borderId="27" xfId="0" applyFont="1" applyFill="1" applyBorder="1" applyAlignment="1">
      <alignment horizontal="center"/>
    </xf>
    <xf numFmtId="0" fontId="1" fillId="4" borderId="0" xfId="0" quotePrefix="1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28" xfId="0" applyFont="1" applyFill="1" applyBorder="1" applyAlignment="1">
      <alignment horizontal="center"/>
    </xf>
    <xf numFmtId="0" fontId="1" fillId="4" borderId="17" xfId="0" applyFont="1" applyFill="1" applyBorder="1" applyAlignment="1">
      <alignment horizontal="center"/>
    </xf>
    <xf numFmtId="0" fontId="1" fillId="4" borderId="27" xfId="0" applyFont="1" applyFill="1" applyBorder="1"/>
    <xf numFmtId="0" fontId="1" fillId="4" borderId="0" xfId="0" applyFont="1" applyFill="1"/>
    <xf numFmtId="0" fontId="1" fillId="4" borderId="28" xfId="0" applyFont="1" applyFill="1" applyBorder="1"/>
    <xf numFmtId="0" fontId="1" fillId="4" borderId="17" xfId="0" applyFont="1" applyFill="1" applyBorder="1"/>
    <xf numFmtId="0" fontId="1" fillId="4" borderId="29" xfId="0" applyFont="1" applyFill="1" applyBorder="1" applyAlignment="1">
      <alignment horizontal="center"/>
    </xf>
    <xf numFmtId="0" fontId="1" fillId="4" borderId="30" xfId="0" quotePrefix="1" applyFont="1" applyFill="1" applyBorder="1" applyAlignment="1">
      <alignment horizontal="center"/>
    </xf>
    <xf numFmtId="0" fontId="1" fillId="4" borderId="31" xfId="0" applyFont="1" applyFill="1" applyBorder="1" applyAlignment="1">
      <alignment horizontal="center"/>
    </xf>
    <xf numFmtId="0" fontId="1" fillId="4" borderId="32" xfId="0" applyFont="1" applyFill="1" applyBorder="1"/>
    <xf numFmtId="0" fontId="1" fillId="4" borderId="30" xfId="0" applyFont="1" applyFill="1" applyBorder="1" applyAlignment="1">
      <alignment horizontal="center"/>
    </xf>
    <xf numFmtId="0" fontId="3" fillId="4" borderId="25" xfId="0" applyFont="1" applyFill="1" applyBorder="1" applyAlignment="1">
      <alignment horizontal="left"/>
    </xf>
    <xf numFmtId="0" fontId="3" fillId="4" borderId="23" xfId="0" applyFont="1" applyFill="1" applyBorder="1" applyAlignment="1">
      <alignment horizontal="left"/>
    </xf>
    <xf numFmtId="0" fontId="3" fillId="3" borderId="33" xfId="0" applyFont="1" applyFill="1" applyBorder="1" applyAlignment="1">
      <alignment horizontal="center"/>
    </xf>
    <xf numFmtId="3" fontId="1" fillId="3" borderId="35" xfId="0" applyNumberFormat="1" applyFont="1" applyFill="1" applyBorder="1" applyAlignment="1">
      <alignment horizontal="center"/>
    </xf>
    <xf numFmtId="9" fontId="1" fillId="0" borderId="0" xfId="3" applyFont="1" applyAlignment="1">
      <alignment horizontal="center"/>
    </xf>
    <xf numFmtId="43" fontId="1" fillId="0" borderId="0" xfId="2" applyFont="1"/>
    <xf numFmtId="3" fontId="1" fillId="3" borderId="37" xfId="0" applyNumberFormat="1" applyFont="1" applyFill="1" applyBorder="1" applyAlignment="1">
      <alignment horizontal="center"/>
    </xf>
    <xf numFmtId="3" fontId="1" fillId="3" borderId="38" xfId="0" applyNumberFormat="1" applyFont="1" applyFill="1" applyBorder="1" applyAlignment="1">
      <alignment horizontal="center"/>
    </xf>
    <xf numFmtId="0" fontId="3" fillId="3" borderId="39" xfId="0" applyFont="1" applyFill="1" applyBorder="1" applyAlignment="1">
      <alignment horizontal="center"/>
    </xf>
    <xf numFmtId="0" fontId="3" fillId="3" borderId="17" xfId="0" applyFont="1" applyFill="1" applyBorder="1" applyAlignment="1">
      <alignment horizontal="center"/>
    </xf>
    <xf numFmtId="0" fontId="3" fillId="3" borderId="18" xfId="0" applyFont="1" applyFill="1" applyBorder="1" applyAlignment="1">
      <alignment horizontal="center"/>
    </xf>
    <xf numFmtId="0" fontId="3" fillId="3" borderId="40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0" fontId="3" fillId="3" borderId="36" xfId="0" applyFont="1" applyFill="1" applyBorder="1" applyAlignment="1">
      <alignment horizontal="center"/>
    </xf>
    <xf numFmtId="0" fontId="3" fillId="3" borderId="41" xfId="0" applyFont="1" applyFill="1" applyBorder="1" applyAlignment="1">
      <alignment horizontal="center"/>
    </xf>
    <xf numFmtId="3" fontId="3" fillId="3" borderId="20" xfId="0" applyNumberFormat="1" applyFont="1" applyFill="1" applyBorder="1" applyAlignment="1">
      <alignment horizontal="center"/>
    </xf>
    <xf numFmtId="3" fontId="3" fillId="3" borderId="5" xfId="0" applyNumberFormat="1" applyFont="1" applyFill="1" applyBorder="1" applyAlignment="1">
      <alignment horizontal="center"/>
    </xf>
    <xf numFmtId="3" fontId="1" fillId="3" borderId="27" xfId="0" applyNumberFormat="1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1" fillId="3" borderId="34" xfId="0" applyFont="1" applyFill="1" applyBorder="1" applyAlignment="1">
      <alignment horizontal="center"/>
    </xf>
    <xf numFmtId="0" fontId="1" fillId="3" borderId="35" xfId="0" applyFont="1" applyFill="1" applyBorder="1" applyAlignment="1">
      <alignment horizontal="center"/>
    </xf>
    <xf numFmtId="0" fontId="1" fillId="3" borderId="17" xfId="0" applyFont="1" applyFill="1" applyBorder="1" applyAlignment="1">
      <alignment horizontal="center"/>
    </xf>
    <xf numFmtId="0" fontId="1" fillId="3" borderId="18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1" fillId="3" borderId="30" xfId="0" applyFont="1" applyFill="1" applyBorder="1" applyAlignment="1">
      <alignment horizontal="center"/>
    </xf>
    <xf numFmtId="0" fontId="3" fillId="3" borderId="3" xfId="0" applyFont="1" applyFill="1" applyBorder="1"/>
    <xf numFmtId="164" fontId="1" fillId="3" borderId="3" xfId="0" applyNumberFormat="1" applyFont="1" applyFill="1" applyBorder="1" applyAlignment="1">
      <alignment horizontal="center"/>
    </xf>
    <xf numFmtId="164" fontId="1" fillId="3" borderId="14" xfId="0" applyNumberFormat="1" applyFont="1" applyFill="1" applyBorder="1" applyAlignment="1">
      <alignment horizontal="center"/>
    </xf>
    <xf numFmtId="3" fontId="1" fillId="3" borderId="30" xfId="0" applyNumberFormat="1" applyFont="1" applyFill="1" applyBorder="1" applyAlignment="1">
      <alignment horizontal="center"/>
    </xf>
    <xf numFmtId="3" fontId="1" fillId="3" borderId="17" xfId="0" applyNumberFormat="1" applyFont="1" applyFill="1" applyBorder="1" applyAlignment="1">
      <alignment horizontal="center"/>
    </xf>
    <xf numFmtId="3" fontId="1" fillId="3" borderId="31" xfId="0" applyNumberFormat="1" applyFont="1" applyFill="1" applyBorder="1" applyAlignment="1">
      <alignment horizontal="center"/>
    </xf>
    <xf numFmtId="3" fontId="1" fillId="3" borderId="18" xfId="0" applyNumberFormat="1" applyFont="1" applyFill="1" applyBorder="1" applyAlignment="1">
      <alignment horizontal="center"/>
    </xf>
    <xf numFmtId="0" fontId="1" fillId="3" borderId="31" xfId="0" applyFont="1" applyFill="1" applyBorder="1" applyAlignment="1">
      <alignment horizontal="center"/>
    </xf>
    <xf numFmtId="0" fontId="3" fillId="3" borderId="30" xfId="0" applyFont="1" applyFill="1" applyBorder="1" applyAlignment="1">
      <alignment horizontal="center"/>
    </xf>
    <xf numFmtId="0" fontId="3" fillId="3" borderId="16" xfId="0" applyFont="1" applyFill="1" applyBorder="1" applyAlignment="1">
      <alignment horizontal="center"/>
    </xf>
    <xf numFmtId="0" fontId="3" fillId="3" borderId="31" xfId="0" applyFont="1" applyFill="1" applyBorder="1" applyAlignment="1">
      <alignment horizontal="center"/>
    </xf>
    <xf numFmtId="165" fontId="1" fillId="3" borderId="0" xfId="0" applyNumberFormat="1" applyFont="1" applyFill="1" applyAlignment="1">
      <alignment horizontal="center"/>
    </xf>
    <xf numFmtId="3" fontId="3" fillId="3" borderId="28" xfId="0" applyNumberFormat="1" applyFont="1" applyFill="1" applyBorder="1" applyAlignment="1">
      <alignment horizontal="center"/>
    </xf>
    <xf numFmtId="3" fontId="3" fillId="3" borderId="36" xfId="0" applyNumberFormat="1" applyFont="1" applyFill="1" applyBorder="1" applyAlignment="1">
      <alignment horizontal="center"/>
    </xf>
    <xf numFmtId="43" fontId="1" fillId="3" borderId="42" xfId="2" applyFont="1" applyFill="1" applyBorder="1" applyAlignment="1">
      <alignment horizontal="center"/>
    </xf>
    <xf numFmtId="0" fontId="3" fillId="2" borderId="13" xfId="0" applyFont="1" applyFill="1" applyBorder="1"/>
    <xf numFmtId="0" fontId="3" fillId="2" borderId="4" xfId="0" applyFont="1" applyFill="1" applyBorder="1"/>
    <xf numFmtId="0" fontId="1" fillId="2" borderId="1" xfId="0" applyFont="1" applyFill="1" applyBorder="1"/>
    <xf numFmtId="3" fontId="1" fillId="0" borderId="0" xfId="0" applyNumberFormat="1" applyFont="1" applyAlignment="1">
      <alignment horizontal="center"/>
    </xf>
    <xf numFmtId="0" fontId="3" fillId="2" borderId="15" xfId="0" applyFont="1" applyFill="1" applyBorder="1"/>
    <xf numFmtId="0" fontId="1" fillId="2" borderId="16" xfId="0" applyFont="1" applyFill="1" applyBorder="1"/>
    <xf numFmtId="0" fontId="3" fillId="2" borderId="43" xfId="0" applyFont="1" applyFill="1" applyBorder="1"/>
    <xf numFmtId="0" fontId="3" fillId="2" borderId="5" xfId="0" applyFont="1" applyFill="1" applyBorder="1"/>
    <xf numFmtId="0" fontId="1" fillId="2" borderId="3" xfId="0" applyFont="1" applyFill="1" applyBorder="1"/>
    <xf numFmtId="0" fontId="3" fillId="0" borderId="11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1" fillId="3" borderId="28" xfId="0" applyFont="1" applyFill="1" applyBorder="1" applyAlignment="1">
      <alignment horizontal="center"/>
    </xf>
    <xf numFmtId="0" fontId="1" fillId="3" borderId="36" xfId="0" applyFont="1" applyFill="1" applyBorder="1" applyAlignment="1">
      <alignment horizontal="center"/>
    </xf>
    <xf numFmtId="43" fontId="1" fillId="3" borderId="44" xfId="2" applyFont="1" applyFill="1" applyBorder="1" applyAlignment="1">
      <alignment horizontal="center"/>
    </xf>
    <xf numFmtId="43" fontId="1" fillId="3" borderId="35" xfId="2" applyFont="1" applyFill="1" applyBorder="1" applyAlignment="1">
      <alignment horizontal="center"/>
    </xf>
    <xf numFmtId="43" fontId="1" fillId="3" borderId="3" xfId="2" applyFont="1" applyFill="1" applyBorder="1" applyAlignment="1">
      <alignment horizontal="center"/>
    </xf>
    <xf numFmtId="43" fontId="1" fillId="3" borderId="45" xfId="2" applyFont="1" applyFill="1" applyBorder="1" applyAlignment="1">
      <alignment horizontal="center"/>
    </xf>
    <xf numFmtId="43" fontId="1" fillId="3" borderId="36" xfId="2" applyFont="1" applyFill="1" applyBorder="1" applyAlignment="1">
      <alignment horizontal="center"/>
    </xf>
    <xf numFmtId="43" fontId="1" fillId="3" borderId="1" xfId="2" applyFont="1" applyFill="1" applyBorder="1" applyAlignment="1">
      <alignment horizontal="center"/>
    </xf>
    <xf numFmtId="43" fontId="1" fillId="3" borderId="28" xfId="2" applyFont="1" applyFill="1" applyBorder="1" applyAlignment="1">
      <alignment horizontal="center"/>
    </xf>
    <xf numFmtId="4" fontId="1" fillId="3" borderId="3" xfId="0" applyNumberFormat="1" applyFont="1" applyFill="1" applyBorder="1" applyAlignment="1">
      <alignment horizontal="center"/>
    </xf>
    <xf numFmtId="3" fontId="3" fillId="3" borderId="17" xfId="0" applyNumberFormat="1" applyFont="1" applyFill="1" applyBorder="1" applyAlignment="1">
      <alignment horizontal="center"/>
    </xf>
    <xf numFmtId="0" fontId="1" fillId="3" borderId="1" xfId="0" applyFont="1" applyFill="1" applyBorder="1"/>
    <xf numFmtId="3" fontId="3" fillId="3" borderId="18" xfId="0" applyNumberFormat="1" applyFont="1" applyFill="1" applyBorder="1" applyAlignment="1">
      <alignment horizontal="center"/>
    </xf>
    <xf numFmtId="0" fontId="1" fillId="3" borderId="3" xfId="0" applyFont="1" applyFill="1" applyBorder="1"/>
    <xf numFmtId="0" fontId="1" fillId="3" borderId="21" xfId="0" applyFont="1" applyFill="1" applyBorder="1" applyAlignment="1">
      <alignment horizontal="center"/>
    </xf>
    <xf numFmtId="0" fontId="1" fillId="3" borderId="22" xfId="0" applyFont="1" applyFill="1" applyBorder="1" applyAlignment="1">
      <alignment horizontal="center"/>
    </xf>
    <xf numFmtId="0" fontId="3" fillId="3" borderId="46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0" fontId="3" fillId="3" borderId="12" xfId="0" applyFont="1" applyFill="1" applyBorder="1" applyAlignment="1">
      <alignment horizontal="center"/>
    </xf>
  </cellXfs>
  <cellStyles count="4">
    <cellStyle name="Comma" xfId="2" builtinId="3"/>
    <cellStyle name="Hyperlink" xfId="1" builtinId="8"/>
    <cellStyle name="Normal" xfId="0" builtinId="0"/>
    <cellStyle name="Percent" xfId="3" builtinId="5"/>
  </cellStyles>
  <dxfs count="0"/>
  <tableStyles count="0" defaultTableStyle="TableStyleMedium2" defaultPivotStyle="PivotStyleLight16"/>
  <colors>
    <mruColors>
      <color rgb="FFD9C6FE"/>
      <color rgb="FFAFF3D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theme" Target="theme/theme1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503714</xdr:colOff>
      <xdr:row>6</xdr:row>
      <xdr:rowOff>4946</xdr:rowOff>
    </xdr:from>
    <xdr:to>
      <xdr:col>16</xdr:col>
      <xdr:colOff>404754</xdr:colOff>
      <xdr:row>28</xdr:row>
      <xdr:rowOff>144522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7B3C07-F1EA-47EB-AEEC-96EF7CAC7D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5974" y="1113310"/>
          <a:ext cx="3166753" cy="41672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1</xdr:row>
      <xdr:rowOff>9525</xdr:rowOff>
    </xdr:from>
    <xdr:to>
      <xdr:col>19</xdr:col>
      <xdr:colOff>382484</xdr:colOff>
      <xdr:row>27</xdr:row>
      <xdr:rowOff>690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C983314-8C7C-4C27-9754-ACDFA1594B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4375" y="200025"/>
          <a:ext cx="10631384" cy="49441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5E074-61D5-4D82-B0DB-255C2595EBED}">
  <sheetPr>
    <tabColor theme="2" tint="-9.9978637043366805E-2"/>
  </sheetPr>
  <dimension ref="B1:M37"/>
  <sheetViews>
    <sheetView zoomScale="110" zoomScaleNormal="110" workbookViewId="0"/>
  </sheetViews>
  <sheetFormatPr defaultRowHeight="14.4" x14ac:dyDescent="0.3"/>
  <cols>
    <col min="2" max="2" width="4.33203125" customWidth="1"/>
    <col min="10" max="10" width="4.44140625" customWidth="1"/>
    <col min="11" max="11" width="9.44140625" customWidth="1"/>
  </cols>
  <sheetData>
    <row r="1" spans="2:11" ht="15" thickBot="1" x14ac:dyDescent="0.35"/>
    <row r="2" spans="2:11" x14ac:dyDescent="0.3">
      <c r="B2" s="11"/>
      <c r="C2" s="12"/>
      <c r="D2" s="12"/>
      <c r="E2" s="12"/>
      <c r="F2" s="12"/>
      <c r="G2" s="12"/>
      <c r="H2" s="12"/>
      <c r="I2" s="12"/>
      <c r="J2" s="12"/>
      <c r="K2" s="13"/>
    </row>
    <row r="3" spans="2:11" x14ac:dyDescent="0.3">
      <c r="B3" s="14"/>
      <c r="C3" s="15" t="s">
        <v>7</v>
      </c>
      <c r="D3" s="16"/>
      <c r="E3" s="16"/>
      <c r="F3" s="16"/>
      <c r="G3" s="16"/>
      <c r="H3" s="16"/>
      <c r="I3" s="16"/>
      <c r="J3" s="16"/>
      <c r="K3" s="17"/>
    </row>
    <row r="4" spans="2:11" x14ac:dyDescent="0.3">
      <c r="B4" s="14"/>
      <c r="C4" s="16"/>
      <c r="D4" s="16"/>
      <c r="E4" s="16"/>
      <c r="F4" s="16"/>
      <c r="G4" s="16"/>
      <c r="H4" s="16"/>
      <c r="I4" s="16"/>
      <c r="J4" s="16"/>
      <c r="K4" s="17"/>
    </row>
    <row r="5" spans="2:11" x14ac:dyDescent="0.3">
      <c r="B5" s="14"/>
      <c r="C5" s="16" t="s">
        <v>13</v>
      </c>
      <c r="D5" s="16"/>
      <c r="E5" s="16"/>
      <c r="F5" s="16"/>
      <c r="G5" s="16"/>
      <c r="H5" s="16"/>
      <c r="I5" s="16"/>
      <c r="J5" s="16"/>
      <c r="K5" s="17"/>
    </row>
    <row r="6" spans="2:11" x14ac:dyDescent="0.3">
      <c r="B6" s="14"/>
      <c r="C6" s="16" t="s">
        <v>11</v>
      </c>
      <c r="D6" s="16"/>
      <c r="E6" s="16"/>
      <c r="F6" s="16"/>
      <c r="G6" s="16"/>
      <c r="H6" s="16"/>
      <c r="I6" s="16"/>
      <c r="J6" s="16"/>
      <c r="K6" s="17"/>
    </row>
    <row r="7" spans="2:11" x14ac:dyDescent="0.3">
      <c r="B7" s="14"/>
      <c r="C7" s="16" t="s">
        <v>8</v>
      </c>
      <c r="D7" s="16"/>
      <c r="E7" s="16"/>
      <c r="F7" s="16"/>
      <c r="G7" s="16"/>
      <c r="H7" s="16"/>
      <c r="I7" s="16"/>
      <c r="J7" s="16"/>
      <c r="K7" s="17"/>
    </row>
    <row r="8" spans="2:11" x14ac:dyDescent="0.3">
      <c r="B8" s="14"/>
      <c r="C8" s="16" t="s">
        <v>9</v>
      </c>
      <c r="D8" s="16"/>
      <c r="E8" s="16"/>
      <c r="F8" s="16"/>
      <c r="G8" s="16"/>
      <c r="H8" s="16"/>
      <c r="I8" s="16"/>
      <c r="J8" s="16"/>
      <c r="K8" s="17"/>
    </row>
    <row r="9" spans="2:11" x14ac:dyDescent="0.3">
      <c r="B9" s="14"/>
      <c r="C9" s="16" t="s">
        <v>10</v>
      </c>
      <c r="D9" s="16"/>
      <c r="E9" s="16"/>
      <c r="F9" s="16"/>
      <c r="G9" s="16"/>
      <c r="H9" s="16"/>
      <c r="I9" s="16"/>
      <c r="J9" s="16"/>
      <c r="K9" s="17"/>
    </row>
    <row r="10" spans="2:11" x14ac:dyDescent="0.3">
      <c r="B10" s="14"/>
      <c r="C10" s="16" t="s">
        <v>49</v>
      </c>
      <c r="D10" s="16"/>
      <c r="E10" s="16"/>
      <c r="F10" s="16"/>
      <c r="G10" s="16"/>
      <c r="H10" s="16"/>
      <c r="I10" s="16"/>
      <c r="J10" s="16"/>
      <c r="K10" s="17"/>
    </row>
    <row r="11" spans="2:11" x14ac:dyDescent="0.3">
      <c r="B11" s="14"/>
      <c r="C11" s="16"/>
      <c r="D11" s="16"/>
      <c r="E11" s="16"/>
      <c r="F11" s="16"/>
      <c r="G11" s="16"/>
      <c r="H11" s="16"/>
      <c r="I11" s="16"/>
      <c r="J11" s="16"/>
      <c r="K11" s="17"/>
    </row>
    <row r="12" spans="2:11" x14ac:dyDescent="0.3">
      <c r="B12" s="14"/>
      <c r="C12" s="16" t="s">
        <v>14</v>
      </c>
      <c r="D12" s="16"/>
      <c r="E12" s="16"/>
      <c r="F12" s="16"/>
      <c r="G12" s="16"/>
      <c r="H12" s="16"/>
      <c r="I12" s="16"/>
      <c r="J12" s="16"/>
      <c r="K12" s="17"/>
    </row>
    <row r="13" spans="2:11" x14ac:dyDescent="0.3">
      <c r="B13" s="14"/>
      <c r="C13" s="16" t="s">
        <v>12</v>
      </c>
      <c r="D13" s="16"/>
      <c r="E13" s="16"/>
      <c r="F13" s="16"/>
      <c r="G13" s="16"/>
      <c r="H13" s="16"/>
      <c r="I13" s="16"/>
      <c r="J13" s="16"/>
      <c r="K13" s="17"/>
    </row>
    <row r="14" spans="2:11" x14ac:dyDescent="0.3">
      <c r="B14" s="14"/>
      <c r="C14" s="16"/>
      <c r="D14" s="16"/>
      <c r="E14" s="16"/>
      <c r="F14" s="16"/>
      <c r="G14" s="16"/>
      <c r="H14" s="16"/>
      <c r="I14" s="16"/>
      <c r="J14" s="16"/>
      <c r="K14" s="17"/>
    </row>
    <row r="15" spans="2:11" x14ac:dyDescent="0.3">
      <c r="B15" s="14"/>
      <c r="C15" s="16" t="s">
        <v>15</v>
      </c>
      <c r="D15" s="16"/>
      <c r="E15" s="16"/>
      <c r="F15" s="16"/>
      <c r="G15" s="16"/>
      <c r="H15" s="16"/>
      <c r="I15" s="16"/>
      <c r="J15" s="16"/>
      <c r="K15" s="17"/>
    </row>
    <row r="16" spans="2:11" x14ac:dyDescent="0.3">
      <c r="B16" s="14"/>
      <c r="C16" s="16" t="s">
        <v>16</v>
      </c>
      <c r="D16" s="16"/>
      <c r="E16" s="16"/>
      <c r="F16" s="16"/>
      <c r="G16" s="16"/>
      <c r="H16" s="16"/>
      <c r="I16" s="16"/>
      <c r="J16" s="16"/>
      <c r="K16" s="17"/>
    </row>
    <row r="17" spans="2:13" x14ac:dyDescent="0.3">
      <c r="B17" s="14"/>
      <c r="C17" s="16" t="s">
        <v>17</v>
      </c>
      <c r="D17" s="16"/>
      <c r="E17" s="16"/>
      <c r="F17" s="16"/>
      <c r="G17" s="16"/>
      <c r="H17" s="16"/>
      <c r="I17" s="16"/>
      <c r="J17" s="16"/>
      <c r="K17" s="17"/>
    </row>
    <row r="18" spans="2:13" x14ac:dyDescent="0.3">
      <c r="B18" s="14"/>
      <c r="C18" s="16" t="s">
        <v>18</v>
      </c>
      <c r="D18" s="16"/>
      <c r="E18" s="16"/>
      <c r="F18" s="16"/>
      <c r="G18" s="16"/>
      <c r="H18" s="16"/>
      <c r="I18" s="16"/>
      <c r="J18" s="16"/>
      <c r="K18" s="17"/>
    </row>
    <row r="19" spans="2:13" x14ac:dyDescent="0.3">
      <c r="B19" s="14"/>
      <c r="C19" s="16"/>
      <c r="D19" s="16"/>
      <c r="E19" s="16"/>
      <c r="F19" s="16"/>
      <c r="G19" s="16"/>
      <c r="H19" s="16"/>
      <c r="I19" s="16"/>
      <c r="J19" s="16"/>
      <c r="K19" s="17"/>
    </row>
    <row r="20" spans="2:13" x14ac:dyDescent="0.3">
      <c r="B20" s="14"/>
      <c r="C20" s="16"/>
      <c r="D20" s="16"/>
      <c r="E20" s="16"/>
      <c r="F20" s="16"/>
      <c r="G20" s="16"/>
      <c r="H20" s="16"/>
      <c r="I20" s="16"/>
      <c r="J20" s="16"/>
      <c r="K20" s="17"/>
    </row>
    <row r="21" spans="2:13" x14ac:dyDescent="0.3">
      <c r="B21" s="14"/>
      <c r="C21" s="18" t="s">
        <v>19</v>
      </c>
      <c r="D21" s="16"/>
      <c r="E21" s="16"/>
      <c r="F21" s="18" t="s">
        <v>20</v>
      </c>
      <c r="G21" s="16"/>
      <c r="H21" s="16"/>
      <c r="I21" s="16"/>
      <c r="J21" s="16"/>
      <c r="K21" s="17"/>
    </row>
    <row r="22" spans="2:13" x14ac:dyDescent="0.3">
      <c r="B22" s="14"/>
      <c r="C22" s="16"/>
      <c r="D22" s="16"/>
      <c r="E22" s="16"/>
      <c r="F22" s="16"/>
      <c r="G22" s="16"/>
      <c r="H22" s="16"/>
      <c r="I22" s="16"/>
      <c r="J22" s="16"/>
      <c r="K22" s="17"/>
    </row>
    <row r="23" spans="2:13" x14ac:dyDescent="0.3">
      <c r="B23" s="14"/>
      <c r="C23" s="19" t="s">
        <v>21</v>
      </c>
      <c r="D23" s="16"/>
      <c r="E23" s="16"/>
      <c r="F23" s="16" t="s">
        <v>24</v>
      </c>
      <c r="G23" s="16"/>
      <c r="H23" s="16"/>
      <c r="I23" s="16"/>
      <c r="J23" s="16"/>
      <c r="K23" s="17"/>
    </row>
    <row r="24" spans="2:13" x14ac:dyDescent="0.3">
      <c r="B24" s="14"/>
      <c r="C24" s="19" t="s">
        <v>22</v>
      </c>
      <c r="D24" s="16"/>
      <c r="E24" s="16"/>
      <c r="F24" s="16" t="s">
        <v>25</v>
      </c>
      <c r="G24" s="16"/>
      <c r="H24" s="16"/>
      <c r="I24" s="16"/>
      <c r="J24" s="16"/>
      <c r="K24" s="17"/>
    </row>
    <row r="25" spans="2:13" x14ac:dyDescent="0.3">
      <c r="B25" s="14"/>
      <c r="C25" s="19" t="s">
        <v>23</v>
      </c>
      <c r="D25" s="16"/>
      <c r="E25" s="16"/>
      <c r="F25" s="16" t="s">
        <v>26</v>
      </c>
      <c r="G25" s="16"/>
      <c r="H25" s="16"/>
      <c r="I25" s="16"/>
      <c r="J25" s="16"/>
      <c r="K25" s="17"/>
    </row>
    <row r="26" spans="2:13" x14ac:dyDescent="0.3">
      <c r="B26" s="14"/>
      <c r="C26" s="19" t="s">
        <v>27</v>
      </c>
      <c r="D26" s="16"/>
      <c r="E26" s="16"/>
      <c r="F26" s="16" t="s">
        <v>28</v>
      </c>
      <c r="G26" s="16"/>
      <c r="H26" s="16"/>
      <c r="I26" s="16"/>
      <c r="J26" s="16"/>
      <c r="K26" s="17"/>
    </row>
    <row r="27" spans="2:13" x14ac:dyDescent="0.3">
      <c r="B27" s="14"/>
      <c r="C27" s="19" t="s">
        <v>29</v>
      </c>
      <c r="D27" s="16"/>
      <c r="E27" s="16"/>
      <c r="F27" s="16" t="s">
        <v>30</v>
      </c>
      <c r="G27" s="16"/>
      <c r="H27" s="16"/>
      <c r="I27" s="16"/>
      <c r="J27" s="16"/>
      <c r="K27" s="17"/>
    </row>
    <row r="28" spans="2:13" x14ac:dyDescent="0.3">
      <c r="B28" s="14"/>
      <c r="C28" s="19" t="s">
        <v>31</v>
      </c>
      <c r="D28" s="16"/>
      <c r="E28" s="16"/>
      <c r="F28" s="16" t="s">
        <v>34</v>
      </c>
      <c r="G28" s="16"/>
      <c r="H28" s="16"/>
      <c r="I28" s="16"/>
      <c r="J28" s="16"/>
      <c r="K28" s="17"/>
    </row>
    <row r="29" spans="2:13" x14ac:dyDescent="0.3">
      <c r="B29" s="14"/>
      <c r="C29" s="19" t="s">
        <v>32</v>
      </c>
      <c r="D29" s="16"/>
      <c r="E29" s="16"/>
      <c r="F29" s="16" t="s">
        <v>33</v>
      </c>
      <c r="G29" s="16"/>
      <c r="H29" s="16"/>
      <c r="I29" s="16"/>
      <c r="J29" s="16"/>
      <c r="K29" s="17"/>
    </row>
    <row r="30" spans="2:13" x14ac:dyDescent="0.3">
      <c r="B30" s="14"/>
      <c r="C30" s="19" t="s">
        <v>35</v>
      </c>
      <c r="D30" s="16"/>
      <c r="E30" s="16"/>
      <c r="F30" s="16" t="s">
        <v>36</v>
      </c>
      <c r="G30" s="16"/>
      <c r="H30" s="16"/>
      <c r="I30" s="16"/>
      <c r="J30" s="16"/>
      <c r="K30" s="17"/>
    </row>
    <row r="31" spans="2:13" x14ac:dyDescent="0.3">
      <c r="B31" s="14"/>
      <c r="C31" s="19" t="s">
        <v>37</v>
      </c>
      <c r="D31" s="16"/>
      <c r="E31" s="16"/>
      <c r="F31" s="16" t="s">
        <v>38</v>
      </c>
      <c r="G31" s="16"/>
      <c r="H31" s="16"/>
      <c r="I31" s="16"/>
      <c r="J31" s="16"/>
      <c r="K31" s="17"/>
      <c r="M31" s="23" t="s">
        <v>50</v>
      </c>
    </row>
    <row r="32" spans="2:13" x14ac:dyDescent="0.3">
      <c r="B32" s="14"/>
      <c r="C32" s="19" t="s">
        <v>40</v>
      </c>
      <c r="D32" s="16"/>
      <c r="E32" s="16"/>
      <c r="F32" s="16" t="s">
        <v>42</v>
      </c>
      <c r="G32" s="16"/>
      <c r="H32" s="16"/>
      <c r="I32" s="16"/>
      <c r="J32" s="16"/>
      <c r="K32" s="17"/>
    </row>
    <row r="33" spans="2:11" x14ac:dyDescent="0.3">
      <c r="B33" s="14"/>
      <c r="C33" s="19" t="s">
        <v>39</v>
      </c>
      <c r="D33" s="16"/>
      <c r="E33" s="16"/>
      <c r="F33" s="16" t="s">
        <v>41</v>
      </c>
      <c r="G33" s="16"/>
      <c r="H33" s="16"/>
      <c r="I33" s="16"/>
      <c r="J33" s="16"/>
      <c r="K33" s="17"/>
    </row>
    <row r="34" spans="2:11" x14ac:dyDescent="0.3">
      <c r="B34" s="14"/>
      <c r="C34" s="19" t="s">
        <v>43</v>
      </c>
      <c r="D34" s="16"/>
      <c r="E34" s="16"/>
      <c r="F34" s="16" t="s">
        <v>44</v>
      </c>
      <c r="G34" s="16"/>
      <c r="H34" s="16"/>
      <c r="I34" s="16"/>
      <c r="J34" s="16"/>
      <c r="K34" s="17"/>
    </row>
    <row r="35" spans="2:11" x14ac:dyDescent="0.3">
      <c r="B35" s="14"/>
      <c r="C35" s="19" t="s">
        <v>45</v>
      </c>
      <c r="D35" s="16"/>
      <c r="E35" s="16"/>
      <c r="F35" s="16" t="s">
        <v>47</v>
      </c>
      <c r="G35" s="16"/>
      <c r="H35" s="16"/>
      <c r="I35" s="16"/>
      <c r="J35" s="16"/>
      <c r="K35" s="17"/>
    </row>
    <row r="36" spans="2:11" x14ac:dyDescent="0.3">
      <c r="B36" s="14"/>
      <c r="C36" s="19" t="s">
        <v>46</v>
      </c>
      <c r="D36" s="16"/>
      <c r="E36" s="16"/>
      <c r="F36" s="16" t="s">
        <v>48</v>
      </c>
      <c r="G36" s="16"/>
      <c r="H36" s="16"/>
      <c r="I36" s="16"/>
      <c r="J36" s="16"/>
      <c r="K36" s="17"/>
    </row>
    <row r="37" spans="2:11" ht="15" thickBot="1" x14ac:dyDescent="0.35">
      <c r="B37" s="20"/>
      <c r="C37" s="21"/>
      <c r="D37" s="21"/>
      <c r="E37" s="21"/>
      <c r="F37" s="21"/>
      <c r="G37" s="21"/>
      <c r="H37" s="21"/>
      <c r="I37" s="21"/>
      <c r="J37" s="21"/>
      <c r="K37" s="22"/>
    </row>
  </sheetData>
  <hyperlinks>
    <hyperlink ref="C23" location="ProductionPads!A1" display="Production Pads" xr:uid="{9F210CF9-07D8-4A5E-93FA-C36DB3D0C25C}"/>
    <hyperlink ref="C24" location="CompletionsPads!A1" display="Completion Pads" xr:uid="{FCB2B4B8-DE9A-4CA5-90EE-5ABB7DC62CE8}"/>
    <hyperlink ref="C25" location="SWDSites!A1" display="SWD Sites" xr:uid="{578FF2CF-9534-4CAF-BB8F-4D4AA1E825D5}"/>
    <hyperlink ref="C26" location="TruckingTime!A1" display="Drive Times" xr:uid="{5F5D0203-D880-4C5E-BE1C-955F74100BBC}"/>
    <hyperlink ref="C27" location="CompletionsDemand!A1" display="Completions Demand" xr:uid="{A43BADFA-E10F-491D-84C5-C8FC31AD4621}"/>
    <hyperlink ref="C28" location="FlowbackRates!A1" display="Flowback Rates" xr:uid="{7AB55603-1A43-41A6-9693-1B89B6DCD5C2}"/>
    <hyperlink ref="C29" location="PadRates!A1" display="Production Rates" xr:uid="{60EE3CB2-6945-4EF9-994B-D4937DBB327B}"/>
    <hyperlink ref="C30" location="DisposalOperatingCapacity!A1" display="Disposal Capacity" xr:uid="{CAE3DFDA-8B08-4283-9205-309B32142AC6}"/>
    <hyperlink ref="C31" location="FreshSourcingCost!A1" display="Freshwater Costs" xr:uid="{88138AE4-1159-418A-A895-39D1A4152B0C}"/>
    <hyperlink ref="C32" location="ReuseOperationalCost!A1" display="Reuse Costs" xr:uid="{146BA03C-3C08-4957-9F2D-51584E8F9494}"/>
    <hyperlink ref="C33" location="DisposalOperationalCost!A1" display="Disposal Costs" xr:uid="{906CEF7C-3D67-4EB0-9995-1E45CB542C7C}"/>
    <hyperlink ref="C34" location="TruckingHourlyCost!A1" display="Hauling Rates" xr:uid="{E573813D-C46B-4CBC-BD31-9C5E10AF7D7A}"/>
    <hyperlink ref="C35" location="InitialPipelineCapacity!A1" display="Transfer Lines" xr:uid="{DE4838A7-5816-4652-8F68-37E66B00E2ED}"/>
    <hyperlink ref="C36" location="PipelineCapexDistanceBased!A1" display="Pipeline Expansion" xr:uid="{71654592-CF02-4564-8F69-88D94B3F411B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9D0FC-C70F-430B-9882-945A087A2D92}">
  <sheetPr>
    <tabColor theme="9" tint="0.79998168889431442"/>
  </sheetPr>
  <dimension ref="A1:P3"/>
  <sheetViews>
    <sheetView workbookViewId="0">
      <selection activeCell="A8" sqref="A8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16" x14ac:dyDescent="0.3">
      <c r="A1" s="1" t="s">
        <v>71</v>
      </c>
    </row>
    <row r="2" spans="1:16" x14ac:dyDescent="0.3">
      <c r="A2" s="2" t="s">
        <v>79</v>
      </c>
    </row>
    <row r="3" spans="1:16" x14ac:dyDescent="0.3">
      <c r="A3" s="2" t="s">
        <v>127</v>
      </c>
      <c r="N3" s="10"/>
      <c r="O3" s="10"/>
      <c r="P3" s="10"/>
    </row>
  </sheetData>
  <phoneticPr fontId="2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C53F8-A679-4C96-A30B-3522B67D8CF1}">
  <sheetPr>
    <tabColor theme="9" tint="0.79998168889431442"/>
  </sheetPr>
  <dimension ref="A1:P5"/>
  <sheetViews>
    <sheetView workbookViewId="0">
      <selection activeCell="A8" sqref="A8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16" x14ac:dyDescent="0.3">
      <c r="A1" s="1" t="s">
        <v>71</v>
      </c>
    </row>
    <row r="2" spans="1:16" x14ac:dyDescent="0.3">
      <c r="A2" s="2" t="s">
        <v>273</v>
      </c>
    </row>
    <row r="3" spans="1:16" x14ac:dyDescent="0.3">
      <c r="A3" s="2" t="s">
        <v>274</v>
      </c>
      <c r="N3" s="10"/>
      <c r="O3" s="10"/>
      <c r="P3" s="10"/>
    </row>
    <row r="4" spans="1:16" x14ac:dyDescent="0.3">
      <c r="A4" s="9"/>
    </row>
    <row r="5" spans="1:16" x14ac:dyDescent="0.3">
      <c r="A5" s="9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5E027-57F4-45A3-888B-4C0E11BBDC89}">
  <sheetPr>
    <tabColor theme="9" tint="0.79998168889431442"/>
  </sheetPr>
  <dimension ref="A1:P3"/>
  <sheetViews>
    <sheetView workbookViewId="0">
      <selection activeCell="A8" sqref="A8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16" x14ac:dyDescent="0.3">
      <c r="A1" s="1" t="s">
        <v>72</v>
      </c>
    </row>
    <row r="2" spans="1:16" x14ac:dyDescent="0.3">
      <c r="A2" s="2"/>
    </row>
    <row r="3" spans="1:16" x14ac:dyDescent="0.3">
      <c r="A3" s="9"/>
      <c r="N3" s="10"/>
      <c r="O3" s="10"/>
      <c r="P3" s="10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8A809-1347-42CB-A460-105FB2B000F6}">
  <sheetPr>
    <tabColor theme="9" tint="0.79998168889431442"/>
  </sheetPr>
  <dimension ref="A1:P30"/>
  <sheetViews>
    <sheetView workbookViewId="0">
      <selection activeCell="A31" sqref="A31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16" x14ac:dyDescent="0.3">
      <c r="A1" s="1" t="s">
        <v>73</v>
      </c>
    </row>
    <row r="2" spans="1:16" x14ac:dyDescent="0.3">
      <c r="A2" s="2" t="s">
        <v>128</v>
      </c>
    </row>
    <row r="3" spans="1:16" x14ac:dyDescent="0.3">
      <c r="A3" s="2" t="s">
        <v>80</v>
      </c>
      <c r="N3" s="10"/>
      <c r="O3" s="10"/>
      <c r="P3" s="10"/>
    </row>
    <row r="4" spans="1:16" x14ac:dyDescent="0.3">
      <c r="A4" s="2" t="s">
        <v>81</v>
      </c>
    </row>
    <row r="5" spans="1:16" x14ac:dyDescent="0.3">
      <c r="A5" s="2" t="s">
        <v>82</v>
      </c>
    </row>
    <row r="6" spans="1:16" x14ac:dyDescent="0.3">
      <c r="A6" s="2" t="s">
        <v>83</v>
      </c>
    </row>
    <row r="7" spans="1:16" x14ac:dyDescent="0.3">
      <c r="A7" s="2" t="s">
        <v>84</v>
      </c>
    </row>
    <row r="8" spans="1:16" x14ac:dyDescent="0.3">
      <c r="A8" s="2" t="s">
        <v>85</v>
      </c>
    </row>
    <row r="9" spans="1:16" x14ac:dyDescent="0.3">
      <c r="A9" s="2" t="s">
        <v>86</v>
      </c>
    </row>
    <row r="10" spans="1:16" x14ac:dyDescent="0.3">
      <c r="A10" s="2" t="s">
        <v>129</v>
      </c>
    </row>
    <row r="11" spans="1:16" x14ac:dyDescent="0.3">
      <c r="A11" s="2" t="s">
        <v>130</v>
      </c>
    </row>
    <row r="12" spans="1:16" x14ac:dyDescent="0.3">
      <c r="A12" s="2" t="s">
        <v>131</v>
      </c>
    </row>
    <row r="13" spans="1:16" x14ac:dyDescent="0.3">
      <c r="A13" s="2" t="s">
        <v>132</v>
      </c>
    </row>
    <row r="14" spans="1:16" x14ac:dyDescent="0.3">
      <c r="A14" s="2" t="s">
        <v>133</v>
      </c>
    </row>
    <row r="15" spans="1:16" x14ac:dyDescent="0.3">
      <c r="A15" s="2" t="s">
        <v>134</v>
      </c>
    </row>
    <row r="16" spans="1:16" x14ac:dyDescent="0.3">
      <c r="A16" s="2" t="s">
        <v>135</v>
      </c>
    </row>
    <row r="17" spans="1:1" x14ac:dyDescent="0.3">
      <c r="A17" s="2" t="s">
        <v>136</v>
      </c>
    </row>
    <row r="18" spans="1:1" x14ac:dyDescent="0.3">
      <c r="A18" s="2" t="s">
        <v>137</v>
      </c>
    </row>
    <row r="19" spans="1:1" x14ac:dyDescent="0.3">
      <c r="A19" s="2" t="s">
        <v>138</v>
      </c>
    </row>
    <row r="20" spans="1:1" x14ac:dyDescent="0.3">
      <c r="A20" s="2" t="s">
        <v>139</v>
      </c>
    </row>
    <row r="21" spans="1:1" x14ac:dyDescent="0.3">
      <c r="A21" s="2" t="s">
        <v>140</v>
      </c>
    </row>
    <row r="22" spans="1:1" x14ac:dyDescent="0.3">
      <c r="A22" s="2" t="s">
        <v>141</v>
      </c>
    </row>
    <row r="23" spans="1:1" x14ac:dyDescent="0.3">
      <c r="A23" s="2" t="s">
        <v>142</v>
      </c>
    </row>
    <row r="24" spans="1:1" x14ac:dyDescent="0.3">
      <c r="A24" s="2" t="s">
        <v>143</v>
      </c>
    </row>
    <row r="25" spans="1:1" x14ac:dyDescent="0.3">
      <c r="A25" s="2" t="s">
        <v>144</v>
      </c>
    </row>
    <row r="26" spans="1:1" x14ac:dyDescent="0.3">
      <c r="A26" s="2" t="s">
        <v>145</v>
      </c>
    </row>
    <row r="27" spans="1:1" x14ac:dyDescent="0.3">
      <c r="A27" s="2" t="s">
        <v>146</v>
      </c>
    </row>
    <row r="28" spans="1:1" x14ac:dyDescent="0.3">
      <c r="A28" s="2" t="s">
        <v>147</v>
      </c>
    </row>
    <row r="29" spans="1:1" x14ac:dyDescent="0.3">
      <c r="A29" s="2" t="s">
        <v>148</v>
      </c>
    </row>
    <row r="30" spans="1:1" x14ac:dyDescent="0.3">
      <c r="A30" s="9"/>
    </row>
  </sheetData>
  <phoneticPr fontId="2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8F52A-57D4-400C-9B2D-0CDF39E9349F}">
  <sheetPr>
    <tabColor theme="9" tint="0.79998168889431442"/>
  </sheetPr>
  <dimension ref="A1:A3"/>
  <sheetViews>
    <sheetView workbookViewId="0">
      <selection activeCell="A8" sqref="A8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1" x14ac:dyDescent="0.3">
      <c r="A1" s="1" t="s">
        <v>88</v>
      </c>
    </row>
    <row r="2" spans="1:1" x14ac:dyDescent="0.3">
      <c r="A2" s="2" t="s">
        <v>87</v>
      </c>
    </row>
    <row r="3" spans="1:1" x14ac:dyDescent="0.3">
      <c r="A3" s="9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D1DC6-FF6C-4D1F-9E23-B1795807F580}">
  <sheetPr>
    <tabColor theme="9" tint="0.79998168889431442"/>
  </sheetPr>
  <dimension ref="A1:A2"/>
  <sheetViews>
    <sheetView workbookViewId="0">
      <selection activeCell="A8" sqref="A8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1" x14ac:dyDescent="0.3">
      <c r="A1" s="1" t="s">
        <v>90</v>
      </c>
    </row>
    <row r="2" spans="1:1" x14ac:dyDescent="0.3">
      <c r="A2" s="2" t="s">
        <v>89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5646C-6D5B-41D2-BD66-0AABE8C35A83}">
  <sheetPr>
    <tabColor theme="9" tint="0.79998168889431442"/>
  </sheetPr>
  <dimension ref="A1:A4"/>
  <sheetViews>
    <sheetView workbookViewId="0">
      <selection activeCell="A8" sqref="A8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1" x14ac:dyDescent="0.3">
      <c r="A1" s="1" t="s">
        <v>204</v>
      </c>
    </row>
    <row r="2" spans="1:1" x14ac:dyDescent="0.3">
      <c r="A2" s="2" t="s">
        <v>279</v>
      </c>
    </row>
    <row r="3" spans="1:1" x14ac:dyDescent="0.3">
      <c r="A3" s="2" t="s">
        <v>280</v>
      </c>
    </row>
    <row r="4" spans="1:1" x14ac:dyDescent="0.3">
      <c r="A4" s="9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1EF25-02B9-4EAE-A04E-51FF0E4ADDCA}">
  <sheetPr>
    <tabColor theme="9" tint="0.79998168889431442"/>
  </sheetPr>
  <dimension ref="A1:A4"/>
  <sheetViews>
    <sheetView workbookViewId="0">
      <selection activeCell="A8" sqref="A8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1" x14ac:dyDescent="0.3">
      <c r="A1" s="1" t="s">
        <v>91</v>
      </c>
    </row>
    <row r="2" spans="1:1" x14ac:dyDescent="0.3">
      <c r="A2" s="2" t="s">
        <v>92</v>
      </c>
    </row>
    <row r="3" spans="1:1" x14ac:dyDescent="0.3">
      <c r="A3" s="9"/>
    </row>
    <row r="4" spans="1:1" x14ac:dyDescent="0.3">
      <c r="A4" s="9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DE56A-3552-4283-86E6-D2B76E77A8C0}">
  <sheetPr>
    <tabColor theme="9" tint="0.79998168889431442"/>
  </sheetPr>
  <dimension ref="A1:AC17"/>
  <sheetViews>
    <sheetView workbookViewId="0">
      <selection activeCell="A19" sqref="A19"/>
    </sheetView>
  </sheetViews>
  <sheetFormatPr defaultColWidth="9.33203125" defaultRowHeight="15.6" x14ac:dyDescent="0.3"/>
  <cols>
    <col min="1" max="1" width="17.6640625" style="1" customWidth="1"/>
    <col min="2" max="16384" width="9.33203125" style="1"/>
  </cols>
  <sheetData>
    <row r="1" spans="1:29" ht="16.2" thickBot="1" x14ac:dyDescent="0.35">
      <c r="A1" s="1" t="s">
        <v>93</v>
      </c>
    </row>
    <row r="2" spans="1:29" s="5" customFormat="1" x14ac:dyDescent="0.3">
      <c r="A2" s="3" t="s">
        <v>206</v>
      </c>
      <c r="B2" s="4" t="s">
        <v>128</v>
      </c>
      <c r="C2" s="4" t="s">
        <v>80</v>
      </c>
      <c r="D2" s="4" t="s">
        <v>81</v>
      </c>
      <c r="E2" s="4" t="s">
        <v>82</v>
      </c>
      <c r="F2" s="4" t="s">
        <v>83</v>
      </c>
      <c r="G2" s="4" t="s">
        <v>84</v>
      </c>
      <c r="H2" s="4" t="s">
        <v>85</v>
      </c>
      <c r="I2" s="4" t="s">
        <v>86</v>
      </c>
      <c r="J2" s="4" t="s">
        <v>129</v>
      </c>
      <c r="K2" s="4" t="s">
        <v>130</v>
      </c>
      <c r="L2" s="4" t="s">
        <v>131</v>
      </c>
      <c r="M2" s="4" t="s">
        <v>132</v>
      </c>
      <c r="N2" s="4" t="s">
        <v>133</v>
      </c>
      <c r="O2" s="4" t="s">
        <v>134</v>
      </c>
      <c r="P2" s="4" t="s">
        <v>135</v>
      </c>
      <c r="Q2" s="4" t="s">
        <v>136</v>
      </c>
      <c r="R2" s="4" t="s">
        <v>137</v>
      </c>
      <c r="S2" s="4" t="s">
        <v>138</v>
      </c>
      <c r="T2" s="4" t="s">
        <v>139</v>
      </c>
      <c r="U2" s="4" t="s">
        <v>140</v>
      </c>
      <c r="V2" s="4" t="s">
        <v>141</v>
      </c>
      <c r="W2" s="4" t="s">
        <v>142</v>
      </c>
      <c r="X2" s="4" t="s">
        <v>143</v>
      </c>
      <c r="Y2" s="4" t="s">
        <v>144</v>
      </c>
      <c r="Z2" s="4" t="s">
        <v>145</v>
      </c>
      <c r="AA2" s="4" t="s">
        <v>146</v>
      </c>
      <c r="AB2" s="4" t="s">
        <v>147</v>
      </c>
      <c r="AC2" s="24" t="s">
        <v>148</v>
      </c>
    </row>
    <row r="3" spans="1:29" s="5" customFormat="1" x14ac:dyDescent="0.3">
      <c r="A3" s="25" t="s">
        <v>111</v>
      </c>
      <c r="B3" s="6">
        <v>1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28"/>
    </row>
    <row r="4" spans="1:29" s="5" customFormat="1" x14ac:dyDescent="0.3">
      <c r="A4" s="25" t="s">
        <v>3</v>
      </c>
      <c r="B4" s="6"/>
      <c r="C4" s="6"/>
      <c r="D4" s="6"/>
      <c r="E4" s="6"/>
      <c r="F4" s="6">
        <v>1</v>
      </c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28"/>
    </row>
    <row r="5" spans="1:29" s="5" customFormat="1" x14ac:dyDescent="0.3">
      <c r="A5" s="25" t="s">
        <v>4</v>
      </c>
      <c r="B5" s="6"/>
      <c r="C5" s="6"/>
      <c r="D5" s="6"/>
      <c r="E5" s="6"/>
      <c r="F5" s="6"/>
      <c r="G5" s="6">
        <v>1</v>
      </c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28"/>
    </row>
    <row r="6" spans="1:29" s="5" customFormat="1" x14ac:dyDescent="0.3">
      <c r="A6" s="25" t="s">
        <v>103</v>
      </c>
      <c r="B6" s="6"/>
      <c r="C6" s="6"/>
      <c r="D6" s="6"/>
      <c r="E6" s="6"/>
      <c r="F6" s="6"/>
      <c r="G6" s="6"/>
      <c r="H6" s="6"/>
      <c r="I6" s="6"/>
      <c r="J6" s="6"/>
      <c r="K6" s="6"/>
      <c r="L6" s="6">
        <v>1</v>
      </c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28"/>
    </row>
    <row r="7" spans="1:29" s="5" customFormat="1" x14ac:dyDescent="0.3">
      <c r="A7" s="25" t="s">
        <v>104</v>
      </c>
      <c r="B7" s="6"/>
      <c r="C7" s="6"/>
      <c r="D7" s="6"/>
      <c r="E7" s="6"/>
      <c r="F7" s="6"/>
      <c r="G7" s="6"/>
      <c r="H7" s="6"/>
      <c r="I7" s="6"/>
      <c r="J7" s="6"/>
      <c r="K7" s="6">
        <v>1</v>
      </c>
      <c r="L7" s="6"/>
      <c r="M7" s="6">
        <v>1</v>
      </c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28"/>
    </row>
    <row r="8" spans="1:29" s="5" customFormat="1" x14ac:dyDescent="0.3">
      <c r="A8" s="25" t="s">
        <v>105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>
        <v>1</v>
      </c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28"/>
    </row>
    <row r="9" spans="1:29" s="5" customFormat="1" x14ac:dyDescent="0.3">
      <c r="A9" s="25" t="s">
        <v>106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>
        <v>1</v>
      </c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28"/>
    </row>
    <row r="10" spans="1:29" s="5" customFormat="1" x14ac:dyDescent="0.3">
      <c r="A10" s="25" t="s">
        <v>107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>
        <v>1</v>
      </c>
      <c r="T10" s="6"/>
      <c r="U10" s="6"/>
      <c r="V10" s="6"/>
      <c r="W10" s="6"/>
      <c r="X10" s="6"/>
      <c r="Y10" s="6"/>
      <c r="Z10" s="6"/>
      <c r="AA10" s="6"/>
      <c r="AB10" s="6"/>
      <c r="AC10" s="28"/>
    </row>
    <row r="11" spans="1:29" s="5" customFormat="1" x14ac:dyDescent="0.3">
      <c r="A11" s="25" t="s">
        <v>108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>
        <v>1</v>
      </c>
      <c r="W11" s="6"/>
      <c r="X11" s="6"/>
      <c r="Y11" s="6"/>
      <c r="Z11" s="6"/>
      <c r="AA11" s="6"/>
      <c r="AB11" s="6"/>
      <c r="AC11" s="28"/>
    </row>
    <row r="12" spans="1:29" s="5" customFormat="1" x14ac:dyDescent="0.3">
      <c r="A12" s="25" t="s">
        <v>109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>
        <v>1</v>
      </c>
      <c r="U12" s="6"/>
      <c r="V12" s="6"/>
      <c r="W12" s="6"/>
      <c r="X12" s="6"/>
      <c r="Y12" s="6"/>
      <c r="Z12" s="6"/>
      <c r="AA12" s="6"/>
      <c r="AB12" s="6"/>
      <c r="AC12" s="28"/>
    </row>
    <row r="13" spans="1:29" s="5" customFormat="1" x14ac:dyDescent="0.3">
      <c r="A13" s="25" t="s">
        <v>110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>
        <v>1</v>
      </c>
      <c r="AA13" s="6"/>
      <c r="AB13" s="6"/>
      <c r="AC13" s="28"/>
    </row>
    <row r="14" spans="1:29" s="5" customFormat="1" x14ac:dyDescent="0.3">
      <c r="A14" s="25" t="s">
        <v>112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>
        <v>1</v>
      </c>
      <c r="AC14" s="28"/>
    </row>
    <row r="15" spans="1:29" s="5" customFormat="1" x14ac:dyDescent="0.3">
      <c r="A15" s="25" t="s">
        <v>113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>
        <v>1</v>
      </c>
      <c r="AC15" s="28"/>
    </row>
    <row r="16" spans="1:29" s="5" customFormat="1" x14ac:dyDescent="0.3">
      <c r="A16" s="25" t="s">
        <v>114</v>
      </c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>
        <v>1</v>
      </c>
      <c r="AC16" s="28"/>
    </row>
    <row r="17" spans="1:29" ht="16.2" thickBot="1" x14ac:dyDescent="0.35">
      <c r="A17" s="26" t="s">
        <v>115</v>
      </c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>
        <v>1</v>
      </c>
      <c r="Z17" s="7"/>
      <c r="AA17" s="7"/>
      <c r="AB17" s="7"/>
      <c r="AC17" s="8"/>
    </row>
  </sheetData>
  <phoneticPr fontId="2" type="noConversion"/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4EC57-024F-431A-B1C2-58810C4F9E47}">
  <sheetPr>
    <tabColor theme="9" tint="0.79998168889431442"/>
  </sheetPr>
  <dimension ref="A1:AC6"/>
  <sheetViews>
    <sheetView zoomScaleNormal="100" workbookViewId="0">
      <selection activeCell="A8" sqref="A8"/>
    </sheetView>
  </sheetViews>
  <sheetFormatPr defaultColWidth="9.33203125" defaultRowHeight="15.6" x14ac:dyDescent="0.3"/>
  <cols>
    <col min="1" max="1" width="19.44140625" style="1" customWidth="1"/>
    <col min="2" max="16384" width="9.33203125" style="1"/>
  </cols>
  <sheetData>
    <row r="1" spans="1:29" ht="16.2" thickBot="1" x14ac:dyDescent="0.35">
      <c r="A1" s="1" t="s">
        <v>94</v>
      </c>
    </row>
    <row r="2" spans="1:29" s="5" customFormat="1" x14ac:dyDescent="0.3">
      <c r="A2" s="3" t="s">
        <v>208</v>
      </c>
      <c r="B2" s="4" t="s">
        <v>128</v>
      </c>
      <c r="C2" s="4" t="s">
        <v>80</v>
      </c>
      <c r="D2" s="4" t="s">
        <v>81</v>
      </c>
      <c r="E2" s="4" t="s">
        <v>82</v>
      </c>
      <c r="F2" s="4" t="s">
        <v>83</v>
      </c>
      <c r="G2" s="4" t="s">
        <v>84</v>
      </c>
      <c r="H2" s="4" t="s">
        <v>85</v>
      </c>
      <c r="I2" s="4" t="s">
        <v>86</v>
      </c>
      <c r="J2" s="4" t="s">
        <v>129</v>
      </c>
      <c r="K2" s="4" t="s">
        <v>130</v>
      </c>
      <c r="L2" s="4" t="s">
        <v>131</v>
      </c>
      <c r="M2" s="4" t="s">
        <v>132</v>
      </c>
      <c r="N2" s="4" t="s">
        <v>133</v>
      </c>
      <c r="O2" s="4" t="s">
        <v>134</v>
      </c>
      <c r="P2" s="4" t="s">
        <v>135</v>
      </c>
      <c r="Q2" s="4" t="s">
        <v>136</v>
      </c>
      <c r="R2" s="4" t="s">
        <v>137</v>
      </c>
      <c r="S2" s="4" t="s">
        <v>138</v>
      </c>
      <c r="T2" s="4" t="s">
        <v>139</v>
      </c>
      <c r="U2" s="4" t="s">
        <v>140</v>
      </c>
      <c r="V2" s="4" t="s">
        <v>141</v>
      </c>
      <c r="W2" s="4" t="s">
        <v>142</v>
      </c>
      <c r="X2" s="4" t="s">
        <v>143</v>
      </c>
      <c r="Y2" s="4" t="s">
        <v>144</v>
      </c>
      <c r="Z2" s="4" t="s">
        <v>145</v>
      </c>
      <c r="AA2" s="4" t="s">
        <v>146</v>
      </c>
      <c r="AB2" s="4" t="s">
        <v>147</v>
      </c>
      <c r="AC2" s="24" t="s">
        <v>148</v>
      </c>
    </row>
    <row r="3" spans="1:29" s="5" customFormat="1" x14ac:dyDescent="0.3">
      <c r="A3" s="25" t="s">
        <v>5</v>
      </c>
      <c r="B3" s="6"/>
      <c r="C3" s="6"/>
      <c r="D3" s="6">
        <v>1</v>
      </c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29"/>
      <c r="AA3" s="29"/>
      <c r="AB3" s="29"/>
      <c r="AC3" s="31"/>
    </row>
    <row r="4" spans="1:29" s="5" customFormat="1" x14ac:dyDescent="0.3">
      <c r="A4" s="25" t="s">
        <v>116</v>
      </c>
      <c r="B4" s="6"/>
      <c r="C4" s="6"/>
      <c r="D4" s="6"/>
      <c r="E4" s="6"/>
      <c r="F4" s="6"/>
      <c r="G4" s="6"/>
      <c r="H4" s="6"/>
      <c r="I4" s="6"/>
      <c r="J4" s="6"/>
      <c r="K4" s="6">
        <v>1</v>
      </c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29"/>
      <c r="AA4" s="29"/>
      <c r="AB4" s="29"/>
      <c r="AC4" s="31"/>
    </row>
    <row r="5" spans="1:29" s="5" customFormat="1" x14ac:dyDescent="0.3">
      <c r="A5" s="25" t="s">
        <v>117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>
        <v>1</v>
      </c>
      <c r="S5" s="6"/>
      <c r="T5" s="6"/>
      <c r="U5" s="6"/>
      <c r="V5" s="6"/>
      <c r="W5" s="6"/>
      <c r="X5" s="6"/>
      <c r="Y5" s="6"/>
      <c r="Z5" s="29"/>
      <c r="AA5" s="29"/>
      <c r="AB5" s="29"/>
      <c r="AC5" s="31"/>
    </row>
    <row r="6" spans="1:29" ht="16.2" thickBot="1" x14ac:dyDescent="0.35">
      <c r="A6" s="26" t="s">
        <v>118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30"/>
      <c r="AA6" s="30"/>
      <c r="AB6" s="30"/>
      <c r="AC6" s="32"/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9BCD0-9FF0-4128-B77A-FE703C6CAEA8}">
  <sheetPr>
    <tabColor theme="2" tint="-9.9978637043366805E-2"/>
  </sheetPr>
  <dimension ref="C3:M36"/>
  <sheetViews>
    <sheetView zoomScaleNormal="100" workbookViewId="0"/>
  </sheetViews>
  <sheetFormatPr defaultRowHeight="14.4" x14ac:dyDescent="0.3"/>
  <cols>
    <col min="2" max="2" width="4.33203125" customWidth="1"/>
    <col min="10" max="10" width="4.44140625" customWidth="1"/>
    <col min="11" max="11" width="9.44140625" customWidth="1"/>
  </cols>
  <sheetData>
    <row r="3" spans="3:3" x14ac:dyDescent="0.3">
      <c r="C3" s="37"/>
    </row>
    <row r="21" spans="3:13" x14ac:dyDescent="0.3">
      <c r="C21" s="38"/>
      <c r="F21" s="38"/>
    </row>
    <row r="23" spans="3:13" x14ac:dyDescent="0.3">
      <c r="C23" s="39"/>
    </row>
    <row r="24" spans="3:13" x14ac:dyDescent="0.3">
      <c r="C24" s="39"/>
    </row>
    <row r="25" spans="3:13" x14ac:dyDescent="0.3">
      <c r="C25" s="39"/>
    </row>
    <row r="26" spans="3:13" x14ac:dyDescent="0.3">
      <c r="C26" s="39"/>
    </row>
    <row r="27" spans="3:13" x14ac:dyDescent="0.3">
      <c r="C27" s="39"/>
    </row>
    <row r="28" spans="3:13" x14ac:dyDescent="0.3">
      <c r="C28" s="39"/>
    </row>
    <row r="29" spans="3:13" x14ac:dyDescent="0.3">
      <c r="C29" s="39"/>
    </row>
    <row r="30" spans="3:13" x14ac:dyDescent="0.3">
      <c r="C30" s="39"/>
    </row>
    <row r="31" spans="3:13" x14ac:dyDescent="0.3">
      <c r="C31" s="39"/>
      <c r="M31" s="23"/>
    </row>
    <row r="32" spans="3:13" x14ac:dyDescent="0.3">
      <c r="C32" s="39"/>
    </row>
    <row r="33" spans="3:3" x14ac:dyDescent="0.3">
      <c r="C33" s="39"/>
    </row>
    <row r="34" spans="3:3" x14ac:dyDescent="0.3">
      <c r="C34" s="39"/>
    </row>
    <row r="35" spans="3:3" x14ac:dyDescent="0.3">
      <c r="C35" s="39"/>
    </row>
    <row r="36" spans="3:3" x14ac:dyDescent="0.3">
      <c r="C36" s="39"/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0C60C-760C-4F1B-AB9A-B14851122200}">
  <sheetPr>
    <tabColor theme="9" tint="0.79998168889431442"/>
  </sheetPr>
  <dimension ref="A1:E6"/>
  <sheetViews>
    <sheetView workbookViewId="0">
      <selection activeCell="A8" sqref="A8"/>
    </sheetView>
  </sheetViews>
  <sheetFormatPr defaultColWidth="9.33203125" defaultRowHeight="15.6" x14ac:dyDescent="0.3"/>
  <cols>
    <col min="1" max="1" width="20" style="1" customWidth="1"/>
    <col min="2" max="16384" width="9.33203125" style="1"/>
  </cols>
  <sheetData>
    <row r="1" spans="1:5" ht="16.2" thickBot="1" x14ac:dyDescent="0.35">
      <c r="A1" s="1" t="s">
        <v>101</v>
      </c>
    </row>
    <row r="2" spans="1:5" s="5" customFormat="1" x14ac:dyDescent="0.3">
      <c r="A2" s="3" t="s">
        <v>208</v>
      </c>
      <c r="B2" s="4" t="s">
        <v>5</v>
      </c>
      <c r="C2" s="4" t="s">
        <v>116</v>
      </c>
      <c r="D2" s="4" t="s">
        <v>117</v>
      </c>
      <c r="E2" s="24" t="s">
        <v>118</v>
      </c>
    </row>
    <row r="3" spans="1:5" x14ac:dyDescent="0.3">
      <c r="A3" s="25" t="s">
        <v>5</v>
      </c>
      <c r="B3" s="6"/>
      <c r="C3" s="6"/>
      <c r="D3" s="6"/>
      <c r="E3" s="28"/>
    </row>
    <row r="4" spans="1:5" x14ac:dyDescent="0.3">
      <c r="A4" s="25" t="s">
        <v>116</v>
      </c>
      <c r="B4" s="6"/>
      <c r="C4" s="6"/>
      <c r="D4" s="6"/>
      <c r="E4" s="28"/>
    </row>
    <row r="5" spans="1:5" x14ac:dyDescent="0.3">
      <c r="A5" s="25" t="s">
        <v>117</v>
      </c>
      <c r="B5" s="6"/>
      <c r="C5" s="6"/>
      <c r="D5" s="6"/>
      <c r="E5" s="28"/>
    </row>
    <row r="6" spans="1:5" ht="16.2" thickBot="1" x14ac:dyDescent="0.35">
      <c r="A6" s="26" t="s">
        <v>118</v>
      </c>
      <c r="B6" s="7"/>
      <c r="C6" s="7"/>
      <c r="D6" s="7"/>
      <c r="E6" s="8"/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9EB22-0DA7-4F9B-9913-FB50F464ABD0}">
  <sheetPr>
    <tabColor theme="9" tint="0.79998168889431442"/>
  </sheetPr>
  <dimension ref="A1:AC30"/>
  <sheetViews>
    <sheetView zoomScaleNormal="100" workbookViewId="0">
      <selection activeCell="A32" sqref="A32"/>
    </sheetView>
  </sheetViews>
  <sheetFormatPr defaultColWidth="9.33203125" defaultRowHeight="15.6" x14ac:dyDescent="0.3"/>
  <cols>
    <col min="1" max="1" width="16.5546875" style="1" customWidth="1"/>
    <col min="2" max="16384" width="9.33203125" style="1"/>
  </cols>
  <sheetData>
    <row r="1" spans="1:29" ht="16.2" thickBot="1" x14ac:dyDescent="0.35">
      <c r="A1" s="1" t="s">
        <v>95</v>
      </c>
    </row>
    <row r="2" spans="1:29" s="5" customFormat="1" x14ac:dyDescent="0.3">
      <c r="A2" s="3" t="s">
        <v>213</v>
      </c>
      <c r="B2" s="4" t="s">
        <v>128</v>
      </c>
      <c r="C2" s="4" t="s">
        <v>80</v>
      </c>
      <c r="D2" s="4" t="s">
        <v>81</v>
      </c>
      <c r="E2" s="4" t="s">
        <v>82</v>
      </c>
      <c r="F2" s="4" t="s">
        <v>83</v>
      </c>
      <c r="G2" s="4" t="s">
        <v>84</v>
      </c>
      <c r="H2" s="4" t="s">
        <v>85</v>
      </c>
      <c r="I2" s="4" t="s">
        <v>86</v>
      </c>
      <c r="J2" s="4" t="s">
        <v>129</v>
      </c>
      <c r="K2" s="4" t="s">
        <v>130</v>
      </c>
      <c r="L2" s="4" t="s">
        <v>131</v>
      </c>
      <c r="M2" s="4" t="s">
        <v>132</v>
      </c>
      <c r="N2" s="4" t="s">
        <v>133</v>
      </c>
      <c r="O2" s="4" t="s">
        <v>134</v>
      </c>
      <c r="P2" s="4" t="s">
        <v>135</v>
      </c>
      <c r="Q2" s="4" t="s">
        <v>136</v>
      </c>
      <c r="R2" s="4" t="s">
        <v>137</v>
      </c>
      <c r="S2" s="4" t="s">
        <v>138</v>
      </c>
      <c r="T2" s="4" t="s">
        <v>139</v>
      </c>
      <c r="U2" s="4" t="s">
        <v>140</v>
      </c>
      <c r="V2" s="4" t="s">
        <v>141</v>
      </c>
      <c r="W2" s="4" t="s">
        <v>142</v>
      </c>
      <c r="X2" s="4" t="s">
        <v>143</v>
      </c>
      <c r="Y2" s="4" t="s">
        <v>144</v>
      </c>
      <c r="Z2" s="4" t="s">
        <v>145</v>
      </c>
      <c r="AA2" s="4" t="s">
        <v>146</v>
      </c>
      <c r="AB2" s="4" t="s">
        <v>147</v>
      </c>
      <c r="AC2" s="24" t="s">
        <v>148</v>
      </c>
    </row>
    <row r="3" spans="1:29" s="5" customFormat="1" x14ac:dyDescent="0.3">
      <c r="A3" s="25" t="s">
        <v>128</v>
      </c>
      <c r="B3" s="6"/>
      <c r="C3" s="6">
        <v>1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28"/>
    </row>
    <row r="4" spans="1:29" s="5" customFormat="1" x14ac:dyDescent="0.3">
      <c r="A4" s="25" t="s">
        <v>80</v>
      </c>
      <c r="B4" s="6">
        <v>1</v>
      </c>
      <c r="C4" s="6"/>
      <c r="D4" s="6">
        <v>1</v>
      </c>
      <c r="E4" s="6"/>
      <c r="F4" s="6">
        <v>1</v>
      </c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28"/>
    </row>
    <row r="5" spans="1:29" s="5" customFormat="1" x14ac:dyDescent="0.3">
      <c r="A5" s="25" t="s">
        <v>81</v>
      </c>
      <c r="B5" s="6"/>
      <c r="C5" s="6">
        <v>1</v>
      </c>
      <c r="D5" s="6"/>
      <c r="E5" s="6">
        <v>1</v>
      </c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28"/>
    </row>
    <row r="6" spans="1:29" s="5" customFormat="1" x14ac:dyDescent="0.3">
      <c r="A6" s="25" t="s">
        <v>82</v>
      </c>
      <c r="B6" s="6"/>
      <c r="C6" s="6"/>
      <c r="D6" s="6">
        <v>1</v>
      </c>
      <c r="E6" s="6"/>
      <c r="F6" s="6"/>
      <c r="G6" s="6">
        <v>1</v>
      </c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28"/>
    </row>
    <row r="7" spans="1:29" s="5" customFormat="1" x14ac:dyDescent="0.3">
      <c r="A7" s="25" t="s">
        <v>83</v>
      </c>
      <c r="B7" s="6"/>
      <c r="C7" s="6">
        <v>1</v>
      </c>
      <c r="D7" s="6"/>
      <c r="E7" s="6"/>
      <c r="F7" s="6"/>
      <c r="G7" s="6"/>
      <c r="H7" s="6"/>
      <c r="I7" s="6">
        <v>1</v>
      </c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28"/>
    </row>
    <row r="8" spans="1:29" x14ac:dyDescent="0.3">
      <c r="A8" s="25" t="s">
        <v>84</v>
      </c>
      <c r="B8" s="6"/>
      <c r="C8" s="6"/>
      <c r="D8" s="6"/>
      <c r="E8" s="6">
        <v>1</v>
      </c>
      <c r="F8" s="6"/>
      <c r="G8" s="6"/>
      <c r="H8" s="6">
        <v>1</v>
      </c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28"/>
    </row>
    <row r="9" spans="1:29" x14ac:dyDescent="0.3">
      <c r="A9" s="25" t="s">
        <v>85</v>
      </c>
      <c r="B9" s="6"/>
      <c r="C9" s="6"/>
      <c r="D9" s="6"/>
      <c r="E9" s="6"/>
      <c r="F9" s="6"/>
      <c r="G9" s="6">
        <v>1</v>
      </c>
      <c r="H9" s="6"/>
      <c r="I9" s="6">
        <v>1</v>
      </c>
      <c r="J9" s="6">
        <v>1</v>
      </c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28"/>
    </row>
    <row r="10" spans="1:29" x14ac:dyDescent="0.3">
      <c r="A10" s="25" t="s">
        <v>86</v>
      </c>
      <c r="B10" s="6"/>
      <c r="C10" s="6"/>
      <c r="D10" s="6"/>
      <c r="E10" s="6"/>
      <c r="F10" s="6">
        <v>1</v>
      </c>
      <c r="G10" s="6"/>
      <c r="H10" s="6">
        <v>1</v>
      </c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28"/>
    </row>
    <row r="11" spans="1:29" x14ac:dyDescent="0.3">
      <c r="A11" s="25" t="s">
        <v>129</v>
      </c>
      <c r="B11" s="6"/>
      <c r="C11" s="6"/>
      <c r="D11" s="6"/>
      <c r="E11" s="6"/>
      <c r="F11" s="6"/>
      <c r="G11" s="6"/>
      <c r="H11" s="6">
        <v>1</v>
      </c>
      <c r="I11" s="6"/>
      <c r="J11" s="6"/>
      <c r="K11" s="6">
        <v>1</v>
      </c>
      <c r="L11" s="6">
        <v>1</v>
      </c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28"/>
    </row>
    <row r="12" spans="1:29" x14ac:dyDescent="0.3">
      <c r="A12" s="25" t="s">
        <v>130</v>
      </c>
      <c r="B12" s="6"/>
      <c r="C12" s="6"/>
      <c r="D12" s="6"/>
      <c r="E12" s="6"/>
      <c r="F12" s="6"/>
      <c r="G12" s="6"/>
      <c r="H12" s="6"/>
      <c r="I12" s="6"/>
      <c r="J12" s="6">
        <v>1</v>
      </c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28"/>
    </row>
    <row r="13" spans="1:29" x14ac:dyDescent="0.3">
      <c r="A13" s="25" t="s">
        <v>131</v>
      </c>
      <c r="B13" s="6"/>
      <c r="C13" s="6"/>
      <c r="D13" s="6"/>
      <c r="E13" s="6"/>
      <c r="F13" s="6"/>
      <c r="G13" s="6"/>
      <c r="H13" s="6"/>
      <c r="I13" s="6"/>
      <c r="J13" s="6">
        <v>1</v>
      </c>
      <c r="K13" s="6"/>
      <c r="L13" s="6"/>
      <c r="M13" s="6"/>
      <c r="N13" s="6">
        <v>1</v>
      </c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28"/>
    </row>
    <row r="14" spans="1:29" x14ac:dyDescent="0.3">
      <c r="A14" s="25" t="s">
        <v>132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>
        <v>1</v>
      </c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28"/>
    </row>
    <row r="15" spans="1:29" x14ac:dyDescent="0.3">
      <c r="A15" s="25" t="s">
        <v>133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>
        <v>1</v>
      </c>
      <c r="M15" s="6"/>
      <c r="N15" s="6"/>
      <c r="O15" s="6">
        <v>1</v>
      </c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28"/>
    </row>
    <row r="16" spans="1:29" x14ac:dyDescent="0.3">
      <c r="A16" s="25" t="s">
        <v>134</v>
      </c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>
        <v>1</v>
      </c>
      <c r="N16" s="6">
        <v>1</v>
      </c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28">
        <v>1</v>
      </c>
    </row>
    <row r="17" spans="1:29" x14ac:dyDescent="0.3">
      <c r="A17" s="25" t="s">
        <v>135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>
        <v>1</v>
      </c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28">
        <v>1</v>
      </c>
    </row>
    <row r="18" spans="1:29" x14ac:dyDescent="0.3">
      <c r="A18" s="25" t="s">
        <v>136</v>
      </c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>
        <v>1</v>
      </c>
      <c r="Q18" s="6"/>
      <c r="R18" s="6">
        <v>1</v>
      </c>
      <c r="S18" s="6"/>
      <c r="T18" s="6"/>
      <c r="U18" s="6"/>
      <c r="V18" s="6"/>
      <c r="W18" s="6"/>
      <c r="X18" s="6"/>
      <c r="Y18" s="6"/>
      <c r="Z18" s="6"/>
      <c r="AA18" s="6"/>
      <c r="AB18" s="6"/>
      <c r="AC18" s="28"/>
    </row>
    <row r="19" spans="1:29" x14ac:dyDescent="0.3">
      <c r="A19" s="25" t="s">
        <v>137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>
        <v>1</v>
      </c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28"/>
    </row>
    <row r="20" spans="1:29" x14ac:dyDescent="0.3">
      <c r="A20" s="25" t="s">
        <v>138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>
        <v>1</v>
      </c>
      <c r="U20" s="6"/>
      <c r="V20" s="6"/>
      <c r="W20" s="6"/>
      <c r="X20" s="6"/>
      <c r="Y20" s="6"/>
      <c r="Z20" s="6"/>
      <c r="AA20" s="6"/>
      <c r="AB20" s="6"/>
      <c r="AC20" s="28"/>
    </row>
    <row r="21" spans="1:29" x14ac:dyDescent="0.3">
      <c r="A21" s="25" t="s">
        <v>139</v>
      </c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>
        <v>1</v>
      </c>
      <c r="T21" s="6"/>
      <c r="U21" s="6"/>
      <c r="V21" s="6"/>
      <c r="W21" s="6">
        <v>1</v>
      </c>
      <c r="X21" s="6"/>
      <c r="Y21" s="6"/>
      <c r="Z21" s="6"/>
      <c r="AA21" s="6"/>
      <c r="AB21" s="6"/>
      <c r="AC21" s="28"/>
    </row>
    <row r="22" spans="1:29" x14ac:dyDescent="0.3">
      <c r="A22" s="25" t="s">
        <v>140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>
        <v>1</v>
      </c>
      <c r="W22" s="6"/>
      <c r="X22" s="6"/>
      <c r="Y22" s="6"/>
      <c r="Z22" s="6"/>
      <c r="AA22" s="6"/>
      <c r="AB22" s="6"/>
      <c r="AC22" s="28">
        <v>1</v>
      </c>
    </row>
    <row r="23" spans="1:29" x14ac:dyDescent="0.3">
      <c r="A23" s="25" t="s">
        <v>141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>
        <v>1</v>
      </c>
      <c r="V23" s="6"/>
      <c r="W23" s="6">
        <v>1</v>
      </c>
      <c r="X23" s="6"/>
      <c r="Y23" s="6"/>
      <c r="Z23" s="6"/>
      <c r="AA23" s="6"/>
      <c r="AB23" s="6"/>
      <c r="AC23" s="28"/>
    </row>
    <row r="24" spans="1:29" x14ac:dyDescent="0.3">
      <c r="A24" s="25" t="s">
        <v>142</v>
      </c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>
        <v>1</v>
      </c>
      <c r="U24" s="6"/>
      <c r="V24" s="6">
        <v>1</v>
      </c>
      <c r="W24" s="6"/>
      <c r="X24" s="6">
        <v>1</v>
      </c>
      <c r="Y24" s="6"/>
      <c r="Z24" s="6"/>
      <c r="AA24" s="6"/>
      <c r="AB24" s="6"/>
      <c r="AC24" s="28"/>
    </row>
    <row r="25" spans="1:29" x14ac:dyDescent="0.3">
      <c r="A25" s="25" t="s">
        <v>143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>
        <v>1</v>
      </c>
      <c r="X25" s="6"/>
      <c r="Y25" s="6">
        <v>1</v>
      </c>
      <c r="Z25" s="6"/>
      <c r="AA25" s="6"/>
      <c r="AB25" s="6"/>
      <c r="AC25" s="28"/>
    </row>
    <row r="26" spans="1:29" x14ac:dyDescent="0.3">
      <c r="A26" s="25" t="s">
        <v>144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>
        <v>1</v>
      </c>
      <c r="Y26" s="6"/>
      <c r="Z26" s="6">
        <v>1</v>
      </c>
      <c r="AA26" s="6"/>
      <c r="AB26" s="6"/>
      <c r="AC26" s="28"/>
    </row>
    <row r="27" spans="1:29" x14ac:dyDescent="0.3">
      <c r="A27" s="25" t="s">
        <v>145</v>
      </c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>
        <v>1</v>
      </c>
      <c r="Z27" s="6"/>
      <c r="AA27" s="6">
        <v>1</v>
      </c>
      <c r="AB27" s="6"/>
      <c r="AC27" s="28"/>
    </row>
    <row r="28" spans="1:29" x14ac:dyDescent="0.3">
      <c r="A28" s="25" t="s">
        <v>146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>
        <v>1</v>
      </c>
      <c r="AA28" s="6"/>
      <c r="AB28" s="6">
        <v>1</v>
      </c>
      <c r="AC28" s="28"/>
    </row>
    <row r="29" spans="1:29" x14ac:dyDescent="0.3">
      <c r="A29" s="25" t="s">
        <v>147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>
        <v>1</v>
      </c>
      <c r="AB29" s="6"/>
      <c r="AC29" s="28"/>
    </row>
    <row r="30" spans="1:29" ht="16.2" thickBot="1" x14ac:dyDescent="0.35">
      <c r="A30" s="26" t="s">
        <v>148</v>
      </c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>
        <v>1</v>
      </c>
      <c r="P30" s="7">
        <v>1</v>
      </c>
      <c r="Q30" s="7"/>
      <c r="R30" s="7"/>
      <c r="S30" s="7"/>
      <c r="T30" s="7"/>
      <c r="U30" s="7">
        <v>1</v>
      </c>
      <c r="V30" s="7"/>
      <c r="W30" s="7"/>
      <c r="X30" s="7"/>
      <c r="Y30" s="7"/>
      <c r="Z30" s="7"/>
      <c r="AA30" s="7"/>
      <c r="AB30" s="7"/>
      <c r="AC30" s="8"/>
    </row>
  </sheetData>
  <phoneticPr fontId="2" type="noConversion"/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676BC-0D9E-4EC2-B7DF-9077076036FD}">
  <sheetPr>
    <tabColor theme="9" tint="0.79998168889431442"/>
  </sheetPr>
  <dimension ref="A1:E30"/>
  <sheetViews>
    <sheetView workbookViewId="0">
      <selection activeCell="A32" sqref="A32"/>
    </sheetView>
  </sheetViews>
  <sheetFormatPr defaultColWidth="9.33203125" defaultRowHeight="15.6" x14ac:dyDescent="0.3"/>
  <cols>
    <col min="1" max="1" width="18.109375" style="1" customWidth="1"/>
    <col min="2" max="16384" width="9.33203125" style="1"/>
  </cols>
  <sheetData>
    <row r="1" spans="1:5" ht="16.2" thickBot="1" x14ac:dyDescent="0.35">
      <c r="A1" s="1" t="s">
        <v>96</v>
      </c>
    </row>
    <row r="2" spans="1:5" s="5" customFormat="1" x14ac:dyDescent="0.3">
      <c r="A2" s="3" t="s">
        <v>213</v>
      </c>
      <c r="B2" s="4" t="s">
        <v>5</v>
      </c>
      <c r="C2" s="4" t="s">
        <v>116</v>
      </c>
      <c r="D2" s="4" t="s">
        <v>117</v>
      </c>
      <c r="E2" s="24" t="s">
        <v>118</v>
      </c>
    </row>
    <row r="3" spans="1:5" x14ac:dyDescent="0.3">
      <c r="A3" s="25" t="s">
        <v>128</v>
      </c>
      <c r="B3" s="6"/>
      <c r="C3" s="6"/>
      <c r="D3" s="6"/>
      <c r="E3" s="28"/>
    </row>
    <row r="4" spans="1:5" x14ac:dyDescent="0.3">
      <c r="A4" s="25" t="s">
        <v>80</v>
      </c>
      <c r="B4" s="6"/>
      <c r="C4" s="6"/>
      <c r="D4" s="6"/>
      <c r="E4" s="28"/>
    </row>
    <row r="5" spans="1:5" x14ac:dyDescent="0.3">
      <c r="A5" s="25" t="s">
        <v>81</v>
      </c>
      <c r="B5" s="6"/>
      <c r="C5" s="6"/>
      <c r="D5" s="6"/>
      <c r="E5" s="28"/>
    </row>
    <row r="6" spans="1:5" x14ac:dyDescent="0.3">
      <c r="A6" s="25" t="s">
        <v>82</v>
      </c>
      <c r="B6" s="6"/>
      <c r="C6" s="6"/>
      <c r="D6" s="6"/>
      <c r="E6" s="28"/>
    </row>
    <row r="7" spans="1:5" x14ac:dyDescent="0.3">
      <c r="A7" s="25" t="s">
        <v>83</v>
      </c>
      <c r="B7" s="6"/>
      <c r="C7" s="6"/>
      <c r="D7" s="6"/>
      <c r="E7" s="28"/>
    </row>
    <row r="8" spans="1:5" x14ac:dyDescent="0.3">
      <c r="A8" s="25" t="s">
        <v>84</v>
      </c>
      <c r="B8" s="6"/>
      <c r="C8" s="6"/>
      <c r="D8" s="6"/>
      <c r="E8" s="28"/>
    </row>
    <row r="9" spans="1:5" x14ac:dyDescent="0.3">
      <c r="A9" s="25" t="s">
        <v>85</v>
      </c>
      <c r="B9" s="6"/>
      <c r="C9" s="6"/>
      <c r="D9" s="6"/>
      <c r="E9" s="28"/>
    </row>
    <row r="10" spans="1:5" x14ac:dyDescent="0.3">
      <c r="A10" s="25" t="s">
        <v>86</v>
      </c>
      <c r="B10" s="6"/>
      <c r="C10" s="6"/>
      <c r="D10" s="6"/>
      <c r="E10" s="28"/>
    </row>
    <row r="11" spans="1:5" x14ac:dyDescent="0.3">
      <c r="A11" s="25" t="s">
        <v>129</v>
      </c>
      <c r="B11" s="6"/>
      <c r="C11" s="6"/>
      <c r="D11" s="6"/>
      <c r="E11" s="28"/>
    </row>
    <row r="12" spans="1:5" x14ac:dyDescent="0.3">
      <c r="A12" s="25" t="s">
        <v>130</v>
      </c>
      <c r="B12" s="6"/>
      <c r="C12" s="6"/>
      <c r="D12" s="6"/>
      <c r="E12" s="28"/>
    </row>
    <row r="13" spans="1:5" x14ac:dyDescent="0.3">
      <c r="A13" s="25" t="s">
        <v>131</v>
      </c>
      <c r="B13" s="6"/>
      <c r="C13" s="6"/>
      <c r="D13" s="6"/>
      <c r="E13" s="28"/>
    </row>
    <row r="14" spans="1:5" x14ac:dyDescent="0.3">
      <c r="A14" s="25" t="s">
        <v>132</v>
      </c>
      <c r="B14" s="6"/>
      <c r="C14" s="6"/>
      <c r="D14" s="6"/>
      <c r="E14" s="28"/>
    </row>
    <row r="15" spans="1:5" x14ac:dyDescent="0.3">
      <c r="A15" s="25" t="s">
        <v>133</v>
      </c>
      <c r="B15" s="6"/>
      <c r="C15" s="6"/>
      <c r="D15" s="6"/>
      <c r="E15" s="28"/>
    </row>
    <row r="16" spans="1:5" x14ac:dyDescent="0.3">
      <c r="A16" s="25" t="s">
        <v>134</v>
      </c>
      <c r="B16" s="6"/>
      <c r="C16" s="6"/>
      <c r="D16" s="6"/>
      <c r="E16" s="28"/>
    </row>
    <row r="17" spans="1:5" x14ac:dyDescent="0.3">
      <c r="A17" s="25" t="s">
        <v>135</v>
      </c>
      <c r="B17" s="6"/>
      <c r="C17" s="6"/>
      <c r="D17" s="6"/>
      <c r="E17" s="28"/>
    </row>
    <row r="18" spans="1:5" x14ac:dyDescent="0.3">
      <c r="A18" s="25" t="s">
        <v>136</v>
      </c>
      <c r="B18" s="6"/>
      <c r="C18" s="6"/>
      <c r="D18" s="6"/>
      <c r="E18" s="28"/>
    </row>
    <row r="19" spans="1:5" x14ac:dyDescent="0.3">
      <c r="A19" s="25" t="s">
        <v>137</v>
      </c>
      <c r="B19" s="6"/>
      <c r="C19" s="6"/>
      <c r="D19" s="6"/>
      <c r="E19" s="28"/>
    </row>
    <row r="20" spans="1:5" x14ac:dyDescent="0.3">
      <c r="A20" s="25" t="s">
        <v>138</v>
      </c>
      <c r="B20" s="6"/>
      <c r="C20" s="6"/>
      <c r="D20" s="6"/>
      <c r="E20" s="28"/>
    </row>
    <row r="21" spans="1:5" x14ac:dyDescent="0.3">
      <c r="A21" s="25" t="s">
        <v>139</v>
      </c>
      <c r="B21" s="6"/>
      <c r="C21" s="6"/>
      <c r="D21" s="6"/>
      <c r="E21" s="28"/>
    </row>
    <row r="22" spans="1:5" x14ac:dyDescent="0.3">
      <c r="A22" s="25" t="s">
        <v>140</v>
      </c>
      <c r="B22" s="6"/>
      <c r="C22" s="6"/>
      <c r="D22" s="6"/>
      <c r="E22" s="28"/>
    </row>
    <row r="23" spans="1:5" x14ac:dyDescent="0.3">
      <c r="A23" s="25" t="s">
        <v>141</v>
      </c>
      <c r="B23" s="6"/>
      <c r="C23" s="6"/>
      <c r="D23" s="6"/>
      <c r="E23" s="28"/>
    </row>
    <row r="24" spans="1:5" x14ac:dyDescent="0.3">
      <c r="A24" s="25" t="s">
        <v>142</v>
      </c>
      <c r="B24" s="6"/>
      <c r="C24" s="6"/>
      <c r="D24" s="6"/>
      <c r="E24" s="28"/>
    </row>
    <row r="25" spans="1:5" x14ac:dyDescent="0.3">
      <c r="A25" s="25" t="s">
        <v>143</v>
      </c>
      <c r="B25" s="6"/>
      <c r="C25" s="6"/>
      <c r="D25" s="6"/>
      <c r="E25" s="28"/>
    </row>
    <row r="26" spans="1:5" x14ac:dyDescent="0.3">
      <c r="A26" s="25" t="s">
        <v>144</v>
      </c>
      <c r="B26" s="6"/>
      <c r="C26" s="6"/>
      <c r="D26" s="6"/>
      <c r="E26" s="28"/>
    </row>
    <row r="27" spans="1:5" x14ac:dyDescent="0.3">
      <c r="A27" s="25" t="s">
        <v>145</v>
      </c>
      <c r="B27" s="6"/>
      <c r="C27" s="6"/>
      <c r="D27" s="6"/>
      <c r="E27" s="28"/>
    </row>
    <row r="28" spans="1:5" x14ac:dyDescent="0.3">
      <c r="A28" s="25" t="s">
        <v>146</v>
      </c>
      <c r="B28" s="6"/>
      <c r="C28" s="6"/>
      <c r="D28" s="6"/>
      <c r="E28" s="28"/>
    </row>
    <row r="29" spans="1:5" x14ac:dyDescent="0.3">
      <c r="A29" s="25" t="s">
        <v>147</v>
      </c>
      <c r="B29" s="6"/>
      <c r="C29" s="6"/>
      <c r="D29" s="6"/>
      <c r="E29" s="28"/>
    </row>
    <row r="30" spans="1:5" ht="16.2" thickBot="1" x14ac:dyDescent="0.35">
      <c r="A30" s="26" t="s">
        <v>148</v>
      </c>
      <c r="B30" s="7"/>
      <c r="C30" s="7"/>
      <c r="D30" s="7"/>
      <c r="E30" s="8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7A77C-3EC6-43F3-933A-7BFD421AB782}">
  <sheetPr>
    <tabColor theme="9" tint="0.79998168889431442"/>
  </sheetPr>
  <dimension ref="A1:D30"/>
  <sheetViews>
    <sheetView workbookViewId="0">
      <selection activeCell="A32" sqref="A32"/>
    </sheetView>
  </sheetViews>
  <sheetFormatPr defaultColWidth="9.33203125" defaultRowHeight="15.6" x14ac:dyDescent="0.3"/>
  <cols>
    <col min="1" max="1" width="16.88671875" style="1" customWidth="1"/>
    <col min="2" max="16384" width="9.33203125" style="1"/>
  </cols>
  <sheetData>
    <row r="1" spans="1:4" ht="16.2" thickBot="1" x14ac:dyDescent="0.35">
      <c r="A1" s="1" t="s">
        <v>97</v>
      </c>
    </row>
    <row r="2" spans="1:4" s="5" customFormat="1" x14ac:dyDescent="0.3">
      <c r="A2" s="3" t="s">
        <v>213</v>
      </c>
      <c r="B2" s="4" t="s">
        <v>120</v>
      </c>
      <c r="C2" s="4" t="s">
        <v>51</v>
      </c>
      <c r="D2" s="24" t="s">
        <v>119</v>
      </c>
    </row>
    <row r="3" spans="1:4" x14ac:dyDescent="0.3">
      <c r="A3" s="25" t="s">
        <v>128</v>
      </c>
      <c r="B3" s="6">
        <v>1</v>
      </c>
      <c r="C3" s="6"/>
      <c r="D3" s="28"/>
    </row>
    <row r="4" spans="1:4" x14ac:dyDescent="0.3">
      <c r="A4" s="25" t="s">
        <v>80</v>
      </c>
      <c r="B4" s="6"/>
      <c r="C4" s="6"/>
      <c r="D4" s="28"/>
    </row>
    <row r="5" spans="1:4" x14ac:dyDescent="0.3">
      <c r="A5" s="25" t="s">
        <v>81</v>
      </c>
      <c r="B5" s="6"/>
      <c r="C5" s="6"/>
      <c r="D5" s="28"/>
    </row>
    <row r="6" spans="1:4" x14ac:dyDescent="0.3">
      <c r="A6" s="25" t="s">
        <v>82</v>
      </c>
      <c r="B6" s="6"/>
      <c r="C6" s="6">
        <v>1</v>
      </c>
      <c r="D6" s="28"/>
    </row>
    <row r="7" spans="1:4" x14ac:dyDescent="0.3">
      <c r="A7" s="25" t="s">
        <v>83</v>
      </c>
      <c r="B7" s="6"/>
      <c r="C7" s="6"/>
      <c r="D7" s="28"/>
    </row>
    <row r="8" spans="1:4" x14ac:dyDescent="0.3">
      <c r="A8" s="25" t="s">
        <v>84</v>
      </c>
      <c r="B8" s="6"/>
      <c r="C8" s="6"/>
      <c r="D8" s="28"/>
    </row>
    <row r="9" spans="1:4" x14ac:dyDescent="0.3">
      <c r="A9" s="25" t="s">
        <v>85</v>
      </c>
      <c r="B9" s="6"/>
      <c r="C9" s="6"/>
      <c r="D9" s="28"/>
    </row>
    <row r="10" spans="1:4" x14ac:dyDescent="0.3">
      <c r="A10" s="25" t="s">
        <v>86</v>
      </c>
      <c r="B10" s="6"/>
      <c r="C10" s="6"/>
      <c r="D10" s="28"/>
    </row>
    <row r="11" spans="1:4" x14ac:dyDescent="0.3">
      <c r="A11" s="25" t="s">
        <v>129</v>
      </c>
      <c r="B11" s="6"/>
      <c r="C11" s="6"/>
      <c r="D11" s="28"/>
    </row>
    <row r="12" spans="1:4" x14ac:dyDescent="0.3">
      <c r="A12" s="25" t="s">
        <v>130</v>
      </c>
      <c r="B12" s="6"/>
      <c r="C12" s="6"/>
      <c r="D12" s="28"/>
    </row>
    <row r="13" spans="1:4" x14ac:dyDescent="0.3">
      <c r="A13" s="25" t="s">
        <v>131</v>
      </c>
      <c r="B13" s="6"/>
      <c r="C13" s="6"/>
      <c r="D13" s="28"/>
    </row>
    <row r="14" spans="1:4" x14ac:dyDescent="0.3">
      <c r="A14" s="25" t="s">
        <v>132</v>
      </c>
      <c r="B14" s="6"/>
      <c r="C14" s="6"/>
      <c r="D14" s="28"/>
    </row>
    <row r="15" spans="1:4" x14ac:dyDescent="0.3">
      <c r="A15" s="25" t="s">
        <v>133</v>
      </c>
      <c r="B15" s="6"/>
      <c r="C15" s="6"/>
      <c r="D15" s="28"/>
    </row>
    <row r="16" spans="1:4" x14ac:dyDescent="0.3">
      <c r="A16" s="25" t="s">
        <v>134</v>
      </c>
      <c r="B16" s="6"/>
      <c r="C16" s="6"/>
      <c r="D16" s="28"/>
    </row>
    <row r="17" spans="1:4" x14ac:dyDescent="0.3">
      <c r="A17" s="25" t="s">
        <v>135</v>
      </c>
      <c r="B17" s="6"/>
      <c r="C17" s="6"/>
      <c r="D17" s="28"/>
    </row>
    <row r="18" spans="1:4" x14ac:dyDescent="0.3">
      <c r="A18" s="25" t="s">
        <v>136</v>
      </c>
      <c r="B18" s="6"/>
      <c r="C18" s="6"/>
      <c r="D18" s="28"/>
    </row>
    <row r="19" spans="1:4" x14ac:dyDescent="0.3">
      <c r="A19" s="25" t="s">
        <v>137</v>
      </c>
      <c r="B19" s="6"/>
      <c r="C19" s="6"/>
      <c r="D19" s="28">
        <v>1</v>
      </c>
    </row>
    <row r="20" spans="1:4" x14ac:dyDescent="0.3">
      <c r="A20" s="25" t="s">
        <v>138</v>
      </c>
      <c r="B20" s="6"/>
      <c r="C20" s="6"/>
      <c r="D20" s="28">
        <v>1</v>
      </c>
    </row>
    <row r="21" spans="1:4" x14ac:dyDescent="0.3">
      <c r="A21" s="25" t="s">
        <v>139</v>
      </c>
      <c r="B21" s="6"/>
      <c r="C21" s="6"/>
      <c r="D21" s="28"/>
    </row>
    <row r="22" spans="1:4" x14ac:dyDescent="0.3">
      <c r="A22" s="25" t="s">
        <v>140</v>
      </c>
      <c r="B22" s="6"/>
      <c r="C22" s="6"/>
      <c r="D22" s="28"/>
    </row>
    <row r="23" spans="1:4" x14ac:dyDescent="0.3">
      <c r="A23" s="25" t="s">
        <v>141</v>
      </c>
      <c r="B23" s="6"/>
      <c r="C23" s="6"/>
      <c r="D23" s="28"/>
    </row>
    <row r="24" spans="1:4" x14ac:dyDescent="0.3">
      <c r="A24" s="25" t="s">
        <v>142</v>
      </c>
      <c r="B24" s="6"/>
      <c r="C24" s="6"/>
      <c r="D24" s="28"/>
    </row>
    <row r="25" spans="1:4" x14ac:dyDescent="0.3">
      <c r="A25" s="25" t="s">
        <v>143</v>
      </c>
      <c r="B25" s="6"/>
      <c r="C25" s="6"/>
      <c r="D25" s="28"/>
    </row>
    <row r="26" spans="1:4" x14ac:dyDescent="0.3">
      <c r="A26" s="25" t="s">
        <v>144</v>
      </c>
      <c r="B26" s="6"/>
      <c r="C26" s="6"/>
      <c r="D26" s="28"/>
    </row>
    <row r="27" spans="1:4" x14ac:dyDescent="0.3">
      <c r="A27" s="25" t="s">
        <v>145</v>
      </c>
      <c r="B27" s="6"/>
      <c r="C27" s="6"/>
      <c r="D27" s="28"/>
    </row>
    <row r="28" spans="1:4" x14ac:dyDescent="0.3">
      <c r="A28" s="25" t="s">
        <v>146</v>
      </c>
      <c r="B28" s="6"/>
      <c r="C28" s="6"/>
      <c r="D28" s="28"/>
    </row>
    <row r="29" spans="1:4" x14ac:dyDescent="0.3">
      <c r="A29" s="25" t="s">
        <v>147</v>
      </c>
      <c r="B29" s="6"/>
      <c r="C29" s="6"/>
      <c r="D29" s="28"/>
    </row>
    <row r="30" spans="1:4" ht="16.2" thickBot="1" x14ac:dyDescent="0.35">
      <c r="A30" s="26" t="s">
        <v>148</v>
      </c>
      <c r="B30" s="7"/>
      <c r="C30" s="7"/>
      <c r="D30" s="8"/>
    </row>
  </sheetData>
  <phoneticPr fontId="2" type="noConversion"/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AC5F8-3DBD-4182-95AF-F72C7FA4D2FF}">
  <sheetPr>
    <tabColor theme="9" tint="0.79998168889431442"/>
  </sheetPr>
  <dimension ref="A1:C30"/>
  <sheetViews>
    <sheetView workbookViewId="0">
      <selection activeCell="A32" sqref="A32"/>
    </sheetView>
  </sheetViews>
  <sheetFormatPr defaultColWidth="9.33203125" defaultRowHeight="15.6" x14ac:dyDescent="0.3"/>
  <cols>
    <col min="1" max="1" width="16.6640625" style="1" customWidth="1"/>
    <col min="2" max="16384" width="9.33203125" style="1"/>
  </cols>
  <sheetData>
    <row r="1" spans="1:3" ht="16.2" thickBot="1" x14ac:dyDescent="0.35">
      <c r="A1" s="1" t="s">
        <v>98</v>
      </c>
    </row>
    <row r="2" spans="1:3" s="5" customFormat="1" x14ac:dyDescent="0.3">
      <c r="A2" s="3" t="s">
        <v>213</v>
      </c>
      <c r="B2" s="4" t="s">
        <v>79</v>
      </c>
      <c r="C2" s="24" t="s">
        <v>127</v>
      </c>
    </row>
    <row r="3" spans="1:3" x14ac:dyDescent="0.3">
      <c r="A3" s="25" t="s">
        <v>128</v>
      </c>
      <c r="B3" s="6"/>
      <c r="C3" s="28"/>
    </row>
    <row r="4" spans="1:3" x14ac:dyDescent="0.3">
      <c r="A4" s="25" t="s">
        <v>80</v>
      </c>
      <c r="B4" s="6"/>
      <c r="C4" s="28"/>
    </row>
    <row r="5" spans="1:3" x14ac:dyDescent="0.3">
      <c r="A5" s="25" t="s">
        <v>81</v>
      </c>
      <c r="B5" s="6"/>
      <c r="C5" s="28"/>
    </row>
    <row r="6" spans="1:3" x14ac:dyDescent="0.3">
      <c r="A6" s="25" t="s">
        <v>82</v>
      </c>
      <c r="B6" s="6"/>
      <c r="C6" s="28"/>
    </row>
    <row r="7" spans="1:3" x14ac:dyDescent="0.3">
      <c r="A7" s="25" t="s">
        <v>83</v>
      </c>
      <c r="B7" s="6"/>
      <c r="C7" s="28"/>
    </row>
    <row r="8" spans="1:3" x14ac:dyDescent="0.3">
      <c r="A8" s="25" t="s">
        <v>84</v>
      </c>
      <c r="B8" s="6"/>
      <c r="C8" s="28"/>
    </row>
    <row r="9" spans="1:3" x14ac:dyDescent="0.3">
      <c r="A9" s="25" t="s">
        <v>85</v>
      </c>
      <c r="B9" s="6"/>
      <c r="C9" s="28"/>
    </row>
    <row r="10" spans="1:3" x14ac:dyDescent="0.3">
      <c r="A10" s="25" t="s">
        <v>86</v>
      </c>
      <c r="B10" s="6">
        <v>1</v>
      </c>
      <c r="C10" s="28"/>
    </row>
    <row r="11" spans="1:3" x14ac:dyDescent="0.3">
      <c r="A11" s="25" t="s">
        <v>129</v>
      </c>
      <c r="B11" s="6"/>
      <c r="C11" s="28"/>
    </row>
    <row r="12" spans="1:3" x14ac:dyDescent="0.3">
      <c r="A12" s="25" t="s">
        <v>130</v>
      </c>
      <c r="B12" s="6"/>
      <c r="C12" s="28"/>
    </row>
    <row r="13" spans="1:3" x14ac:dyDescent="0.3">
      <c r="A13" s="25" t="s">
        <v>131</v>
      </c>
      <c r="B13" s="6"/>
      <c r="C13" s="28"/>
    </row>
    <row r="14" spans="1:3" x14ac:dyDescent="0.3">
      <c r="A14" s="25" t="s">
        <v>132</v>
      </c>
      <c r="B14" s="6"/>
      <c r="C14" s="28"/>
    </row>
    <row r="15" spans="1:3" x14ac:dyDescent="0.3">
      <c r="A15" s="25" t="s">
        <v>133</v>
      </c>
      <c r="B15" s="6"/>
      <c r="C15" s="28"/>
    </row>
    <row r="16" spans="1:3" x14ac:dyDescent="0.3">
      <c r="A16" s="25" t="s">
        <v>134</v>
      </c>
      <c r="B16" s="6"/>
      <c r="C16" s="28"/>
    </row>
    <row r="17" spans="1:3" x14ac:dyDescent="0.3">
      <c r="A17" s="25" t="s">
        <v>135</v>
      </c>
      <c r="B17" s="6"/>
      <c r="C17" s="28"/>
    </row>
    <row r="18" spans="1:3" x14ac:dyDescent="0.3">
      <c r="A18" s="25" t="s">
        <v>136</v>
      </c>
      <c r="B18" s="6"/>
      <c r="C18" s="28"/>
    </row>
    <row r="19" spans="1:3" x14ac:dyDescent="0.3">
      <c r="A19" s="25" t="s">
        <v>137</v>
      </c>
      <c r="B19" s="6"/>
      <c r="C19" s="28"/>
    </row>
    <row r="20" spans="1:3" x14ac:dyDescent="0.3">
      <c r="A20" s="25" t="s">
        <v>138</v>
      </c>
      <c r="B20" s="6"/>
      <c r="C20" s="28"/>
    </row>
    <row r="21" spans="1:3" x14ac:dyDescent="0.3">
      <c r="A21" s="25" t="s">
        <v>139</v>
      </c>
      <c r="B21" s="6"/>
      <c r="C21" s="28"/>
    </row>
    <row r="22" spans="1:3" x14ac:dyDescent="0.3">
      <c r="A22" s="25" t="s">
        <v>140</v>
      </c>
      <c r="B22" s="6"/>
      <c r="C22" s="28">
        <v>1</v>
      </c>
    </row>
    <row r="23" spans="1:3" x14ac:dyDescent="0.3">
      <c r="A23" s="25" t="s">
        <v>141</v>
      </c>
      <c r="B23" s="6"/>
      <c r="C23" s="28"/>
    </row>
    <row r="24" spans="1:3" x14ac:dyDescent="0.3">
      <c r="A24" s="25" t="s">
        <v>142</v>
      </c>
      <c r="B24" s="6"/>
      <c r="C24" s="28"/>
    </row>
    <row r="25" spans="1:3" x14ac:dyDescent="0.3">
      <c r="A25" s="25" t="s">
        <v>143</v>
      </c>
      <c r="B25" s="6"/>
      <c r="C25" s="28"/>
    </row>
    <row r="26" spans="1:3" x14ac:dyDescent="0.3">
      <c r="A26" s="25" t="s">
        <v>144</v>
      </c>
      <c r="B26" s="6"/>
      <c r="C26" s="28"/>
    </row>
    <row r="27" spans="1:3" x14ac:dyDescent="0.3">
      <c r="A27" s="25" t="s">
        <v>145</v>
      </c>
      <c r="B27" s="6"/>
      <c r="C27" s="28"/>
    </row>
    <row r="28" spans="1:3" x14ac:dyDescent="0.3">
      <c r="A28" s="25" t="s">
        <v>146</v>
      </c>
      <c r="B28" s="6"/>
      <c r="C28" s="28"/>
    </row>
    <row r="29" spans="1:3" x14ac:dyDescent="0.3">
      <c r="A29" s="25" t="s">
        <v>147</v>
      </c>
      <c r="B29" s="6"/>
      <c r="C29" s="28"/>
    </row>
    <row r="30" spans="1:3" ht="16.2" thickBot="1" x14ac:dyDescent="0.35">
      <c r="A30" s="26" t="s">
        <v>148</v>
      </c>
      <c r="B30" s="7"/>
      <c r="C30" s="8"/>
    </row>
  </sheetData>
  <phoneticPr fontId="2" type="noConversion"/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4516D-9002-4617-9A63-E1CA29CE5849}">
  <sheetPr>
    <tabColor theme="9" tint="0.79998168889431442"/>
  </sheetPr>
  <dimension ref="A1:C3"/>
  <sheetViews>
    <sheetView workbookViewId="0">
      <selection activeCell="A8" sqref="A8"/>
    </sheetView>
  </sheetViews>
  <sheetFormatPr defaultColWidth="9.33203125" defaultRowHeight="15.6" x14ac:dyDescent="0.3"/>
  <cols>
    <col min="1" max="1" width="16.5546875" style="1" customWidth="1"/>
    <col min="2" max="3" width="9.109375" style="1" customWidth="1"/>
    <col min="4" max="16384" width="9.33203125" style="1"/>
  </cols>
  <sheetData>
    <row r="1" spans="1:3" ht="16.2" thickBot="1" x14ac:dyDescent="0.35">
      <c r="A1" s="1" t="s">
        <v>149</v>
      </c>
    </row>
    <row r="2" spans="1:3" s="5" customFormat="1" x14ac:dyDescent="0.3">
      <c r="A2" s="3" t="s">
        <v>213</v>
      </c>
      <c r="B2" s="4" t="s">
        <v>78</v>
      </c>
      <c r="C2" s="24" t="s">
        <v>281</v>
      </c>
    </row>
    <row r="3" spans="1:3" ht="16.2" thickBot="1" x14ac:dyDescent="0.35">
      <c r="A3" s="26" t="s">
        <v>128</v>
      </c>
      <c r="B3" s="30"/>
      <c r="C3" s="92"/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881A9-CA5F-4FA3-8B67-FC3821E0B9D1}">
  <sheetPr>
    <tabColor theme="9" tint="0.79998168889431442"/>
  </sheetPr>
  <dimension ref="A1"/>
  <sheetViews>
    <sheetView workbookViewId="0">
      <selection activeCell="A8" sqref="A8"/>
    </sheetView>
  </sheetViews>
  <sheetFormatPr defaultColWidth="9.109375" defaultRowHeight="15.6" x14ac:dyDescent="0.3"/>
  <cols>
    <col min="1" max="16384" width="9.109375" style="1"/>
  </cols>
  <sheetData>
    <row r="1" spans="1:1" x14ac:dyDescent="0.3">
      <c r="A1" s="1" t="s">
        <v>302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48F62-97B3-424F-8681-D1975DE263A9}">
  <sheetPr>
    <tabColor theme="9" tint="0.79998168889431442"/>
  </sheetPr>
  <dimension ref="A1:B4"/>
  <sheetViews>
    <sheetView workbookViewId="0">
      <selection activeCell="A8" sqref="A8"/>
    </sheetView>
  </sheetViews>
  <sheetFormatPr defaultColWidth="9.33203125" defaultRowHeight="15.6" x14ac:dyDescent="0.3"/>
  <cols>
    <col min="1" max="1" width="14.6640625" style="1" customWidth="1"/>
    <col min="2" max="16384" width="9.33203125" style="1"/>
  </cols>
  <sheetData>
    <row r="1" spans="1:2" ht="16.2" thickBot="1" x14ac:dyDescent="0.35">
      <c r="A1" s="1" t="s">
        <v>150</v>
      </c>
    </row>
    <row r="2" spans="1:2" s="5" customFormat="1" x14ac:dyDescent="0.3">
      <c r="A2" s="3" t="s">
        <v>211</v>
      </c>
      <c r="B2" s="24" t="s">
        <v>128</v>
      </c>
    </row>
    <row r="3" spans="1:2" s="5" customFormat="1" x14ac:dyDescent="0.3">
      <c r="A3" s="25" t="s">
        <v>78</v>
      </c>
      <c r="B3" s="31"/>
    </row>
    <row r="4" spans="1:2" s="5" customFormat="1" ht="16.2" thickBot="1" x14ac:dyDescent="0.35">
      <c r="A4" s="26" t="s">
        <v>281</v>
      </c>
      <c r="B4" s="32"/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F6F83-9FD6-4F70-BC51-ABE04C1D3900}">
  <sheetPr>
    <tabColor theme="9" tint="0.79998168889431442"/>
  </sheetPr>
  <dimension ref="A1"/>
  <sheetViews>
    <sheetView workbookViewId="0">
      <selection activeCell="A8" sqref="A8"/>
    </sheetView>
  </sheetViews>
  <sheetFormatPr defaultColWidth="9.109375" defaultRowHeight="15.6" x14ac:dyDescent="0.3"/>
  <cols>
    <col min="1" max="16384" width="9.109375" style="1"/>
  </cols>
  <sheetData>
    <row r="1" spans="1:1" x14ac:dyDescent="0.3">
      <c r="A1" s="1" t="s">
        <v>301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C2D47-F187-4A8D-891B-85F0F5A9A73D}">
  <sheetPr>
    <tabColor theme="9" tint="0.79998168889431442"/>
  </sheetPr>
  <dimension ref="A1:E10"/>
  <sheetViews>
    <sheetView workbookViewId="0">
      <selection activeCell="A12" sqref="A12"/>
    </sheetView>
  </sheetViews>
  <sheetFormatPr defaultColWidth="9.33203125" defaultRowHeight="15.6" x14ac:dyDescent="0.3"/>
  <cols>
    <col min="1" max="1" width="20.88671875" style="1" customWidth="1"/>
    <col min="2" max="16384" width="9.33203125" style="1"/>
  </cols>
  <sheetData>
    <row r="1" spans="1:5" ht="16.2" thickBot="1" x14ac:dyDescent="0.35">
      <c r="A1" s="1" t="s">
        <v>74</v>
      </c>
    </row>
    <row r="2" spans="1:5" s="5" customFormat="1" x14ac:dyDescent="0.3">
      <c r="A2" s="3" t="s">
        <v>210</v>
      </c>
      <c r="B2" s="4" t="s">
        <v>5</v>
      </c>
      <c r="C2" s="4" t="s">
        <v>116</v>
      </c>
      <c r="D2" s="4" t="s">
        <v>117</v>
      </c>
      <c r="E2" s="24" t="s">
        <v>118</v>
      </c>
    </row>
    <row r="3" spans="1:5" x14ac:dyDescent="0.3">
      <c r="A3" s="25" t="s">
        <v>66</v>
      </c>
      <c r="B3" s="6"/>
      <c r="C3" s="6"/>
      <c r="D3" s="6"/>
      <c r="E3" s="28"/>
    </row>
    <row r="4" spans="1:5" x14ac:dyDescent="0.3">
      <c r="A4" s="25" t="s">
        <v>67</v>
      </c>
      <c r="B4" s="6"/>
      <c r="C4" s="6"/>
      <c r="D4" s="6"/>
      <c r="E4" s="28"/>
    </row>
    <row r="5" spans="1:5" x14ac:dyDescent="0.3">
      <c r="A5" s="25" t="s">
        <v>121</v>
      </c>
      <c r="B5" s="6"/>
      <c r="C5" s="6"/>
      <c r="D5" s="6"/>
      <c r="E5" s="28"/>
    </row>
    <row r="6" spans="1:5" x14ac:dyDescent="0.3">
      <c r="A6" s="25" t="s">
        <v>122</v>
      </c>
      <c r="B6" s="6"/>
      <c r="C6" s="6"/>
      <c r="D6" s="6"/>
      <c r="E6" s="28"/>
    </row>
    <row r="7" spans="1:5" x14ac:dyDescent="0.3">
      <c r="A7" s="25" t="s">
        <v>123</v>
      </c>
      <c r="B7" s="6"/>
      <c r="C7" s="6"/>
      <c r="D7" s="6"/>
      <c r="E7" s="28"/>
    </row>
    <row r="8" spans="1:5" x14ac:dyDescent="0.3">
      <c r="A8" s="25" t="s">
        <v>124</v>
      </c>
      <c r="B8" s="6"/>
      <c r="C8" s="6"/>
      <c r="D8" s="6"/>
      <c r="E8" s="28"/>
    </row>
    <row r="9" spans="1:5" x14ac:dyDescent="0.3">
      <c r="A9" s="25" t="s">
        <v>125</v>
      </c>
      <c r="B9" s="6"/>
      <c r="C9" s="6"/>
      <c r="D9" s="6"/>
      <c r="E9" s="28"/>
    </row>
    <row r="10" spans="1:5" ht="16.2" thickBot="1" x14ac:dyDescent="0.35">
      <c r="A10" s="26" t="s">
        <v>126</v>
      </c>
      <c r="B10" s="7"/>
      <c r="C10" s="7"/>
      <c r="D10" s="7"/>
      <c r="E10" s="8"/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F715F-3E15-4648-BE2E-5DDD5729CBA6}">
  <sheetPr>
    <tabColor theme="2" tint="-9.9978637043366805E-2"/>
  </sheetPr>
  <dimension ref="A1:BB12"/>
  <sheetViews>
    <sheetView zoomScaleNormal="100" workbookViewId="0">
      <selection activeCell="B11" sqref="B11"/>
    </sheetView>
  </sheetViews>
  <sheetFormatPr defaultColWidth="9.33203125" defaultRowHeight="15.6" x14ac:dyDescent="0.3"/>
  <cols>
    <col min="1" max="1" width="16.88671875" style="1" customWidth="1"/>
    <col min="2" max="2" width="13.109375" style="1" customWidth="1"/>
    <col min="3" max="3" width="9.33203125" style="1"/>
    <col min="4" max="4" width="92.5546875" style="1" bestFit="1" customWidth="1"/>
    <col min="5" max="5" width="8.44140625" style="1" bestFit="1" customWidth="1"/>
    <col min="6" max="6" width="2.33203125" style="1" bestFit="1" customWidth="1"/>
    <col min="7" max="7" width="12.44140625" style="1" bestFit="1" customWidth="1"/>
    <col min="8" max="8" width="0.6640625" style="1" customWidth="1"/>
    <col min="9" max="9" width="8.44140625" style="1" bestFit="1" customWidth="1"/>
    <col min="10" max="10" width="2.33203125" style="1" bestFit="1" customWidth="1"/>
    <col min="11" max="11" width="12.44140625" style="1" bestFit="1" customWidth="1"/>
    <col min="12" max="48" width="9.33203125" style="1"/>
    <col min="49" max="49" width="13.88671875" style="1" bestFit="1" customWidth="1"/>
    <col min="50" max="50" width="9.33203125" style="1" bestFit="1" customWidth="1"/>
    <col min="51" max="51" width="6.33203125" style="1" bestFit="1" customWidth="1"/>
    <col min="52" max="52" width="9.33203125" style="1" bestFit="1" customWidth="1"/>
    <col min="53" max="53" width="9.33203125" style="1" customWidth="1"/>
    <col min="54" max="54" width="15.5546875" style="1" bestFit="1" customWidth="1"/>
    <col min="55" max="16384" width="9.33203125" style="1"/>
  </cols>
  <sheetData>
    <row r="1" spans="1:54" ht="16.2" thickBot="1" x14ac:dyDescent="0.35">
      <c r="A1" s="1" t="s">
        <v>231</v>
      </c>
    </row>
    <row r="2" spans="1:54" s="5" customFormat="1" x14ac:dyDescent="0.3">
      <c r="A2" s="3" t="s">
        <v>219</v>
      </c>
      <c r="B2" s="24" t="s">
        <v>207</v>
      </c>
      <c r="D2" s="66" t="s">
        <v>261</v>
      </c>
      <c r="E2" s="67" t="s">
        <v>262</v>
      </c>
      <c r="F2" s="49"/>
      <c r="G2" s="49"/>
      <c r="H2" s="50"/>
      <c r="I2" s="49"/>
      <c r="J2" s="49"/>
      <c r="K2" s="51"/>
    </row>
    <row r="3" spans="1:54" x14ac:dyDescent="0.3">
      <c r="A3" s="25" t="s">
        <v>232</v>
      </c>
      <c r="B3" s="43" t="s">
        <v>263</v>
      </c>
      <c r="D3" s="59" t="s">
        <v>264</v>
      </c>
      <c r="E3" s="52" t="s">
        <v>263</v>
      </c>
      <c r="F3" s="53" t="s">
        <v>233</v>
      </c>
      <c r="G3" s="54" t="s">
        <v>234</v>
      </c>
      <c r="H3" s="55"/>
      <c r="I3" s="54" t="s">
        <v>265</v>
      </c>
      <c r="J3" s="53" t="s">
        <v>233</v>
      </c>
      <c r="K3" s="56" t="s">
        <v>266</v>
      </c>
    </row>
    <row r="4" spans="1:54" x14ac:dyDescent="0.3">
      <c r="A4" s="25" t="s">
        <v>235</v>
      </c>
      <c r="B4" s="43" t="s">
        <v>236</v>
      </c>
      <c r="D4" s="59" t="s">
        <v>267</v>
      </c>
      <c r="E4" s="52" t="s">
        <v>237</v>
      </c>
      <c r="F4" s="53" t="s">
        <v>233</v>
      </c>
      <c r="G4" s="54" t="s">
        <v>238</v>
      </c>
      <c r="H4" s="55"/>
      <c r="I4" s="54"/>
      <c r="J4" s="54"/>
      <c r="K4" s="56"/>
    </row>
    <row r="5" spans="1:54" x14ac:dyDescent="0.3">
      <c r="A5" s="25" t="s">
        <v>239</v>
      </c>
      <c r="B5" s="43" t="s">
        <v>240</v>
      </c>
      <c r="D5" s="59" t="s">
        <v>268</v>
      </c>
      <c r="E5" s="57"/>
      <c r="F5" s="58"/>
      <c r="G5" s="58"/>
      <c r="H5" s="59"/>
      <c r="I5" s="58"/>
      <c r="J5" s="58"/>
      <c r="K5" s="60"/>
    </row>
    <row r="6" spans="1:54" x14ac:dyDescent="0.3">
      <c r="A6" s="25" t="s">
        <v>241</v>
      </c>
      <c r="B6" s="43" t="s">
        <v>242</v>
      </c>
      <c r="D6" s="59" t="s">
        <v>269</v>
      </c>
      <c r="E6" s="52" t="s">
        <v>242</v>
      </c>
      <c r="F6" s="53" t="s">
        <v>233</v>
      </c>
      <c r="G6" s="54" t="s">
        <v>243</v>
      </c>
      <c r="H6" s="59"/>
      <c r="I6" s="58"/>
      <c r="J6" s="58"/>
      <c r="K6" s="60"/>
    </row>
    <row r="7" spans="1:54" x14ac:dyDescent="0.3">
      <c r="A7" s="25" t="s">
        <v>244</v>
      </c>
      <c r="B7" s="43" t="s">
        <v>245</v>
      </c>
      <c r="D7" s="59" t="s">
        <v>270</v>
      </c>
      <c r="E7" s="52" t="s">
        <v>246</v>
      </c>
      <c r="F7" s="53" t="s">
        <v>233</v>
      </c>
      <c r="G7" s="54" t="s">
        <v>247</v>
      </c>
      <c r="H7" s="59"/>
      <c r="I7" s="58"/>
      <c r="J7" s="58"/>
      <c r="K7" s="60"/>
    </row>
    <row r="8" spans="1:54" x14ac:dyDescent="0.3">
      <c r="A8" s="25" t="s">
        <v>248</v>
      </c>
      <c r="B8" s="43" t="s">
        <v>252</v>
      </c>
      <c r="D8" s="59" t="s">
        <v>271</v>
      </c>
      <c r="E8" s="57"/>
      <c r="F8" s="58"/>
      <c r="G8" s="58"/>
      <c r="H8" s="59"/>
      <c r="I8" s="58"/>
      <c r="J8" s="58"/>
      <c r="K8" s="60"/>
      <c r="AT8" s="29" t="s">
        <v>232</v>
      </c>
      <c r="AU8" s="29" t="s">
        <v>235</v>
      </c>
      <c r="AV8" s="29" t="s">
        <v>239</v>
      </c>
      <c r="AW8" s="29" t="s">
        <v>241</v>
      </c>
      <c r="AX8" s="29" t="s">
        <v>244</v>
      </c>
      <c r="AY8" s="29" t="s">
        <v>248</v>
      </c>
      <c r="AZ8" s="29" t="s">
        <v>290</v>
      </c>
      <c r="BA8" s="29" t="s">
        <v>322</v>
      </c>
      <c r="BB8" s="29" t="s">
        <v>250</v>
      </c>
    </row>
    <row r="9" spans="1:54" x14ac:dyDescent="0.3">
      <c r="A9" s="25" t="s">
        <v>290</v>
      </c>
      <c r="B9" s="43" t="s">
        <v>291</v>
      </c>
      <c r="D9" s="59" t="s">
        <v>292</v>
      </c>
      <c r="E9" s="57" t="s">
        <v>291</v>
      </c>
      <c r="F9" s="58" t="s">
        <v>233</v>
      </c>
      <c r="G9" s="58" t="s">
        <v>293</v>
      </c>
      <c r="H9" s="59"/>
      <c r="I9" s="58"/>
      <c r="J9" s="58"/>
      <c r="K9" s="60"/>
      <c r="AT9" s="1" t="s">
        <v>263</v>
      </c>
      <c r="AU9" s="1" t="s">
        <v>257</v>
      </c>
      <c r="AV9" s="1" t="s">
        <v>240</v>
      </c>
      <c r="AW9" s="1" t="s">
        <v>242</v>
      </c>
      <c r="AX9" s="1" t="s">
        <v>245</v>
      </c>
      <c r="AY9" s="1" t="s">
        <v>249</v>
      </c>
      <c r="AZ9" s="1" t="s">
        <v>294</v>
      </c>
      <c r="BA9" s="1" t="s">
        <v>321</v>
      </c>
      <c r="BB9" s="1" t="s">
        <v>249</v>
      </c>
    </row>
    <row r="10" spans="1:54" x14ac:dyDescent="0.3">
      <c r="A10" s="25" t="s">
        <v>295</v>
      </c>
      <c r="B10" s="43" t="s">
        <v>257</v>
      </c>
      <c r="D10" s="59" t="s">
        <v>296</v>
      </c>
      <c r="E10" s="57"/>
      <c r="F10" s="58"/>
      <c r="G10" s="58"/>
      <c r="H10" s="59"/>
      <c r="I10" s="58"/>
      <c r="J10" s="58"/>
      <c r="K10" s="60"/>
      <c r="AT10" s="1" t="s">
        <v>265</v>
      </c>
      <c r="AU10" s="1" t="s">
        <v>236</v>
      </c>
      <c r="AV10" s="1" t="s">
        <v>258</v>
      </c>
      <c r="AW10" s="1" t="s">
        <v>259</v>
      </c>
      <c r="AX10" s="1" t="s">
        <v>246</v>
      </c>
      <c r="AY10" s="1" t="s">
        <v>252</v>
      </c>
      <c r="AZ10" s="1" t="s">
        <v>291</v>
      </c>
      <c r="BA10" s="1" t="s">
        <v>323</v>
      </c>
      <c r="BB10" s="1" t="s">
        <v>252</v>
      </c>
    </row>
    <row r="11" spans="1:54" x14ac:dyDescent="0.3">
      <c r="A11" s="25" t="s">
        <v>251</v>
      </c>
      <c r="B11" s="43" t="s">
        <v>252</v>
      </c>
      <c r="D11" s="59" t="s">
        <v>272</v>
      </c>
      <c r="E11" s="57" t="s">
        <v>253</v>
      </c>
      <c r="F11" s="58" t="s">
        <v>233</v>
      </c>
      <c r="G11" s="58" t="s">
        <v>254</v>
      </c>
      <c r="H11" s="59"/>
      <c r="I11" s="58" t="s">
        <v>255</v>
      </c>
      <c r="J11" s="58" t="s">
        <v>233</v>
      </c>
      <c r="K11" s="60" t="s">
        <v>256</v>
      </c>
      <c r="AU11" s="1" t="s">
        <v>260</v>
      </c>
      <c r="BB11" s="1" t="s">
        <v>253</v>
      </c>
    </row>
    <row r="12" spans="1:54" ht="16.2" thickBot="1" x14ac:dyDescent="0.35">
      <c r="A12" s="26" t="s">
        <v>322</v>
      </c>
      <c r="B12" s="36" t="s">
        <v>321</v>
      </c>
      <c r="D12" s="64" t="s">
        <v>325</v>
      </c>
      <c r="E12" s="61" t="s">
        <v>323</v>
      </c>
      <c r="F12" s="62" t="s">
        <v>233</v>
      </c>
      <c r="G12" s="63" t="s">
        <v>324</v>
      </c>
      <c r="H12" s="64"/>
      <c r="I12" s="65"/>
      <c r="J12" s="62"/>
      <c r="K12" s="63"/>
      <c r="AU12" s="1" t="s">
        <v>237</v>
      </c>
      <c r="BB12" s="1" t="s">
        <v>255</v>
      </c>
    </row>
  </sheetData>
  <dataValidations count="8">
    <dataValidation type="list" allowBlank="1" showInputMessage="1" showErrorMessage="1" sqref="B5" xr:uid="{0C026CC7-B57D-4AFD-8EEA-13FD9FD6C388}">
      <formula1>$AV$9:$AV$10</formula1>
    </dataValidation>
    <dataValidation type="list" allowBlank="1" showInputMessage="1" showErrorMessage="1" sqref="B8" xr:uid="{B28A78E0-D629-457A-94FC-C81ED9788553}">
      <formula1>$AY$9:$AY$10</formula1>
    </dataValidation>
    <dataValidation type="list" allowBlank="1" showInputMessage="1" showErrorMessage="1" sqref="B7" xr:uid="{F6C543D4-B81A-44C3-BFF2-82E8F2AF04DB}">
      <formula1>$AX$9:$AX$10</formula1>
    </dataValidation>
    <dataValidation type="list" allowBlank="1" showInputMessage="1" showErrorMessage="1" sqref="B6" xr:uid="{72FBB5FA-E124-4E8A-B744-E4BA3A8CE820}">
      <formula1>$AW$9:$AW$10</formula1>
    </dataValidation>
    <dataValidation type="list" allowBlank="1" showInputMessage="1" showErrorMessage="1" sqref="B4 B10" xr:uid="{DCEF11AF-FFE0-4B5E-A98E-5F28C01F7AE7}">
      <formula1>$AU$9:$AU$12</formula1>
    </dataValidation>
    <dataValidation type="list" allowBlank="1" showInputMessage="1" showErrorMessage="1" sqref="B3" xr:uid="{35F46502-9A29-4048-908F-E7409042ADFB}">
      <formula1>$AT$9:$AT$10</formula1>
    </dataValidation>
    <dataValidation type="list" allowBlank="1" showInputMessage="1" showErrorMessage="1" sqref="B11" xr:uid="{181EF7AB-511F-47A3-BC05-E7FB483DBB69}">
      <formula1>$BB$9:$BB$12</formula1>
    </dataValidation>
    <dataValidation type="list" allowBlank="1" showInputMessage="1" showErrorMessage="1" sqref="B9" xr:uid="{06C1A8A0-A54F-4D19-9A2F-F593097DAA61}">
      <formula1>$AZ$9:$AZ$10</formula1>
    </dataValidation>
  </dataValidation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F6C2E-9295-44C7-B492-F6D27B8F0C30}">
  <sheetPr>
    <tabColor theme="9" tint="0.79998168889431442"/>
  </sheetPr>
  <dimension ref="A1:E4"/>
  <sheetViews>
    <sheetView workbookViewId="0">
      <selection activeCell="A8" sqref="A8"/>
    </sheetView>
  </sheetViews>
  <sheetFormatPr defaultColWidth="9.33203125" defaultRowHeight="15.6" x14ac:dyDescent="0.3"/>
  <cols>
    <col min="1" max="1" width="18" style="1" customWidth="1"/>
    <col min="2" max="16384" width="9.33203125" style="1"/>
  </cols>
  <sheetData>
    <row r="1" spans="1:5" ht="16.2" thickBot="1" x14ac:dyDescent="0.35">
      <c r="A1" s="1" t="s">
        <v>305</v>
      </c>
    </row>
    <row r="2" spans="1:5" s="5" customFormat="1" x14ac:dyDescent="0.3">
      <c r="A2" s="3" t="s">
        <v>212</v>
      </c>
      <c r="B2" s="4" t="s">
        <v>5</v>
      </c>
      <c r="C2" s="4" t="s">
        <v>116</v>
      </c>
      <c r="D2" s="4" t="s">
        <v>117</v>
      </c>
      <c r="E2" s="24" t="s">
        <v>118</v>
      </c>
    </row>
    <row r="3" spans="1:5" x14ac:dyDescent="0.3">
      <c r="A3" s="25" t="s">
        <v>79</v>
      </c>
      <c r="B3" s="6"/>
      <c r="C3" s="6"/>
      <c r="D3" s="6"/>
      <c r="E3" s="28"/>
    </row>
    <row r="4" spans="1:5" ht="16.2" thickBot="1" x14ac:dyDescent="0.35">
      <c r="A4" s="26" t="s">
        <v>127</v>
      </c>
      <c r="B4" s="7"/>
      <c r="C4" s="7"/>
      <c r="D4" s="7"/>
      <c r="E4" s="8"/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1AE0C-960A-4D78-B379-4A547CF947AD}">
  <sheetPr>
    <tabColor theme="9" tint="0.79998168889431442"/>
  </sheetPr>
  <dimension ref="A1:C4"/>
  <sheetViews>
    <sheetView workbookViewId="0">
      <selection activeCell="A8" sqref="A8"/>
    </sheetView>
  </sheetViews>
  <sheetFormatPr defaultColWidth="9.109375" defaultRowHeight="15.6" x14ac:dyDescent="0.3"/>
  <cols>
    <col min="1" max="1" width="18.88671875" style="1" customWidth="1"/>
    <col min="2" max="16384" width="9.109375" style="1"/>
  </cols>
  <sheetData>
    <row r="1" spans="1:3" ht="16.2" thickBot="1" x14ac:dyDescent="0.35">
      <c r="A1" s="1" t="s">
        <v>306</v>
      </c>
    </row>
    <row r="2" spans="1:3" x14ac:dyDescent="0.3">
      <c r="A2" s="3" t="s">
        <v>212</v>
      </c>
      <c r="B2" s="4" t="s">
        <v>78</v>
      </c>
      <c r="C2" s="24" t="s">
        <v>281</v>
      </c>
    </row>
    <row r="3" spans="1:3" x14ac:dyDescent="0.3">
      <c r="A3" s="25" t="s">
        <v>79</v>
      </c>
      <c r="B3" s="6">
        <v>1</v>
      </c>
      <c r="C3" s="28"/>
    </row>
    <row r="4" spans="1:3" ht="16.2" thickBot="1" x14ac:dyDescent="0.35">
      <c r="A4" s="26" t="s">
        <v>127</v>
      </c>
      <c r="B4" s="7"/>
      <c r="C4" s="8">
        <v>1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E3F424-AF67-40EA-B112-0E5B2FC8462D}">
  <sheetPr>
    <tabColor theme="9" tint="0.79998168889431442"/>
  </sheetPr>
  <dimension ref="A1:E5"/>
  <sheetViews>
    <sheetView workbookViewId="0">
      <selection activeCell="A8" sqref="A8"/>
    </sheetView>
  </sheetViews>
  <sheetFormatPr defaultColWidth="9.109375" defaultRowHeight="15.6" x14ac:dyDescent="0.3"/>
  <cols>
    <col min="1" max="1" width="14.88671875" style="1" customWidth="1"/>
    <col min="2" max="16384" width="9.109375" style="1"/>
  </cols>
  <sheetData>
    <row r="1" spans="1:5" ht="16.2" thickBot="1" x14ac:dyDescent="0.35">
      <c r="A1" s="1" t="s">
        <v>224</v>
      </c>
    </row>
    <row r="2" spans="1:5" x14ac:dyDescent="0.3">
      <c r="A2" s="3" t="s">
        <v>211</v>
      </c>
      <c r="B2" s="4" t="s">
        <v>5</v>
      </c>
      <c r="C2" s="4" t="s">
        <v>116</v>
      </c>
      <c r="D2" s="4" t="s">
        <v>117</v>
      </c>
      <c r="E2" s="24" t="s">
        <v>118</v>
      </c>
    </row>
    <row r="3" spans="1:5" x14ac:dyDescent="0.3">
      <c r="A3" s="25" t="s">
        <v>78</v>
      </c>
      <c r="B3" s="6">
        <v>1</v>
      </c>
      <c r="C3" s="6">
        <v>1</v>
      </c>
      <c r="D3" s="6"/>
      <c r="E3" s="28"/>
    </row>
    <row r="4" spans="1:5" ht="16.2" thickBot="1" x14ac:dyDescent="0.35">
      <c r="A4" s="26" t="s">
        <v>281</v>
      </c>
      <c r="B4" s="7"/>
      <c r="C4" s="7"/>
      <c r="D4" s="7">
        <v>1</v>
      </c>
      <c r="E4" s="8">
        <v>1</v>
      </c>
    </row>
    <row r="5" spans="1:5" x14ac:dyDescent="0.3">
      <c r="A5" s="9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F673B-ABE6-40C2-BA6B-F7AEA69D03F8}">
  <sheetPr>
    <tabColor theme="9" tint="0.79998168889431442"/>
  </sheetPr>
  <dimension ref="A1:B4"/>
  <sheetViews>
    <sheetView workbookViewId="0">
      <selection activeCell="A8" sqref="A8"/>
    </sheetView>
  </sheetViews>
  <sheetFormatPr defaultColWidth="9.33203125" defaultRowHeight="15.6" x14ac:dyDescent="0.3"/>
  <cols>
    <col min="1" max="1" width="18.44140625" style="1" customWidth="1"/>
    <col min="2" max="16384" width="9.33203125" style="1"/>
  </cols>
  <sheetData>
    <row r="1" spans="1:2" ht="16.2" thickBot="1" x14ac:dyDescent="0.35">
      <c r="A1" s="1" t="s">
        <v>307</v>
      </c>
    </row>
    <row r="2" spans="1:2" s="5" customFormat="1" x14ac:dyDescent="0.3">
      <c r="A2" s="3" t="s">
        <v>212</v>
      </c>
      <c r="B2" s="24" t="s">
        <v>128</v>
      </c>
    </row>
    <row r="3" spans="1:2" x14ac:dyDescent="0.3">
      <c r="A3" s="25" t="s">
        <v>79</v>
      </c>
      <c r="B3" s="28"/>
    </row>
    <row r="4" spans="1:2" ht="16.2" thickBot="1" x14ac:dyDescent="0.35">
      <c r="A4" s="26" t="s">
        <v>127</v>
      </c>
      <c r="B4" s="8"/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3E3B05-FEA6-4F0A-B0B4-606FC7BB514D}">
  <sheetPr>
    <tabColor theme="9" tint="0.79998168889431442"/>
  </sheetPr>
  <dimension ref="A1"/>
  <sheetViews>
    <sheetView workbookViewId="0">
      <selection activeCell="A8" sqref="A8"/>
    </sheetView>
  </sheetViews>
  <sheetFormatPr defaultColWidth="9.109375" defaultRowHeight="15.6" x14ac:dyDescent="0.3"/>
  <cols>
    <col min="1" max="16384" width="9.109375" style="1"/>
  </cols>
  <sheetData>
    <row r="1" spans="1:1" x14ac:dyDescent="0.3">
      <c r="A1" s="1" t="s">
        <v>308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ED8ED-0A77-4974-A7C2-D2B875DA1401}">
  <sheetPr>
    <tabColor theme="9" tint="0.79998168889431442"/>
  </sheetPr>
  <dimension ref="A1:E17"/>
  <sheetViews>
    <sheetView workbookViewId="0">
      <selection activeCell="A19" sqref="A19"/>
    </sheetView>
  </sheetViews>
  <sheetFormatPr defaultColWidth="9.33203125" defaultRowHeight="15.6" x14ac:dyDescent="0.3"/>
  <cols>
    <col min="1" max="1" width="17.33203125" style="1" customWidth="1"/>
    <col min="2" max="16384" width="9.33203125" style="1"/>
  </cols>
  <sheetData>
    <row r="1" spans="1:5" ht="16.2" thickBot="1" x14ac:dyDescent="0.35">
      <c r="A1" s="1" t="s">
        <v>75</v>
      </c>
    </row>
    <row r="2" spans="1:5" s="5" customFormat="1" x14ac:dyDescent="0.3">
      <c r="A2" s="3" t="s">
        <v>206</v>
      </c>
      <c r="B2" s="4" t="s">
        <v>5</v>
      </c>
      <c r="C2" s="4" t="s">
        <v>116</v>
      </c>
      <c r="D2" s="4" t="s">
        <v>117</v>
      </c>
      <c r="E2" s="24" t="s">
        <v>118</v>
      </c>
    </row>
    <row r="3" spans="1:5" s="5" customFormat="1" x14ac:dyDescent="0.3">
      <c r="A3" s="25" t="s">
        <v>111</v>
      </c>
      <c r="B3" s="6"/>
      <c r="C3" s="6"/>
      <c r="D3" s="6"/>
      <c r="E3" s="28"/>
    </row>
    <row r="4" spans="1:5" x14ac:dyDescent="0.3">
      <c r="A4" s="25" t="s">
        <v>3</v>
      </c>
      <c r="B4" s="6"/>
      <c r="C4" s="6"/>
      <c r="D4" s="6"/>
      <c r="E4" s="28"/>
    </row>
    <row r="5" spans="1:5" x14ac:dyDescent="0.3">
      <c r="A5" s="25" t="s">
        <v>4</v>
      </c>
      <c r="B5" s="6"/>
      <c r="C5" s="6"/>
      <c r="D5" s="6"/>
      <c r="E5" s="28"/>
    </row>
    <row r="6" spans="1:5" x14ac:dyDescent="0.3">
      <c r="A6" s="25" t="s">
        <v>103</v>
      </c>
      <c r="B6" s="6"/>
      <c r="C6" s="6"/>
      <c r="D6" s="6"/>
      <c r="E6" s="28"/>
    </row>
    <row r="7" spans="1:5" x14ac:dyDescent="0.3">
      <c r="A7" s="25" t="s">
        <v>104</v>
      </c>
      <c r="B7" s="6"/>
      <c r="C7" s="6"/>
      <c r="D7" s="6"/>
      <c r="E7" s="28"/>
    </row>
    <row r="8" spans="1:5" x14ac:dyDescent="0.3">
      <c r="A8" s="25" t="s">
        <v>105</v>
      </c>
      <c r="B8" s="6"/>
      <c r="C8" s="6"/>
      <c r="D8" s="6"/>
      <c r="E8" s="28"/>
    </row>
    <row r="9" spans="1:5" x14ac:dyDescent="0.3">
      <c r="A9" s="25" t="s">
        <v>106</v>
      </c>
      <c r="B9" s="6"/>
      <c r="C9" s="6"/>
      <c r="D9" s="6"/>
      <c r="E9" s="28"/>
    </row>
    <row r="10" spans="1:5" x14ac:dyDescent="0.3">
      <c r="A10" s="25" t="s">
        <v>107</v>
      </c>
      <c r="B10" s="6"/>
      <c r="C10" s="6"/>
      <c r="D10" s="6"/>
      <c r="E10" s="28"/>
    </row>
    <row r="11" spans="1:5" x14ac:dyDescent="0.3">
      <c r="A11" s="25" t="s">
        <v>108</v>
      </c>
      <c r="B11" s="6"/>
      <c r="C11" s="6"/>
      <c r="D11" s="6"/>
      <c r="E11" s="28"/>
    </row>
    <row r="12" spans="1:5" x14ac:dyDescent="0.3">
      <c r="A12" s="25" t="s">
        <v>109</v>
      </c>
      <c r="B12" s="6"/>
      <c r="C12" s="6"/>
      <c r="D12" s="6"/>
      <c r="E12" s="28"/>
    </row>
    <row r="13" spans="1:5" x14ac:dyDescent="0.3">
      <c r="A13" s="25" t="s">
        <v>110</v>
      </c>
      <c r="B13" s="6"/>
      <c r="C13" s="6"/>
      <c r="D13" s="6"/>
      <c r="E13" s="28"/>
    </row>
    <row r="14" spans="1:5" x14ac:dyDescent="0.3">
      <c r="A14" s="25" t="s">
        <v>112</v>
      </c>
      <c r="B14" s="6"/>
      <c r="C14" s="6"/>
      <c r="D14" s="6"/>
      <c r="E14" s="28"/>
    </row>
    <row r="15" spans="1:5" x14ac:dyDescent="0.3">
      <c r="A15" s="25" t="s">
        <v>113</v>
      </c>
      <c r="B15" s="6"/>
      <c r="C15" s="6"/>
      <c r="D15" s="6"/>
      <c r="E15" s="28"/>
    </row>
    <row r="16" spans="1:5" x14ac:dyDescent="0.3">
      <c r="A16" s="25" t="s">
        <v>114</v>
      </c>
      <c r="B16" s="6"/>
      <c r="C16" s="6"/>
      <c r="D16" s="6"/>
      <c r="E16" s="28"/>
    </row>
    <row r="17" spans="1:5" ht="16.2" thickBot="1" x14ac:dyDescent="0.35">
      <c r="A17" s="26" t="s">
        <v>115</v>
      </c>
      <c r="B17" s="7"/>
      <c r="C17" s="7"/>
      <c r="D17" s="7"/>
      <c r="E17" s="8"/>
    </row>
  </sheetData>
  <phoneticPr fontId="2" type="noConversion"/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5298C-1D1C-4004-91BA-05C3C07D8B7C}">
  <sheetPr>
    <tabColor theme="9" tint="0.79998168889431442"/>
  </sheetPr>
  <dimension ref="A1:E10"/>
  <sheetViews>
    <sheetView workbookViewId="0">
      <selection activeCell="A12" sqref="A12"/>
    </sheetView>
  </sheetViews>
  <sheetFormatPr defaultColWidth="9.33203125" defaultRowHeight="15.6" x14ac:dyDescent="0.3"/>
  <cols>
    <col min="1" max="1" width="21" style="1" customWidth="1"/>
    <col min="2" max="16384" width="9.33203125" style="1"/>
  </cols>
  <sheetData>
    <row r="1" spans="1:5" ht="16.2" thickBot="1" x14ac:dyDescent="0.35">
      <c r="A1" s="1" t="s">
        <v>100</v>
      </c>
    </row>
    <row r="2" spans="1:5" s="5" customFormat="1" x14ac:dyDescent="0.3">
      <c r="A2" s="3" t="s">
        <v>210</v>
      </c>
      <c r="B2" s="4" t="s">
        <v>5</v>
      </c>
      <c r="C2" s="4" t="s">
        <v>116</v>
      </c>
      <c r="D2" s="4" t="s">
        <v>117</v>
      </c>
      <c r="E2" s="24" t="s">
        <v>118</v>
      </c>
    </row>
    <row r="3" spans="1:5" x14ac:dyDescent="0.3">
      <c r="A3" s="25" t="s">
        <v>66</v>
      </c>
      <c r="B3" s="6">
        <v>1</v>
      </c>
      <c r="C3" s="6"/>
      <c r="D3" s="6"/>
      <c r="E3" s="28"/>
    </row>
    <row r="4" spans="1:5" x14ac:dyDescent="0.3">
      <c r="A4" s="25" t="s">
        <v>67</v>
      </c>
      <c r="B4" s="6">
        <v>1</v>
      </c>
      <c r="C4" s="6"/>
      <c r="D4" s="6"/>
      <c r="E4" s="28"/>
    </row>
    <row r="5" spans="1:5" x14ac:dyDescent="0.3">
      <c r="A5" s="25" t="s">
        <v>121</v>
      </c>
      <c r="B5" s="6"/>
      <c r="C5" s="6">
        <v>1</v>
      </c>
      <c r="D5" s="6"/>
      <c r="E5" s="28"/>
    </row>
    <row r="6" spans="1:5" x14ac:dyDescent="0.3">
      <c r="A6" s="25" t="s">
        <v>122</v>
      </c>
      <c r="B6" s="6"/>
      <c r="C6" s="6">
        <v>1</v>
      </c>
      <c r="D6" s="6"/>
      <c r="E6" s="28"/>
    </row>
    <row r="7" spans="1:5" x14ac:dyDescent="0.3">
      <c r="A7" s="25" t="s">
        <v>123</v>
      </c>
      <c r="B7" s="6"/>
      <c r="C7" s="6"/>
      <c r="D7" s="6">
        <v>1</v>
      </c>
      <c r="E7" s="28"/>
    </row>
    <row r="8" spans="1:5" x14ac:dyDescent="0.3">
      <c r="A8" s="25" t="s">
        <v>124</v>
      </c>
      <c r="B8" s="6"/>
      <c r="C8" s="6"/>
      <c r="D8" s="6">
        <v>1</v>
      </c>
      <c r="E8" s="28"/>
    </row>
    <row r="9" spans="1:5" x14ac:dyDescent="0.3">
      <c r="A9" s="25" t="s">
        <v>125</v>
      </c>
      <c r="B9" s="6"/>
      <c r="C9" s="6"/>
      <c r="D9" s="6"/>
      <c r="E9" s="28">
        <v>1</v>
      </c>
    </row>
    <row r="10" spans="1:5" ht="16.2" thickBot="1" x14ac:dyDescent="0.35">
      <c r="A10" s="26" t="s">
        <v>126</v>
      </c>
      <c r="B10" s="7"/>
      <c r="C10" s="7"/>
      <c r="D10" s="7"/>
      <c r="E10" s="8">
        <v>1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E275C-BC38-44C0-8EFB-EA0A3ABCF1EE}">
  <sheetPr>
    <tabColor theme="9" tint="0.79998168889431442"/>
  </sheetPr>
  <dimension ref="A1:D17"/>
  <sheetViews>
    <sheetView workbookViewId="0">
      <selection activeCell="A19" sqref="A19"/>
    </sheetView>
  </sheetViews>
  <sheetFormatPr defaultColWidth="9.33203125" defaultRowHeight="15.6" x14ac:dyDescent="0.3"/>
  <cols>
    <col min="1" max="1" width="18.5546875" style="1" customWidth="1"/>
    <col min="2" max="16384" width="9.33203125" style="1"/>
  </cols>
  <sheetData>
    <row r="1" spans="1:4" ht="16.2" thickBot="1" x14ac:dyDescent="0.35">
      <c r="A1" s="1" t="s">
        <v>76</v>
      </c>
    </row>
    <row r="2" spans="1:4" s="5" customFormat="1" x14ac:dyDescent="0.3">
      <c r="A2" s="3" t="s">
        <v>206</v>
      </c>
      <c r="B2" s="4" t="s">
        <v>120</v>
      </c>
      <c r="C2" s="4" t="s">
        <v>51</v>
      </c>
      <c r="D2" s="24" t="s">
        <v>119</v>
      </c>
    </row>
    <row r="3" spans="1:4" s="5" customFormat="1" x14ac:dyDescent="0.3">
      <c r="A3" s="25" t="s">
        <v>111</v>
      </c>
      <c r="B3" s="6">
        <v>1</v>
      </c>
      <c r="C3" s="6">
        <v>1</v>
      </c>
      <c r="D3" s="28">
        <v>1</v>
      </c>
    </row>
    <row r="4" spans="1:4" s="5" customFormat="1" x14ac:dyDescent="0.3">
      <c r="A4" s="25" t="s">
        <v>3</v>
      </c>
      <c r="B4" s="6">
        <v>1</v>
      </c>
      <c r="C4" s="6">
        <v>1</v>
      </c>
      <c r="D4" s="28">
        <v>1</v>
      </c>
    </row>
    <row r="5" spans="1:4" s="5" customFormat="1" x14ac:dyDescent="0.3">
      <c r="A5" s="25" t="s">
        <v>4</v>
      </c>
      <c r="B5" s="6">
        <v>1</v>
      </c>
      <c r="C5" s="6">
        <v>1</v>
      </c>
      <c r="D5" s="28">
        <v>1</v>
      </c>
    </row>
    <row r="6" spans="1:4" x14ac:dyDescent="0.3">
      <c r="A6" s="25" t="s">
        <v>103</v>
      </c>
      <c r="B6" s="6">
        <v>1</v>
      </c>
      <c r="C6" s="6">
        <v>1</v>
      </c>
      <c r="D6" s="28">
        <v>1</v>
      </c>
    </row>
    <row r="7" spans="1:4" x14ac:dyDescent="0.3">
      <c r="A7" s="25" t="s">
        <v>104</v>
      </c>
      <c r="B7" s="6">
        <v>1</v>
      </c>
      <c r="C7" s="6">
        <v>1</v>
      </c>
      <c r="D7" s="28">
        <v>1</v>
      </c>
    </row>
    <row r="8" spans="1:4" x14ac:dyDescent="0.3">
      <c r="A8" s="25" t="s">
        <v>105</v>
      </c>
      <c r="B8" s="6">
        <v>1</v>
      </c>
      <c r="C8" s="6">
        <v>1</v>
      </c>
      <c r="D8" s="28">
        <v>1</v>
      </c>
    </row>
    <row r="9" spans="1:4" x14ac:dyDescent="0.3">
      <c r="A9" s="25" t="s">
        <v>106</v>
      </c>
      <c r="B9" s="6">
        <v>1</v>
      </c>
      <c r="C9" s="6">
        <v>1</v>
      </c>
      <c r="D9" s="28">
        <v>1</v>
      </c>
    </row>
    <row r="10" spans="1:4" x14ac:dyDescent="0.3">
      <c r="A10" s="25" t="s">
        <v>107</v>
      </c>
      <c r="B10" s="6">
        <v>1</v>
      </c>
      <c r="C10" s="6">
        <v>1</v>
      </c>
      <c r="D10" s="28">
        <v>1</v>
      </c>
    </row>
    <row r="11" spans="1:4" x14ac:dyDescent="0.3">
      <c r="A11" s="25" t="s">
        <v>108</v>
      </c>
      <c r="B11" s="6">
        <v>1</v>
      </c>
      <c r="C11" s="6">
        <v>1</v>
      </c>
      <c r="D11" s="28">
        <v>1</v>
      </c>
    </row>
    <row r="12" spans="1:4" x14ac:dyDescent="0.3">
      <c r="A12" s="25" t="s">
        <v>109</v>
      </c>
      <c r="B12" s="6">
        <v>1</v>
      </c>
      <c r="C12" s="6">
        <v>1</v>
      </c>
      <c r="D12" s="28">
        <v>1</v>
      </c>
    </row>
    <row r="13" spans="1:4" x14ac:dyDescent="0.3">
      <c r="A13" s="25" t="s">
        <v>110</v>
      </c>
      <c r="B13" s="6">
        <v>1</v>
      </c>
      <c r="C13" s="6">
        <v>1</v>
      </c>
      <c r="D13" s="28">
        <v>1</v>
      </c>
    </row>
    <row r="14" spans="1:4" x14ac:dyDescent="0.3">
      <c r="A14" s="25" t="s">
        <v>112</v>
      </c>
      <c r="B14" s="6">
        <v>1</v>
      </c>
      <c r="C14" s="6">
        <v>1</v>
      </c>
      <c r="D14" s="28">
        <v>1</v>
      </c>
    </row>
    <row r="15" spans="1:4" x14ac:dyDescent="0.3">
      <c r="A15" s="25" t="s">
        <v>113</v>
      </c>
      <c r="B15" s="6">
        <v>1</v>
      </c>
      <c r="C15" s="6">
        <v>1</v>
      </c>
      <c r="D15" s="28">
        <v>1</v>
      </c>
    </row>
    <row r="16" spans="1:4" x14ac:dyDescent="0.3">
      <c r="A16" s="25" t="s">
        <v>114</v>
      </c>
      <c r="B16" s="6">
        <v>1</v>
      </c>
      <c r="C16" s="6">
        <v>1</v>
      </c>
      <c r="D16" s="28">
        <v>1</v>
      </c>
    </row>
    <row r="17" spans="1:4" ht="16.2" thickBot="1" x14ac:dyDescent="0.35">
      <c r="A17" s="26" t="s">
        <v>115</v>
      </c>
      <c r="B17" s="7">
        <v>1</v>
      </c>
      <c r="C17" s="7">
        <v>1</v>
      </c>
      <c r="D17" s="8">
        <v>1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57C74-863B-4C67-B58B-571271FAEA0E}">
  <sheetPr>
    <tabColor theme="9" tint="0.79998168889431442"/>
  </sheetPr>
  <dimension ref="A1:D6"/>
  <sheetViews>
    <sheetView workbookViewId="0">
      <selection activeCell="A8" sqref="A8"/>
    </sheetView>
  </sheetViews>
  <sheetFormatPr defaultColWidth="9.33203125" defaultRowHeight="15.6" x14ac:dyDescent="0.3"/>
  <cols>
    <col min="1" max="1" width="18.44140625" style="1" customWidth="1"/>
    <col min="2" max="16384" width="9.33203125" style="1"/>
  </cols>
  <sheetData>
    <row r="1" spans="1:4" ht="16.2" thickBot="1" x14ac:dyDescent="0.35">
      <c r="A1" s="1" t="s">
        <v>77</v>
      </c>
    </row>
    <row r="2" spans="1:4" s="5" customFormat="1" x14ac:dyDescent="0.3">
      <c r="A2" s="3" t="s">
        <v>208</v>
      </c>
      <c r="B2" s="4" t="s">
        <v>120</v>
      </c>
      <c r="C2" s="4" t="s">
        <v>51</v>
      </c>
      <c r="D2" s="24" t="s">
        <v>119</v>
      </c>
    </row>
    <row r="3" spans="1:4" s="5" customFormat="1" x14ac:dyDescent="0.3">
      <c r="A3" s="25" t="s">
        <v>5</v>
      </c>
      <c r="B3" s="6">
        <v>1</v>
      </c>
      <c r="C3" s="6">
        <v>1</v>
      </c>
      <c r="D3" s="28">
        <v>1</v>
      </c>
    </row>
    <row r="4" spans="1:4" x14ac:dyDescent="0.3">
      <c r="A4" s="25" t="s">
        <v>116</v>
      </c>
      <c r="B4" s="6">
        <v>1</v>
      </c>
      <c r="C4" s="6">
        <v>1</v>
      </c>
      <c r="D4" s="28">
        <v>1</v>
      </c>
    </row>
    <row r="5" spans="1:4" x14ac:dyDescent="0.3">
      <c r="A5" s="25" t="s">
        <v>117</v>
      </c>
      <c r="B5" s="6">
        <v>1</v>
      </c>
      <c r="C5" s="6">
        <v>1</v>
      </c>
      <c r="D5" s="28">
        <v>1</v>
      </c>
    </row>
    <row r="6" spans="1:4" ht="16.2" thickBot="1" x14ac:dyDescent="0.35">
      <c r="A6" s="26" t="s">
        <v>118</v>
      </c>
      <c r="B6" s="7">
        <v>1</v>
      </c>
      <c r="C6" s="7">
        <v>1</v>
      </c>
      <c r="D6" s="8">
        <v>1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22F2B-1E4B-46C9-B210-3150CCBB5892}">
  <sheetPr>
    <tabColor theme="9" tint="0.79998168889431442"/>
  </sheetPr>
  <dimension ref="A1:E6"/>
  <sheetViews>
    <sheetView workbookViewId="0">
      <selection activeCell="A8" sqref="A8"/>
    </sheetView>
  </sheetViews>
  <sheetFormatPr defaultColWidth="9.33203125" defaultRowHeight="15.6" x14ac:dyDescent="0.3"/>
  <cols>
    <col min="1" max="1" width="19.33203125" style="1" customWidth="1"/>
    <col min="2" max="16384" width="9.33203125" style="1"/>
  </cols>
  <sheetData>
    <row r="1" spans="1:5" ht="16.2" thickBot="1" x14ac:dyDescent="0.35">
      <c r="A1" s="1" t="s">
        <v>102</v>
      </c>
    </row>
    <row r="2" spans="1:5" s="5" customFormat="1" x14ac:dyDescent="0.3">
      <c r="A2" s="3" t="s">
        <v>208</v>
      </c>
      <c r="B2" s="4" t="s">
        <v>5</v>
      </c>
      <c r="C2" s="4" t="s">
        <v>116</v>
      </c>
      <c r="D2" s="4" t="s">
        <v>117</v>
      </c>
      <c r="E2" s="24" t="s">
        <v>118</v>
      </c>
    </row>
    <row r="3" spans="1:5" s="5" customFormat="1" x14ac:dyDescent="0.3">
      <c r="A3" s="25" t="s">
        <v>5</v>
      </c>
      <c r="B3" s="29"/>
      <c r="C3" s="29"/>
      <c r="D3" s="29"/>
      <c r="E3" s="31"/>
    </row>
    <row r="4" spans="1:5" s="5" customFormat="1" x14ac:dyDescent="0.3">
      <c r="A4" s="25" t="s">
        <v>116</v>
      </c>
      <c r="B4" s="29"/>
      <c r="C4" s="29"/>
      <c r="D4" s="29"/>
      <c r="E4" s="31"/>
    </row>
    <row r="5" spans="1:5" s="5" customFormat="1" x14ac:dyDescent="0.3">
      <c r="A5" s="25" t="s">
        <v>117</v>
      </c>
      <c r="B5" s="29"/>
      <c r="C5" s="29"/>
      <c r="D5" s="29"/>
      <c r="E5" s="31"/>
    </row>
    <row r="6" spans="1:5" s="5" customFormat="1" ht="16.2" thickBot="1" x14ac:dyDescent="0.35">
      <c r="A6" s="26" t="s">
        <v>118</v>
      </c>
      <c r="B6" s="30"/>
      <c r="C6" s="30"/>
      <c r="D6" s="30"/>
      <c r="E6" s="8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A76A8-5CE6-4878-A6D7-FB5DF8BDAFB4}">
  <sheetPr>
    <tabColor theme="9" tint="0.79998168889431442"/>
  </sheetPr>
  <dimension ref="A1:D16"/>
  <sheetViews>
    <sheetView workbookViewId="0">
      <selection activeCell="A18" sqref="A18"/>
    </sheetView>
  </sheetViews>
  <sheetFormatPr defaultColWidth="9.33203125" defaultRowHeight="15.6" x14ac:dyDescent="0.3"/>
  <cols>
    <col min="1" max="2" width="9.33203125" style="1"/>
    <col min="3" max="3" width="3.5546875" style="1" customWidth="1"/>
    <col min="4" max="12" width="9.33203125" style="1"/>
    <col min="13" max="13" width="11.33203125" style="1" customWidth="1"/>
    <col min="14" max="14" width="10.6640625" style="1" customWidth="1"/>
    <col min="15" max="15" width="12.88671875" style="1" customWidth="1"/>
    <col min="16" max="16" width="4.5546875" style="1" customWidth="1"/>
    <col min="17" max="16384" width="9.33203125" style="1"/>
  </cols>
  <sheetData>
    <row r="1" spans="1:4" x14ac:dyDescent="0.3">
      <c r="A1" s="1" t="s">
        <v>0</v>
      </c>
    </row>
    <row r="2" spans="1:4" x14ac:dyDescent="0.3">
      <c r="A2" s="2" t="s">
        <v>111</v>
      </c>
    </row>
    <row r="3" spans="1:4" x14ac:dyDescent="0.3">
      <c r="A3" s="2" t="s">
        <v>3</v>
      </c>
      <c r="D3" s="9"/>
    </row>
    <row r="4" spans="1:4" x14ac:dyDescent="0.3">
      <c r="A4" s="2" t="s">
        <v>4</v>
      </c>
    </row>
    <row r="5" spans="1:4" x14ac:dyDescent="0.3">
      <c r="A5" s="2" t="s">
        <v>103</v>
      </c>
    </row>
    <row r="6" spans="1:4" x14ac:dyDescent="0.3">
      <c r="A6" s="2" t="s">
        <v>104</v>
      </c>
    </row>
    <row r="7" spans="1:4" x14ac:dyDescent="0.3">
      <c r="A7" s="2" t="s">
        <v>105</v>
      </c>
    </row>
    <row r="8" spans="1:4" x14ac:dyDescent="0.3">
      <c r="A8" s="2" t="s">
        <v>106</v>
      </c>
    </row>
    <row r="9" spans="1:4" x14ac:dyDescent="0.3">
      <c r="A9" s="2" t="s">
        <v>107</v>
      </c>
    </row>
    <row r="10" spans="1:4" x14ac:dyDescent="0.3">
      <c r="A10" s="2" t="s">
        <v>108</v>
      </c>
    </row>
    <row r="11" spans="1:4" x14ac:dyDescent="0.3">
      <c r="A11" s="2" t="s">
        <v>109</v>
      </c>
    </row>
    <row r="12" spans="1:4" x14ac:dyDescent="0.3">
      <c r="A12" s="2" t="s">
        <v>110</v>
      </c>
    </row>
    <row r="13" spans="1:4" x14ac:dyDescent="0.3">
      <c r="A13" s="2" t="s">
        <v>112</v>
      </c>
    </row>
    <row r="14" spans="1:4" x14ac:dyDescent="0.3">
      <c r="A14" s="2" t="s">
        <v>113</v>
      </c>
    </row>
    <row r="15" spans="1:4" x14ac:dyDescent="0.3">
      <c r="A15" s="2" t="s">
        <v>114</v>
      </c>
    </row>
    <row r="16" spans="1:4" x14ac:dyDescent="0.3">
      <c r="A16" s="2" t="s">
        <v>115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52059-0CB1-474F-ACFF-2997470BE1E9}">
  <sheetPr>
    <tabColor theme="9" tint="0.79998168889431442"/>
  </sheetPr>
  <dimension ref="A1:C3"/>
  <sheetViews>
    <sheetView workbookViewId="0">
      <selection activeCell="A8" sqref="A8"/>
    </sheetView>
  </sheetViews>
  <sheetFormatPr defaultColWidth="9.33203125" defaultRowHeight="15.6" x14ac:dyDescent="0.3"/>
  <cols>
    <col min="1" max="1" width="18.44140625" style="1" customWidth="1"/>
    <col min="2" max="16384" width="9.33203125" style="1"/>
  </cols>
  <sheetData>
    <row r="1" spans="1:3" ht="16.2" thickBot="1" x14ac:dyDescent="0.35">
      <c r="A1" s="1" t="s">
        <v>99</v>
      </c>
    </row>
    <row r="2" spans="1:3" s="5" customFormat="1" x14ac:dyDescent="0.3">
      <c r="A2" s="3" t="s">
        <v>208</v>
      </c>
      <c r="B2" s="4" t="s">
        <v>78</v>
      </c>
      <c r="C2" s="24" t="s">
        <v>281</v>
      </c>
    </row>
    <row r="3" spans="1:3" s="5" customFormat="1" ht="16.2" thickBot="1" x14ac:dyDescent="0.35">
      <c r="A3" s="26" t="s">
        <v>5</v>
      </c>
      <c r="B3" s="30"/>
      <c r="C3" s="8"/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9EAFB-7F04-4F45-A5F9-1ED3990BFA3C}">
  <sheetPr>
    <tabColor theme="9" tint="0.79998168889431442"/>
  </sheetPr>
  <dimension ref="A1:C4"/>
  <sheetViews>
    <sheetView workbookViewId="0">
      <selection activeCell="A8" sqref="A8"/>
    </sheetView>
  </sheetViews>
  <sheetFormatPr defaultColWidth="9.109375" defaultRowHeight="15.6" x14ac:dyDescent="0.3"/>
  <cols>
    <col min="1" max="1" width="17" style="1" customWidth="1"/>
    <col min="2" max="16384" width="9.109375" style="1"/>
  </cols>
  <sheetData>
    <row r="1" spans="1:3" ht="16.2" thickBot="1" x14ac:dyDescent="0.35">
      <c r="A1" s="1" t="s">
        <v>309</v>
      </c>
    </row>
    <row r="2" spans="1:3" x14ac:dyDescent="0.3">
      <c r="A2" s="3" t="s">
        <v>212</v>
      </c>
      <c r="B2" s="4" t="s">
        <v>78</v>
      </c>
      <c r="C2" s="24" t="s">
        <v>281</v>
      </c>
    </row>
    <row r="3" spans="1:3" x14ac:dyDescent="0.3">
      <c r="A3" s="25" t="s">
        <v>79</v>
      </c>
      <c r="B3" s="6"/>
      <c r="C3" s="28"/>
    </row>
    <row r="4" spans="1:3" ht="16.2" thickBot="1" x14ac:dyDescent="0.35">
      <c r="A4" s="26" t="s">
        <v>127</v>
      </c>
      <c r="B4" s="7"/>
      <c r="C4" s="8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5B558-6FEF-4903-8E54-DF70BDAE7730}">
  <sheetPr>
    <tabColor theme="9" tint="0.79998168889431442"/>
  </sheetPr>
  <dimension ref="A1"/>
  <sheetViews>
    <sheetView workbookViewId="0">
      <selection activeCell="A8" sqref="A8"/>
    </sheetView>
  </sheetViews>
  <sheetFormatPr defaultColWidth="9.109375" defaultRowHeight="15.6" x14ac:dyDescent="0.3"/>
  <cols>
    <col min="1" max="16384" width="9.109375" style="1"/>
  </cols>
  <sheetData>
    <row r="1" spans="1:1" x14ac:dyDescent="0.3">
      <c r="A1" s="1" t="s">
        <v>303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5A628-62F8-4918-A6A4-F7E2D921F523}">
  <sheetPr>
    <tabColor theme="9" tint="0.79998168889431442"/>
  </sheetPr>
  <dimension ref="A1"/>
  <sheetViews>
    <sheetView workbookViewId="0">
      <selection activeCell="A8" sqref="A8"/>
    </sheetView>
  </sheetViews>
  <sheetFormatPr defaultColWidth="9.109375" defaultRowHeight="15.6" x14ac:dyDescent="0.3"/>
  <cols>
    <col min="1" max="16384" width="9.109375" style="1"/>
  </cols>
  <sheetData>
    <row r="1" spans="1:1" x14ac:dyDescent="0.3">
      <c r="A1" s="1" t="s">
        <v>304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F732D-3FEB-41D2-95A0-AC0AA9510586}">
  <sheetPr>
    <tabColor theme="9" tint="0.79998168889431442"/>
  </sheetPr>
  <dimension ref="A1:D64"/>
  <sheetViews>
    <sheetView workbookViewId="0">
      <selection activeCell="A66" sqref="A66"/>
    </sheetView>
  </sheetViews>
  <sheetFormatPr defaultColWidth="9.33203125" defaultRowHeight="15.6" x14ac:dyDescent="0.3"/>
  <cols>
    <col min="1" max="1" width="12.33203125" style="1" customWidth="1"/>
    <col min="2" max="2" width="9.33203125" style="1"/>
    <col min="3" max="3" width="3.5546875" style="1" customWidth="1"/>
    <col min="4" max="12" width="9.33203125" style="1"/>
    <col min="13" max="13" width="11.33203125" style="1" customWidth="1"/>
    <col min="14" max="14" width="10.6640625" style="1" customWidth="1"/>
    <col min="15" max="15" width="12.88671875" style="1" customWidth="1"/>
    <col min="16" max="16" width="4.5546875" style="1" customWidth="1"/>
    <col min="17" max="16384" width="9.33203125" style="1"/>
  </cols>
  <sheetData>
    <row r="1" spans="1:4" ht="16.2" thickBot="1" x14ac:dyDescent="0.35">
      <c r="A1" s="1" t="s">
        <v>285</v>
      </c>
    </row>
    <row r="2" spans="1:4" x14ac:dyDescent="0.3">
      <c r="A2" s="113" t="s">
        <v>205</v>
      </c>
      <c r="B2" s="107" t="s">
        <v>207</v>
      </c>
    </row>
    <row r="3" spans="1:4" x14ac:dyDescent="0.3">
      <c r="A3" s="108" t="s">
        <v>111</v>
      </c>
      <c r="B3" s="109">
        <v>650</v>
      </c>
    </row>
    <row r="4" spans="1:4" x14ac:dyDescent="0.3">
      <c r="A4" s="108" t="s">
        <v>3</v>
      </c>
      <c r="B4" s="109">
        <v>550</v>
      </c>
      <c r="D4" s="9"/>
    </row>
    <row r="5" spans="1:4" x14ac:dyDescent="0.3">
      <c r="A5" s="108" t="s">
        <v>4</v>
      </c>
      <c r="B5" s="109">
        <v>550</v>
      </c>
    </row>
    <row r="6" spans="1:4" x14ac:dyDescent="0.3">
      <c r="A6" s="108" t="s">
        <v>103</v>
      </c>
      <c r="B6" s="109">
        <v>450</v>
      </c>
    </row>
    <row r="7" spans="1:4" x14ac:dyDescent="0.3">
      <c r="A7" s="108" t="s">
        <v>104</v>
      </c>
      <c r="B7" s="109">
        <v>450</v>
      </c>
    </row>
    <row r="8" spans="1:4" x14ac:dyDescent="0.3">
      <c r="A8" s="108" t="s">
        <v>105</v>
      </c>
      <c r="B8" s="109">
        <v>300</v>
      </c>
    </row>
    <row r="9" spans="1:4" x14ac:dyDescent="0.3">
      <c r="A9" s="108" t="s">
        <v>106</v>
      </c>
      <c r="B9" s="109">
        <v>250</v>
      </c>
    </row>
    <row r="10" spans="1:4" x14ac:dyDescent="0.3">
      <c r="A10" s="108" t="s">
        <v>107</v>
      </c>
      <c r="B10" s="109">
        <v>250</v>
      </c>
    </row>
    <row r="11" spans="1:4" x14ac:dyDescent="0.3">
      <c r="A11" s="108" t="s">
        <v>108</v>
      </c>
      <c r="B11" s="109">
        <v>250</v>
      </c>
    </row>
    <row r="12" spans="1:4" x14ac:dyDescent="0.3">
      <c r="A12" s="108" t="s">
        <v>109</v>
      </c>
      <c r="B12" s="109">
        <v>200</v>
      </c>
    </row>
    <row r="13" spans="1:4" x14ac:dyDescent="0.3">
      <c r="A13" s="108" t="s">
        <v>110</v>
      </c>
      <c r="B13" s="109">
        <v>250</v>
      </c>
    </row>
    <row r="14" spans="1:4" x14ac:dyDescent="0.3">
      <c r="A14" s="108" t="s">
        <v>112</v>
      </c>
      <c r="B14" s="109">
        <v>200</v>
      </c>
    </row>
    <row r="15" spans="1:4" x14ac:dyDescent="0.3">
      <c r="A15" s="108" t="s">
        <v>113</v>
      </c>
      <c r="B15" s="109">
        <v>200</v>
      </c>
    </row>
    <row r="16" spans="1:4" x14ac:dyDescent="0.3">
      <c r="A16" s="108" t="s">
        <v>114</v>
      </c>
      <c r="B16" s="109">
        <v>150</v>
      </c>
    </row>
    <row r="17" spans="1:2" x14ac:dyDescent="0.3">
      <c r="A17" s="111" t="s">
        <v>115</v>
      </c>
      <c r="B17" s="112">
        <v>250</v>
      </c>
    </row>
    <row r="18" spans="1:2" x14ac:dyDescent="0.3">
      <c r="A18" s="108" t="s">
        <v>5</v>
      </c>
      <c r="B18" s="109">
        <v>650</v>
      </c>
    </row>
    <row r="19" spans="1:2" x14ac:dyDescent="0.3">
      <c r="A19" s="108" t="s">
        <v>116</v>
      </c>
      <c r="B19" s="109">
        <v>350</v>
      </c>
    </row>
    <row r="20" spans="1:2" x14ac:dyDescent="0.3">
      <c r="A20" s="108" t="s">
        <v>117</v>
      </c>
      <c r="B20" s="109">
        <v>500</v>
      </c>
    </row>
    <row r="21" spans="1:2" x14ac:dyDescent="0.3">
      <c r="A21" s="111" t="s">
        <v>118</v>
      </c>
      <c r="B21" s="112">
        <v>100</v>
      </c>
    </row>
    <row r="22" spans="1:2" x14ac:dyDescent="0.3">
      <c r="A22" s="108" t="s">
        <v>120</v>
      </c>
      <c r="B22" s="109">
        <v>550</v>
      </c>
    </row>
    <row r="23" spans="1:2" x14ac:dyDescent="0.3">
      <c r="A23" s="108" t="s">
        <v>51</v>
      </c>
      <c r="B23" s="109">
        <v>600</v>
      </c>
    </row>
    <row r="24" spans="1:2" x14ac:dyDescent="0.3">
      <c r="A24" s="111" t="s">
        <v>119</v>
      </c>
      <c r="B24" s="112">
        <v>400</v>
      </c>
    </row>
    <row r="25" spans="1:2" x14ac:dyDescent="0.3">
      <c r="A25" s="108" t="s">
        <v>66</v>
      </c>
      <c r="B25" s="109">
        <v>650</v>
      </c>
    </row>
    <row r="26" spans="1:2" x14ac:dyDescent="0.3">
      <c r="A26" s="108" t="s">
        <v>67</v>
      </c>
      <c r="B26" s="109">
        <v>650</v>
      </c>
    </row>
    <row r="27" spans="1:2" x14ac:dyDescent="0.3">
      <c r="A27" s="108" t="s">
        <v>121</v>
      </c>
      <c r="B27" s="109">
        <v>350</v>
      </c>
    </row>
    <row r="28" spans="1:2" x14ac:dyDescent="0.3">
      <c r="A28" s="108" t="s">
        <v>122</v>
      </c>
      <c r="B28" s="109">
        <v>250</v>
      </c>
    </row>
    <row r="29" spans="1:2" x14ac:dyDescent="0.3">
      <c r="A29" s="108" t="s">
        <v>123</v>
      </c>
      <c r="B29" s="109">
        <v>400</v>
      </c>
    </row>
    <row r="30" spans="1:2" x14ac:dyDescent="0.3">
      <c r="A30" s="108" t="s">
        <v>124</v>
      </c>
      <c r="B30" s="109">
        <v>500</v>
      </c>
    </row>
    <row r="31" spans="1:2" x14ac:dyDescent="0.3">
      <c r="A31" s="108" t="s">
        <v>125</v>
      </c>
      <c r="B31" s="109">
        <v>350</v>
      </c>
    </row>
    <row r="32" spans="1:2" x14ac:dyDescent="0.3">
      <c r="A32" s="111" t="s">
        <v>126</v>
      </c>
      <c r="B32" s="112">
        <v>350</v>
      </c>
    </row>
    <row r="33" spans="1:2" x14ac:dyDescent="0.3">
      <c r="A33" s="108" t="s">
        <v>78</v>
      </c>
      <c r="B33" s="109">
        <v>350</v>
      </c>
    </row>
    <row r="34" spans="1:2" x14ac:dyDescent="0.3">
      <c r="A34" s="111" t="s">
        <v>281</v>
      </c>
      <c r="B34" s="112">
        <v>500</v>
      </c>
    </row>
    <row r="35" spans="1:2" x14ac:dyDescent="0.3">
      <c r="A35" s="108" t="s">
        <v>79</v>
      </c>
      <c r="B35" s="109">
        <v>500</v>
      </c>
    </row>
    <row r="36" spans="1:2" x14ac:dyDescent="0.3">
      <c r="A36" s="111" t="s">
        <v>127</v>
      </c>
      <c r="B36" s="112">
        <v>250</v>
      </c>
    </row>
    <row r="37" spans="1:2" x14ac:dyDescent="0.3">
      <c r="A37" s="108" t="s">
        <v>128</v>
      </c>
      <c r="B37" s="109">
        <v>600</v>
      </c>
    </row>
    <row r="38" spans="1:2" x14ac:dyDescent="0.3">
      <c r="A38" s="108" t="s">
        <v>80</v>
      </c>
      <c r="B38" s="109">
        <v>600</v>
      </c>
    </row>
    <row r="39" spans="1:2" x14ac:dyDescent="0.3">
      <c r="A39" s="108" t="s">
        <v>81</v>
      </c>
      <c r="B39" s="109">
        <v>600</v>
      </c>
    </row>
    <row r="40" spans="1:2" x14ac:dyDescent="0.3">
      <c r="A40" s="108" t="s">
        <v>82</v>
      </c>
      <c r="B40" s="109">
        <v>600</v>
      </c>
    </row>
    <row r="41" spans="1:2" x14ac:dyDescent="0.3">
      <c r="A41" s="108" t="s">
        <v>83</v>
      </c>
      <c r="B41" s="109">
        <v>550</v>
      </c>
    </row>
    <row r="42" spans="1:2" x14ac:dyDescent="0.3">
      <c r="A42" s="108" t="s">
        <v>84</v>
      </c>
      <c r="B42" s="109">
        <v>550</v>
      </c>
    </row>
    <row r="43" spans="1:2" x14ac:dyDescent="0.3">
      <c r="A43" s="108" t="s">
        <v>85</v>
      </c>
      <c r="B43" s="109">
        <v>550</v>
      </c>
    </row>
    <row r="44" spans="1:2" x14ac:dyDescent="0.3">
      <c r="A44" s="108" t="s">
        <v>86</v>
      </c>
      <c r="B44" s="109">
        <v>550</v>
      </c>
    </row>
    <row r="45" spans="1:2" x14ac:dyDescent="0.3">
      <c r="A45" s="108" t="s">
        <v>129</v>
      </c>
      <c r="B45" s="109">
        <v>500</v>
      </c>
    </row>
    <row r="46" spans="1:2" x14ac:dyDescent="0.3">
      <c r="A46" s="108" t="s">
        <v>130</v>
      </c>
      <c r="B46" s="109">
        <v>500</v>
      </c>
    </row>
    <row r="47" spans="1:2" x14ac:dyDescent="0.3">
      <c r="A47" s="108" t="s">
        <v>131</v>
      </c>
      <c r="B47" s="109">
        <v>450</v>
      </c>
    </row>
    <row r="48" spans="1:2" x14ac:dyDescent="0.3">
      <c r="A48" s="108" t="s">
        <v>132</v>
      </c>
      <c r="B48" s="109">
        <v>400</v>
      </c>
    </row>
    <row r="49" spans="1:2" x14ac:dyDescent="0.3">
      <c r="A49" s="108" t="s">
        <v>133</v>
      </c>
      <c r="B49" s="109">
        <v>400</v>
      </c>
    </row>
    <row r="50" spans="1:2" x14ac:dyDescent="0.3">
      <c r="A50" s="108" t="s">
        <v>134</v>
      </c>
      <c r="B50" s="109">
        <v>350</v>
      </c>
    </row>
    <row r="51" spans="1:2" x14ac:dyDescent="0.3">
      <c r="A51" s="108" t="s">
        <v>135</v>
      </c>
      <c r="B51" s="109">
        <v>350</v>
      </c>
    </row>
    <row r="52" spans="1:2" x14ac:dyDescent="0.3">
      <c r="A52" s="108" t="s">
        <v>136</v>
      </c>
      <c r="B52" s="109">
        <v>350</v>
      </c>
    </row>
    <row r="53" spans="1:2" x14ac:dyDescent="0.3">
      <c r="A53" s="108" t="s">
        <v>137</v>
      </c>
      <c r="B53" s="109">
        <v>350</v>
      </c>
    </row>
    <row r="54" spans="1:2" x14ac:dyDescent="0.3">
      <c r="A54" s="108" t="s">
        <v>138</v>
      </c>
      <c r="B54" s="109">
        <v>250</v>
      </c>
    </row>
    <row r="55" spans="1:2" x14ac:dyDescent="0.3">
      <c r="A55" s="108" t="s">
        <v>139</v>
      </c>
      <c r="B55" s="109">
        <v>250</v>
      </c>
    </row>
    <row r="56" spans="1:2" x14ac:dyDescent="0.3">
      <c r="A56" s="108" t="s">
        <v>140</v>
      </c>
      <c r="B56" s="109">
        <v>300</v>
      </c>
    </row>
    <row r="57" spans="1:2" x14ac:dyDescent="0.3">
      <c r="A57" s="108" t="s">
        <v>141</v>
      </c>
      <c r="B57" s="109">
        <v>300</v>
      </c>
    </row>
    <row r="58" spans="1:2" x14ac:dyDescent="0.3">
      <c r="A58" s="108" t="s">
        <v>142</v>
      </c>
      <c r="B58" s="109">
        <v>300</v>
      </c>
    </row>
    <row r="59" spans="1:2" x14ac:dyDescent="0.3">
      <c r="A59" s="108" t="s">
        <v>143</v>
      </c>
      <c r="B59" s="109">
        <v>250</v>
      </c>
    </row>
    <row r="60" spans="1:2" x14ac:dyDescent="0.3">
      <c r="A60" s="108" t="s">
        <v>144</v>
      </c>
      <c r="B60" s="109">
        <v>250</v>
      </c>
    </row>
    <row r="61" spans="1:2" x14ac:dyDescent="0.3">
      <c r="A61" s="108" t="s">
        <v>145</v>
      </c>
      <c r="B61" s="109">
        <v>200</v>
      </c>
    </row>
    <row r="62" spans="1:2" x14ac:dyDescent="0.3">
      <c r="A62" s="108" t="s">
        <v>146</v>
      </c>
      <c r="B62" s="109">
        <v>150</v>
      </c>
    </row>
    <row r="63" spans="1:2" x14ac:dyDescent="0.3">
      <c r="A63" s="108" t="s">
        <v>147</v>
      </c>
      <c r="B63" s="109">
        <v>200</v>
      </c>
    </row>
    <row r="64" spans="1:2" ht="16.2" thickBot="1" x14ac:dyDescent="0.35">
      <c r="A64" s="114" t="s">
        <v>148</v>
      </c>
      <c r="B64" s="115">
        <v>150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FA210-6C83-4CC4-AF45-F41CDC53F769}">
  <sheetPr>
    <tabColor theme="7" tint="0.79998168889431442"/>
  </sheetPr>
  <dimension ref="A1:BA11"/>
  <sheetViews>
    <sheetView workbookViewId="0">
      <selection activeCell="A8" sqref="A8"/>
    </sheetView>
  </sheetViews>
  <sheetFormatPr defaultColWidth="9.33203125" defaultRowHeight="15.6" x14ac:dyDescent="0.3"/>
  <cols>
    <col min="1" max="1" width="18.6640625" style="1" customWidth="1"/>
    <col min="2" max="16384" width="9.33203125" style="1"/>
  </cols>
  <sheetData>
    <row r="1" spans="1:53" ht="16.2" thickBot="1" x14ac:dyDescent="0.35">
      <c r="A1" s="1" t="str">
        <f>_xlfn.CONCAT( "Table of Completions Water Demand for Completions Sites over ",VLOOKUP("decision period", Units!$A$2:$B$11, 2, FALSE),"s [",VLOOKUP("volume", Units!$A$2:$B$11, 2, FALSE),"/", VLOOKUP("time", Units!$A$2:$B$11, 2, FALSE),"]")</f>
        <v>Table of Completions Water Demand for Completions Sites over weeks [bbl/week]</v>
      </c>
    </row>
    <row r="2" spans="1:53" s="5" customFormat="1" x14ac:dyDescent="0.3">
      <c r="A2" s="3" t="s">
        <v>208</v>
      </c>
      <c r="B2" s="4" t="s">
        <v>164</v>
      </c>
      <c r="C2" s="4" t="s">
        <v>165</v>
      </c>
      <c r="D2" s="4" t="s">
        <v>166</v>
      </c>
      <c r="E2" s="4" t="s">
        <v>167</v>
      </c>
      <c r="F2" s="4" t="s">
        <v>168</v>
      </c>
      <c r="G2" s="4" t="s">
        <v>169</v>
      </c>
      <c r="H2" s="4" t="s">
        <v>170</v>
      </c>
      <c r="I2" s="4" t="s">
        <v>171</v>
      </c>
      <c r="J2" s="4" t="s">
        <v>172</v>
      </c>
      <c r="K2" s="4" t="s">
        <v>151</v>
      </c>
      <c r="L2" s="4" t="s">
        <v>152</v>
      </c>
      <c r="M2" s="4" t="s">
        <v>153</v>
      </c>
      <c r="N2" s="4" t="s">
        <v>154</v>
      </c>
      <c r="O2" s="4" t="s">
        <v>155</v>
      </c>
      <c r="P2" s="4" t="s">
        <v>156</v>
      </c>
      <c r="Q2" s="4" t="s">
        <v>157</v>
      </c>
      <c r="R2" s="4" t="s">
        <v>158</v>
      </c>
      <c r="S2" s="4" t="s">
        <v>159</v>
      </c>
      <c r="T2" s="4" t="s">
        <v>160</v>
      </c>
      <c r="U2" s="4" t="s">
        <v>161</v>
      </c>
      <c r="V2" s="4" t="s">
        <v>162</v>
      </c>
      <c r="W2" s="4" t="s">
        <v>163</v>
      </c>
      <c r="X2" s="4" t="s">
        <v>174</v>
      </c>
      <c r="Y2" s="4" t="s">
        <v>175</v>
      </c>
      <c r="Z2" s="4" t="s">
        <v>176</v>
      </c>
      <c r="AA2" s="4" t="s">
        <v>177</v>
      </c>
      <c r="AB2" s="4" t="s">
        <v>178</v>
      </c>
      <c r="AC2" s="4" t="s">
        <v>179</v>
      </c>
      <c r="AD2" s="4" t="s">
        <v>180</v>
      </c>
      <c r="AE2" s="4" t="s">
        <v>181</v>
      </c>
      <c r="AF2" s="4" t="s">
        <v>182</v>
      </c>
      <c r="AG2" s="4" t="s">
        <v>183</v>
      </c>
      <c r="AH2" s="4" t="s">
        <v>184</v>
      </c>
      <c r="AI2" s="4" t="s">
        <v>185</v>
      </c>
      <c r="AJ2" s="4" t="s">
        <v>186</v>
      </c>
      <c r="AK2" s="4" t="s">
        <v>187</v>
      </c>
      <c r="AL2" s="4" t="s">
        <v>188</v>
      </c>
      <c r="AM2" s="4" t="s">
        <v>189</v>
      </c>
      <c r="AN2" s="4" t="s">
        <v>190</v>
      </c>
      <c r="AO2" s="4" t="s">
        <v>191</v>
      </c>
      <c r="AP2" s="4" t="s">
        <v>192</v>
      </c>
      <c r="AQ2" s="4" t="s">
        <v>193</v>
      </c>
      <c r="AR2" s="4" t="s">
        <v>194</v>
      </c>
      <c r="AS2" s="4" t="s">
        <v>195</v>
      </c>
      <c r="AT2" s="4" t="s">
        <v>196</v>
      </c>
      <c r="AU2" s="4" t="s">
        <v>197</v>
      </c>
      <c r="AV2" s="4" t="s">
        <v>198</v>
      </c>
      <c r="AW2" s="4" t="s">
        <v>199</v>
      </c>
      <c r="AX2" s="4" t="s">
        <v>200</v>
      </c>
      <c r="AY2" s="4" t="s">
        <v>201</v>
      </c>
      <c r="AZ2" s="4" t="s">
        <v>202</v>
      </c>
      <c r="BA2" s="24" t="s">
        <v>203</v>
      </c>
    </row>
    <row r="3" spans="1:53" s="5" customFormat="1" x14ac:dyDescent="0.3">
      <c r="A3" s="25" t="s">
        <v>5</v>
      </c>
      <c r="B3" s="33"/>
      <c r="C3" s="33">
        <v>315000</v>
      </c>
      <c r="D3" s="33">
        <v>350000</v>
      </c>
      <c r="E3" s="33">
        <v>350000</v>
      </c>
      <c r="F3" s="33">
        <v>350000</v>
      </c>
      <c r="G3" s="33">
        <v>350000</v>
      </c>
      <c r="H3" s="33">
        <v>350000</v>
      </c>
      <c r="I3" s="33">
        <v>350000</v>
      </c>
      <c r="J3" s="33">
        <v>350000</v>
      </c>
      <c r="K3" s="33">
        <v>350000</v>
      </c>
      <c r="L3" s="33">
        <v>260000</v>
      </c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3"/>
      <c r="AR3" s="33"/>
      <c r="AS3" s="33"/>
      <c r="AT3" s="33"/>
      <c r="AU3" s="33"/>
      <c r="AV3" s="33"/>
      <c r="AW3" s="33"/>
      <c r="AX3" s="33"/>
      <c r="AY3" s="33"/>
      <c r="AZ3" s="33"/>
      <c r="BA3" s="34"/>
    </row>
    <row r="4" spans="1:53" s="5" customFormat="1" x14ac:dyDescent="0.3">
      <c r="A4" s="25" t="s">
        <v>116</v>
      </c>
      <c r="B4" s="40"/>
      <c r="C4" s="40"/>
      <c r="D4" s="40"/>
      <c r="E4" s="40"/>
      <c r="F4" s="40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>
        <v>280000</v>
      </c>
      <c r="X4" s="33">
        <v>300000</v>
      </c>
      <c r="Y4" s="33">
        <v>300000</v>
      </c>
      <c r="Z4" s="33">
        <v>300000</v>
      </c>
      <c r="AA4" s="33">
        <v>300000</v>
      </c>
      <c r="AB4" s="33">
        <v>300000</v>
      </c>
      <c r="AC4" s="33">
        <v>300000</v>
      </c>
      <c r="AD4" s="33">
        <v>300000</v>
      </c>
      <c r="AE4" s="33">
        <v>300000</v>
      </c>
      <c r="AF4" s="33">
        <v>300000</v>
      </c>
      <c r="AG4" s="33">
        <v>300000</v>
      </c>
      <c r="AH4" s="33">
        <v>300000</v>
      </c>
      <c r="AI4" s="33">
        <v>300000</v>
      </c>
      <c r="AJ4" s="33">
        <v>150000</v>
      </c>
      <c r="AK4" s="33"/>
      <c r="AL4" s="33"/>
      <c r="AM4" s="33"/>
      <c r="AN4" s="33"/>
      <c r="AO4" s="33"/>
      <c r="AP4" s="33"/>
      <c r="AQ4" s="33"/>
      <c r="AR4" s="33"/>
      <c r="AS4" s="33"/>
      <c r="AT4" s="33"/>
      <c r="AU4" s="33"/>
      <c r="AV4" s="33"/>
      <c r="AW4" s="33"/>
      <c r="AX4" s="33"/>
      <c r="AY4" s="33"/>
      <c r="AZ4" s="33"/>
      <c r="BA4" s="34"/>
    </row>
    <row r="5" spans="1:53" s="5" customFormat="1" x14ac:dyDescent="0.3">
      <c r="A5" s="25" t="s">
        <v>117</v>
      </c>
      <c r="B5" s="40"/>
      <c r="C5" s="40"/>
      <c r="D5" s="40"/>
      <c r="E5" s="40"/>
      <c r="F5" s="40"/>
      <c r="G5" s="33"/>
      <c r="H5" s="33"/>
      <c r="I5" s="33"/>
      <c r="J5" s="33"/>
      <c r="K5" s="33"/>
      <c r="L5" s="33"/>
      <c r="M5" s="33"/>
      <c r="N5" s="33">
        <v>140000</v>
      </c>
      <c r="O5" s="33">
        <v>325000</v>
      </c>
      <c r="P5" s="33">
        <v>325000</v>
      </c>
      <c r="Q5" s="33">
        <v>325000</v>
      </c>
      <c r="R5" s="33">
        <v>325000</v>
      </c>
      <c r="S5" s="33">
        <v>325000</v>
      </c>
      <c r="T5" s="33">
        <v>325000</v>
      </c>
      <c r="U5" s="33">
        <v>65000</v>
      </c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3"/>
      <c r="AT5" s="33"/>
      <c r="AU5" s="33"/>
      <c r="AV5" s="33"/>
      <c r="AW5" s="33"/>
      <c r="AX5" s="33"/>
      <c r="AY5" s="33"/>
      <c r="AZ5" s="33"/>
      <c r="BA5" s="34"/>
    </row>
    <row r="6" spans="1:53" ht="16.2" thickBot="1" x14ac:dyDescent="0.35">
      <c r="A6" s="26" t="s">
        <v>118</v>
      </c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>
        <v>75000</v>
      </c>
      <c r="AL6" s="35">
        <v>320000</v>
      </c>
      <c r="AM6" s="35">
        <v>320000</v>
      </c>
      <c r="AN6" s="35">
        <v>320000</v>
      </c>
      <c r="AO6" s="35">
        <v>320000</v>
      </c>
      <c r="AP6" s="35">
        <v>320000</v>
      </c>
      <c r="AQ6" s="35">
        <v>320000</v>
      </c>
      <c r="AR6" s="35">
        <v>320000</v>
      </c>
      <c r="AS6" s="35">
        <v>320000</v>
      </c>
      <c r="AT6" s="35">
        <v>320000</v>
      </c>
      <c r="AU6" s="35">
        <v>320000</v>
      </c>
      <c r="AV6" s="35">
        <v>320000</v>
      </c>
      <c r="AW6" s="35">
        <v>320000</v>
      </c>
      <c r="AX6" s="35">
        <v>320000</v>
      </c>
      <c r="AY6" s="35">
        <v>320000</v>
      </c>
      <c r="AZ6" s="35">
        <v>160000</v>
      </c>
      <c r="BA6" s="36">
        <v>80000</v>
      </c>
    </row>
    <row r="11" spans="1:53" x14ac:dyDescent="0.3">
      <c r="F11" s="9"/>
    </row>
  </sheetData>
  <phoneticPr fontId="2" type="noConversion"/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F4E1D-6CE0-4F02-8B9E-F2818C0A814C}">
  <sheetPr>
    <tabColor theme="7" tint="0.79998168889431442"/>
  </sheetPr>
  <dimension ref="A1:BA17"/>
  <sheetViews>
    <sheetView workbookViewId="0">
      <selection activeCell="A19" sqref="A19"/>
    </sheetView>
  </sheetViews>
  <sheetFormatPr defaultColWidth="9.33203125" defaultRowHeight="15.6" x14ac:dyDescent="0.3"/>
  <cols>
    <col min="1" max="1" width="16.88671875" style="5" customWidth="1"/>
    <col min="2" max="2" width="9.33203125" style="1"/>
    <col min="3" max="3" width="10.44140625" style="1" bestFit="1" customWidth="1"/>
    <col min="4" max="5" width="10.109375" style="1" bestFit="1" customWidth="1"/>
    <col min="6" max="16384" width="9.33203125" style="1"/>
  </cols>
  <sheetData>
    <row r="1" spans="1:53" ht="16.2" thickBot="1" x14ac:dyDescent="0.35">
      <c r="A1" s="1" t="str">
        <f>_xlfn.CONCAT( "Table of Production Rate Forecasts by Pads [",VLOOKUP("volume", Units!$A$2:$B$11, 2, FALSE),"/", VLOOKUP("time", Units!$A$2:$B$11, 2, FALSE),"]")</f>
        <v>Table of Production Rate Forecasts by Pads [bbl/week]</v>
      </c>
    </row>
    <row r="2" spans="1:53" s="5" customFormat="1" x14ac:dyDescent="0.3">
      <c r="A2" s="3" t="s">
        <v>206</v>
      </c>
      <c r="B2" s="4" t="s">
        <v>164</v>
      </c>
      <c r="C2" s="4" t="s">
        <v>165</v>
      </c>
      <c r="D2" s="4" t="s">
        <v>166</v>
      </c>
      <c r="E2" s="4" t="s">
        <v>167</v>
      </c>
      <c r="F2" s="4" t="s">
        <v>168</v>
      </c>
      <c r="G2" s="4" t="s">
        <v>169</v>
      </c>
      <c r="H2" s="4" t="s">
        <v>170</v>
      </c>
      <c r="I2" s="4" t="s">
        <v>171</v>
      </c>
      <c r="J2" s="4" t="s">
        <v>172</v>
      </c>
      <c r="K2" s="4" t="s">
        <v>151</v>
      </c>
      <c r="L2" s="4" t="s">
        <v>152</v>
      </c>
      <c r="M2" s="4" t="s">
        <v>153</v>
      </c>
      <c r="N2" s="4" t="s">
        <v>154</v>
      </c>
      <c r="O2" s="4" t="s">
        <v>155</v>
      </c>
      <c r="P2" s="4" t="s">
        <v>156</v>
      </c>
      <c r="Q2" s="4" t="s">
        <v>157</v>
      </c>
      <c r="R2" s="4" t="s">
        <v>158</v>
      </c>
      <c r="S2" s="4" t="s">
        <v>159</v>
      </c>
      <c r="T2" s="4" t="s">
        <v>160</v>
      </c>
      <c r="U2" s="4" t="s">
        <v>161</v>
      </c>
      <c r="V2" s="4" t="s">
        <v>162</v>
      </c>
      <c r="W2" s="4" t="s">
        <v>163</v>
      </c>
      <c r="X2" s="4" t="s">
        <v>174</v>
      </c>
      <c r="Y2" s="4" t="s">
        <v>175</v>
      </c>
      <c r="Z2" s="4" t="s">
        <v>176</v>
      </c>
      <c r="AA2" s="4" t="s">
        <v>177</v>
      </c>
      <c r="AB2" s="4" t="s">
        <v>178</v>
      </c>
      <c r="AC2" s="4" t="s">
        <v>179</v>
      </c>
      <c r="AD2" s="4" t="s">
        <v>180</v>
      </c>
      <c r="AE2" s="4" t="s">
        <v>181</v>
      </c>
      <c r="AF2" s="4" t="s">
        <v>182</v>
      </c>
      <c r="AG2" s="4" t="s">
        <v>183</v>
      </c>
      <c r="AH2" s="4" t="s">
        <v>184</v>
      </c>
      <c r="AI2" s="4" t="s">
        <v>185</v>
      </c>
      <c r="AJ2" s="4" t="s">
        <v>186</v>
      </c>
      <c r="AK2" s="4" t="s">
        <v>187</v>
      </c>
      <c r="AL2" s="4" t="s">
        <v>188</v>
      </c>
      <c r="AM2" s="4" t="s">
        <v>189</v>
      </c>
      <c r="AN2" s="4" t="s">
        <v>190</v>
      </c>
      <c r="AO2" s="4" t="s">
        <v>191</v>
      </c>
      <c r="AP2" s="4" t="s">
        <v>192</v>
      </c>
      <c r="AQ2" s="4" t="s">
        <v>193</v>
      </c>
      <c r="AR2" s="4" t="s">
        <v>194</v>
      </c>
      <c r="AS2" s="4" t="s">
        <v>195</v>
      </c>
      <c r="AT2" s="4" t="s">
        <v>196</v>
      </c>
      <c r="AU2" s="4" t="s">
        <v>197</v>
      </c>
      <c r="AV2" s="4" t="s">
        <v>198</v>
      </c>
      <c r="AW2" s="4" t="s">
        <v>199</v>
      </c>
      <c r="AX2" s="4" t="s">
        <v>200</v>
      </c>
      <c r="AY2" s="4" t="s">
        <v>201</v>
      </c>
      <c r="AZ2" s="4" t="s">
        <v>202</v>
      </c>
      <c r="BA2" s="24" t="s">
        <v>203</v>
      </c>
    </row>
    <row r="3" spans="1:53" s="5" customFormat="1" x14ac:dyDescent="0.3">
      <c r="A3" s="25" t="s">
        <v>111</v>
      </c>
      <c r="B3" s="33">
        <f>5000*7</f>
        <v>35000</v>
      </c>
      <c r="C3" s="33">
        <f>$B3*(VALUE(RIGHT(C$2,2)))^(-0.21)</f>
        <v>30258.803095775282</v>
      </c>
      <c r="D3" s="33">
        <f t="shared" ref="D3:BA3" si="0">$B3*(VALUE(RIGHT(D$2,2)))^(-0.21)</f>
        <v>27788.978378196462</v>
      </c>
      <c r="E3" s="33">
        <f t="shared" si="0"/>
        <v>26159.861851111425</v>
      </c>
      <c r="F3" s="33">
        <f t="shared" si="0"/>
        <v>24962.285351788229</v>
      </c>
      <c r="G3" s="33">
        <f t="shared" si="0"/>
        <v>24024.606427960101</v>
      </c>
      <c r="H3" s="33">
        <f t="shared" si="0"/>
        <v>23259.343684102365</v>
      </c>
      <c r="I3" s="33">
        <f t="shared" si="0"/>
        <v>22616.174536156115</v>
      </c>
      <c r="J3" s="33">
        <f t="shared" si="0"/>
        <v>22063.637694396301</v>
      </c>
      <c r="K3" s="33">
        <f t="shared" si="0"/>
        <v>21580.825065151876</v>
      </c>
      <c r="L3" s="33">
        <f t="shared" si="0"/>
        <v>21153.175883626711</v>
      </c>
      <c r="M3" s="33">
        <f t="shared" si="0"/>
        <v>20770.166724489769</v>
      </c>
      <c r="N3" s="33">
        <f t="shared" si="0"/>
        <v>20423.959488695262</v>
      </c>
      <c r="O3" s="33">
        <f t="shared" si="0"/>
        <v>20108.568590691943</v>
      </c>
      <c r="P3" s="33">
        <f t="shared" si="0"/>
        <v>19819.325940320385</v>
      </c>
      <c r="Q3" s="33">
        <f t="shared" si="0"/>
        <v>19552.52491626385</v>
      </c>
      <c r="R3" s="33">
        <f t="shared" si="0"/>
        <v>19305.176246215316</v>
      </c>
      <c r="S3" s="33">
        <f t="shared" si="0"/>
        <v>19074.836244893231</v>
      </c>
      <c r="T3" s="33">
        <f t="shared" si="0"/>
        <v>18859.483217791862</v>
      </c>
      <c r="U3" s="33">
        <f t="shared" si="0"/>
        <v>18657.426751165785</v>
      </c>
      <c r="V3" s="33">
        <f t="shared" si="0"/>
        <v>18467.239963673175</v>
      </c>
      <c r="W3" s="33">
        <f t="shared" si="0"/>
        <v>18287.708111798944</v>
      </c>
      <c r="X3" s="33">
        <f t="shared" si="0"/>
        <v>18117.789051491451</v>
      </c>
      <c r="Y3" s="33">
        <f t="shared" si="0"/>
        <v>17956.582433793134</v>
      </c>
      <c r="Z3" s="33">
        <f t="shared" si="0"/>
        <v>17803.305428117179</v>
      </c>
      <c r="AA3" s="33">
        <f t="shared" si="0"/>
        <v>17657.273388700607</v>
      </c>
      <c r="AB3" s="33">
        <f t="shared" si="0"/>
        <v>17517.884309541125</v>
      </c>
      <c r="AC3" s="33">
        <f t="shared" si="0"/>
        <v>17384.60621496111</v>
      </c>
      <c r="AD3" s="33">
        <f t="shared" si="0"/>
        <v>17256.966848071839</v>
      </c>
      <c r="AE3" s="33">
        <f t="shared" si="0"/>
        <v>17134.545174832736</v>
      </c>
      <c r="AF3" s="33">
        <f t="shared" si="0"/>
        <v>17016.964335098033</v>
      </c>
      <c r="AG3" s="33">
        <f t="shared" si="0"/>
        <v>16903.885756184794</v>
      </c>
      <c r="AH3" s="33">
        <f t="shared" si="0"/>
        <v>16795.004207436843</v>
      </c>
      <c r="AI3" s="33">
        <f t="shared" si="0"/>
        <v>16690.043621813351</v>
      </c>
      <c r="AJ3" s="33">
        <f t="shared" si="0"/>
        <v>16588.753546796474</v>
      </c>
      <c r="AK3" s="33">
        <f t="shared" si="0"/>
        <v>16490.90611481091</v>
      </c>
      <c r="AL3" s="33">
        <f t="shared" si="0"/>
        <v>16396.293444986528</v>
      </c>
      <c r="AM3" s="33">
        <f t="shared" si="0"/>
        <v>16304.725405006924</v>
      </c>
      <c r="AN3" s="33">
        <f t="shared" si="0"/>
        <v>16216.027675100382</v>
      </c>
      <c r="AO3" s="33">
        <f t="shared" si="0"/>
        <v>16130.040066782163</v>
      </c>
      <c r="AP3" s="33">
        <f t="shared" si="0"/>
        <v>16046.615057375167</v>
      </c>
      <c r="AQ3" s="33">
        <f t="shared" si="0"/>
        <v>15965.616508091967</v>
      </c>
      <c r="AR3" s="33">
        <f t="shared" si="0"/>
        <v>15886.918538915399</v>
      </c>
      <c r="AS3" s="33">
        <f t="shared" si="0"/>
        <v>15810.404537941047</v>
      </c>
      <c r="AT3" s="33">
        <f t="shared" si="0"/>
        <v>15735.966286456898</v>
      </c>
      <c r="AU3" s="33">
        <f t="shared" si="0"/>
        <v>15663.503183996372</v>
      </c>
      <c r="AV3" s="33">
        <f t="shared" si="0"/>
        <v>15592.92156004043</v>
      </c>
      <c r="AW3" s="33">
        <f t="shared" si="0"/>
        <v>15524.134061062965</v>
      </c>
      <c r="AX3" s="33">
        <f t="shared" si="0"/>
        <v>15457.05910329122</v>
      </c>
      <c r="AY3" s="33">
        <f t="shared" si="0"/>
        <v>15391.620382952713</v>
      </c>
      <c r="AZ3" s="33">
        <f t="shared" si="0"/>
        <v>15327.746436952839</v>
      </c>
      <c r="BA3" s="34">
        <f t="shared" si="0"/>
        <v>15265.37024791327</v>
      </c>
    </row>
    <row r="4" spans="1:53" s="5" customFormat="1" x14ac:dyDescent="0.3">
      <c r="A4" s="25" t="s">
        <v>3</v>
      </c>
      <c r="B4" s="33">
        <f>13000*7</f>
        <v>91000</v>
      </c>
      <c r="C4" s="33">
        <f t="shared" ref="C4:BA4" si="1">$B4*(VALUE(RIGHT(C$2,2)))^(-0.35)</f>
        <v>71397.152908604316</v>
      </c>
      <c r="D4" s="33">
        <f t="shared" si="1"/>
        <v>61951.090169008989</v>
      </c>
      <c r="E4" s="33">
        <f t="shared" si="1"/>
        <v>56017.07080719369</v>
      </c>
      <c r="F4" s="33">
        <f t="shared" si="1"/>
        <v>51808.604067688932</v>
      </c>
      <c r="G4" s="33">
        <f t="shared" si="1"/>
        <v>48605.840193972173</v>
      </c>
      <c r="H4" s="33">
        <f t="shared" si="1"/>
        <v>46052.910067251345</v>
      </c>
      <c r="I4" s="33">
        <f t="shared" si="1"/>
        <v>43950.102966080478</v>
      </c>
      <c r="J4" s="33">
        <f t="shared" si="1"/>
        <v>42175.138166249249</v>
      </c>
      <c r="K4" s="33">
        <f t="shared" si="1"/>
        <v>40648.206885737643</v>
      </c>
      <c r="L4" s="33">
        <f t="shared" si="1"/>
        <v>39314.608251327569</v>
      </c>
      <c r="M4" s="33">
        <f t="shared" si="1"/>
        <v>38135.369281101288</v>
      </c>
      <c r="N4" s="33">
        <f t="shared" si="1"/>
        <v>37081.835160851289</v>
      </c>
      <c r="O4" s="33">
        <f t="shared" si="1"/>
        <v>36132.380900634584</v>
      </c>
      <c r="P4" s="33">
        <f t="shared" si="1"/>
        <v>35270.324199207498</v>
      </c>
      <c r="Q4" s="33">
        <f t="shared" si="1"/>
        <v>34482.551888111557</v>
      </c>
      <c r="R4" s="33">
        <f t="shared" si="1"/>
        <v>33758.587726172031</v>
      </c>
      <c r="S4" s="33">
        <f t="shared" si="1"/>
        <v>33089.942731837495</v>
      </c>
      <c r="T4" s="33">
        <f t="shared" si="1"/>
        <v>32469.651848585527</v>
      </c>
      <c r="U4" s="33">
        <f t="shared" si="1"/>
        <v>31891.936730566969</v>
      </c>
      <c r="V4" s="33">
        <f t="shared" si="1"/>
        <v>31351.95586946758</v>
      </c>
      <c r="W4" s="33">
        <f t="shared" si="1"/>
        <v>30845.616449031993</v>
      </c>
      <c r="X4" s="33">
        <f t="shared" si="1"/>
        <v>30369.430625054156</v>
      </c>
      <c r="Y4" s="33">
        <f t="shared" si="1"/>
        <v>29920.404305372314</v>
      </c>
      <c r="Z4" s="33">
        <f t="shared" si="1"/>
        <v>29495.950059808281</v>
      </c>
      <c r="AA4" s="33">
        <f t="shared" si="1"/>
        <v>29093.818188032514</v>
      </c>
      <c r="AB4" s="33">
        <f t="shared" si="1"/>
        <v>28712.041620084834</v>
      </c>
      <c r="AC4" s="33">
        <f t="shared" si="1"/>
        <v>28348.891473786171</v>
      </c>
      <c r="AD4" s="33">
        <f t="shared" si="1"/>
        <v>28002.840907809561</v>
      </c>
      <c r="AE4" s="33">
        <f t="shared" si="1"/>
        <v>27672.535494361153</v>
      </c>
      <c r="AF4" s="33">
        <f t="shared" si="1"/>
        <v>27356.768761213276</v>
      </c>
      <c r="AG4" s="33">
        <f t="shared" si="1"/>
        <v>27054.461866311904</v>
      </c>
      <c r="AH4" s="33">
        <f t="shared" si="1"/>
        <v>26764.646601508339</v>
      </c>
      <c r="AI4" s="33">
        <f t="shared" si="1"/>
        <v>26486.451097407004</v>
      </c>
      <c r="AJ4" s="33">
        <f t="shared" si="1"/>
        <v>26219.087734495715</v>
      </c>
      <c r="AK4" s="33">
        <f t="shared" si="1"/>
        <v>25961.842867713865</v>
      </c>
      <c r="AL4" s="33">
        <f t="shared" si="1"/>
        <v>25714.068050373437</v>
      </c>
      <c r="AM4" s="33">
        <f t="shared" si="1"/>
        <v>25475.172504644041</v>
      </c>
      <c r="AN4" s="33">
        <f t="shared" si="1"/>
        <v>25244.616633870617</v>
      </c>
      <c r="AO4" s="33">
        <f t="shared" si="1"/>
        <v>25021.906409932133</v>
      </c>
      <c r="AP4" s="33">
        <f t="shared" si="1"/>
        <v>24806.588498998015</v>
      </c>
      <c r="AQ4" s="33">
        <f t="shared" si="1"/>
        <v>24598.246013144959</v>
      </c>
      <c r="AR4" s="33">
        <f t="shared" si="1"/>
        <v>24396.49479468463</v>
      </c>
      <c r="AS4" s="33">
        <f t="shared" si="1"/>
        <v>24200.980155732937</v>
      </c>
      <c r="AT4" s="33">
        <f t="shared" si="1"/>
        <v>24011.374008299819</v>
      </c>
      <c r="AU4" s="33">
        <f t="shared" si="1"/>
        <v>23827.37233059607</v>
      </c>
      <c r="AV4" s="33">
        <f t="shared" si="1"/>
        <v>23648.692923806913</v>
      </c>
      <c r="AW4" s="33">
        <f t="shared" si="1"/>
        <v>23475.073420636596</v>
      </c>
      <c r="AX4" s="33">
        <f t="shared" si="1"/>
        <v>23306.269512772971</v>
      </c>
      <c r="AY4" s="33">
        <f t="shared" si="1"/>
        <v>23142.05336928229</v>
      </c>
      <c r="AZ4" s="33">
        <f t="shared" si="1"/>
        <v>22982.212222005313</v>
      </c>
      <c r="BA4" s="34">
        <f t="shared" si="1"/>
        <v>22826.547097429568</v>
      </c>
    </row>
    <row r="5" spans="1:53" x14ac:dyDescent="0.3">
      <c r="A5" s="25" t="s">
        <v>4</v>
      </c>
      <c r="B5" s="33">
        <f>8000*7</f>
        <v>56000</v>
      </c>
      <c r="C5" s="33">
        <f>$B5*(VALUE(RIGHT(C$2,2)))^(-0.25)</f>
        <v>47090.199254208019</v>
      </c>
      <c r="D5" s="33">
        <f t="shared" ref="D5:BA5" si="2">$B5*(VALUE(RIGHT(D$2,2)))^(-0.25)</f>
        <v>42550.798396489176</v>
      </c>
      <c r="E5" s="33">
        <f t="shared" si="2"/>
        <v>39597.979746446661</v>
      </c>
      <c r="F5" s="33">
        <f t="shared" si="2"/>
        <v>37449.457078679632</v>
      </c>
      <c r="G5" s="33">
        <f t="shared" si="2"/>
        <v>35780.813837791255</v>
      </c>
      <c r="H5" s="33">
        <f t="shared" si="2"/>
        <v>34428.136565270812</v>
      </c>
      <c r="I5" s="33">
        <f t="shared" si="2"/>
        <v>33297.799220076187</v>
      </c>
      <c r="J5" s="33">
        <f t="shared" si="2"/>
        <v>32331.61507461904</v>
      </c>
      <c r="K5" s="33">
        <f t="shared" si="2"/>
        <v>31491.114210659547</v>
      </c>
      <c r="L5" s="33">
        <f t="shared" si="2"/>
        <v>30749.627259462297</v>
      </c>
      <c r="M5" s="33">
        <f t="shared" si="2"/>
        <v>30087.958091059176</v>
      </c>
      <c r="N5" s="33">
        <f t="shared" si="2"/>
        <v>29491.861719483888</v>
      </c>
      <c r="O5" s="33">
        <f t="shared" si="2"/>
        <v>28950.496621601553</v>
      </c>
      <c r="P5" s="33">
        <f t="shared" si="2"/>
        <v>28455.433896658426</v>
      </c>
      <c r="Q5" s="33">
        <f t="shared" si="2"/>
        <v>28000</v>
      </c>
      <c r="R5" s="33">
        <f t="shared" si="2"/>
        <v>27578.827388305333</v>
      </c>
      <c r="S5" s="33">
        <f t="shared" si="2"/>
        <v>27187.539215610112</v>
      </c>
      <c r="T5" s="33">
        <f t="shared" si="2"/>
        <v>26822.523024840182</v>
      </c>
      <c r="U5" s="33">
        <f t="shared" si="2"/>
        <v>26480.765052088922</v>
      </c>
      <c r="V5" s="33">
        <f t="shared" si="2"/>
        <v>26159.726752779206</v>
      </c>
      <c r="W5" s="33">
        <f t="shared" si="2"/>
        <v>25857.251332869746</v>
      </c>
      <c r="X5" s="33">
        <f t="shared" si="2"/>
        <v>25571.491987816953</v>
      </c>
      <c r="Y5" s="33">
        <f t="shared" si="2"/>
        <v>25300.856101075653</v>
      </c>
      <c r="Z5" s="33">
        <f t="shared" si="2"/>
        <v>25043.961347997643</v>
      </c>
      <c r="AA5" s="33">
        <f t="shared" si="2"/>
        <v>24799.600799072254</v>
      </c>
      <c r="AB5" s="33">
        <f t="shared" si="2"/>
        <v>24566.714908446527</v>
      </c>
      <c r="AC5" s="33">
        <f t="shared" si="2"/>
        <v>24344.36882891952</v>
      </c>
      <c r="AD5" s="33">
        <f t="shared" si="2"/>
        <v>24131.733889698735</v>
      </c>
      <c r="AE5" s="33">
        <f t="shared" si="2"/>
        <v>23928.072358189107</v>
      </c>
      <c r="AF5" s="33">
        <f t="shared" si="2"/>
        <v>23732.724815241214</v>
      </c>
      <c r="AG5" s="33">
        <f t="shared" si="2"/>
        <v>23545.099627104009</v>
      </c>
      <c r="AH5" s="33">
        <f t="shared" si="2"/>
        <v>23364.664112224433</v>
      </c>
      <c r="AI5" s="33">
        <f t="shared" si="2"/>
        <v>23190.937087726914</v>
      </c>
      <c r="AJ5" s="33">
        <f t="shared" si="2"/>
        <v>23023.482546429106</v>
      </c>
      <c r="AK5" s="33">
        <f t="shared" si="2"/>
        <v>22861.904265976333</v>
      </c>
      <c r="AL5" s="33">
        <f t="shared" si="2"/>
        <v>22705.841190971114</v>
      </c>
      <c r="AM5" s="33">
        <f t="shared" si="2"/>
        <v>22554.96345964833</v>
      </c>
      <c r="AN5" s="33">
        <f t="shared" si="2"/>
        <v>22408.968970765996</v>
      </c>
      <c r="AO5" s="33">
        <f t="shared" si="2"/>
        <v>22267.580405477416</v>
      </c>
      <c r="AP5" s="33">
        <f t="shared" si="2"/>
        <v>22130.542634166668</v>
      </c>
      <c r="AQ5" s="33">
        <f t="shared" si="2"/>
        <v>21997.620450428727</v>
      </c>
      <c r="AR5" s="33">
        <f t="shared" si="2"/>
        <v>21868.596584212904</v>
      </c>
      <c r="AS5" s="33">
        <f t="shared" si="2"/>
        <v>21743.269954124502</v>
      </c>
      <c r="AT5" s="33">
        <f t="shared" si="2"/>
        <v>21621.454125381024</v>
      </c>
      <c r="AU5" s="33">
        <f t="shared" si="2"/>
        <v>21502.975945244358</v>
      </c>
      <c r="AV5" s="33">
        <f t="shared" si="2"/>
        <v>21387.674332133389</v>
      </c>
      <c r="AW5" s="33">
        <f t="shared" si="2"/>
        <v>21275.399198244588</v>
      </c>
      <c r="AX5" s="33">
        <f t="shared" si="2"/>
        <v>21166.010488516727</v>
      </c>
      <c r="AY5" s="33">
        <f t="shared" si="2"/>
        <v>21059.377321283806</v>
      </c>
      <c r="AZ5" s="33">
        <f t="shared" si="2"/>
        <v>20955.377218059901</v>
      </c>
      <c r="BA5" s="34">
        <f t="shared" si="2"/>
        <v>20853.895411663008</v>
      </c>
    </row>
    <row r="6" spans="1:53" x14ac:dyDescent="0.3">
      <c r="A6" s="25" t="s">
        <v>103</v>
      </c>
      <c r="B6" s="33">
        <f>2000*7</f>
        <v>14000</v>
      </c>
      <c r="C6" s="33">
        <f>$B6*(VALUE(RIGHT(C$2,2)))^(-0.02)</f>
        <v>13807.257862907029</v>
      </c>
      <c r="D6" s="33">
        <f t="shared" ref="D6:BA6" si="3">$B6*(VALUE(RIGHT(D$2,2)))^(-0.02)</f>
        <v>13695.743400208396</v>
      </c>
      <c r="E6" s="33">
        <f t="shared" si="3"/>
        <v>13617.169263771997</v>
      </c>
      <c r="F6" s="33">
        <f t="shared" si="3"/>
        <v>13556.533000158817</v>
      </c>
      <c r="G6" s="33">
        <f t="shared" si="3"/>
        <v>13507.1900536346</v>
      </c>
      <c r="H6" s="33">
        <f t="shared" si="3"/>
        <v>13465.611329867192</v>
      </c>
      <c r="I6" s="33">
        <f t="shared" si="3"/>
        <v>13429.6976705537</v>
      </c>
      <c r="J6" s="33">
        <f t="shared" si="3"/>
        <v>13398.099091739417</v>
      </c>
      <c r="K6" s="33">
        <f t="shared" si="3"/>
        <v>13369.896204300103</v>
      </c>
      <c r="L6" s="33">
        <f t="shared" si="3"/>
        <v>13344.434735157942</v>
      </c>
      <c r="M6" s="33">
        <f t="shared" si="3"/>
        <v>13321.232576701854</v>
      </c>
      <c r="N6" s="33">
        <f t="shared" si="3"/>
        <v>13299.924286485162</v>
      </c>
      <c r="O6" s="33">
        <f t="shared" si="3"/>
        <v>13280.22627951134</v>
      </c>
      <c r="P6" s="33">
        <f t="shared" si="3"/>
        <v>13261.914097616605</v>
      </c>
      <c r="Q6" s="33">
        <f t="shared" si="3"/>
        <v>13244.807054158344</v>
      </c>
      <c r="R6" s="33">
        <f t="shared" si="3"/>
        <v>13228.757557697323</v>
      </c>
      <c r="S6" s="33">
        <f t="shared" si="3"/>
        <v>13213.643502316185</v>
      </c>
      <c r="T6" s="33">
        <f t="shared" si="3"/>
        <v>13199.362725186578</v>
      </c>
      <c r="U6" s="33">
        <f t="shared" si="3"/>
        <v>13185.828892362388</v>
      </c>
      <c r="V6" s="33">
        <f t="shared" si="3"/>
        <v>13172.968392914285</v>
      </c>
      <c r="W6" s="33">
        <f t="shared" si="3"/>
        <v>13160.717958789941</v>
      </c>
      <c r="X6" s="33">
        <f t="shared" si="3"/>
        <v>13149.022816058006</v>
      </c>
      <c r="Y6" s="33">
        <f t="shared" si="3"/>
        <v>13137.835231305709</v>
      </c>
      <c r="Z6" s="33">
        <f t="shared" si="3"/>
        <v>13127.113356028216</v>
      </c>
      <c r="AA6" s="33">
        <f t="shared" si="3"/>
        <v>13116.820298617173</v>
      </c>
      <c r="AB6" s="33">
        <f t="shared" si="3"/>
        <v>13106.923372216301</v>
      </c>
      <c r="AC6" s="33">
        <f t="shared" si="3"/>
        <v>13097.39347992625</v>
      </c>
      <c r="AD6" s="33">
        <f t="shared" si="3"/>
        <v>13088.204608333777</v>
      </c>
      <c r="AE6" s="33">
        <f t="shared" si="3"/>
        <v>13079.333407251032</v>
      </c>
      <c r="AF6" s="33">
        <f t="shared" si="3"/>
        <v>13070.758838642858</v>
      </c>
      <c r="AG6" s="33">
        <f t="shared" si="3"/>
        <v>13062.461881515304</v>
      </c>
      <c r="AH6" s="33">
        <f t="shared" si="3"/>
        <v>13054.425282396505</v>
      </c>
      <c r="AI6" s="33">
        <f t="shared" si="3"/>
        <v>13046.633343214795</v>
      </c>
      <c r="AJ6" s="33">
        <f t="shared" si="3"/>
        <v>13039.071740046933</v>
      </c>
      <c r="AK6" s="33">
        <f t="shared" si="3"/>
        <v>13031.727367500394</v>
      </c>
      <c r="AL6" s="33">
        <f t="shared" si="3"/>
        <v>13024.588204501091</v>
      </c>
      <c r="AM6" s="33">
        <f t="shared" si="3"/>
        <v>13017.643198049596</v>
      </c>
      <c r="AN6" s="33">
        <f t="shared" si="3"/>
        <v>13010.882162135753</v>
      </c>
      <c r="AO6" s="33">
        <f t="shared" si="3"/>
        <v>13004.295689501234</v>
      </c>
      <c r="AP6" s="33">
        <f t="shared" si="3"/>
        <v>12997.875074339925</v>
      </c>
      <c r="AQ6" s="33">
        <f t="shared" si="3"/>
        <v>12991.612244349395</v>
      </c>
      <c r="AR6" s="33">
        <f t="shared" si="3"/>
        <v>12985.499700808712</v>
      </c>
      <c r="AS6" s="33">
        <f t="shared" si="3"/>
        <v>12979.530465571725</v>
      </c>
      <c r="AT6" s="33">
        <f t="shared" si="3"/>
        <v>12973.698034040235</v>
      </c>
      <c r="AU6" s="33">
        <f t="shared" si="3"/>
        <v>12967.996333325775</v>
      </c>
      <c r="AV6" s="33">
        <f t="shared" si="3"/>
        <v>12962.419684928214</v>
      </c>
      <c r="AW6" s="33">
        <f t="shared" si="3"/>
        <v>12956.962771358765</v>
      </c>
      <c r="AX6" s="33">
        <f t="shared" si="3"/>
        <v>12951.620606217693</v>
      </c>
      <c r="AY6" s="33">
        <f t="shared" si="3"/>
        <v>12946.388507306605</v>
      </c>
      <c r="AZ6" s="33">
        <f t="shared" si="3"/>
        <v>12941.262072413576</v>
      </c>
      <c r="BA6" s="34">
        <f t="shared" si="3"/>
        <v>12936.237157458605</v>
      </c>
    </row>
    <row r="7" spans="1:53" x14ac:dyDescent="0.3">
      <c r="A7" s="25" t="s">
        <v>104</v>
      </c>
      <c r="B7" s="33">
        <f>1500*7</f>
        <v>10500</v>
      </c>
      <c r="C7" s="33">
        <f>$B7*(VALUE(RIGHT(C$2,2)))^(-0.01)</f>
        <v>10427.471202088876</v>
      </c>
      <c r="D7" s="33">
        <f t="shared" ref="D7:BA7" si="4">$B7*(VALUE(RIGHT(D$2,2)))^(-0.01)</f>
        <v>10385.277043807793</v>
      </c>
      <c r="E7" s="33">
        <f t="shared" si="4"/>
        <v>10355.443397180272</v>
      </c>
      <c r="F7" s="33">
        <f t="shared" si="4"/>
        <v>10332.361655316306</v>
      </c>
      <c r="G7" s="33">
        <f t="shared" si="4"/>
        <v>10313.540695240043</v>
      </c>
      <c r="H7" s="33">
        <f t="shared" si="4"/>
        <v>10297.654549590608</v>
      </c>
      <c r="I7" s="33">
        <f t="shared" si="4"/>
        <v>10283.913124662731</v>
      </c>
      <c r="J7" s="33">
        <f t="shared" si="4"/>
        <v>10271.807550156296</v>
      </c>
      <c r="K7" s="33">
        <f t="shared" si="4"/>
        <v>10260.990820036011</v>
      </c>
      <c r="L7" s="33">
        <f t="shared" si="4"/>
        <v>10251.215710313038</v>
      </c>
      <c r="M7" s="33">
        <f t="shared" si="4"/>
        <v>10242.299865827357</v>
      </c>
      <c r="N7" s="33">
        <f t="shared" si="4"/>
        <v>10234.104931847762</v>
      </c>
      <c r="O7" s="33">
        <f t="shared" si="4"/>
        <v>10226.523453801483</v>
      </c>
      <c r="P7" s="33">
        <f t="shared" si="4"/>
        <v>10219.470314978696</v>
      </c>
      <c r="Q7" s="33">
        <f t="shared" si="4"/>
        <v>10212.876947828998</v>
      </c>
      <c r="R7" s="33">
        <f t="shared" si="4"/>
        <v>10206.687306215785</v>
      </c>
      <c r="S7" s="33">
        <f t="shared" si="4"/>
        <v>10200.854992633705</v>
      </c>
      <c r="T7" s="33">
        <f t="shared" si="4"/>
        <v>10195.341164514521</v>
      </c>
      <c r="U7" s="33">
        <f t="shared" si="4"/>
        <v>10190.112979126079</v>
      </c>
      <c r="V7" s="33">
        <f t="shared" si="4"/>
        <v>10185.142418945352</v>
      </c>
      <c r="W7" s="33">
        <f t="shared" si="4"/>
        <v>10180.405391018117</v>
      </c>
      <c r="X7" s="33">
        <f t="shared" si="4"/>
        <v>10175.88102703922</v>
      </c>
      <c r="Y7" s="33">
        <f t="shared" si="4"/>
        <v>10171.551132768909</v>
      </c>
      <c r="Z7" s="33">
        <f t="shared" si="4"/>
        <v>10167.399750119113</v>
      </c>
      <c r="AA7" s="33">
        <f t="shared" si="4"/>
        <v>10163.412805333168</v>
      </c>
      <c r="AB7" s="33">
        <f t="shared" si="4"/>
        <v>10159.577823719024</v>
      </c>
      <c r="AC7" s="33">
        <f t="shared" si="4"/>
        <v>10155.883696381088</v>
      </c>
      <c r="AD7" s="33">
        <f t="shared" si="4"/>
        <v>10152.320487978524</v>
      </c>
      <c r="AE7" s="33">
        <f t="shared" si="4"/>
        <v>10148.879277146903</v>
      </c>
      <c r="AF7" s="33">
        <f t="shared" si="4"/>
        <v>10145.552023143568</v>
      </c>
      <c r="AG7" s="33">
        <f t="shared" si="4"/>
        <v>10142.331453710878</v>
      </c>
      <c r="AH7" s="33">
        <f t="shared" si="4"/>
        <v>10139.210970231978</v>
      </c>
      <c r="AI7" s="33">
        <f t="shared" si="4"/>
        <v>10136.184567075352</v>
      </c>
      <c r="AJ7" s="33">
        <f t="shared" si="4"/>
        <v>10133.24676265557</v>
      </c>
      <c r="AK7" s="33">
        <f t="shared" si="4"/>
        <v>10130.39254022595</v>
      </c>
      <c r="AL7" s="33">
        <f t="shared" si="4"/>
        <v>10127.617296800177</v>
      </c>
      <c r="AM7" s="33">
        <f t="shared" si="4"/>
        <v>10124.916798899661</v>
      </c>
      <c r="AN7" s="33">
        <f t="shared" si="4"/>
        <v>10122.287144060825</v>
      </c>
      <c r="AO7" s="33">
        <f t="shared" si="4"/>
        <v>10119.724727225646</v>
      </c>
      <c r="AP7" s="33">
        <f t="shared" si="4"/>
        <v>10117.226211290666</v>
      </c>
      <c r="AQ7" s="33">
        <f t="shared" si="4"/>
        <v>10114.788501212048</v>
      </c>
      <c r="AR7" s="33">
        <f t="shared" si="4"/>
        <v>10112.408721163747</v>
      </c>
      <c r="AS7" s="33">
        <f t="shared" si="4"/>
        <v>10110.084194326837</v>
      </c>
      <c r="AT7" s="33">
        <f t="shared" si="4"/>
        <v>10107.812424954614</v>
      </c>
      <c r="AU7" s="33">
        <f t="shared" si="4"/>
        <v>10105.591082412768</v>
      </c>
      <c r="AV7" s="33">
        <f t="shared" si="4"/>
        <v>10103.417986939354</v>
      </c>
      <c r="AW7" s="33">
        <f t="shared" si="4"/>
        <v>10101.291096906883</v>
      </c>
      <c r="AX7" s="33">
        <f t="shared" si="4"/>
        <v>10099.208497400394</v>
      </c>
      <c r="AY7" s="33">
        <f t="shared" si="4"/>
        <v>10097.168389951687</v>
      </c>
      <c r="AZ7" s="33">
        <f t="shared" si="4"/>
        <v>10095.169083292112</v>
      </c>
      <c r="BA7" s="34">
        <f t="shared" si="4"/>
        <v>10093.208985005042</v>
      </c>
    </row>
    <row r="8" spans="1:53" x14ac:dyDescent="0.3">
      <c r="A8" s="25" t="s">
        <v>105</v>
      </c>
      <c r="B8" s="33">
        <f>7000*7</f>
        <v>49000</v>
      </c>
      <c r="C8" s="33">
        <f>$B8*(VALUE(RIGHT(C$2,2)))^(-0.17)</f>
        <v>43553.291377161935</v>
      </c>
      <c r="D8" s="33">
        <f t="shared" ref="D8:BA8" si="5">$B8*(VALUE(RIGHT(D$2,2)))^(-0.17)</f>
        <v>40652.332281111623</v>
      </c>
      <c r="E8" s="33">
        <f t="shared" si="5"/>
        <v>38712.024281305479</v>
      </c>
      <c r="F8" s="33">
        <f t="shared" si="5"/>
        <v>37271.011503101829</v>
      </c>
      <c r="G8" s="33">
        <f t="shared" si="5"/>
        <v>36133.528020417565</v>
      </c>
      <c r="H8" s="33">
        <f t="shared" si="5"/>
        <v>35198.92607026724</v>
      </c>
      <c r="I8" s="33">
        <f t="shared" si="5"/>
        <v>34408.899455580933</v>
      </c>
      <c r="J8" s="33">
        <f t="shared" si="5"/>
        <v>33726.777957018581</v>
      </c>
      <c r="K8" s="33">
        <f t="shared" si="5"/>
        <v>33128.065794207112</v>
      </c>
      <c r="L8" s="33">
        <f t="shared" si="5"/>
        <v>32595.625809094625</v>
      </c>
      <c r="M8" s="33">
        <f t="shared" si="5"/>
        <v>32117.021925675337</v>
      </c>
      <c r="N8" s="33">
        <f t="shared" si="5"/>
        <v>31682.957161752565</v>
      </c>
      <c r="O8" s="33">
        <f t="shared" si="5"/>
        <v>31286.307822480223</v>
      </c>
      <c r="P8" s="33">
        <f t="shared" si="5"/>
        <v>30921.500899535287</v>
      </c>
      <c r="Q8" s="33">
        <f t="shared" si="5"/>
        <v>30584.098448089491</v>
      </c>
      <c r="R8" s="33">
        <f t="shared" si="5"/>
        <v>30270.511766727988</v>
      </c>
      <c r="S8" s="33">
        <f t="shared" si="5"/>
        <v>29977.799746425972</v>
      </c>
      <c r="T8" s="33">
        <f t="shared" si="5"/>
        <v>29703.523396536042</v>
      </c>
      <c r="U8" s="33">
        <f t="shared" si="5"/>
        <v>29445.638822385587</v>
      </c>
      <c r="V8" s="33">
        <f t="shared" si="5"/>
        <v>29202.417113199728</v>
      </c>
      <c r="W8" s="33">
        <f t="shared" si="5"/>
        <v>28972.383438457917</v>
      </c>
      <c r="X8" s="33">
        <f t="shared" si="5"/>
        <v>28754.270099157453</v>
      </c>
      <c r="Y8" s="33">
        <f t="shared" si="5"/>
        <v>28546.979879502793</v>
      </c>
      <c r="Z8" s="33">
        <f t="shared" si="5"/>
        <v>28349.557111517319</v>
      </c>
      <c r="AA8" s="33">
        <f t="shared" si="5"/>
        <v>28161.164590937737</v>
      </c>
      <c r="AB8" s="33">
        <f t="shared" si="5"/>
        <v>27981.064985305926</v>
      </c>
      <c r="AC8" s="33">
        <f t="shared" si="5"/>
        <v>27808.605728735962</v>
      </c>
      <c r="AD8" s="33">
        <f t="shared" si="5"/>
        <v>27643.206650251072</v>
      </c>
      <c r="AE8" s="33">
        <f t="shared" si="5"/>
        <v>27484.349765237457</v>
      </c>
      <c r="AF8" s="33">
        <f t="shared" si="5"/>
        <v>27331.570793384421</v>
      </c>
      <c r="AG8" s="33">
        <f t="shared" si="5"/>
        <v>27184.452065662197</v>
      </c>
      <c r="AH8" s="33">
        <f t="shared" si="5"/>
        <v>27042.616557185564</v>
      </c>
      <c r="AI8" s="33">
        <f t="shared" si="5"/>
        <v>26905.722839022714</v>
      </c>
      <c r="AJ8" s="33">
        <f t="shared" si="5"/>
        <v>26773.460784933905</v>
      </c>
      <c r="AK8" s="33">
        <f t="shared" si="5"/>
        <v>26645.547902087786</v>
      </c>
      <c r="AL8" s="33">
        <f t="shared" si="5"/>
        <v>26521.726180480106</v>
      </c>
      <c r="AM8" s="33">
        <f t="shared" si="5"/>
        <v>26401.759375871039</v>
      </c>
      <c r="AN8" s="33">
        <f t="shared" si="5"/>
        <v>26285.430656893684</v>
      </c>
      <c r="AO8" s="33">
        <f t="shared" si="5"/>
        <v>26172.540559551653</v>
      </c>
      <c r="AP8" s="33">
        <f t="shared" si="5"/>
        <v>26062.905202359339</v>
      </c>
      <c r="AQ8" s="33">
        <f t="shared" si="5"/>
        <v>25956.354723440978</v>
      </c>
      <c r="AR8" s="33">
        <f t="shared" si="5"/>
        <v>25852.731907420126</v>
      </c>
      <c r="AS8" s="33">
        <f t="shared" si="5"/>
        <v>25751.890975224869</v>
      </c>
      <c r="AT8" s="33">
        <f t="shared" si="5"/>
        <v>25653.696514257157</v>
      </c>
      <c r="AU8" s="33">
        <f t="shared" si="5"/>
        <v>25558.022529922855</v>
      </c>
      <c r="AV8" s="33">
        <f t="shared" si="5"/>
        <v>25464.751602444976</v>
      </c>
      <c r="AW8" s="33">
        <f t="shared" si="5"/>
        <v>25373.774135305393</v>
      </c>
      <c r="AX8" s="33">
        <f t="shared" si="5"/>
        <v>25284.987683676307</v>
      </c>
      <c r="AY8" s="33">
        <f t="shared" si="5"/>
        <v>25198.296352885864</v>
      </c>
      <c r="AZ8" s="33">
        <f t="shared" si="5"/>
        <v>25113.610258373992</v>
      </c>
      <c r="BA8" s="34">
        <f t="shared" si="5"/>
        <v>25030.845039782169</v>
      </c>
    </row>
    <row r="9" spans="1:53" x14ac:dyDescent="0.3">
      <c r="A9" s="25" t="s">
        <v>106</v>
      </c>
      <c r="B9" s="33">
        <f>10000*7</f>
        <v>70000</v>
      </c>
      <c r="C9" s="33">
        <f>$B9*(VALUE(RIGHT(C$2,2)))^(-0.3)</f>
        <v>56857.66774493648</v>
      </c>
      <c r="D9" s="33">
        <f t="shared" ref="D9:BA9" si="6">$B9*(VALUE(RIGHT(D$2,2)))^(-0.3)</f>
        <v>50345.616532740511</v>
      </c>
      <c r="E9" s="33">
        <f t="shared" si="6"/>
        <v>46182.776877051307</v>
      </c>
      <c r="F9" s="33">
        <f t="shared" si="6"/>
        <v>43192.370390400669</v>
      </c>
      <c r="G9" s="33">
        <f t="shared" si="6"/>
        <v>40893.347674750585</v>
      </c>
      <c r="H9" s="33">
        <f t="shared" si="6"/>
        <v>39045.287771227224</v>
      </c>
      <c r="I9" s="33">
        <f t="shared" si="6"/>
        <v>37512.071188770256</v>
      </c>
      <c r="J9" s="33">
        <f t="shared" si="6"/>
        <v>36209.730058025059</v>
      </c>
      <c r="K9" s="33">
        <f t="shared" si="6"/>
        <v>35083.106353909054</v>
      </c>
      <c r="L9" s="33">
        <f t="shared" si="6"/>
        <v>34094.178805807998</v>
      </c>
      <c r="M9" s="33">
        <f t="shared" si="6"/>
        <v>33215.719643844859</v>
      </c>
      <c r="N9" s="33">
        <f t="shared" si="6"/>
        <v>32427.616952525703</v>
      </c>
      <c r="O9" s="33">
        <f t="shared" si="6"/>
        <v>31714.628558598131</v>
      </c>
      <c r="P9" s="33">
        <f t="shared" si="6"/>
        <v>31064.950240217251</v>
      </c>
      <c r="Q9" s="33">
        <f t="shared" si="6"/>
        <v>30469.269715364346</v>
      </c>
      <c r="R9" s="33">
        <f t="shared" si="6"/>
        <v>29920.122245178161</v>
      </c>
      <c r="S9" s="33">
        <f t="shared" si="6"/>
        <v>29411.440011043265</v>
      </c>
      <c r="T9" s="33">
        <f t="shared" si="6"/>
        <v>28938.229710308253</v>
      </c>
      <c r="U9" s="33">
        <f t="shared" si="6"/>
        <v>28496.33720758331</v>
      </c>
      <c r="V9" s="33">
        <f t="shared" si="6"/>
        <v>28082.272650581544</v>
      </c>
      <c r="W9" s="33">
        <f t="shared" si="6"/>
        <v>27693.078436815518</v>
      </c>
      <c r="X9" s="33">
        <f t="shared" si="6"/>
        <v>27326.228100756107</v>
      </c>
      <c r="Y9" s="33">
        <f t="shared" si="6"/>
        <v>26979.54787740987</v>
      </c>
      <c r="Z9" s="33">
        <f t="shared" si="6"/>
        <v>26651.155142022304</v>
      </c>
      <c r="AA9" s="33">
        <f t="shared" si="6"/>
        <v>26339.40957781109</v>
      </c>
      <c r="AB9" s="33">
        <f t="shared" si="6"/>
        <v>26042.874060791106</v>
      </c>
      <c r="AC9" s="33">
        <f t="shared" si="6"/>
        <v>25760.283046269236</v>
      </c>
      <c r="AD9" s="33">
        <f t="shared" si="6"/>
        <v>25490.51680645988</v>
      </c>
      <c r="AE9" s="33">
        <f t="shared" si="6"/>
        <v>25232.580275303681</v>
      </c>
      <c r="AF9" s="33">
        <f t="shared" si="6"/>
        <v>24985.585553014011</v>
      </c>
      <c r="AG9" s="33">
        <f t="shared" si="6"/>
        <v>24748.737341529166</v>
      </c>
      <c r="AH9" s="33">
        <f t="shared" si="6"/>
        <v>24521.320745084264</v>
      </c>
      <c r="AI9" s="33">
        <f t="shared" si="6"/>
        <v>24302.690992917476</v>
      </c>
      <c r="AJ9" s="33">
        <f t="shared" si="6"/>
        <v>24092.264734494693</v>
      </c>
      <c r="AK9" s="33">
        <f t="shared" si="6"/>
        <v>23889.512629257562</v>
      </c>
      <c r="AL9" s="33">
        <f t="shared" si="6"/>
        <v>23693.953008293785</v>
      </c>
      <c r="AM9" s="33">
        <f t="shared" si="6"/>
        <v>23505.14642850509</v>
      </c>
      <c r="AN9" s="33">
        <f t="shared" si="6"/>
        <v>23322.690973749344</v>
      </c>
      <c r="AO9" s="33">
        <f t="shared" si="6"/>
        <v>23146.218184234902</v>
      </c>
      <c r="AP9" s="33">
        <f t="shared" si="6"/>
        <v>22975.389516772244</v>
      </c>
      <c r="AQ9" s="33">
        <f t="shared" si="6"/>
        <v>22809.893255564031</v>
      </c>
      <c r="AR9" s="33">
        <f t="shared" si="6"/>
        <v>22649.441806965649</v>
      </c>
      <c r="AS9" s="33">
        <f t="shared" si="6"/>
        <v>22493.769322784603</v>
      </c>
      <c r="AT9" s="33">
        <f t="shared" si="6"/>
        <v>22342.629605752041</v>
      </c>
      <c r="AU9" s="33">
        <f t="shared" si="6"/>
        <v>22195.794258216254</v>
      </c>
      <c r="AV9" s="33">
        <f t="shared" si="6"/>
        <v>22053.051041204497</v>
      </c>
      <c r="AW9" s="33">
        <f t="shared" si="6"/>
        <v>21914.20241603395</v>
      </c>
      <c r="AX9" s="33">
        <f t="shared" si="6"/>
        <v>21779.064244827798</v>
      </c>
      <c r="AY9" s="33">
        <f t="shared" si="6"/>
        <v>21647.46462976942</v>
      </c>
      <c r="AZ9" s="33">
        <f t="shared" si="6"/>
        <v>21519.242873835126</v>
      </c>
      <c r="BA9" s="34">
        <f t="shared" si="6"/>
        <v>21394.248548185435</v>
      </c>
    </row>
    <row r="10" spans="1:53" x14ac:dyDescent="0.3">
      <c r="A10" s="25" t="s">
        <v>107</v>
      </c>
      <c r="B10" s="33">
        <f>4000*7</f>
        <v>28000</v>
      </c>
      <c r="C10" s="33">
        <f>$B10*(VALUE(RIGHT(C$2,2)))^(-0.09)</f>
        <v>26306.636977992333</v>
      </c>
      <c r="D10" s="33">
        <f t="shared" ref="D10:BA10" si="7">$B10*(VALUE(RIGHT(D$2,2)))^(-0.09)</f>
        <v>25363.963434200632</v>
      </c>
      <c r="E10" s="33">
        <f t="shared" si="7"/>
        <v>24715.68389613834</v>
      </c>
      <c r="F10" s="33">
        <f t="shared" si="7"/>
        <v>24224.271814210751</v>
      </c>
      <c r="G10" s="33">
        <f t="shared" si="7"/>
        <v>23830.020656663844</v>
      </c>
      <c r="H10" s="33">
        <f t="shared" si="7"/>
        <v>23501.696188048609</v>
      </c>
      <c r="I10" s="33">
        <f t="shared" si="7"/>
        <v>23220.947282804365</v>
      </c>
      <c r="J10" s="33">
        <f t="shared" si="7"/>
        <v>22976.094324695241</v>
      </c>
      <c r="K10" s="33">
        <f t="shared" si="7"/>
        <v>22759.254452594778</v>
      </c>
      <c r="L10" s="33">
        <f t="shared" si="7"/>
        <v>22564.862406820568</v>
      </c>
      <c r="M10" s="33">
        <f t="shared" si="7"/>
        <v>22388.84652117551</v>
      </c>
      <c r="N10" s="33">
        <f t="shared" si="7"/>
        <v>22228.14031660428</v>
      </c>
      <c r="O10" s="33">
        <f t="shared" si="7"/>
        <v>22080.378213787888</v>
      </c>
      <c r="P10" s="33">
        <f t="shared" si="7"/>
        <v>21943.698018420659</v>
      </c>
      <c r="Q10" s="33">
        <f t="shared" si="7"/>
        <v>21816.608230493996</v>
      </c>
      <c r="R10" s="33">
        <f t="shared" si="7"/>
        <v>21697.896257984903</v>
      </c>
      <c r="S10" s="33">
        <f t="shared" si="7"/>
        <v>21586.563306138123</v>
      </c>
      <c r="T10" s="33">
        <f t="shared" si="7"/>
        <v>21481.777165670945</v>
      </c>
      <c r="U10" s="33">
        <f t="shared" si="7"/>
        <v>21382.837313363085</v>
      </c>
      <c r="V10" s="33">
        <f t="shared" si="7"/>
        <v>21289.148669834191</v>
      </c>
      <c r="W10" s="33">
        <f t="shared" si="7"/>
        <v>21200.201564091967</v>
      </c>
      <c r="X10" s="33">
        <f t="shared" si="7"/>
        <v>21115.556226166165</v>
      </c>
      <c r="Y10" s="33">
        <f t="shared" si="7"/>
        <v>21034.830635305374</v>
      </c>
      <c r="Z10" s="33">
        <f t="shared" si="7"/>
        <v>20957.690890313046</v>
      </c>
      <c r="AA10" s="33">
        <f t="shared" si="7"/>
        <v>20883.843500170871</v>
      </c>
      <c r="AB10" s="33">
        <f t="shared" si="7"/>
        <v>20813.029154011241</v>
      </c>
      <c r="AC10" s="33">
        <f t="shared" si="7"/>
        <v>20745.017643103169</v>
      </c>
      <c r="AD10" s="33">
        <f t="shared" si="7"/>
        <v>20679.603688889969</v>
      </c>
      <c r="AE10" s="33">
        <f t="shared" si="7"/>
        <v>20616.603490188641</v>
      </c>
      <c r="AF10" s="33">
        <f t="shared" si="7"/>
        <v>20555.851846073758</v>
      </c>
      <c r="AG10" s="33">
        <f t="shared" si="7"/>
        <v>20497.199743238754</v>
      </c>
      <c r="AH10" s="33">
        <f t="shared" si="7"/>
        <v>20440.512320870195</v>
      </c>
      <c r="AI10" s="33">
        <f t="shared" si="7"/>
        <v>20385.667144462393</v>
      </c>
      <c r="AJ10" s="33">
        <f t="shared" si="7"/>
        <v>20332.55273408179</v>
      </c>
      <c r="AK10" s="33">
        <f t="shared" si="7"/>
        <v>20281.067303465199</v>
      </c>
      <c r="AL10" s="33">
        <f t="shared" si="7"/>
        <v>20231.117674802357</v>
      </c>
      <c r="AM10" s="33">
        <f t="shared" si="7"/>
        <v>20182.618340693945</v>
      </c>
      <c r="AN10" s="33">
        <f t="shared" si="7"/>
        <v>20135.49065002257</v>
      </c>
      <c r="AO10" s="33">
        <f t="shared" si="7"/>
        <v>20089.662098646841</v>
      </c>
      <c r="AP10" s="33">
        <f t="shared" si="7"/>
        <v>20045.065709168099</v>
      </c>
      <c r="AQ10" s="33">
        <f t="shared" si="7"/>
        <v>20001.639486708442</v>
      </c>
      <c r="AR10" s="33">
        <f t="shared" si="7"/>
        <v>19959.325939816081</v>
      </c>
      <c r="AS10" s="33">
        <f t="shared" si="7"/>
        <v>19918.071657386878</v>
      </c>
      <c r="AT10" s="33">
        <f t="shared" si="7"/>
        <v>19877.826933941516</v>
      </c>
      <c r="AU10" s="33">
        <f t="shared" si="7"/>
        <v>19838.545436790682</v>
      </c>
      <c r="AV10" s="33">
        <f t="shared" si="7"/>
        <v>19800.183909606127</v>
      </c>
      <c r="AW10" s="33">
        <f t="shared" si="7"/>
        <v>19762.701907733222</v>
      </c>
      <c r="AX10" s="33">
        <f t="shared" si="7"/>
        <v>19726.061561262093</v>
      </c>
      <c r="AY10" s="33">
        <f t="shared" si="7"/>
        <v>19690.227362444362</v>
      </c>
      <c r="AZ10" s="33">
        <f t="shared" si="7"/>
        <v>19655.165974521708</v>
      </c>
      <c r="BA10" s="34">
        <f t="shared" si="7"/>
        <v>19620.846059435706</v>
      </c>
    </row>
    <row r="11" spans="1:53" x14ac:dyDescent="0.3">
      <c r="A11" s="25" t="s">
        <v>108</v>
      </c>
      <c r="B11" s="33">
        <f>5000*7</f>
        <v>35000</v>
      </c>
      <c r="C11" s="33">
        <f>$B11*(VALUE(RIGHT(C$2,2)))^(-0.21)</f>
        <v>30258.803095775282</v>
      </c>
      <c r="D11" s="33">
        <f t="shared" ref="D11:BA11" si="8">$B11*(VALUE(RIGHT(D$2,2)))^(-0.21)</f>
        <v>27788.978378196462</v>
      </c>
      <c r="E11" s="33">
        <f t="shared" si="8"/>
        <v>26159.861851111425</v>
      </c>
      <c r="F11" s="33">
        <f t="shared" si="8"/>
        <v>24962.285351788229</v>
      </c>
      <c r="G11" s="33">
        <f t="shared" si="8"/>
        <v>24024.606427960101</v>
      </c>
      <c r="H11" s="33">
        <f t="shared" si="8"/>
        <v>23259.343684102365</v>
      </c>
      <c r="I11" s="33">
        <f t="shared" si="8"/>
        <v>22616.174536156115</v>
      </c>
      <c r="J11" s="33">
        <f t="shared" si="8"/>
        <v>22063.637694396301</v>
      </c>
      <c r="K11" s="33">
        <f t="shared" si="8"/>
        <v>21580.825065151876</v>
      </c>
      <c r="L11" s="33">
        <f t="shared" si="8"/>
        <v>21153.175883626711</v>
      </c>
      <c r="M11" s="33">
        <f t="shared" si="8"/>
        <v>20770.166724489769</v>
      </c>
      <c r="N11" s="33">
        <f t="shared" si="8"/>
        <v>20423.959488695262</v>
      </c>
      <c r="O11" s="33">
        <f t="shared" si="8"/>
        <v>20108.568590691943</v>
      </c>
      <c r="P11" s="33">
        <f t="shared" si="8"/>
        <v>19819.325940320385</v>
      </c>
      <c r="Q11" s="33">
        <f t="shared" si="8"/>
        <v>19552.52491626385</v>
      </c>
      <c r="R11" s="33">
        <f t="shared" si="8"/>
        <v>19305.176246215316</v>
      </c>
      <c r="S11" s="33">
        <f t="shared" si="8"/>
        <v>19074.836244893231</v>
      </c>
      <c r="T11" s="33">
        <f t="shared" si="8"/>
        <v>18859.483217791862</v>
      </c>
      <c r="U11" s="33">
        <f t="shared" si="8"/>
        <v>18657.426751165785</v>
      </c>
      <c r="V11" s="33">
        <f t="shared" si="8"/>
        <v>18467.239963673175</v>
      </c>
      <c r="W11" s="33">
        <f t="shared" si="8"/>
        <v>18287.708111798944</v>
      </c>
      <c r="X11" s="33">
        <f t="shared" si="8"/>
        <v>18117.789051491451</v>
      </c>
      <c r="Y11" s="33">
        <f t="shared" si="8"/>
        <v>17956.582433793134</v>
      </c>
      <c r="Z11" s="33">
        <f t="shared" si="8"/>
        <v>17803.305428117179</v>
      </c>
      <c r="AA11" s="33">
        <f t="shared" si="8"/>
        <v>17657.273388700607</v>
      </c>
      <c r="AB11" s="33">
        <f t="shared" si="8"/>
        <v>17517.884309541125</v>
      </c>
      <c r="AC11" s="33">
        <f t="shared" si="8"/>
        <v>17384.60621496111</v>
      </c>
      <c r="AD11" s="33">
        <f t="shared" si="8"/>
        <v>17256.966848071839</v>
      </c>
      <c r="AE11" s="33">
        <f t="shared" si="8"/>
        <v>17134.545174832736</v>
      </c>
      <c r="AF11" s="33">
        <f t="shared" si="8"/>
        <v>17016.964335098033</v>
      </c>
      <c r="AG11" s="33">
        <f t="shared" si="8"/>
        <v>16903.885756184794</v>
      </c>
      <c r="AH11" s="33">
        <f t="shared" si="8"/>
        <v>16795.004207436843</v>
      </c>
      <c r="AI11" s="33">
        <f t="shared" si="8"/>
        <v>16690.043621813351</v>
      </c>
      <c r="AJ11" s="33">
        <f t="shared" si="8"/>
        <v>16588.753546796474</v>
      </c>
      <c r="AK11" s="33">
        <f t="shared" si="8"/>
        <v>16490.90611481091</v>
      </c>
      <c r="AL11" s="33">
        <f t="shared" si="8"/>
        <v>16396.293444986528</v>
      </c>
      <c r="AM11" s="33">
        <f t="shared" si="8"/>
        <v>16304.725405006924</v>
      </c>
      <c r="AN11" s="33">
        <f t="shared" si="8"/>
        <v>16216.027675100382</v>
      </c>
      <c r="AO11" s="33">
        <f t="shared" si="8"/>
        <v>16130.040066782163</v>
      </c>
      <c r="AP11" s="33">
        <f t="shared" si="8"/>
        <v>16046.615057375167</v>
      </c>
      <c r="AQ11" s="33">
        <f t="shared" si="8"/>
        <v>15965.616508091967</v>
      </c>
      <c r="AR11" s="33">
        <f t="shared" si="8"/>
        <v>15886.918538915399</v>
      </c>
      <c r="AS11" s="33">
        <f t="shared" si="8"/>
        <v>15810.404537941047</v>
      </c>
      <c r="AT11" s="33">
        <f t="shared" si="8"/>
        <v>15735.966286456898</v>
      </c>
      <c r="AU11" s="33">
        <f t="shared" si="8"/>
        <v>15663.503183996372</v>
      </c>
      <c r="AV11" s="33">
        <f t="shared" si="8"/>
        <v>15592.92156004043</v>
      </c>
      <c r="AW11" s="33">
        <f t="shared" si="8"/>
        <v>15524.134061062965</v>
      </c>
      <c r="AX11" s="33">
        <f t="shared" si="8"/>
        <v>15457.05910329122</v>
      </c>
      <c r="AY11" s="33">
        <f t="shared" si="8"/>
        <v>15391.620382952713</v>
      </c>
      <c r="AZ11" s="33">
        <f t="shared" si="8"/>
        <v>15327.746436952839</v>
      </c>
      <c r="BA11" s="34">
        <f t="shared" si="8"/>
        <v>15265.37024791327</v>
      </c>
    </row>
    <row r="12" spans="1:53" x14ac:dyDescent="0.3">
      <c r="A12" s="25" t="s">
        <v>109</v>
      </c>
      <c r="B12" s="33">
        <f>6000*7</f>
        <v>42000</v>
      </c>
      <c r="C12" s="33">
        <f>$B12*(VALUE(RIGHT(C$2,2)))^(-0.2)</f>
        <v>36563.123658437216</v>
      </c>
      <c r="D12" s="33">
        <f t="shared" ref="D12:BA12" si="9">$B12*(VALUE(RIGHT(D$2,2)))^(-0.2)</f>
        <v>33715.145593929687</v>
      </c>
      <c r="E12" s="33">
        <f t="shared" si="9"/>
        <v>31830.047896718363</v>
      </c>
      <c r="F12" s="33">
        <f t="shared" si="9"/>
        <v>30440.745874463213</v>
      </c>
      <c r="G12" s="33">
        <f t="shared" si="9"/>
        <v>29350.738988406327</v>
      </c>
      <c r="H12" s="33">
        <f t="shared" si="9"/>
        <v>28459.658362820199</v>
      </c>
      <c r="I12" s="33">
        <f t="shared" si="9"/>
        <v>27709.666126230783</v>
      </c>
      <c r="J12" s="33">
        <f t="shared" si="9"/>
        <v>27064.548629044679</v>
      </c>
      <c r="K12" s="33">
        <f t="shared" si="9"/>
        <v>26500.208468168115</v>
      </c>
      <c r="L12" s="33">
        <f t="shared" si="9"/>
        <v>25999.844668721511</v>
      </c>
      <c r="M12" s="33">
        <f t="shared" si="9"/>
        <v>25551.302359514641</v>
      </c>
      <c r="N12" s="33">
        <f t="shared" si="9"/>
        <v>25145.519932742904</v>
      </c>
      <c r="O12" s="33">
        <f t="shared" si="9"/>
        <v>24775.571618968377</v>
      </c>
      <c r="P12" s="33">
        <f t="shared" si="9"/>
        <v>24436.051884412896</v>
      </c>
      <c r="Q12" s="33">
        <f t="shared" si="9"/>
        <v>24122.665454937738</v>
      </c>
      <c r="R12" s="33">
        <f t="shared" si="9"/>
        <v>23831.945998206364</v>
      </c>
      <c r="S12" s="33">
        <f t="shared" si="9"/>
        <v>23561.058054370191</v>
      </c>
      <c r="T12" s="33">
        <f t="shared" si="9"/>
        <v>23307.65441879088</v>
      </c>
      <c r="U12" s="33">
        <f t="shared" si="9"/>
        <v>23069.771409428475</v>
      </c>
      <c r="V12" s="33">
        <f t="shared" si="9"/>
        <v>22845.750601332897</v>
      </c>
      <c r="W12" s="33">
        <f t="shared" si="9"/>
        <v>22634.179421967241</v>
      </c>
      <c r="X12" s="33">
        <f t="shared" si="9"/>
        <v>22433.845427457196</v>
      </c>
      <c r="Y12" s="33">
        <f t="shared" si="9"/>
        <v>22243.700662025054</v>
      </c>
      <c r="Z12" s="33">
        <f t="shared" si="9"/>
        <v>22062.833556991645</v>
      </c>
      <c r="AA12" s="33">
        <f t="shared" si="9"/>
        <v>21890.446541823258</v>
      </c>
      <c r="AB12" s="33">
        <f t="shared" si="9"/>
        <v>21725.838034815039</v>
      </c>
      <c r="AC12" s="33">
        <f t="shared" si="9"/>
        <v>21568.387828876381</v>
      </c>
      <c r="AD12" s="33">
        <f t="shared" si="9"/>
        <v>21417.545135929831</v>
      </c>
      <c r="AE12" s="33">
        <f t="shared" si="9"/>
        <v>21272.818732708965</v>
      </c>
      <c r="AF12" s="33">
        <f t="shared" si="9"/>
        <v>21133.768781937582</v>
      </c>
      <c r="AG12" s="33">
        <f t="shared" si="9"/>
        <v>21000</v>
      </c>
      <c r="AH12" s="33">
        <f t="shared" si="9"/>
        <v>20871.155914892915</v>
      </c>
      <c r="AI12" s="33">
        <f t="shared" si="9"/>
        <v>20746.914013181358</v>
      </c>
      <c r="AJ12" s="33">
        <f t="shared" si="9"/>
        <v>20626.981616586934</v>
      </c>
      <c r="AK12" s="33">
        <f t="shared" si="9"/>
        <v>20511.092361084651</v>
      </c>
      <c r="AL12" s="33">
        <f t="shared" si="9"/>
        <v>20399.00317640393</v>
      </c>
      <c r="AM12" s="33">
        <f t="shared" si="9"/>
        <v>20290.491683389799</v>
      </c>
      <c r="AN12" s="33">
        <f t="shared" si="9"/>
        <v>20185.353942083049</v>
      </c>
      <c r="AO12" s="33">
        <f t="shared" si="9"/>
        <v>20083.402495590777</v>
      </c>
      <c r="AP12" s="33">
        <f t="shared" si="9"/>
        <v>19984.464664562816</v>
      </c>
      <c r="AQ12" s="33">
        <f t="shared" si="9"/>
        <v>19888.381054913119</v>
      </c>
      <c r="AR12" s="33">
        <f t="shared" si="9"/>
        <v>19795.004247741446</v>
      </c>
      <c r="AS12" s="33">
        <f t="shared" si="9"/>
        <v>19704.197645539127</v>
      </c>
      <c r="AT12" s="33">
        <f t="shared" si="9"/>
        <v>19615.834452947638</v>
      </c>
      <c r="AU12" s="33">
        <f t="shared" si="9"/>
        <v>19529.796773771039</v>
      </c>
      <c r="AV12" s="33">
        <f t="shared" si="9"/>
        <v>19445.974808771283</v>
      </c>
      <c r="AW12" s="33">
        <f t="shared" si="9"/>
        <v>19364.266141116281</v>
      </c>
      <c r="AX12" s="33">
        <f t="shared" si="9"/>
        <v>19284.575098296235</v>
      </c>
      <c r="AY12" s="33">
        <f t="shared" si="9"/>
        <v>19206.812180947705</v>
      </c>
      <c r="AZ12" s="33">
        <f t="shared" si="9"/>
        <v>19130.893550385656</v>
      </c>
      <c r="BA12" s="34">
        <f t="shared" si="9"/>
        <v>19056.740567787925</v>
      </c>
    </row>
    <row r="13" spans="1:53" x14ac:dyDescent="0.3">
      <c r="A13" s="25" t="s">
        <v>110</v>
      </c>
      <c r="B13" s="33">
        <f>1750*7</f>
        <v>12250</v>
      </c>
      <c r="C13" s="33">
        <f>$B13*(VALUE(RIGHT(C$2,2)))^(-0.04)</f>
        <v>11915.023105800497</v>
      </c>
      <c r="D13" s="33">
        <f t="shared" ref="D13:BA13" si="10">$B13*(VALUE(RIGHT(D$2,2)))^(-0.04)</f>
        <v>11723.33670527199</v>
      </c>
      <c r="E13" s="33">
        <f t="shared" si="10"/>
        <v>11589.206172388551</v>
      </c>
      <c r="F13" s="33">
        <f t="shared" si="10"/>
        <v>11486.224186524689</v>
      </c>
      <c r="G13" s="33">
        <f t="shared" si="10"/>
        <v>11402.761446562845</v>
      </c>
      <c r="H13" s="33">
        <f t="shared" si="10"/>
        <v>11332.668030440482</v>
      </c>
      <c r="I13" s="33">
        <f t="shared" si="10"/>
        <v>11272.29872015472</v>
      </c>
      <c r="J13" s="33">
        <f t="shared" si="10"/>
        <v>11219.316204504286</v>
      </c>
      <c r="K13" s="33">
        <f t="shared" si="10"/>
        <v>11172.132782109893</v>
      </c>
      <c r="L13" s="33">
        <f t="shared" si="10"/>
        <v>11129.621150055613</v>
      </c>
      <c r="M13" s="33">
        <f t="shared" si="10"/>
        <v>11090.952335161421</v>
      </c>
      <c r="N13" s="33">
        <f t="shared" si="10"/>
        <v>11055.499126639867</v>
      </c>
      <c r="O13" s="33">
        <f t="shared" si="10"/>
        <v>11022.775627188976</v>
      </c>
      <c r="P13" s="33">
        <f t="shared" si="10"/>
        <v>10992.397845785126</v>
      </c>
      <c r="Q13" s="33">
        <f t="shared" si="10"/>
        <v>10964.05711886766</v>
      </c>
      <c r="R13" s="33">
        <f t="shared" si="10"/>
        <v>10937.501657520879</v>
      </c>
      <c r="S13" s="33">
        <f t="shared" si="10"/>
        <v>10912.523412893921</v>
      </c>
      <c r="T13" s="33">
        <f t="shared" si="10"/>
        <v>10888.948521940303</v>
      </c>
      <c r="U13" s="33">
        <f t="shared" si="10"/>
        <v>10866.630223666172</v>
      </c>
      <c r="V13" s="33">
        <f t="shared" si="10"/>
        <v>10845.443517544923</v>
      </c>
      <c r="W13" s="33">
        <f t="shared" si="10"/>
        <v>10825.281074426</v>
      </c>
      <c r="X13" s="33">
        <f t="shared" si="10"/>
        <v>10806.050063575876</v>
      </c>
      <c r="Y13" s="33">
        <f t="shared" si="10"/>
        <v>10787.669660308597</v>
      </c>
      <c r="Z13" s="33">
        <f t="shared" si="10"/>
        <v>10770.069066375901</v>
      </c>
      <c r="AA13" s="33">
        <f t="shared" si="10"/>
        <v>10753.185921638469</v>
      </c>
      <c r="AB13" s="33">
        <f t="shared" si="10"/>
        <v>10736.965017821873</v>
      </c>
      <c r="AC13" s="33">
        <f t="shared" si="10"/>
        <v>10721.357248000915</v>
      </c>
      <c r="AD13" s="33">
        <f t="shared" si="10"/>
        <v>10706.318741850595</v>
      </c>
      <c r="AE13" s="33">
        <f t="shared" si="10"/>
        <v>10691.810148627053</v>
      </c>
      <c r="AF13" s="33">
        <f t="shared" si="10"/>
        <v>10677.796038622524</v>
      </c>
      <c r="AG13" s="33">
        <f t="shared" si="10"/>
        <v>10664.24440037752</v>
      </c>
      <c r="AH13" s="33">
        <f t="shared" si="10"/>
        <v>10651.126215854565</v>
      </c>
      <c r="AI13" s="33">
        <f t="shared" si="10"/>
        <v>10638.415099517755</v>
      </c>
      <c r="AJ13" s="33">
        <f t="shared" si="10"/>
        <v>10626.08699013066</v>
      </c>
      <c r="AK13" s="33">
        <f t="shared" si="10"/>
        <v>10614.119886303672</v>
      </c>
      <c r="AL13" s="33">
        <f t="shared" si="10"/>
        <v>10602.493618551816</v>
      </c>
      <c r="AM13" s="33">
        <f t="shared" si="10"/>
        <v>10591.18965198293</v>
      </c>
      <c r="AN13" s="33">
        <f t="shared" si="10"/>
        <v>10580.190914811395</v>
      </c>
      <c r="AO13" s="33">
        <f t="shared" si="10"/>
        <v>10569.481648748771</v>
      </c>
      <c r="AP13" s="33">
        <f t="shared" si="10"/>
        <v>10559.047278009195</v>
      </c>
      <c r="AQ13" s="33">
        <f t="shared" si="10"/>
        <v>10548.874294220572</v>
      </c>
      <c r="AR13" s="33">
        <f t="shared" si="10"/>
        <v>10538.950154981447</v>
      </c>
      <c r="AS13" s="33">
        <f t="shared" si="10"/>
        <v>10529.263194169032</v>
      </c>
      <c r="AT13" s="33">
        <f t="shared" si="10"/>
        <v>10519.802542403719</v>
      </c>
      <c r="AU13" s="33">
        <f t="shared" si="10"/>
        <v>10510.558056321919</v>
      </c>
      <c r="AV13" s="33">
        <f t="shared" si="10"/>
        <v>10501.520255513406</v>
      </c>
      <c r="AW13" s="33">
        <f t="shared" si="10"/>
        <v>10492.680266148565</v>
      </c>
      <c r="AX13" s="33">
        <f t="shared" si="10"/>
        <v>10484.029770462672</v>
      </c>
      <c r="AY13" s="33">
        <f t="shared" si="10"/>
        <v>10475.560961382535</v>
      </c>
      <c r="AZ13" s="33">
        <f t="shared" si="10"/>
        <v>10467.266501680633</v>
      </c>
      <c r="BA13" s="34">
        <f t="shared" si="10"/>
        <v>10459.139487125793</v>
      </c>
    </row>
    <row r="14" spans="1:53" x14ac:dyDescent="0.3">
      <c r="A14" s="25" t="s">
        <v>112</v>
      </c>
      <c r="B14" s="33">
        <f>2200*7</f>
        <v>15400</v>
      </c>
      <c r="C14" s="33">
        <f>$B14*(VALUE(RIGHT(C$2,2)))^(-0.08)</f>
        <v>14569.287759574179</v>
      </c>
      <c r="D14" s="33">
        <f t="shared" ref="D14:BA14" si="11">$B14*(VALUE(RIGHT(D$2,2)))^(-0.08)</f>
        <v>14104.283228519675</v>
      </c>
      <c r="E14" s="33">
        <f t="shared" si="11"/>
        <v>13783.386092290773</v>
      </c>
      <c r="F14" s="33">
        <f t="shared" si="11"/>
        <v>13539.515397729703</v>
      </c>
      <c r="G14" s="33">
        <f t="shared" si="11"/>
        <v>13343.464999924616</v>
      </c>
      <c r="H14" s="33">
        <f t="shared" si="11"/>
        <v>13179.923140010216</v>
      </c>
      <c r="I14" s="33">
        <f t="shared" si="11"/>
        <v>13039.877810382919</v>
      </c>
      <c r="J14" s="33">
        <f t="shared" si="11"/>
        <v>12917.584765603988</v>
      </c>
      <c r="K14" s="33">
        <f t="shared" si="11"/>
        <v>12809.162074981134</v>
      </c>
      <c r="L14" s="33">
        <f t="shared" si="11"/>
        <v>12711.865995395146</v>
      </c>
      <c r="M14" s="33">
        <f t="shared" si="11"/>
        <v>12623.687096994034</v>
      </c>
      <c r="N14" s="33">
        <f t="shared" si="11"/>
        <v>12543.110626989936</v>
      </c>
      <c r="O14" s="33">
        <f t="shared" si="11"/>
        <v>12468.967069862292</v>
      </c>
      <c r="P14" s="33">
        <f t="shared" si="11"/>
        <v>12400.335061459931</v>
      </c>
      <c r="Q14" s="33">
        <f t="shared" si="11"/>
        <v>12336.476114880181</v>
      </c>
      <c r="R14" s="33">
        <f t="shared" si="11"/>
        <v>12276.789435251232</v>
      </c>
      <c r="S14" s="33">
        <f t="shared" si="11"/>
        <v>12220.779844725717</v>
      </c>
      <c r="T14" s="33">
        <f t="shared" si="11"/>
        <v>12168.034510069976</v>
      </c>
      <c r="U14" s="33">
        <f t="shared" si="11"/>
        <v>12118.205729183403</v>
      </c>
      <c r="V14" s="33">
        <f t="shared" si="11"/>
        <v>12070.997980313277</v>
      </c>
      <c r="W14" s="33">
        <f t="shared" si="11"/>
        <v>12026.158029094657</v>
      </c>
      <c r="X14" s="33">
        <f t="shared" si="11"/>
        <v>11983.467267560029</v>
      </c>
      <c r="Y14" s="33">
        <f t="shared" si="11"/>
        <v>11942.735707982447</v>
      </c>
      <c r="Z14" s="33">
        <f t="shared" si="11"/>
        <v>11903.797221127254</v>
      </c>
      <c r="AA14" s="33">
        <f t="shared" si="11"/>
        <v>11866.505722388911</v>
      </c>
      <c r="AB14" s="33">
        <f t="shared" si="11"/>
        <v>11830.732088473351</v>
      </c>
      <c r="AC14" s="33">
        <f t="shared" si="11"/>
        <v>11796.361643212869</v>
      </c>
      <c r="AD14" s="33">
        <f t="shared" si="11"/>
        <v>11763.292091177746</v>
      </c>
      <c r="AE14" s="33">
        <f t="shared" si="11"/>
        <v>11731.431806853681</v>
      </c>
      <c r="AF14" s="33">
        <f t="shared" si="11"/>
        <v>11700.698408551852</v>
      </c>
      <c r="AG14" s="33">
        <f t="shared" si="11"/>
        <v>11671.017562130066</v>
      </c>
      <c r="AH14" s="33">
        <f t="shared" si="11"/>
        <v>11642.321971561127</v>
      </c>
      <c r="AI14" s="33">
        <f t="shared" si="11"/>
        <v>11614.55052245944</v>
      </c>
      <c r="AJ14" s="33">
        <f t="shared" si="11"/>
        <v>11587.647551627424</v>
      </c>
      <c r="AK14" s="33">
        <f t="shared" si="11"/>
        <v>11561.562221052805</v>
      </c>
      <c r="AL14" s="33">
        <f t="shared" si="11"/>
        <v>11536.24797896911</v>
      </c>
      <c r="AM14" s="33">
        <f t="shared" si="11"/>
        <v>11511.662093872637</v>
      </c>
      <c r="AN14" s="33">
        <f t="shared" si="11"/>
        <v>11487.765249981885</v>
      </c>
      <c r="AO14" s="33">
        <f t="shared" si="11"/>
        <v>11464.521194687884</v>
      </c>
      <c r="AP14" s="33">
        <f t="shared" si="11"/>
        <v>11441.896430195377</v>
      </c>
      <c r="AQ14" s="33">
        <f t="shared" si="11"/>
        <v>11419.859942884601</v>
      </c>
      <c r="AR14" s="33">
        <f t="shared" si="11"/>
        <v>11398.382965000748</v>
      </c>
      <c r="AS14" s="33">
        <f t="shared" si="11"/>
        <v>11377.438764155422</v>
      </c>
      <c r="AT14" s="33">
        <f t="shared" si="11"/>
        <v>11357.002456842458</v>
      </c>
      <c r="AU14" s="33">
        <f t="shared" si="11"/>
        <v>11337.050842761048</v>
      </c>
      <c r="AV14" s="33">
        <f t="shared" si="11"/>
        <v>11317.56225722721</v>
      </c>
      <c r="AW14" s="33">
        <f t="shared" si="11"/>
        <v>11298.516439359617</v>
      </c>
      <c r="AX14" s="33">
        <f t="shared" si="11"/>
        <v>11279.894414063425</v>
      </c>
      <c r="AY14" s="33">
        <f t="shared" si="11"/>
        <v>11261.678386118339</v>
      </c>
      <c r="AZ14" s="33">
        <f t="shared" si="11"/>
        <v>11243.851644914383</v>
      </c>
      <c r="BA14" s="34">
        <f t="shared" si="11"/>
        <v>11226.398478579069</v>
      </c>
    </row>
    <row r="15" spans="1:53" x14ac:dyDescent="0.3">
      <c r="A15" s="25" t="s">
        <v>113</v>
      </c>
      <c r="B15" s="33">
        <f>1600*7</f>
        <v>11200</v>
      </c>
      <c r="C15" s="33">
        <f>$B15*(VALUE(RIGHT(C$2,2)))^(-0.03)</f>
        <v>10969.507332973579</v>
      </c>
      <c r="D15" s="33">
        <f t="shared" ref="D15:BA15" si="12">$B15*(VALUE(RIGHT(D$2,2)))^(-0.03)</f>
        <v>10836.883011966958</v>
      </c>
      <c r="E15" s="33">
        <f t="shared" si="12"/>
        <v>10743.758136442961</v>
      </c>
      <c r="F15" s="33">
        <f t="shared" si="12"/>
        <v>10672.076323799702</v>
      </c>
      <c r="G15" s="33">
        <f t="shared" si="12"/>
        <v>10613.863184495391</v>
      </c>
      <c r="H15" s="33">
        <f t="shared" si="12"/>
        <v>10564.892478021007</v>
      </c>
      <c r="I15" s="33">
        <f t="shared" si="12"/>
        <v>10522.654791196934</v>
      </c>
      <c r="J15" s="33">
        <f t="shared" si="12"/>
        <v>10485.538697773041</v>
      </c>
      <c r="K15" s="33">
        <f t="shared" si="12"/>
        <v>10452.448168926299</v>
      </c>
      <c r="L15" s="33">
        <f t="shared" si="12"/>
        <v>10422.604114460806</v>
      </c>
      <c r="M15" s="33">
        <f t="shared" si="12"/>
        <v>10395.433038705403</v>
      </c>
      <c r="N15" s="33">
        <f t="shared" si="12"/>
        <v>10370.500627315781</v>
      </c>
      <c r="O15" s="33">
        <f t="shared" si="12"/>
        <v>10347.47013479722</v>
      </c>
      <c r="P15" s="33">
        <f t="shared" si="12"/>
        <v>10326.075233553553</v>
      </c>
      <c r="Q15" s="33">
        <f t="shared" si="12"/>
        <v>10306.101686998602</v>
      </c>
      <c r="R15" s="33">
        <f t="shared" si="12"/>
        <v>10287.374616468982</v>
      </c>
      <c r="S15" s="33">
        <f t="shared" si="12"/>
        <v>10269.749431732111</v>
      </c>
      <c r="T15" s="33">
        <f t="shared" si="12"/>
        <v>10253.105229520252</v>
      </c>
      <c r="U15" s="33">
        <f t="shared" si="12"/>
        <v>10237.339896121726</v>
      </c>
      <c r="V15" s="33">
        <f t="shared" si="12"/>
        <v>10222.366412350302</v>
      </c>
      <c r="W15" s="33">
        <f t="shared" si="12"/>
        <v>10208.110023415929</v>
      </c>
      <c r="X15" s="33">
        <f t="shared" si="12"/>
        <v>10194.506041754707</v>
      </c>
      <c r="Y15" s="33">
        <f t="shared" si="12"/>
        <v>10181.498120313818</v>
      </c>
      <c r="Z15" s="33">
        <f t="shared" si="12"/>
        <v>10169.036880446976</v>
      </c>
      <c r="AA15" s="33">
        <f t="shared" si="12"/>
        <v>10157.078810531033</v>
      </c>
      <c r="AB15" s="33">
        <f t="shared" si="12"/>
        <v>10145.585373680253</v>
      </c>
      <c r="AC15" s="33">
        <f t="shared" si="12"/>
        <v>10134.522278694933</v>
      </c>
      <c r="AD15" s="33">
        <f t="shared" si="12"/>
        <v>10123.858879698435</v>
      </c>
      <c r="AE15" s="33">
        <f t="shared" si="12"/>
        <v>10113.567678152014</v>
      </c>
      <c r="AF15" s="33">
        <f t="shared" si="12"/>
        <v>10103.623907003024</v>
      </c>
      <c r="AG15" s="33">
        <f t="shared" si="12"/>
        <v>10094.005181241298</v>
      </c>
      <c r="AH15" s="33">
        <f t="shared" si="12"/>
        <v>10084.691202540826</v>
      </c>
      <c r="AI15" s="33">
        <f t="shared" si="12"/>
        <v>10075.663508250249</v>
      </c>
      <c r="AJ15" s="33">
        <f t="shared" si="12"/>
        <v>10066.905256980139</v>
      </c>
      <c r="AK15" s="33">
        <f t="shared" si="12"/>
        <v>10058.401044570239</v>
      </c>
      <c r="AL15" s="33">
        <f t="shared" si="12"/>
        <v>10050.136745417511</v>
      </c>
      <c r="AM15" s="33">
        <f t="shared" si="12"/>
        <v>10042.0993750868</v>
      </c>
      <c r="AN15" s="33">
        <f t="shared" si="12"/>
        <v>10034.276970870631</v>
      </c>
      <c r="AO15" s="33">
        <f t="shared" si="12"/>
        <v>10026.658487558059</v>
      </c>
      <c r="AP15" s="33">
        <f t="shared" si="12"/>
        <v>10019.233706148078</v>
      </c>
      <c r="AQ15" s="33">
        <f t="shared" si="12"/>
        <v>10011.993153626738</v>
      </c>
      <c r="AR15" s="33">
        <f t="shared" si="12"/>
        <v>10004.928032238266</v>
      </c>
      <c r="AS15" s="33">
        <f t="shared" si="12"/>
        <v>9998.0301569341209</v>
      </c>
      <c r="AT15" s="33">
        <f t="shared" si="12"/>
        <v>9991.2918998918958</v>
      </c>
      <c r="AU15" s="33">
        <f t="shared" si="12"/>
        <v>9984.7061411671184</v>
      </c>
      <c r="AV15" s="33">
        <f t="shared" si="12"/>
        <v>9978.266224682704</v>
      </c>
      <c r="AW15" s="33">
        <f t="shared" si="12"/>
        <v>9971.9659188784972</v>
      </c>
      <c r="AX15" s="33">
        <f t="shared" si="12"/>
        <v>9965.7993814415076</v>
      </c>
      <c r="AY15" s="33">
        <f t="shared" si="12"/>
        <v>9959.7611276198113</v>
      </c>
      <c r="AZ15" s="33">
        <f t="shared" si="12"/>
        <v>9953.8460016922163</v>
      </c>
      <c r="BA15" s="34">
        <f t="shared" si="12"/>
        <v>9948.0491512241751</v>
      </c>
    </row>
    <row r="16" spans="1:53" x14ac:dyDescent="0.3">
      <c r="A16" s="25" t="s">
        <v>114</v>
      </c>
      <c r="B16" s="33">
        <f>3200*7</f>
        <v>22400</v>
      </c>
      <c r="C16" s="33">
        <f>$B16*(VALUE(RIGHT(C$2,2)))^(-0.13)</f>
        <v>20469.824485138572</v>
      </c>
      <c r="D16" s="33">
        <f t="shared" ref="D16:BA16" si="13">$B16*(VALUE(RIGHT(D$2,2)))^(-0.13)</f>
        <v>19418.794025752875</v>
      </c>
      <c r="E16" s="33">
        <f t="shared" si="13"/>
        <v>18705.969395195476</v>
      </c>
      <c r="F16" s="33">
        <f t="shared" si="13"/>
        <v>18171.129261279075</v>
      </c>
      <c r="G16" s="33">
        <f t="shared" si="13"/>
        <v>17745.504706259766</v>
      </c>
      <c r="H16" s="33">
        <f t="shared" si="13"/>
        <v>17393.431578868465</v>
      </c>
      <c r="I16" s="33">
        <f t="shared" si="13"/>
        <v>17094.103140358264</v>
      </c>
      <c r="J16" s="33">
        <f t="shared" si="13"/>
        <v>16834.355420295335</v>
      </c>
      <c r="K16" s="33">
        <f t="shared" si="13"/>
        <v>16605.349405140551</v>
      </c>
      <c r="L16" s="33">
        <f t="shared" si="13"/>
        <v>16400.873135741713</v>
      </c>
      <c r="M16" s="33">
        <f t="shared" si="13"/>
        <v>16216.400300774016</v>
      </c>
      <c r="N16" s="33">
        <f t="shared" si="13"/>
        <v>16048.534586582666</v>
      </c>
      <c r="O16" s="33">
        <f t="shared" si="13"/>
        <v>15894.664804183223</v>
      </c>
      <c r="P16" s="33">
        <f t="shared" si="13"/>
        <v>15752.741800897738</v>
      </c>
      <c r="Q16" s="33">
        <f t="shared" si="13"/>
        <v>15621.129063124539</v>
      </c>
      <c r="R16" s="33">
        <f t="shared" si="13"/>
        <v>15498.499675848225</v>
      </c>
      <c r="S16" s="33">
        <f t="shared" si="13"/>
        <v>15383.763427405658</v>
      </c>
      <c r="T16" s="33">
        <f t="shared" si="13"/>
        <v>15276.014087626681</v>
      </c>
      <c r="U16" s="33">
        <f t="shared" si="13"/>
        <v>15174.490528465505</v>
      </c>
      <c r="V16" s="33">
        <f t="shared" si="13"/>
        <v>15078.547554958586</v>
      </c>
      <c r="W16" s="33">
        <f t="shared" si="13"/>
        <v>14987.633682663269</v>
      </c>
      <c r="X16" s="33">
        <f t="shared" si="13"/>
        <v>14901.273972258152</v>
      </c>
      <c r="Y16" s="33">
        <f t="shared" si="13"/>
        <v>14819.056604356807</v>
      </c>
      <c r="Z16" s="33">
        <f t="shared" si="13"/>
        <v>14740.622260272883</v>
      </c>
      <c r="AA16" s="33">
        <f t="shared" si="13"/>
        <v>14665.655635313531</v>
      </c>
      <c r="AB16" s="33">
        <f t="shared" si="13"/>
        <v>14593.878592099622</v>
      </c>
      <c r="AC16" s="33">
        <f t="shared" si="13"/>
        <v>14525.044588916964</v>
      </c>
      <c r="AD16" s="33">
        <f t="shared" si="13"/>
        <v>14458.934109283615</v>
      </c>
      <c r="AE16" s="33">
        <f t="shared" si="13"/>
        <v>14395.35088500368</v>
      </c>
      <c r="AF16" s="33">
        <f t="shared" si="13"/>
        <v>14334.118753470555</v>
      </c>
      <c r="AG16" s="33">
        <f t="shared" si="13"/>
        <v>14275.079025975734</v>
      </c>
      <c r="AH16" s="33">
        <f t="shared" si="13"/>
        <v>14218.088270780001</v>
      </c>
      <c r="AI16" s="33">
        <f t="shared" si="13"/>
        <v>14163.016435160274</v>
      </c>
      <c r="AJ16" s="33">
        <f t="shared" si="13"/>
        <v>14109.745246287155</v>
      </c>
      <c r="AK16" s="33">
        <f t="shared" si="13"/>
        <v>14058.166842852124</v>
      </c>
      <c r="AL16" s="33">
        <f t="shared" si="13"/>
        <v>14008.182598743697</v>
      </c>
      <c r="AM16" s="33">
        <f t="shared" si="13"/>
        <v>13959.702107420644</v>
      </c>
      <c r="AN16" s="33">
        <f t="shared" si="13"/>
        <v>13912.642301429458</v>
      </c>
      <c r="AO16" s="33">
        <f t="shared" si="13"/>
        <v>13866.926686119936</v>
      </c>
      <c r="AP16" s="33">
        <f t="shared" si="13"/>
        <v>13822.484670295955</v>
      </c>
      <c r="AQ16" s="33">
        <f t="shared" si="13"/>
        <v>13779.250979500786</v>
      </c>
      <c r="AR16" s="33">
        <f t="shared" si="13"/>
        <v>13737.165140032641</v>
      </c>
      <c r="AS16" s="33">
        <f t="shared" si="13"/>
        <v>13696.171023735185</v>
      </c>
      <c r="AT16" s="33">
        <f t="shared" si="13"/>
        <v>13656.216445200918</v>
      </c>
      <c r="AU16" s="33">
        <f t="shared" si="13"/>
        <v>13617.252804334286</v>
      </c>
      <c r="AV16" s="33">
        <f t="shared" si="13"/>
        <v>13579.234768301671</v>
      </c>
      <c r="AW16" s="33">
        <f t="shared" si="13"/>
        <v>13542.119987790955</v>
      </c>
      <c r="AX16" s="33">
        <f t="shared" si="13"/>
        <v>13505.868843249053</v>
      </c>
      <c r="AY16" s="33">
        <f t="shared" si="13"/>
        <v>13470.444217388953</v>
      </c>
      <c r="AZ16" s="33">
        <f t="shared" si="13"/>
        <v>13435.811290780997</v>
      </c>
      <c r="BA16" s="34">
        <f t="shared" si="13"/>
        <v>13401.937357783543</v>
      </c>
    </row>
    <row r="17" spans="1:53" ht="16.2" thickBot="1" x14ac:dyDescent="0.35">
      <c r="A17" s="26" t="s">
        <v>115</v>
      </c>
      <c r="B17" s="35">
        <f>1250*7</f>
        <v>8750</v>
      </c>
      <c r="C17" s="35">
        <f>$B17*(VALUE(RIGHT(C$2,2)))^(-0.01)</f>
        <v>8689.5593350740637</v>
      </c>
      <c r="D17" s="35">
        <f t="shared" ref="D17:BA17" si="14">$B17*(VALUE(RIGHT(D$2,2)))^(-0.01)</f>
        <v>8654.3975365064944</v>
      </c>
      <c r="E17" s="35">
        <f t="shared" si="14"/>
        <v>8629.5361643168926</v>
      </c>
      <c r="F17" s="35">
        <f t="shared" si="14"/>
        <v>8610.3013794302551</v>
      </c>
      <c r="G17" s="35">
        <f t="shared" si="14"/>
        <v>8594.6172460333692</v>
      </c>
      <c r="H17" s="35">
        <f t="shared" si="14"/>
        <v>8581.3787913255073</v>
      </c>
      <c r="I17" s="35">
        <f t="shared" si="14"/>
        <v>8569.9276038856096</v>
      </c>
      <c r="J17" s="35">
        <f t="shared" si="14"/>
        <v>8559.8396251302474</v>
      </c>
      <c r="K17" s="35">
        <f t="shared" si="14"/>
        <v>8550.8256833633441</v>
      </c>
      <c r="L17" s="35">
        <f t="shared" si="14"/>
        <v>8542.6797585941968</v>
      </c>
      <c r="M17" s="35">
        <f t="shared" si="14"/>
        <v>8535.2498881894644</v>
      </c>
      <c r="N17" s="35">
        <f t="shared" si="14"/>
        <v>8528.4207765398023</v>
      </c>
      <c r="O17" s="35">
        <f t="shared" si="14"/>
        <v>8522.1028781679033</v>
      </c>
      <c r="P17" s="35">
        <f t="shared" si="14"/>
        <v>8516.2252624822468</v>
      </c>
      <c r="Q17" s="35">
        <f t="shared" si="14"/>
        <v>8510.7307898574982</v>
      </c>
      <c r="R17" s="35">
        <f t="shared" si="14"/>
        <v>8505.5727551798209</v>
      </c>
      <c r="S17" s="35">
        <f t="shared" si="14"/>
        <v>8500.7124938614197</v>
      </c>
      <c r="T17" s="35">
        <f t="shared" si="14"/>
        <v>8496.1176370954345</v>
      </c>
      <c r="U17" s="35">
        <f t="shared" si="14"/>
        <v>8491.7608159383999</v>
      </c>
      <c r="V17" s="35">
        <f t="shared" si="14"/>
        <v>8487.6186824544602</v>
      </c>
      <c r="W17" s="35">
        <f t="shared" si="14"/>
        <v>8483.6711591817639</v>
      </c>
      <c r="X17" s="35">
        <f t="shared" si="14"/>
        <v>8479.9008558660171</v>
      </c>
      <c r="Y17" s="35">
        <f t="shared" si="14"/>
        <v>8476.2926106407576</v>
      </c>
      <c r="Z17" s="35">
        <f t="shared" si="14"/>
        <v>8472.8331250992615</v>
      </c>
      <c r="AA17" s="35">
        <f t="shared" si="14"/>
        <v>8469.5106711109729</v>
      </c>
      <c r="AB17" s="35">
        <f t="shared" si="14"/>
        <v>8466.3148530991857</v>
      </c>
      <c r="AC17" s="35">
        <f t="shared" si="14"/>
        <v>8463.2364136509077</v>
      </c>
      <c r="AD17" s="35">
        <f t="shared" si="14"/>
        <v>8460.2670733154373</v>
      </c>
      <c r="AE17" s="35">
        <f t="shared" si="14"/>
        <v>8457.399397622421</v>
      </c>
      <c r="AF17" s="35">
        <f t="shared" si="14"/>
        <v>8454.6266859529733</v>
      </c>
      <c r="AG17" s="35">
        <f t="shared" si="14"/>
        <v>8451.9428780923972</v>
      </c>
      <c r="AH17" s="35">
        <f t="shared" si="14"/>
        <v>8449.3424751933144</v>
      </c>
      <c r="AI17" s="35">
        <f t="shared" si="14"/>
        <v>8446.8204725627929</v>
      </c>
      <c r="AJ17" s="35">
        <f t="shared" si="14"/>
        <v>8444.3723022129743</v>
      </c>
      <c r="AK17" s="35">
        <f t="shared" si="14"/>
        <v>8441.9937835216242</v>
      </c>
      <c r="AL17" s="35">
        <f t="shared" si="14"/>
        <v>8439.6810806668145</v>
      </c>
      <c r="AM17" s="35">
        <f t="shared" si="14"/>
        <v>8437.4306657497182</v>
      </c>
      <c r="AN17" s="35">
        <f t="shared" si="14"/>
        <v>8435.239286717353</v>
      </c>
      <c r="AO17" s="35">
        <f t="shared" si="14"/>
        <v>8433.1039393547053</v>
      </c>
      <c r="AP17" s="35">
        <f t="shared" si="14"/>
        <v>8431.0218427422224</v>
      </c>
      <c r="AQ17" s="35">
        <f t="shared" si="14"/>
        <v>8428.9904176767068</v>
      </c>
      <c r="AR17" s="35">
        <f t="shared" si="14"/>
        <v>8427.0072676364562</v>
      </c>
      <c r="AS17" s="35">
        <f t="shared" si="14"/>
        <v>8425.0701619390311</v>
      </c>
      <c r="AT17" s="35">
        <f t="shared" si="14"/>
        <v>8423.1770207955105</v>
      </c>
      <c r="AU17" s="35">
        <f t="shared" si="14"/>
        <v>8421.3259020106398</v>
      </c>
      <c r="AV17" s="35">
        <f t="shared" si="14"/>
        <v>8419.5149891161291</v>
      </c>
      <c r="AW17" s="35">
        <f t="shared" si="14"/>
        <v>8417.7425807557356</v>
      </c>
      <c r="AX17" s="35">
        <f t="shared" si="14"/>
        <v>8416.0070811669939</v>
      </c>
      <c r="AY17" s="35">
        <f t="shared" si="14"/>
        <v>8414.3069916264067</v>
      </c>
      <c r="AZ17" s="35">
        <f t="shared" si="14"/>
        <v>8412.6409027434274</v>
      </c>
      <c r="BA17" s="36">
        <f t="shared" si="14"/>
        <v>8411.007487504201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66333-AE69-4574-92B2-6BE3A00DF612}">
  <sheetPr>
    <tabColor theme="7" tint="0.79998168889431442"/>
  </sheetPr>
  <dimension ref="A1:BA8"/>
  <sheetViews>
    <sheetView workbookViewId="0">
      <selection activeCell="A8" sqref="A8"/>
    </sheetView>
  </sheetViews>
  <sheetFormatPr defaultColWidth="9.33203125" defaultRowHeight="15.6" x14ac:dyDescent="0.3"/>
  <cols>
    <col min="1" max="1" width="19" style="5" customWidth="1"/>
    <col min="2" max="13" width="9.33203125" style="1"/>
    <col min="14" max="15" width="11.33203125" style="1" bestFit="1" customWidth="1"/>
    <col min="16" max="23" width="10.109375" style="1" bestFit="1" customWidth="1"/>
    <col min="24" max="16384" width="9.33203125" style="1"/>
  </cols>
  <sheetData>
    <row r="1" spans="1:53" ht="16.2" thickBot="1" x14ac:dyDescent="0.35">
      <c r="A1" s="1" t="str">
        <f>_xlfn.CONCAT( "Table of Flowback Rate Forecasts by Pads [",VLOOKUP("volume", Units!$A$2:$B$11, 2, FALSE),"/", VLOOKUP("time", Units!$A$2:$B$11, 2, FALSE),"]")</f>
        <v>Table of Flowback Rate Forecasts by Pads [bbl/week]</v>
      </c>
    </row>
    <row r="2" spans="1:53" s="5" customFormat="1" x14ac:dyDescent="0.3">
      <c r="A2" s="3" t="s">
        <v>208</v>
      </c>
      <c r="B2" s="4" t="s">
        <v>164</v>
      </c>
      <c r="C2" s="4" t="s">
        <v>165</v>
      </c>
      <c r="D2" s="4" t="s">
        <v>166</v>
      </c>
      <c r="E2" s="4" t="s">
        <v>167</v>
      </c>
      <c r="F2" s="4" t="s">
        <v>168</v>
      </c>
      <c r="G2" s="4" t="s">
        <v>169</v>
      </c>
      <c r="H2" s="4" t="s">
        <v>170</v>
      </c>
      <c r="I2" s="4" t="s">
        <v>171</v>
      </c>
      <c r="J2" s="4" t="s">
        <v>172</v>
      </c>
      <c r="K2" s="4" t="s">
        <v>151</v>
      </c>
      <c r="L2" s="4" t="s">
        <v>152</v>
      </c>
      <c r="M2" s="4" t="s">
        <v>153</v>
      </c>
      <c r="N2" s="4" t="s">
        <v>154</v>
      </c>
      <c r="O2" s="4" t="s">
        <v>155</v>
      </c>
      <c r="P2" s="4" t="s">
        <v>156</v>
      </c>
      <c r="Q2" s="4" t="s">
        <v>157</v>
      </c>
      <c r="R2" s="4" t="s">
        <v>158</v>
      </c>
      <c r="S2" s="4" t="s">
        <v>159</v>
      </c>
      <c r="T2" s="4" t="s">
        <v>160</v>
      </c>
      <c r="U2" s="4" t="s">
        <v>161</v>
      </c>
      <c r="V2" s="4" t="s">
        <v>162</v>
      </c>
      <c r="W2" s="4" t="s">
        <v>163</v>
      </c>
      <c r="X2" s="4" t="s">
        <v>174</v>
      </c>
      <c r="Y2" s="4" t="s">
        <v>175</v>
      </c>
      <c r="Z2" s="4" t="s">
        <v>176</v>
      </c>
      <c r="AA2" s="4" t="s">
        <v>177</v>
      </c>
      <c r="AB2" s="4" t="s">
        <v>178</v>
      </c>
      <c r="AC2" s="4" t="s">
        <v>179</v>
      </c>
      <c r="AD2" s="4" t="s">
        <v>180</v>
      </c>
      <c r="AE2" s="4" t="s">
        <v>181</v>
      </c>
      <c r="AF2" s="4" t="s">
        <v>182</v>
      </c>
      <c r="AG2" s="4" t="s">
        <v>183</v>
      </c>
      <c r="AH2" s="4" t="s">
        <v>184</v>
      </c>
      <c r="AI2" s="4" t="s">
        <v>185</v>
      </c>
      <c r="AJ2" s="4" t="s">
        <v>186</v>
      </c>
      <c r="AK2" s="4" t="s">
        <v>187</v>
      </c>
      <c r="AL2" s="4" t="s">
        <v>188</v>
      </c>
      <c r="AM2" s="4" t="s">
        <v>189</v>
      </c>
      <c r="AN2" s="4" t="s">
        <v>190</v>
      </c>
      <c r="AO2" s="4" t="s">
        <v>191</v>
      </c>
      <c r="AP2" s="4" t="s">
        <v>192</v>
      </c>
      <c r="AQ2" s="4" t="s">
        <v>193</v>
      </c>
      <c r="AR2" s="4" t="s">
        <v>194</v>
      </c>
      <c r="AS2" s="4" t="s">
        <v>195</v>
      </c>
      <c r="AT2" s="4" t="s">
        <v>196</v>
      </c>
      <c r="AU2" s="4" t="s">
        <v>197</v>
      </c>
      <c r="AV2" s="4" t="s">
        <v>198</v>
      </c>
      <c r="AW2" s="4" t="s">
        <v>199</v>
      </c>
      <c r="AX2" s="4" t="s">
        <v>200</v>
      </c>
      <c r="AY2" s="4" t="s">
        <v>201</v>
      </c>
      <c r="AZ2" s="4" t="s">
        <v>202</v>
      </c>
      <c r="BA2" s="24" t="s">
        <v>203</v>
      </c>
    </row>
    <row r="3" spans="1:53" x14ac:dyDescent="0.3">
      <c r="A3" s="25" t="s">
        <v>5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33">
        <f>5*4000*7</f>
        <v>140000</v>
      </c>
      <c r="O3" s="33">
        <f>$N3*(VALUE(RIGHT(C$2,2)))^(-0.35)</f>
        <v>109841.77370554511</v>
      </c>
      <c r="P3" s="33">
        <f t="shared" ref="P3:BA3" si="0">$N3*(VALUE(RIGHT(D$2,2)))^(-0.35)</f>
        <v>95309.369490783065</v>
      </c>
      <c r="Q3" s="33">
        <f t="shared" si="0"/>
        <v>86180.10893414414</v>
      </c>
      <c r="R3" s="33">
        <f t="shared" si="0"/>
        <v>79705.544719521436</v>
      </c>
      <c r="S3" s="33">
        <f t="shared" si="0"/>
        <v>74778.215683034112</v>
      </c>
      <c r="T3" s="33">
        <f t="shared" si="0"/>
        <v>70850.630872694383</v>
      </c>
      <c r="U3" s="33">
        <f t="shared" si="0"/>
        <v>67615.543024739207</v>
      </c>
      <c r="V3" s="33">
        <f t="shared" si="0"/>
        <v>64884.827948075763</v>
      </c>
      <c r="W3" s="33">
        <f t="shared" si="0"/>
        <v>62535.702901134842</v>
      </c>
      <c r="X3" s="33">
        <f t="shared" si="0"/>
        <v>60484.012694350102</v>
      </c>
      <c r="Y3" s="33">
        <f t="shared" si="0"/>
        <v>58669.798894001986</v>
      </c>
      <c r="Z3" s="33">
        <f t="shared" si="0"/>
        <v>57048.977170540442</v>
      </c>
      <c r="AA3" s="33">
        <f t="shared" si="0"/>
        <v>55588.278308668596</v>
      </c>
      <c r="AB3" s="33">
        <f t="shared" si="0"/>
        <v>54262.037229549991</v>
      </c>
      <c r="AC3" s="33">
        <f t="shared" si="0"/>
        <v>53050.079827863934</v>
      </c>
      <c r="AD3" s="33">
        <f t="shared" si="0"/>
        <v>51936.288809495432</v>
      </c>
      <c r="AE3" s="33">
        <f t="shared" si="0"/>
        <v>50907.604202826915</v>
      </c>
      <c r="AF3" s="33">
        <f t="shared" si="0"/>
        <v>49953.310536285426</v>
      </c>
      <c r="AG3" s="33">
        <f t="shared" si="0"/>
        <v>49064.518047026104</v>
      </c>
      <c r="AH3" s="33">
        <f t="shared" si="0"/>
        <v>48233.778260719351</v>
      </c>
      <c r="AI3" s="33">
        <f t="shared" si="0"/>
        <v>47454.794536972295</v>
      </c>
      <c r="AJ3" s="33">
        <f t="shared" si="0"/>
        <v>46722.200961621784</v>
      </c>
      <c r="AK3" s="33">
        <f t="shared" si="0"/>
        <v>46031.391239034325</v>
      </c>
      <c r="AL3" s="33">
        <f t="shared" si="0"/>
        <v>45378.384707397359</v>
      </c>
      <c r="AM3" s="33">
        <f t="shared" si="0"/>
        <v>44759.720289280791</v>
      </c>
      <c r="AN3" s="33">
        <f t="shared" si="0"/>
        <v>44172.371723207434</v>
      </c>
      <c r="AO3" s="33">
        <f t="shared" si="0"/>
        <v>43613.679190440263</v>
      </c>
      <c r="AP3" s="33">
        <f t="shared" si="0"/>
        <v>43081.293704322401</v>
      </c>
      <c r="AQ3" s="33">
        <f t="shared" si="0"/>
        <v>42573.131529786391</v>
      </c>
      <c r="AR3" s="33">
        <f t="shared" si="0"/>
        <v>42087.336555712733</v>
      </c>
      <c r="AS3" s="33">
        <f t="shared" si="0"/>
        <v>41622.249025095232</v>
      </c>
      <c r="AT3" s="33">
        <f t="shared" si="0"/>
        <v>41176.379386935907</v>
      </c>
      <c r="AU3" s="33">
        <f t="shared" si="0"/>
        <v>40748.386303703082</v>
      </c>
      <c r="AV3" s="33">
        <f t="shared" si="0"/>
        <v>40337.05805307033</v>
      </c>
      <c r="AW3" s="33">
        <f t="shared" si="0"/>
        <v>39941.296719559796</v>
      </c>
      <c r="AX3" s="33">
        <f t="shared" si="0"/>
        <v>39560.104692882211</v>
      </c>
      <c r="AY3" s="33">
        <f t="shared" si="0"/>
        <v>39192.573084067757</v>
      </c>
      <c r="AZ3" s="33">
        <f t="shared" si="0"/>
        <v>38837.871744416334</v>
      </c>
      <c r="BA3" s="34">
        <f t="shared" si="0"/>
        <v>38495.240630664819</v>
      </c>
    </row>
    <row r="4" spans="1:53" x14ac:dyDescent="0.3">
      <c r="A4" s="25" t="s">
        <v>116</v>
      </c>
      <c r="B4" s="29"/>
      <c r="C4" s="29"/>
      <c r="D4" s="29"/>
      <c r="E4" s="29"/>
      <c r="F4" s="29"/>
      <c r="G4" s="6"/>
      <c r="H4" s="6"/>
      <c r="I4" s="6"/>
      <c r="J4" s="6"/>
      <c r="K4" s="6"/>
      <c r="L4" s="6"/>
      <c r="M4" s="6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33"/>
      <c r="AL4" s="33">
        <f>6*4000*7</f>
        <v>168000</v>
      </c>
      <c r="AM4" s="33">
        <f>$AL4*(VALUE(RIGHT(C$2,2)))^(-0.35)</f>
        <v>131810.12844665413</v>
      </c>
      <c r="AN4" s="33">
        <f t="shared" ref="AN4:BA4" si="1">$AL4*(VALUE(RIGHT(D$2,2)))^(-0.35)</f>
        <v>114371.24338893968</v>
      </c>
      <c r="AO4" s="33">
        <f t="shared" si="1"/>
        <v>103416.13072097297</v>
      </c>
      <c r="AP4" s="33">
        <f t="shared" si="1"/>
        <v>95646.653663425721</v>
      </c>
      <c r="AQ4" s="33">
        <f t="shared" si="1"/>
        <v>89733.85881964094</v>
      </c>
      <c r="AR4" s="33">
        <f t="shared" si="1"/>
        <v>85020.757047233245</v>
      </c>
      <c r="AS4" s="33">
        <f t="shared" si="1"/>
        <v>81138.65162968704</v>
      </c>
      <c r="AT4" s="33">
        <f t="shared" si="1"/>
        <v>77861.793537690915</v>
      </c>
      <c r="AU4" s="33">
        <f t="shared" si="1"/>
        <v>75042.843481361808</v>
      </c>
      <c r="AV4" s="33">
        <f t="shared" si="1"/>
        <v>72580.815233220128</v>
      </c>
      <c r="AW4" s="33">
        <f t="shared" si="1"/>
        <v>70403.758672802374</v>
      </c>
      <c r="AX4" s="33">
        <f t="shared" si="1"/>
        <v>68458.772604648533</v>
      </c>
      <c r="AY4" s="33">
        <f t="shared" si="1"/>
        <v>66705.933970402315</v>
      </c>
      <c r="AZ4" s="33">
        <f t="shared" si="1"/>
        <v>65114.444675459992</v>
      </c>
      <c r="BA4" s="34">
        <f t="shared" si="1"/>
        <v>63660.095793436725</v>
      </c>
    </row>
    <row r="5" spans="1:53" x14ac:dyDescent="0.3">
      <c r="A5" s="25" t="s">
        <v>117</v>
      </c>
      <c r="B5" s="29"/>
      <c r="C5" s="29"/>
      <c r="D5" s="29"/>
      <c r="E5" s="29"/>
      <c r="F5" s="29"/>
      <c r="G5" s="6"/>
      <c r="H5" s="6"/>
      <c r="I5" s="6"/>
      <c r="J5" s="6"/>
      <c r="K5" s="6"/>
      <c r="L5" s="6"/>
      <c r="M5" s="6"/>
      <c r="N5" s="33"/>
      <c r="O5" s="33"/>
      <c r="P5" s="33"/>
      <c r="Q5" s="33"/>
      <c r="R5" s="33"/>
      <c r="S5" s="33"/>
      <c r="T5" s="33"/>
      <c r="U5" s="33"/>
      <c r="V5" s="33"/>
      <c r="W5" s="33">
        <f>6*4500*7</f>
        <v>189000</v>
      </c>
      <c r="X5" s="33">
        <f>$W5*(VALUE(RIGHT(C$2,2)))^(-0.35)</f>
        <v>148286.3945024859</v>
      </c>
      <c r="Y5" s="33">
        <f t="shared" ref="Y5:BA5" si="2">$W5*(VALUE(RIGHT(D$2,2)))^(-0.35)</f>
        <v>128667.64881255713</v>
      </c>
      <c r="Z5" s="33">
        <f t="shared" si="2"/>
        <v>116343.1470610946</v>
      </c>
      <c r="AA5" s="33">
        <f t="shared" si="2"/>
        <v>107602.48537135393</v>
      </c>
      <c r="AB5" s="33">
        <f t="shared" si="2"/>
        <v>100950.59117209606</v>
      </c>
      <c r="AC5" s="33">
        <f t="shared" si="2"/>
        <v>95648.351678137406</v>
      </c>
      <c r="AD5" s="33">
        <f t="shared" si="2"/>
        <v>91280.983083397921</v>
      </c>
      <c r="AE5" s="33">
        <f t="shared" si="2"/>
        <v>87594.517729902276</v>
      </c>
      <c r="AF5" s="33">
        <f t="shared" si="2"/>
        <v>84423.198916532041</v>
      </c>
      <c r="AG5" s="33">
        <f t="shared" si="2"/>
        <v>81653.417137372642</v>
      </c>
      <c r="AH5" s="33">
        <f t="shared" si="2"/>
        <v>79204.228506902684</v>
      </c>
      <c r="AI5" s="33">
        <f t="shared" si="2"/>
        <v>77016.119180229594</v>
      </c>
      <c r="AJ5" s="33">
        <f t="shared" si="2"/>
        <v>75044.175716702608</v>
      </c>
      <c r="AK5" s="33">
        <f t="shared" si="2"/>
        <v>73253.750259892491</v>
      </c>
      <c r="AL5" s="33">
        <f t="shared" si="2"/>
        <v>71617.607767616311</v>
      </c>
      <c r="AM5" s="33">
        <f t="shared" si="2"/>
        <v>70113.989892818834</v>
      </c>
      <c r="AN5" s="33">
        <f t="shared" si="2"/>
        <v>68725.265673816335</v>
      </c>
      <c r="AO5" s="33">
        <f t="shared" si="2"/>
        <v>67436.969223985318</v>
      </c>
      <c r="AP5" s="33">
        <f t="shared" si="2"/>
        <v>66237.099363485235</v>
      </c>
      <c r="AQ5" s="33">
        <f t="shared" si="2"/>
        <v>65115.600651971123</v>
      </c>
      <c r="AR5" s="33">
        <f t="shared" si="2"/>
        <v>64063.972624912603</v>
      </c>
      <c r="AS5" s="33">
        <f t="shared" si="2"/>
        <v>63074.971298189404</v>
      </c>
      <c r="AT5" s="33">
        <f t="shared" si="2"/>
        <v>62142.378172696343</v>
      </c>
      <c r="AU5" s="33">
        <f t="shared" si="2"/>
        <v>61260.81935498643</v>
      </c>
      <c r="AV5" s="33">
        <f t="shared" si="2"/>
        <v>60425.622390529068</v>
      </c>
      <c r="AW5" s="33">
        <f t="shared" si="2"/>
        <v>59632.701826330034</v>
      </c>
      <c r="AX5" s="33">
        <f t="shared" si="2"/>
        <v>58878.466907094356</v>
      </c>
      <c r="AY5" s="33">
        <f t="shared" si="2"/>
        <v>58159.746500835245</v>
      </c>
      <c r="AZ5" s="33">
        <f t="shared" si="2"/>
        <v>57473.727565211622</v>
      </c>
      <c r="BA5" s="34">
        <f t="shared" si="2"/>
        <v>56817.904350212186</v>
      </c>
    </row>
    <row r="6" spans="1:53" ht="16.2" thickBot="1" x14ac:dyDescent="0.35">
      <c r="A6" s="26" t="s">
        <v>118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6"/>
    </row>
    <row r="8" spans="1:53" x14ac:dyDescent="0.3">
      <c r="F8" s="9"/>
    </row>
  </sheetData>
  <phoneticPr fontId="2" type="noConversion"/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303BA-2B61-46C5-B9BD-62C717D4498F}">
  <sheetPr>
    <tabColor theme="7" tint="0.79998168889431442"/>
  </sheetPr>
  <dimension ref="A1:BC23"/>
  <sheetViews>
    <sheetView workbookViewId="0">
      <selection activeCell="A23" sqref="A23"/>
    </sheetView>
  </sheetViews>
  <sheetFormatPr defaultColWidth="9.33203125" defaultRowHeight="15.6" x14ac:dyDescent="0.3"/>
  <cols>
    <col min="1" max="1" width="15.6640625" style="5" customWidth="1"/>
    <col min="2" max="2" width="16.5546875" style="1" bestFit="1" customWidth="1"/>
    <col min="3" max="3" width="14.33203125" style="1" bestFit="1" customWidth="1"/>
    <col min="4" max="5" width="10.109375" style="1" bestFit="1" customWidth="1"/>
    <col min="6" max="16384" width="9.33203125" style="1"/>
  </cols>
  <sheetData>
    <row r="1" spans="1:55" ht="16.2" thickBot="1" x14ac:dyDescent="0.35">
      <c r="A1" s="1" t="s">
        <v>286</v>
      </c>
      <c r="E1" s="1" t="s">
        <v>287</v>
      </c>
      <c r="H1" s="1" t="s">
        <v>288</v>
      </c>
      <c r="O1" s="1" t="s">
        <v>289</v>
      </c>
      <c r="Q1" s="1">
        <v>2E-3</v>
      </c>
    </row>
    <row r="2" spans="1:55" s="5" customFormat="1" x14ac:dyDescent="0.3">
      <c r="A2" s="3" t="s">
        <v>205</v>
      </c>
      <c r="B2" s="4" t="s">
        <v>164</v>
      </c>
      <c r="C2" s="4" t="s">
        <v>165</v>
      </c>
      <c r="D2" s="4" t="s">
        <v>166</v>
      </c>
      <c r="E2" s="4" t="s">
        <v>167</v>
      </c>
      <c r="F2" s="4" t="s">
        <v>168</v>
      </c>
      <c r="G2" s="4" t="s">
        <v>169</v>
      </c>
      <c r="H2" s="4" t="s">
        <v>170</v>
      </c>
      <c r="I2" s="4" t="s">
        <v>171</v>
      </c>
      <c r="J2" s="4" t="s">
        <v>172</v>
      </c>
      <c r="K2" s="4" t="s">
        <v>151</v>
      </c>
      <c r="L2" s="4" t="s">
        <v>152</v>
      </c>
      <c r="M2" s="4" t="s">
        <v>153</v>
      </c>
      <c r="N2" s="4" t="s">
        <v>154</v>
      </c>
      <c r="O2" s="4" t="s">
        <v>155</v>
      </c>
      <c r="P2" s="4" t="s">
        <v>156</v>
      </c>
      <c r="Q2" s="4" t="s">
        <v>157</v>
      </c>
      <c r="R2" s="4" t="s">
        <v>158</v>
      </c>
      <c r="S2" s="4" t="s">
        <v>159</v>
      </c>
      <c r="T2" s="4" t="s">
        <v>160</v>
      </c>
      <c r="U2" s="4" t="s">
        <v>161</v>
      </c>
      <c r="V2" s="4" t="s">
        <v>162</v>
      </c>
      <c r="W2" s="4" t="s">
        <v>163</v>
      </c>
      <c r="X2" s="4" t="s">
        <v>174</v>
      </c>
      <c r="Y2" s="4" t="s">
        <v>175</v>
      </c>
      <c r="Z2" s="4" t="s">
        <v>176</v>
      </c>
      <c r="AA2" s="4" t="s">
        <v>177</v>
      </c>
      <c r="AB2" s="4" t="s">
        <v>178</v>
      </c>
      <c r="AC2" s="4" t="s">
        <v>179</v>
      </c>
      <c r="AD2" s="4" t="s">
        <v>180</v>
      </c>
      <c r="AE2" s="4" t="s">
        <v>181</v>
      </c>
      <c r="AF2" s="4" t="s">
        <v>182</v>
      </c>
      <c r="AG2" s="4" t="s">
        <v>183</v>
      </c>
      <c r="AH2" s="4" t="s">
        <v>184</v>
      </c>
      <c r="AI2" s="4" t="s">
        <v>185</v>
      </c>
      <c r="AJ2" s="4" t="s">
        <v>186</v>
      </c>
      <c r="AK2" s="4" t="s">
        <v>187</v>
      </c>
      <c r="AL2" s="4" t="s">
        <v>188</v>
      </c>
      <c r="AM2" s="4" t="s">
        <v>189</v>
      </c>
      <c r="AN2" s="4" t="s">
        <v>190</v>
      </c>
      <c r="AO2" s="4" t="s">
        <v>191</v>
      </c>
      <c r="AP2" s="4" t="s">
        <v>192</v>
      </c>
      <c r="AQ2" s="4" t="s">
        <v>193</v>
      </c>
      <c r="AR2" s="4" t="s">
        <v>194</v>
      </c>
      <c r="AS2" s="4" t="s">
        <v>195</v>
      </c>
      <c r="AT2" s="4" t="s">
        <v>196</v>
      </c>
      <c r="AU2" s="4" t="s">
        <v>197</v>
      </c>
      <c r="AV2" s="4" t="s">
        <v>198</v>
      </c>
      <c r="AW2" s="4" t="s">
        <v>199</v>
      </c>
      <c r="AX2" s="4" t="s">
        <v>200</v>
      </c>
      <c r="AY2" s="4" t="s">
        <v>201</v>
      </c>
      <c r="AZ2" s="4" t="s">
        <v>202</v>
      </c>
      <c r="BA2" s="24" t="s">
        <v>203</v>
      </c>
      <c r="BC2" s="1"/>
    </row>
    <row r="3" spans="1:55" s="5" customFormat="1" x14ac:dyDescent="0.3">
      <c r="A3" s="25" t="s">
        <v>111</v>
      </c>
      <c r="B3" s="33">
        <v>70</v>
      </c>
      <c r="C3" s="33">
        <v>60.517606191550563</v>
      </c>
      <c r="D3" s="33">
        <v>55.577956756392922</v>
      </c>
      <c r="E3" s="33">
        <v>52.319723702222852</v>
      </c>
      <c r="F3" s="33">
        <v>49.924570703576457</v>
      </c>
      <c r="G3" s="33">
        <v>48.049212855920203</v>
      </c>
      <c r="H3" s="33">
        <v>46.518687368204731</v>
      </c>
      <c r="I3" s="33">
        <v>45.232349072312232</v>
      </c>
      <c r="J3" s="33">
        <v>44.127275388792604</v>
      </c>
      <c r="K3" s="33">
        <v>43.161650130303755</v>
      </c>
      <c r="L3" s="33">
        <v>42.306351767253425</v>
      </c>
      <c r="M3" s="33">
        <v>41.540333448979538</v>
      </c>
      <c r="N3" s="33">
        <v>40.847918977390528</v>
      </c>
      <c r="O3" s="33">
        <v>40.217137181383883</v>
      </c>
      <c r="P3" s="33">
        <v>39.638651880640772</v>
      </c>
      <c r="Q3" s="33">
        <v>39.105049832527698</v>
      </c>
      <c r="R3" s="33">
        <v>38.610352492430636</v>
      </c>
      <c r="S3" s="33">
        <v>38.149672489786461</v>
      </c>
      <c r="T3" s="33">
        <v>37.718966435583724</v>
      </c>
      <c r="U3" s="33">
        <v>37.314853502331573</v>
      </c>
      <c r="V3" s="33">
        <v>36.934479927346352</v>
      </c>
      <c r="W3" s="33">
        <v>36.575416223597891</v>
      </c>
      <c r="X3" s="33">
        <v>36.235578102982899</v>
      </c>
      <c r="Y3" s="33">
        <v>35.913164867586268</v>
      </c>
      <c r="Z3" s="33">
        <v>35.606610856234362</v>
      </c>
      <c r="AA3" s="33">
        <v>35.314546777401212</v>
      </c>
      <c r="AB3" s="33">
        <v>35.035768619082248</v>
      </c>
      <c r="AC3" s="33">
        <v>34.76921242992222</v>
      </c>
      <c r="AD3" s="33">
        <v>34.513933696143681</v>
      </c>
      <c r="AE3" s="33">
        <v>34.269090349665476</v>
      </c>
      <c r="AF3" s="33">
        <v>34.033928670196069</v>
      </c>
      <c r="AG3" s="33">
        <v>33.807771512369591</v>
      </c>
      <c r="AH3" s="33">
        <v>33.590008414873687</v>
      </c>
      <c r="AI3" s="33">
        <v>33.380087243626704</v>
      </c>
      <c r="AJ3" s="33">
        <v>33.177507093592951</v>
      </c>
      <c r="AK3" s="33">
        <v>32.981812229621823</v>
      </c>
      <c r="AL3" s="33">
        <v>32.792586889973059</v>
      </c>
      <c r="AM3" s="33">
        <v>32.609450810013847</v>
      </c>
      <c r="AN3" s="33">
        <v>32.432055350200763</v>
      </c>
      <c r="AO3" s="33">
        <v>32.26008013356433</v>
      </c>
      <c r="AP3" s="33">
        <v>32.093230114750334</v>
      </c>
      <c r="AQ3" s="33">
        <v>31.931233016183935</v>
      </c>
      <c r="AR3" s="33">
        <v>31.773837077830798</v>
      </c>
      <c r="AS3" s="33">
        <v>31.620809075882097</v>
      </c>
      <c r="AT3" s="33">
        <v>31.471932572913797</v>
      </c>
      <c r="AU3" s="33">
        <v>31.327006367992745</v>
      </c>
      <c r="AV3" s="33">
        <v>31.185843120080861</v>
      </c>
      <c r="AW3" s="33">
        <v>31.048268122125929</v>
      </c>
      <c r="AX3" s="33">
        <v>30.91411820658244</v>
      </c>
      <c r="AY3" s="33">
        <v>30.783240765905425</v>
      </c>
      <c r="AZ3" s="33">
        <v>30.655492873905679</v>
      </c>
      <c r="BA3" s="34">
        <v>30.530740495826539</v>
      </c>
      <c r="BB3" s="110"/>
      <c r="BC3" s="1"/>
    </row>
    <row r="4" spans="1:55" s="5" customFormat="1" x14ac:dyDescent="0.3">
      <c r="A4" s="25" t="s">
        <v>3</v>
      </c>
      <c r="B4" s="33">
        <v>182</v>
      </c>
      <c r="C4" s="33">
        <v>142.79430581720862</v>
      </c>
      <c r="D4" s="33">
        <v>123.90218033801798</v>
      </c>
      <c r="E4" s="33">
        <v>112.03414161438738</v>
      </c>
      <c r="F4" s="33">
        <v>103.61720813537787</v>
      </c>
      <c r="G4" s="33">
        <v>97.211680387944355</v>
      </c>
      <c r="H4" s="33">
        <v>92.105820134502693</v>
      </c>
      <c r="I4" s="33">
        <v>87.900205932160958</v>
      </c>
      <c r="J4" s="33">
        <v>84.350276332498495</v>
      </c>
      <c r="K4" s="33">
        <v>81.296413771475287</v>
      </c>
      <c r="L4" s="33">
        <v>78.62921650265514</v>
      </c>
      <c r="M4" s="33">
        <v>76.270738562202581</v>
      </c>
      <c r="N4" s="33">
        <v>74.163670321702583</v>
      </c>
      <c r="O4" s="33">
        <v>72.264761801269174</v>
      </c>
      <c r="P4" s="33">
        <v>70.540648398415001</v>
      </c>
      <c r="Q4" s="33">
        <v>68.965103776223117</v>
      </c>
      <c r="R4" s="33">
        <v>67.517175452344063</v>
      </c>
      <c r="S4" s="33">
        <v>66.179885463674992</v>
      </c>
      <c r="T4" s="33">
        <v>64.939303697171056</v>
      </c>
      <c r="U4" s="33">
        <v>63.783873461133943</v>
      </c>
      <c r="V4" s="33">
        <v>62.703911738935162</v>
      </c>
      <c r="W4" s="33">
        <v>61.691232898063987</v>
      </c>
      <c r="X4" s="33">
        <v>60.738861250108314</v>
      </c>
      <c r="Y4" s="33">
        <v>59.840808610744631</v>
      </c>
      <c r="Z4" s="33">
        <v>58.991900119616567</v>
      </c>
      <c r="AA4" s="33">
        <v>58.187636376065029</v>
      </c>
      <c r="AB4" s="33">
        <v>57.424083240169672</v>
      </c>
      <c r="AC4" s="33">
        <v>56.697782947572342</v>
      </c>
      <c r="AD4" s="33">
        <v>56.00568181561912</v>
      </c>
      <c r="AE4" s="33">
        <v>55.345070988722306</v>
      </c>
      <c r="AF4" s="33">
        <v>54.713537522426556</v>
      </c>
      <c r="AG4" s="33">
        <v>54.108923732623808</v>
      </c>
      <c r="AH4" s="33">
        <v>53.529293203016678</v>
      </c>
      <c r="AI4" s="33">
        <v>52.972902194814012</v>
      </c>
      <c r="AJ4" s="33">
        <v>52.438175468991432</v>
      </c>
      <c r="AK4" s="33">
        <v>51.923685735427732</v>
      </c>
      <c r="AL4" s="33">
        <v>51.428136100746876</v>
      </c>
      <c r="AM4" s="33">
        <v>50.950345009288085</v>
      </c>
      <c r="AN4" s="33">
        <v>50.489233267741234</v>
      </c>
      <c r="AO4" s="33">
        <v>50.043812819864264</v>
      </c>
      <c r="AP4" s="33">
        <v>49.613176997996028</v>
      </c>
      <c r="AQ4" s="33">
        <v>49.196492026289917</v>
      </c>
      <c r="AR4" s="33">
        <v>48.792989589369263</v>
      </c>
      <c r="AS4" s="33">
        <v>48.401960311465878</v>
      </c>
      <c r="AT4" s="33">
        <v>48.022748016599643</v>
      </c>
      <c r="AU4" s="33">
        <v>47.65474466119214</v>
      </c>
      <c r="AV4" s="33">
        <v>47.297385847613825</v>
      </c>
      <c r="AW4" s="33">
        <v>46.950146841273195</v>
      </c>
      <c r="AX4" s="33">
        <v>46.612539025545942</v>
      </c>
      <c r="AY4" s="33">
        <v>46.284106738564581</v>
      </c>
      <c r="AZ4" s="33">
        <v>45.964424444010625</v>
      </c>
      <c r="BA4" s="34">
        <v>45.653094194859136</v>
      </c>
      <c r="BB4" s="110"/>
      <c r="BC4" s="1"/>
    </row>
    <row r="5" spans="1:55" x14ac:dyDescent="0.3">
      <c r="A5" s="25" t="s">
        <v>4</v>
      </c>
      <c r="B5" s="33">
        <v>112</v>
      </c>
      <c r="C5" s="33">
        <v>94.180398508416033</v>
      </c>
      <c r="D5" s="33">
        <v>85.101596792978356</v>
      </c>
      <c r="E5" s="33">
        <v>79.195959492893323</v>
      </c>
      <c r="F5" s="33">
        <v>74.898914157359272</v>
      </c>
      <c r="G5" s="33">
        <v>71.561627675582514</v>
      </c>
      <c r="H5" s="33">
        <v>68.856273130541624</v>
      </c>
      <c r="I5" s="33">
        <v>66.595598440152372</v>
      </c>
      <c r="J5" s="33">
        <v>64.663230149238075</v>
      </c>
      <c r="K5" s="33">
        <v>62.982228421319093</v>
      </c>
      <c r="L5" s="33">
        <v>61.499254518924594</v>
      </c>
      <c r="M5" s="33">
        <v>60.17591618211835</v>
      </c>
      <c r="N5" s="33">
        <v>58.983723438967779</v>
      </c>
      <c r="O5" s="33">
        <v>57.900993243203104</v>
      </c>
      <c r="P5" s="33">
        <v>56.910867793316854</v>
      </c>
      <c r="Q5" s="33">
        <v>56</v>
      </c>
      <c r="R5" s="33">
        <v>55.15765477661067</v>
      </c>
      <c r="S5" s="33">
        <v>54.375078431220224</v>
      </c>
      <c r="T5" s="33">
        <v>53.645046049680367</v>
      </c>
      <c r="U5" s="33">
        <v>52.961530104177847</v>
      </c>
      <c r="V5" s="33">
        <v>52.319453505558414</v>
      </c>
      <c r="W5" s="33">
        <v>51.714502665739495</v>
      </c>
      <c r="X5" s="33">
        <v>51.142983975633911</v>
      </c>
      <c r="Y5" s="33">
        <v>50.601712202151305</v>
      </c>
      <c r="Z5" s="33">
        <v>50.087922695995289</v>
      </c>
      <c r="AA5" s="33">
        <v>49.599201598144511</v>
      </c>
      <c r="AB5" s="33">
        <v>49.133429816893056</v>
      </c>
      <c r="AC5" s="33">
        <v>48.688737657839042</v>
      </c>
      <c r="AD5" s="33">
        <v>48.263467779397473</v>
      </c>
      <c r="AE5" s="33">
        <v>47.856144716378218</v>
      </c>
      <c r="AF5" s="33">
        <v>47.465449630482432</v>
      </c>
      <c r="AG5" s="33">
        <v>47.090199254208017</v>
      </c>
      <c r="AH5" s="33">
        <v>46.729328224448864</v>
      </c>
      <c r="AI5" s="33">
        <v>46.381874175453831</v>
      </c>
      <c r="AJ5" s="33">
        <v>46.046965092858215</v>
      </c>
      <c r="AK5" s="33">
        <v>45.723808531952663</v>
      </c>
      <c r="AL5" s="33">
        <v>45.411682381942228</v>
      </c>
      <c r="AM5" s="33">
        <v>45.109926919296662</v>
      </c>
      <c r="AN5" s="33">
        <v>44.817937941531994</v>
      </c>
      <c r="AO5" s="33">
        <v>44.535160810954835</v>
      </c>
      <c r="AP5" s="33">
        <v>44.261085268333339</v>
      </c>
      <c r="AQ5" s="33">
        <v>43.995240900857453</v>
      </c>
      <c r="AR5" s="33">
        <v>43.737193168425812</v>
      </c>
      <c r="AS5" s="33">
        <v>43.486539908249007</v>
      </c>
      <c r="AT5" s="33">
        <v>43.242908250762049</v>
      </c>
      <c r="AU5" s="33">
        <v>43.005951890488717</v>
      </c>
      <c r="AV5" s="33">
        <v>42.77534866426678</v>
      </c>
      <c r="AW5" s="33">
        <v>42.550798396489178</v>
      </c>
      <c r="AX5" s="33">
        <v>42.332020977033459</v>
      </c>
      <c r="AY5" s="33">
        <v>42.118754642567616</v>
      </c>
      <c r="AZ5" s="33">
        <v>41.910754436119802</v>
      </c>
      <c r="BA5" s="34">
        <v>41.707790823326015</v>
      </c>
      <c r="BB5" s="110"/>
    </row>
    <row r="6" spans="1:55" x14ac:dyDescent="0.3">
      <c r="A6" s="25" t="s">
        <v>103</v>
      </c>
      <c r="B6" s="33">
        <v>28</v>
      </c>
      <c r="C6" s="33">
        <v>27.614515725814059</v>
      </c>
      <c r="D6" s="33">
        <v>27.391486800416793</v>
      </c>
      <c r="E6" s="33">
        <v>27.234338527543994</v>
      </c>
      <c r="F6" s="33">
        <v>27.113066000317634</v>
      </c>
      <c r="G6" s="33">
        <v>27.014380107269201</v>
      </c>
      <c r="H6" s="33">
        <v>26.931222659734384</v>
      </c>
      <c r="I6" s="33">
        <v>26.859395341107401</v>
      </c>
      <c r="J6" s="33">
        <v>26.796198183478836</v>
      </c>
      <c r="K6" s="33">
        <v>26.739792408600206</v>
      </c>
      <c r="L6" s="33">
        <v>26.688869470315883</v>
      </c>
      <c r="M6" s="33">
        <v>26.642465153403709</v>
      </c>
      <c r="N6" s="33">
        <v>26.599848572970323</v>
      </c>
      <c r="O6" s="33">
        <v>26.560452559022682</v>
      </c>
      <c r="P6" s="33">
        <v>26.523828195233211</v>
      </c>
      <c r="Q6" s="33">
        <v>26.489614108316687</v>
      </c>
      <c r="R6" s="33">
        <v>26.457515115394646</v>
      </c>
      <c r="S6" s="33">
        <v>26.427287004632369</v>
      </c>
      <c r="T6" s="33">
        <v>26.398725450373156</v>
      </c>
      <c r="U6" s="33">
        <v>26.371657784724775</v>
      </c>
      <c r="V6" s="33">
        <v>26.34593678582857</v>
      </c>
      <c r="W6" s="33">
        <v>26.321435917579883</v>
      </c>
      <c r="X6" s="33">
        <v>26.298045632116015</v>
      </c>
      <c r="Y6" s="33">
        <v>26.275670462611419</v>
      </c>
      <c r="Z6" s="33">
        <v>26.254226712056433</v>
      </c>
      <c r="AA6" s="33">
        <v>26.233640597234345</v>
      </c>
      <c r="AB6" s="33">
        <v>26.213846744432601</v>
      </c>
      <c r="AC6" s="33">
        <v>26.1947869598525</v>
      </c>
      <c r="AD6" s="33">
        <v>26.176409216667555</v>
      </c>
      <c r="AE6" s="33">
        <v>26.158666814502062</v>
      </c>
      <c r="AF6" s="33">
        <v>26.141517677285716</v>
      </c>
      <c r="AG6" s="33">
        <v>26.124923763030608</v>
      </c>
      <c r="AH6" s="33">
        <v>26.108850564793013</v>
      </c>
      <c r="AI6" s="33">
        <v>26.09326668642959</v>
      </c>
      <c r="AJ6" s="33">
        <v>26.078143480093868</v>
      </c>
      <c r="AK6" s="33">
        <v>26.063454735000789</v>
      </c>
      <c r="AL6" s="33">
        <v>26.049176409002182</v>
      </c>
      <c r="AM6" s="33">
        <v>26.035286396099192</v>
      </c>
      <c r="AN6" s="33">
        <v>26.021764324271505</v>
      </c>
      <c r="AO6" s="33">
        <v>26.008591379002468</v>
      </c>
      <c r="AP6" s="33">
        <v>25.99575014867985</v>
      </c>
      <c r="AQ6" s="33">
        <v>25.983224488698792</v>
      </c>
      <c r="AR6" s="33">
        <v>25.970999401617426</v>
      </c>
      <c r="AS6" s="33">
        <v>25.959060931143451</v>
      </c>
      <c r="AT6" s="33">
        <v>25.947396068080472</v>
      </c>
      <c r="AU6" s="33">
        <v>25.935992666651551</v>
      </c>
      <c r="AV6" s="33">
        <v>25.924839369856429</v>
      </c>
      <c r="AW6" s="33">
        <v>25.913925542717532</v>
      </c>
      <c r="AX6" s="33">
        <v>25.903241212435386</v>
      </c>
      <c r="AY6" s="33">
        <v>25.892777014613209</v>
      </c>
      <c r="AZ6" s="33">
        <v>25.882524144827151</v>
      </c>
      <c r="BA6" s="34">
        <v>25.872474314917209</v>
      </c>
      <c r="BB6" s="110"/>
    </row>
    <row r="7" spans="1:55" x14ac:dyDescent="0.3">
      <c r="A7" s="25" t="s">
        <v>104</v>
      </c>
      <c r="B7" s="33">
        <v>21</v>
      </c>
      <c r="C7" s="33">
        <v>20.854942404177752</v>
      </c>
      <c r="D7" s="33">
        <v>20.770554087615587</v>
      </c>
      <c r="E7" s="33">
        <v>20.710886794360544</v>
      </c>
      <c r="F7" s="33">
        <v>20.664723310632613</v>
      </c>
      <c r="G7" s="33">
        <v>20.627081390480086</v>
      </c>
      <c r="H7" s="33">
        <v>20.595309099181218</v>
      </c>
      <c r="I7" s="33">
        <v>20.567826249325464</v>
      </c>
      <c r="J7" s="33">
        <v>20.543615100312593</v>
      </c>
      <c r="K7" s="33">
        <v>20.521981640072024</v>
      </c>
      <c r="L7" s="33">
        <v>20.502431420626074</v>
      </c>
      <c r="M7" s="33">
        <v>20.484599731654715</v>
      </c>
      <c r="N7" s="33">
        <v>20.468209863695524</v>
      </c>
      <c r="O7" s="33">
        <v>20.453046907602968</v>
      </c>
      <c r="P7" s="33">
        <v>20.438940629957393</v>
      </c>
      <c r="Q7" s="33">
        <v>20.425753895657994</v>
      </c>
      <c r="R7" s="33">
        <v>20.413374612431571</v>
      </c>
      <c r="S7" s="33">
        <v>20.401709985267413</v>
      </c>
      <c r="T7" s="33">
        <v>20.39068232902904</v>
      </c>
      <c r="U7" s="33">
        <v>20.380225958252158</v>
      </c>
      <c r="V7" s="33">
        <v>20.370284837890704</v>
      </c>
      <c r="W7" s="33">
        <v>20.360810782036236</v>
      </c>
      <c r="X7" s="33">
        <v>20.351762054078442</v>
      </c>
      <c r="Y7" s="33">
        <v>20.343102265537819</v>
      </c>
      <c r="Z7" s="33">
        <v>20.334799500238226</v>
      </c>
      <c r="AA7" s="33">
        <v>20.326825610666337</v>
      </c>
      <c r="AB7" s="33">
        <v>20.319155647438048</v>
      </c>
      <c r="AC7" s="33">
        <v>20.311767392762178</v>
      </c>
      <c r="AD7" s="33">
        <v>20.304640975957049</v>
      </c>
      <c r="AE7" s="33">
        <v>20.297758554293807</v>
      </c>
      <c r="AF7" s="33">
        <v>20.291104046287135</v>
      </c>
      <c r="AG7" s="33">
        <v>20.284662907421758</v>
      </c>
      <c r="AH7" s="33">
        <v>20.278421940463957</v>
      </c>
      <c r="AI7" s="33">
        <v>20.272369134150704</v>
      </c>
      <c r="AJ7" s="33">
        <v>20.266493525311141</v>
      </c>
      <c r="AK7" s="33">
        <v>20.2607850804519</v>
      </c>
      <c r="AL7" s="33">
        <v>20.255234593600356</v>
      </c>
      <c r="AM7" s="33">
        <v>20.249833597799324</v>
      </c>
      <c r="AN7" s="33">
        <v>20.244574288121651</v>
      </c>
      <c r="AO7" s="33">
        <v>20.239449454451293</v>
      </c>
      <c r="AP7" s="33">
        <v>20.234452422581334</v>
      </c>
      <c r="AQ7" s="33">
        <v>20.229577002424097</v>
      </c>
      <c r="AR7" s="33">
        <v>20.224817442327495</v>
      </c>
      <c r="AS7" s="33">
        <v>20.220168388653676</v>
      </c>
      <c r="AT7" s="33">
        <v>20.215624849909229</v>
      </c>
      <c r="AU7" s="33">
        <v>20.211182164825537</v>
      </c>
      <c r="AV7" s="33">
        <v>20.206835973878707</v>
      </c>
      <c r="AW7" s="33">
        <v>20.202582193813768</v>
      </c>
      <c r="AX7" s="33">
        <v>20.198416994800787</v>
      </c>
      <c r="AY7" s="33">
        <v>20.194336779903374</v>
      </c>
      <c r="AZ7" s="33">
        <v>20.190338166584226</v>
      </c>
      <c r="BA7" s="34">
        <v>20.186417970010083</v>
      </c>
      <c r="BB7" s="110"/>
    </row>
    <row r="8" spans="1:55" x14ac:dyDescent="0.3">
      <c r="A8" s="25" t="s">
        <v>105</v>
      </c>
      <c r="B8" s="33">
        <v>98</v>
      </c>
      <c r="C8" s="33">
        <v>87.106582754323867</v>
      </c>
      <c r="D8" s="33">
        <v>81.304664562223252</v>
      </c>
      <c r="E8" s="33">
        <v>77.424048562610963</v>
      </c>
      <c r="F8" s="33">
        <v>74.542023006203664</v>
      </c>
      <c r="G8" s="33">
        <v>72.267056040835129</v>
      </c>
      <c r="H8" s="33">
        <v>70.397852140534482</v>
      </c>
      <c r="I8" s="33">
        <v>68.817798911161873</v>
      </c>
      <c r="J8" s="33">
        <v>67.453555914037167</v>
      </c>
      <c r="K8" s="33">
        <v>66.25613158841422</v>
      </c>
      <c r="L8" s="33">
        <v>65.191251618189256</v>
      </c>
      <c r="M8" s="33">
        <v>64.234043851350677</v>
      </c>
      <c r="N8" s="33">
        <v>63.36591432350513</v>
      </c>
      <c r="O8" s="33">
        <v>62.57261564496045</v>
      </c>
      <c r="P8" s="33">
        <v>61.843001799070578</v>
      </c>
      <c r="Q8" s="33">
        <v>61.168196896178983</v>
      </c>
      <c r="R8" s="33">
        <v>60.541023533455977</v>
      </c>
      <c r="S8" s="33">
        <v>59.955599492851945</v>
      </c>
      <c r="T8" s="33">
        <v>59.407046793072084</v>
      </c>
      <c r="U8" s="33">
        <v>58.891277644771172</v>
      </c>
      <c r="V8" s="33">
        <v>58.404834226399458</v>
      </c>
      <c r="W8" s="33">
        <v>57.944766876915835</v>
      </c>
      <c r="X8" s="33">
        <v>57.508540198314904</v>
      </c>
      <c r="Y8" s="33">
        <v>57.093959759005585</v>
      </c>
      <c r="Z8" s="33">
        <v>56.699114223034641</v>
      </c>
      <c r="AA8" s="33">
        <v>56.322329181875475</v>
      </c>
      <c r="AB8" s="33">
        <v>55.962129970611855</v>
      </c>
      <c r="AC8" s="33">
        <v>55.617211457471925</v>
      </c>
      <c r="AD8" s="33">
        <v>55.286413300502147</v>
      </c>
      <c r="AE8" s="33">
        <v>54.968699530474915</v>
      </c>
      <c r="AF8" s="33">
        <v>54.663141586768845</v>
      </c>
      <c r="AG8" s="33">
        <v>54.368904131324392</v>
      </c>
      <c r="AH8" s="33">
        <v>54.085233114371128</v>
      </c>
      <c r="AI8" s="33">
        <v>53.81144567804543</v>
      </c>
      <c r="AJ8" s="33">
        <v>53.546921569867813</v>
      </c>
      <c r="AK8" s="33">
        <v>53.291095804175576</v>
      </c>
      <c r="AL8" s="33">
        <v>53.04345236096021</v>
      </c>
      <c r="AM8" s="33">
        <v>52.803518751742082</v>
      </c>
      <c r="AN8" s="33">
        <v>52.570861313787368</v>
      </c>
      <c r="AO8" s="33">
        <v>52.345081119103305</v>
      </c>
      <c r="AP8" s="33">
        <v>52.125810404718678</v>
      </c>
      <c r="AQ8" s="33">
        <v>51.912709446881955</v>
      </c>
      <c r="AR8" s="33">
        <v>51.70546381484025</v>
      </c>
      <c r="AS8" s="33">
        <v>51.503781950449742</v>
      </c>
      <c r="AT8" s="33">
        <v>51.307393028514312</v>
      </c>
      <c r="AU8" s="33">
        <v>51.11604505984571</v>
      </c>
      <c r="AV8" s="33">
        <v>50.929503204889954</v>
      </c>
      <c r="AW8" s="33">
        <v>50.747548270610785</v>
      </c>
      <c r="AX8" s="33">
        <v>50.569975367352612</v>
      </c>
      <c r="AY8" s="33">
        <v>50.396592705771731</v>
      </c>
      <c r="AZ8" s="33">
        <v>50.227220516747984</v>
      </c>
      <c r="BA8" s="34">
        <v>50.061690079564336</v>
      </c>
      <c r="BB8" s="110"/>
    </row>
    <row r="9" spans="1:55" x14ac:dyDescent="0.3">
      <c r="A9" s="25" t="s">
        <v>106</v>
      </c>
      <c r="B9" s="33">
        <v>140</v>
      </c>
      <c r="C9" s="33">
        <v>113.71533548987296</v>
      </c>
      <c r="D9" s="33">
        <v>100.69123306548103</v>
      </c>
      <c r="E9" s="33">
        <v>92.365553754102621</v>
      </c>
      <c r="F9" s="33">
        <v>86.384740780801337</v>
      </c>
      <c r="G9" s="33">
        <v>81.786695349501173</v>
      </c>
      <c r="H9" s="33">
        <v>78.090575542454445</v>
      </c>
      <c r="I9" s="33">
        <v>75.024142377540514</v>
      </c>
      <c r="J9" s="33">
        <v>72.419460116050118</v>
      </c>
      <c r="K9" s="33">
        <v>70.166212707818104</v>
      </c>
      <c r="L9" s="33">
        <v>68.188357611615999</v>
      </c>
      <c r="M9" s="33">
        <v>66.431439287689713</v>
      </c>
      <c r="N9" s="33">
        <v>64.855233905051406</v>
      </c>
      <c r="O9" s="33">
        <v>63.429257117196265</v>
      </c>
      <c r="P9" s="33">
        <v>62.1299004804345</v>
      </c>
      <c r="Q9" s="33">
        <v>60.938539430728696</v>
      </c>
      <c r="R9" s="33">
        <v>59.840244490356326</v>
      </c>
      <c r="S9" s="33">
        <v>58.82288002208653</v>
      </c>
      <c r="T9" s="33">
        <v>57.876459420616506</v>
      </c>
      <c r="U9" s="33">
        <v>56.992674415166618</v>
      </c>
      <c r="V9" s="33">
        <v>56.164545301163088</v>
      </c>
      <c r="W9" s="33">
        <v>55.386156873631037</v>
      </c>
      <c r="X9" s="33">
        <v>54.652456201512216</v>
      </c>
      <c r="Y9" s="33">
        <v>53.959095754819742</v>
      </c>
      <c r="Z9" s="33">
        <v>53.302310284044609</v>
      </c>
      <c r="AA9" s="33">
        <v>52.678819155622179</v>
      </c>
      <c r="AB9" s="33">
        <v>52.085748121582213</v>
      </c>
      <c r="AC9" s="33">
        <v>51.520566092538473</v>
      </c>
      <c r="AD9" s="33">
        <v>50.981033612919759</v>
      </c>
      <c r="AE9" s="33">
        <v>50.465160550607365</v>
      </c>
      <c r="AF9" s="33">
        <v>49.971171106028024</v>
      </c>
      <c r="AG9" s="33">
        <v>49.497474683058336</v>
      </c>
      <c r="AH9" s="33">
        <v>49.042641490168528</v>
      </c>
      <c r="AI9" s="33">
        <v>48.605381985834953</v>
      </c>
      <c r="AJ9" s="33">
        <v>48.184529468989389</v>
      </c>
      <c r="AK9" s="33">
        <v>47.779025258515126</v>
      </c>
      <c r="AL9" s="33">
        <v>47.387906016587571</v>
      </c>
      <c r="AM9" s="33">
        <v>47.010292857010178</v>
      </c>
      <c r="AN9" s="33">
        <v>46.645381947498691</v>
      </c>
      <c r="AO9" s="33">
        <v>46.292436368469808</v>
      </c>
      <c r="AP9" s="33">
        <v>45.950779033544492</v>
      </c>
      <c r="AQ9" s="33">
        <v>45.619786511128062</v>
      </c>
      <c r="AR9" s="33">
        <v>45.298883613931302</v>
      </c>
      <c r="AS9" s="33">
        <v>44.987538645569209</v>
      </c>
      <c r="AT9" s="33">
        <v>44.685259211504082</v>
      </c>
      <c r="AU9" s="33">
        <v>44.391588516432506</v>
      </c>
      <c r="AV9" s="33">
        <v>44.106102082408995</v>
      </c>
      <c r="AW9" s="33">
        <v>43.828404832067903</v>
      </c>
      <c r="AX9" s="33">
        <v>43.558128489655594</v>
      </c>
      <c r="AY9" s="33">
        <v>43.29492925953884</v>
      </c>
      <c r="AZ9" s="33">
        <v>43.038485747670251</v>
      </c>
      <c r="BA9" s="34">
        <v>42.788497096370868</v>
      </c>
      <c r="BB9" s="110"/>
    </row>
    <row r="10" spans="1:55" x14ac:dyDescent="0.3">
      <c r="A10" s="25" t="s">
        <v>107</v>
      </c>
      <c r="B10" s="33">
        <v>56</v>
      </c>
      <c r="C10" s="33">
        <v>52.613273955984667</v>
      </c>
      <c r="D10" s="33">
        <v>50.727926868401262</v>
      </c>
      <c r="E10" s="33">
        <v>49.431367792276681</v>
      </c>
      <c r="F10" s="33">
        <v>48.448543628421504</v>
      </c>
      <c r="G10" s="33">
        <v>47.660041313327689</v>
      </c>
      <c r="H10" s="33">
        <v>47.003392376097217</v>
      </c>
      <c r="I10" s="33">
        <v>46.441894565608735</v>
      </c>
      <c r="J10" s="33">
        <v>45.952188649390486</v>
      </c>
      <c r="K10" s="33">
        <v>45.518508905189556</v>
      </c>
      <c r="L10" s="33">
        <v>45.12972481364114</v>
      </c>
      <c r="M10" s="33">
        <v>44.777693042351018</v>
      </c>
      <c r="N10" s="33">
        <v>44.456280633208564</v>
      </c>
      <c r="O10" s="33">
        <v>44.160756427575777</v>
      </c>
      <c r="P10" s="33">
        <v>43.887396036841317</v>
      </c>
      <c r="Q10" s="33">
        <v>43.633216460987995</v>
      </c>
      <c r="R10" s="33">
        <v>43.395792515969809</v>
      </c>
      <c r="S10" s="33">
        <v>43.173126612276249</v>
      </c>
      <c r="T10" s="33">
        <v>42.963554331341889</v>
      </c>
      <c r="U10" s="33">
        <v>42.765674626726174</v>
      </c>
      <c r="V10" s="33">
        <v>42.578297339668381</v>
      </c>
      <c r="W10" s="33">
        <v>42.400403128183932</v>
      </c>
      <c r="X10" s="33">
        <v>42.231112452332333</v>
      </c>
      <c r="Y10" s="33">
        <v>42.069661270610752</v>
      </c>
      <c r="Z10" s="33">
        <v>41.915381780626092</v>
      </c>
      <c r="AA10" s="33">
        <v>41.767687000341745</v>
      </c>
      <c r="AB10" s="33">
        <v>41.626058308022486</v>
      </c>
      <c r="AC10" s="33">
        <v>41.490035286206336</v>
      </c>
      <c r="AD10" s="33">
        <v>41.359207377779938</v>
      </c>
      <c r="AE10" s="33">
        <v>41.233206980377282</v>
      </c>
      <c r="AF10" s="33">
        <v>41.111703692147515</v>
      </c>
      <c r="AG10" s="33">
        <v>40.994399486477512</v>
      </c>
      <c r="AH10" s="33">
        <v>40.881024641740389</v>
      </c>
      <c r="AI10" s="33">
        <v>40.771334288924791</v>
      </c>
      <c r="AJ10" s="33">
        <v>40.665105468163581</v>
      </c>
      <c r="AK10" s="33">
        <v>40.5621346069304</v>
      </c>
      <c r="AL10" s="33">
        <v>40.462235349604718</v>
      </c>
      <c r="AM10" s="33">
        <v>40.365236681387891</v>
      </c>
      <c r="AN10" s="33">
        <v>40.270981300045143</v>
      </c>
      <c r="AO10" s="33">
        <v>40.179324197293681</v>
      </c>
      <c r="AP10" s="33">
        <v>40.090131418336199</v>
      </c>
      <c r="AQ10" s="33">
        <v>40.003278973416883</v>
      </c>
      <c r="AR10" s="33">
        <v>39.918651879632165</v>
      </c>
      <c r="AS10" s="33">
        <v>39.836143314773757</v>
      </c>
      <c r="AT10" s="33">
        <v>39.755653867883034</v>
      </c>
      <c r="AU10" s="33">
        <v>39.677090873581363</v>
      </c>
      <c r="AV10" s="33">
        <v>39.600367819212252</v>
      </c>
      <c r="AW10" s="33">
        <v>39.525403815466447</v>
      </c>
      <c r="AX10" s="33">
        <v>39.452123122524185</v>
      </c>
      <c r="AY10" s="33">
        <v>39.380454724888729</v>
      </c>
      <c r="AZ10" s="33">
        <v>39.310331949043416</v>
      </c>
      <c r="BA10" s="34">
        <v>39.241692118871413</v>
      </c>
      <c r="BB10" s="110"/>
    </row>
    <row r="11" spans="1:55" x14ac:dyDescent="0.3">
      <c r="A11" s="25" t="s">
        <v>108</v>
      </c>
      <c r="B11" s="33">
        <v>70</v>
      </c>
      <c r="C11" s="33">
        <v>60.517606191550563</v>
      </c>
      <c r="D11" s="33">
        <v>55.577956756392922</v>
      </c>
      <c r="E11" s="33">
        <v>52.319723702222852</v>
      </c>
      <c r="F11" s="33">
        <v>49.924570703576457</v>
      </c>
      <c r="G11" s="33">
        <v>48.049212855920203</v>
      </c>
      <c r="H11" s="33">
        <v>46.518687368204731</v>
      </c>
      <c r="I11" s="33">
        <v>45.232349072312232</v>
      </c>
      <c r="J11" s="33">
        <v>44.127275388792604</v>
      </c>
      <c r="K11" s="33">
        <v>43.161650130303755</v>
      </c>
      <c r="L11" s="33">
        <v>42.306351767253425</v>
      </c>
      <c r="M11" s="33">
        <v>41.540333448979538</v>
      </c>
      <c r="N11" s="33">
        <v>40.847918977390528</v>
      </c>
      <c r="O11" s="33">
        <v>40.217137181383883</v>
      </c>
      <c r="P11" s="33">
        <v>39.638651880640772</v>
      </c>
      <c r="Q11" s="33">
        <v>39.105049832527698</v>
      </c>
      <c r="R11" s="33">
        <v>38.610352492430636</v>
      </c>
      <c r="S11" s="33">
        <v>38.149672489786461</v>
      </c>
      <c r="T11" s="33">
        <v>37.718966435583724</v>
      </c>
      <c r="U11" s="33">
        <v>37.314853502331573</v>
      </c>
      <c r="V11" s="33">
        <v>36.934479927346352</v>
      </c>
      <c r="W11" s="33">
        <v>36.575416223597891</v>
      </c>
      <c r="X11" s="33">
        <v>36.235578102982899</v>
      </c>
      <c r="Y11" s="33">
        <v>35.913164867586268</v>
      </c>
      <c r="Z11" s="33">
        <v>35.606610856234362</v>
      </c>
      <c r="AA11" s="33">
        <v>35.314546777401212</v>
      </c>
      <c r="AB11" s="33">
        <v>35.035768619082248</v>
      </c>
      <c r="AC11" s="33">
        <v>34.76921242992222</v>
      </c>
      <c r="AD11" s="33">
        <v>34.513933696143681</v>
      </c>
      <c r="AE11" s="33">
        <v>34.269090349665476</v>
      </c>
      <c r="AF11" s="33">
        <v>34.033928670196069</v>
      </c>
      <c r="AG11" s="33">
        <v>33.807771512369591</v>
      </c>
      <c r="AH11" s="33">
        <v>33.590008414873687</v>
      </c>
      <c r="AI11" s="33">
        <v>33.380087243626704</v>
      </c>
      <c r="AJ11" s="33">
        <v>33.177507093592951</v>
      </c>
      <c r="AK11" s="33">
        <v>32.981812229621823</v>
      </c>
      <c r="AL11" s="33">
        <v>32.792586889973059</v>
      </c>
      <c r="AM11" s="33">
        <v>32.609450810013847</v>
      </c>
      <c r="AN11" s="33">
        <v>32.432055350200763</v>
      </c>
      <c r="AO11" s="33">
        <v>32.26008013356433</v>
      </c>
      <c r="AP11" s="33">
        <v>32.093230114750334</v>
      </c>
      <c r="AQ11" s="33">
        <v>31.931233016183935</v>
      </c>
      <c r="AR11" s="33">
        <v>31.773837077830798</v>
      </c>
      <c r="AS11" s="33">
        <v>31.620809075882097</v>
      </c>
      <c r="AT11" s="33">
        <v>31.471932572913797</v>
      </c>
      <c r="AU11" s="33">
        <v>31.327006367992745</v>
      </c>
      <c r="AV11" s="33">
        <v>31.185843120080861</v>
      </c>
      <c r="AW11" s="33">
        <v>31.048268122125929</v>
      </c>
      <c r="AX11" s="33">
        <v>30.91411820658244</v>
      </c>
      <c r="AY11" s="33">
        <v>30.783240765905425</v>
      </c>
      <c r="AZ11" s="33">
        <v>30.655492873905679</v>
      </c>
      <c r="BA11" s="34">
        <v>30.530740495826539</v>
      </c>
      <c r="BB11" s="110"/>
    </row>
    <row r="12" spans="1:55" x14ac:dyDescent="0.3">
      <c r="A12" s="25" t="s">
        <v>109</v>
      </c>
      <c r="B12" s="33">
        <v>84</v>
      </c>
      <c r="C12" s="33">
        <v>73.126247316874441</v>
      </c>
      <c r="D12" s="33">
        <v>67.430291187859368</v>
      </c>
      <c r="E12" s="33">
        <v>63.660095793436724</v>
      </c>
      <c r="F12" s="33">
        <v>60.881491748926429</v>
      </c>
      <c r="G12" s="33">
        <v>58.701477976812654</v>
      </c>
      <c r="H12" s="33">
        <v>56.9193167256404</v>
      </c>
      <c r="I12" s="33">
        <v>55.419332252461565</v>
      </c>
      <c r="J12" s="33">
        <v>54.129097258089359</v>
      </c>
      <c r="K12" s="33">
        <v>53.000416936336229</v>
      </c>
      <c r="L12" s="33">
        <v>51.999689337443023</v>
      </c>
      <c r="M12" s="33">
        <v>51.10260471902928</v>
      </c>
      <c r="N12" s="33">
        <v>50.291039865485807</v>
      </c>
      <c r="O12" s="33">
        <v>49.551143237936756</v>
      </c>
      <c r="P12" s="33">
        <v>48.872103768825795</v>
      </c>
      <c r="Q12" s="33">
        <v>48.245330909875477</v>
      </c>
      <c r="R12" s="33">
        <v>47.66389199641273</v>
      </c>
      <c r="S12" s="33">
        <v>47.122116108740386</v>
      </c>
      <c r="T12" s="33">
        <v>46.615308837581765</v>
      </c>
      <c r="U12" s="33">
        <v>46.139542818856953</v>
      </c>
      <c r="V12" s="33">
        <v>45.691501202665798</v>
      </c>
      <c r="W12" s="33">
        <v>45.268358843934486</v>
      </c>
      <c r="X12" s="33">
        <v>44.867690854914393</v>
      </c>
      <c r="Y12" s="33">
        <v>44.487401324050111</v>
      </c>
      <c r="Z12" s="33">
        <v>44.12566711398329</v>
      </c>
      <c r="AA12" s="33">
        <v>43.780893083646518</v>
      </c>
      <c r="AB12" s="33">
        <v>43.451676069630075</v>
      </c>
      <c r="AC12" s="33">
        <v>43.136775657752764</v>
      </c>
      <c r="AD12" s="33">
        <v>42.835090271859663</v>
      </c>
      <c r="AE12" s="33">
        <v>42.545637465417933</v>
      </c>
      <c r="AF12" s="33">
        <v>42.267537563875166</v>
      </c>
      <c r="AG12" s="33">
        <v>42</v>
      </c>
      <c r="AH12" s="33">
        <v>41.742311829785834</v>
      </c>
      <c r="AI12" s="33">
        <v>41.493828026362721</v>
      </c>
      <c r="AJ12" s="33">
        <v>41.25396323317387</v>
      </c>
      <c r="AK12" s="33">
        <v>41.022184722169307</v>
      </c>
      <c r="AL12" s="33">
        <v>40.79800635280786</v>
      </c>
      <c r="AM12" s="33">
        <v>40.580983366779598</v>
      </c>
      <c r="AN12" s="33">
        <v>40.370707884166102</v>
      </c>
      <c r="AO12" s="33">
        <v>40.166804991181557</v>
      </c>
      <c r="AP12" s="33">
        <v>39.968929329125636</v>
      </c>
      <c r="AQ12" s="33">
        <v>39.776762109826237</v>
      </c>
      <c r="AR12" s="33">
        <v>39.590008495482891</v>
      </c>
      <c r="AS12" s="33">
        <v>39.408395291078257</v>
      </c>
      <c r="AT12" s="33">
        <v>39.231668905895276</v>
      </c>
      <c r="AU12" s="33">
        <v>39.059593547542079</v>
      </c>
      <c r="AV12" s="33">
        <v>38.891949617542565</v>
      </c>
      <c r="AW12" s="33">
        <v>38.728532282232564</v>
      </c>
      <c r="AX12" s="33">
        <v>38.569150196592467</v>
      </c>
      <c r="AY12" s="33">
        <v>38.413624361895408</v>
      </c>
      <c r="AZ12" s="33">
        <v>38.261787100771315</v>
      </c>
      <c r="BA12" s="34">
        <v>38.113481135575853</v>
      </c>
      <c r="BB12" s="110"/>
    </row>
    <row r="13" spans="1:55" x14ac:dyDescent="0.3">
      <c r="A13" s="25" t="s">
        <v>110</v>
      </c>
      <c r="B13" s="33">
        <v>24.5</v>
      </c>
      <c r="C13" s="33">
        <v>23.830046211600994</v>
      </c>
      <c r="D13" s="33">
        <v>23.44667341054398</v>
      </c>
      <c r="E13" s="33">
        <v>23.178412344777101</v>
      </c>
      <c r="F13" s="33">
        <v>22.972448373049378</v>
      </c>
      <c r="G13" s="33">
        <v>22.805522893125691</v>
      </c>
      <c r="H13" s="33">
        <v>22.665336060880964</v>
      </c>
      <c r="I13" s="33">
        <v>22.544597440309442</v>
      </c>
      <c r="J13" s="33">
        <v>22.438632409008573</v>
      </c>
      <c r="K13" s="33">
        <v>22.344265564219786</v>
      </c>
      <c r="L13" s="33">
        <v>22.259242300111225</v>
      </c>
      <c r="M13" s="33">
        <v>22.18190467032284</v>
      </c>
      <c r="N13" s="33">
        <v>22.110998253279732</v>
      </c>
      <c r="O13" s="33">
        <v>22.045551254377951</v>
      </c>
      <c r="P13" s="33">
        <v>21.984795691570252</v>
      </c>
      <c r="Q13" s="33">
        <v>21.928114237735322</v>
      </c>
      <c r="R13" s="33">
        <v>21.875003315041759</v>
      </c>
      <c r="S13" s="33">
        <v>21.825046825787844</v>
      </c>
      <c r="T13" s="33">
        <v>21.777897043880607</v>
      </c>
      <c r="U13" s="33">
        <v>21.733260447332345</v>
      </c>
      <c r="V13" s="33">
        <v>21.690887035089848</v>
      </c>
      <c r="W13" s="33">
        <v>21.650562148852</v>
      </c>
      <c r="X13" s="33">
        <v>21.612100127151752</v>
      </c>
      <c r="Y13" s="33">
        <v>21.575339320617193</v>
      </c>
      <c r="Z13" s="33">
        <v>21.540138132751803</v>
      </c>
      <c r="AA13" s="33">
        <v>21.506371843276938</v>
      </c>
      <c r="AB13" s="33">
        <v>21.473930035643747</v>
      </c>
      <c r="AC13" s="33">
        <v>21.44271449600183</v>
      </c>
      <c r="AD13" s="33">
        <v>21.412637483701189</v>
      </c>
      <c r="AE13" s="33">
        <v>21.383620297254108</v>
      </c>
      <c r="AF13" s="33">
        <v>21.355592077245049</v>
      </c>
      <c r="AG13" s="33">
        <v>21.328488800755039</v>
      </c>
      <c r="AH13" s="33">
        <v>21.302252431709132</v>
      </c>
      <c r="AI13" s="33">
        <v>21.276830199035512</v>
      </c>
      <c r="AJ13" s="33">
        <v>21.252173980261318</v>
      </c>
      <c r="AK13" s="33">
        <v>21.228239772607342</v>
      </c>
      <c r="AL13" s="33">
        <v>21.204987237103634</v>
      </c>
      <c r="AM13" s="33">
        <v>21.18237930396586</v>
      </c>
      <c r="AN13" s="33">
        <v>21.160381829622793</v>
      </c>
      <c r="AO13" s="33">
        <v>21.138963297497543</v>
      </c>
      <c r="AP13" s="33">
        <v>21.118094556018391</v>
      </c>
      <c r="AQ13" s="33">
        <v>21.097748588441142</v>
      </c>
      <c r="AR13" s="33">
        <v>21.077900309962892</v>
      </c>
      <c r="AS13" s="33">
        <v>21.058526388338066</v>
      </c>
      <c r="AT13" s="33">
        <v>21.039605084807437</v>
      </c>
      <c r="AU13" s="33">
        <v>21.021116112643838</v>
      </c>
      <c r="AV13" s="33">
        <v>21.003040511026811</v>
      </c>
      <c r="AW13" s="33">
        <v>20.985360532297133</v>
      </c>
      <c r="AX13" s="33">
        <v>20.968059540925346</v>
      </c>
      <c r="AY13" s="33">
        <v>20.951121922765068</v>
      </c>
      <c r="AZ13" s="33">
        <v>20.934533003361267</v>
      </c>
      <c r="BA13" s="34">
        <v>20.918278974251585</v>
      </c>
      <c r="BB13" s="110"/>
    </row>
    <row r="14" spans="1:55" x14ac:dyDescent="0.3">
      <c r="A14" s="25" t="s">
        <v>112</v>
      </c>
      <c r="B14" s="33">
        <v>30.8</v>
      </c>
      <c r="C14" s="33">
        <v>29.138575519148358</v>
      </c>
      <c r="D14" s="33">
        <v>28.20856645703935</v>
      </c>
      <c r="E14" s="33">
        <v>27.566772184581549</v>
      </c>
      <c r="F14" s="33">
        <v>27.079030795459406</v>
      </c>
      <c r="G14" s="33">
        <v>26.686929999849234</v>
      </c>
      <c r="H14" s="33">
        <v>26.359846280020435</v>
      </c>
      <c r="I14" s="33">
        <v>26.079755620765837</v>
      </c>
      <c r="J14" s="33">
        <v>25.835169531207978</v>
      </c>
      <c r="K14" s="33">
        <v>25.618324149962266</v>
      </c>
      <c r="L14" s="33">
        <v>25.423731990790294</v>
      </c>
      <c r="M14" s="33">
        <v>25.247374193988069</v>
      </c>
      <c r="N14" s="33">
        <v>25.086221253979872</v>
      </c>
      <c r="O14" s="33">
        <v>24.937934139724586</v>
      </c>
      <c r="P14" s="33">
        <v>24.800670122919865</v>
      </c>
      <c r="Q14" s="33">
        <v>24.672952229760362</v>
      </c>
      <c r="R14" s="33">
        <v>24.553578870502466</v>
      </c>
      <c r="S14" s="33">
        <v>24.441559689451434</v>
      </c>
      <c r="T14" s="33">
        <v>24.336069020139952</v>
      </c>
      <c r="U14" s="33">
        <v>24.236411458366806</v>
      </c>
      <c r="V14" s="33">
        <v>24.141995960626556</v>
      </c>
      <c r="W14" s="33">
        <v>24.052316058189312</v>
      </c>
      <c r="X14" s="33">
        <v>23.966934535120057</v>
      </c>
      <c r="Y14" s="33">
        <v>23.885471415964894</v>
      </c>
      <c r="Z14" s="33">
        <v>23.807594442254508</v>
      </c>
      <c r="AA14" s="33">
        <v>23.733011444777823</v>
      </c>
      <c r="AB14" s="33">
        <v>23.661464176946701</v>
      </c>
      <c r="AC14" s="33">
        <v>23.592723286425738</v>
      </c>
      <c r="AD14" s="33">
        <v>23.526584182355492</v>
      </c>
      <c r="AE14" s="33">
        <v>23.462863613707363</v>
      </c>
      <c r="AF14" s="33">
        <v>23.401396817103706</v>
      </c>
      <c r="AG14" s="33">
        <v>23.342035124260132</v>
      </c>
      <c r="AH14" s="33">
        <v>23.284643943122255</v>
      </c>
      <c r="AI14" s="33">
        <v>23.229101044918881</v>
      </c>
      <c r="AJ14" s="33">
        <v>23.17529510325485</v>
      </c>
      <c r="AK14" s="33">
        <v>23.12312444210561</v>
      </c>
      <c r="AL14" s="33">
        <v>23.072495957938219</v>
      </c>
      <c r="AM14" s="33">
        <v>23.023324187745274</v>
      </c>
      <c r="AN14" s="33">
        <v>22.975530499963771</v>
      </c>
      <c r="AO14" s="33">
        <v>22.92904238937577</v>
      </c>
      <c r="AP14" s="33">
        <v>22.883792860390752</v>
      </c>
      <c r="AQ14" s="33">
        <v>22.839719885769203</v>
      </c>
      <c r="AR14" s="33">
        <v>22.796765930001499</v>
      </c>
      <c r="AS14" s="33">
        <v>22.754877528310846</v>
      </c>
      <c r="AT14" s="33">
        <v>22.714004913684917</v>
      </c>
      <c r="AU14" s="33">
        <v>22.674101685522096</v>
      </c>
      <c r="AV14" s="33">
        <v>22.635124514454418</v>
      </c>
      <c r="AW14" s="33">
        <v>22.597032878719233</v>
      </c>
      <c r="AX14" s="33">
        <v>22.559788828126852</v>
      </c>
      <c r="AY14" s="33">
        <v>22.523356772236678</v>
      </c>
      <c r="AZ14" s="33">
        <v>22.487703289828765</v>
      </c>
      <c r="BA14" s="34">
        <v>22.452796957158139</v>
      </c>
      <c r="BB14" s="110"/>
    </row>
    <row r="15" spans="1:55" x14ac:dyDescent="0.3">
      <c r="A15" s="25" t="s">
        <v>113</v>
      </c>
      <c r="B15" s="33">
        <v>22.400000000000002</v>
      </c>
      <c r="C15" s="33">
        <v>21.939014665947159</v>
      </c>
      <c r="D15" s="33">
        <v>21.673766023933918</v>
      </c>
      <c r="E15" s="33">
        <v>21.487516272885923</v>
      </c>
      <c r="F15" s="33">
        <v>21.344152647599405</v>
      </c>
      <c r="G15" s="33">
        <v>21.227726368990783</v>
      </c>
      <c r="H15" s="33">
        <v>21.129784956042016</v>
      </c>
      <c r="I15" s="33">
        <v>21.04530958239387</v>
      </c>
      <c r="J15" s="33">
        <v>20.971077395546082</v>
      </c>
      <c r="K15" s="33">
        <v>20.904896337852598</v>
      </c>
      <c r="L15" s="33">
        <v>20.845208228921614</v>
      </c>
      <c r="M15" s="33">
        <v>20.790866077410808</v>
      </c>
      <c r="N15" s="33">
        <v>20.741001254631563</v>
      </c>
      <c r="O15" s="33">
        <v>20.69494026959444</v>
      </c>
      <c r="P15" s="33">
        <v>20.652150467107106</v>
      </c>
      <c r="Q15" s="33">
        <v>20.612203373997204</v>
      </c>
      <c r="R15" s="33">
        <v>20.574749232937965</v>
      </c>
      <c r="S15" s="33">
        <v>20.539498863464221</v>
      </c>
      <c r="T15" s="33">
        <v>20.506210459040503</v>
      </c>
      <c r="U15" s="33">
        <v>20.474679792243453</v>
      </c>
      <c r="V15" s="33">
        <v>20.444732824700605</v>
      </c>
      <c r="W15" s="33">
        <v>20.41622004683186</v>
      </c>
      <c r="X15" s="33">
        <v>20.389012083509414</v>
      </c>
      <c r="Y15" s="33">
        <v>20.362996240627634</v>
      </c>
      <c r="Z15" s="33">
        <v>20.338073760893952</v>
      </c>
      <c r="AA15" s="33">
        <v>20.314157621062066</v>
      </c>
      <c r="AB15" s="33">
        <v>20.291170747360507</v>
      </c>
      <c r="AC15" s="33">
        <v>20.269044557389865</v>
      </c>
      <c r="AD15" s="33">
        <v>20.24771775939687</v>
      </c>
      <c r="AE15" s="33">
        <v>20.227135356304029</v>
      </c>
      <c r="AF15" s="33">
        <v>20.207247814006049</v>
      </c>
      <c r="AG15" s="33">
        <v>20.188010362482597</v>
      </c>
      <c r="AH15" s="33">
        <v>20.169382405081652</v>
      </c>
      <c r="AI15" s="33">
        <v>20.151327016500499</v>
      </c>
      <c r="AJ15" s="33">
        <v>20.133810513960277</v>
      </c>
      <c r="AK15" s="33">
        <v>20.116802089140478</v>
      </c>
      <c r="AL15" s="33">
        <v>20.100273490835022</v>
      </c>
      <c r="AM15" s="33">
        <v>20.084198750173602</v>
      </c>
      <c r="AN15" s="33">
        <v>20.068553941741261</v>
      </c>
      <c r="AO15" s="33">
        <v>20.053316975116118</v>
      </c>
      <c r="AP15" s="33">
        <v>20.038467412296157</v>
      </c>
      <c r="AQ15" s="33">
        <v>20.023986307253477</v>
      </c>
      <c r="AR15" s="33">
        <v>20.00985606447653</v>
      </c>
      <c r="AS15" s="33">
        <v>19.996060313868242</v>
      </c>
      <c r="AT15" s="33">
        <v>19.982583799783793</v>
      </c>
      <c r="AU15" s="33">
        <v>19.969412282334236</v>
      </c>
      <c r="AV15" s="33">
        <v>19.956532449365408</v>
      </c>
      <c r="AW15" s="33">
        <v>19.943931837756995</v>
      </c>
      <c r="AX15" s="33">
        <v>19.931598762883016</v>
      </c>
      <c r="AY15" s="33">
        <v>19.919522255239624</v>
      </c>
      <c r="AZ15" s="33">
        <v>19.907692003384433</v>
      </c>
      <c r="BA15" s="34">
        <v>19.896098302448351</v>
      </c>
      <c r="BB15" s="110"/>
    </row>
    <row r="16" spans="1:55" x14ac:dyDescent="0.3">
      <c r="A16" s="25" t="s">
        <v>114</v>
      </c>
      <c r="B16" s="33">
        <v>44.800000000000004</v>
      </c>
      <c r="C16" s="33">
        <v>40.939648970277148</v>
      </c>
      <c r="D16" s="33">
        <v>38.837588051505755</v>
      </c>
      <c r="E16" s="33">
        <v>37.411938790390955</v>
      </c>
      <c r="F16" s="33">
        <v>36.342258522558147</v>
      </c>
      <c r="G16" s="33">
        <v>35.491009412519531</v>
      </c>
      <c r="H16" s="33">
        <v>34.786863157736931</v>
      </c>
      <c r="I16" s="33">
        <v>34.188206280716528</v>
      </c>
      <c r="J16" s="33">
        <v>33.66871084059067</v>
      </c>
      <c r="K16" s="33">
        <v>33.210698810281102</v>
      </c>
      <c r="L16" s="33">
        <v>32.801746271483424</v>
      </c>
      <c r="M16" s="33">
        <v>32.432800601548031</v>
      </c>
      <c r="N16" s="33">
        <v>32.09706917316533</v>
      </c>
      <c r="O16" s="33">
        <v>31.789329608366447</v>
      </c>
      <c r="P16" s="33">
        <v>31.505483601795479</v>
      </c>
      <c r="Q16" s="33">
        <v>31.24225812624908</v>
      </c>
      <c r="R16" s="33">
        <v>30.996999351696449</v>
      </c>
      <c r="S16" s="33">
        <v>30.767526854811315</v>
      </c>
      <c r="T16" s="33">
        <v>30.552028175253362</v>
      </c>
      <c r="U16" s="33">
        <v>30.348981056931009</v>
      </c>
      <c r="V16" s="33">
        <v>30.157095109917172</v>
      </c>
      <c r="W16" s="33">
        <v>29.975267365326538</v>
      </c>
      <c r="X16" s="33">
        <v>29.802547944516306</v>
      </c>
      <c r="Y16" s="33">
        <v>29.638113208713616</v>
      </c>
      <c r="Z16" s="33">
        <v>29.481244520545768</v>
      </c>
      <c r="AA16" s="33">
        <v>29.331311270627062</v>
      </c>
      <c r="AB16" s="33">
        <v>29.187757184199242</v>
      </c>
      <c r="AC16" s="33">
        <v>29.050089177833929</v>
      </c>
      <c r="AD16" s="33">
        <v>28.917868218567229</v>
      </c>
      <c r="AE16" s="33">
        <v>28.79070177000736</v>
      </c>
      <c r="AF16" s="33">
        <v>28.668237506941111</v>
      </c>
      <c r="AG16" s="33">
        <v>28.55015805195147</v>
      </c>
      <c r="AH16" s="33">
        <v>28.436176541560002</v>
      </c>
      <c r="AI16" s="33">
        <v>28.32603287032055</v>
      </c>
      <c r="AJ16" s="33">
        <v>28.219490492574312</v>
      </c>
      <c r="AK16" s="33">
        <v>28.116333685704248</v>
      </c>
      <c r="AL16" s="33">
        <v>28.016365197487396</v>
      </c>
      <c r="AM16" s="33">
        <v>27.91940421484129</v>
      </c>
      <c r="AN16" s="33">
        <v>27.825284602858915</v>
      </c>
      <c r="AO16" s="33">
        <v>27.733853372239871</v>
      </c>
      <c r="AP16" s="33">
        <v>27.64496934059191</v>
      </c>
      <c r="AQ16" s="33">
        <v>27.558501959001575</v>
      </c>
      <c r="AR16" s="33">
        <v>27.474330280065281</v>
      </c>
      <c r="AS16" s="33">
        <v>27.392342047470372</v>
      </c>
      <c r="AT16" s="33">
        <v>27.312432890401837</v>
      </c>
      <c r="AU16" s="33">
        <v>27.234505608668574</v>
      </c>
      <c r="AV16" s="33">
        <v>27.158469536603342</v>
      </c>
      <c r="AW16" s="33">
        <v>27.084239975581909</v>
      </c>
      <c r="AX16" s="33">
        <v>27.011737686498105</v>
      </c>
      <c r="AY16" s="33">
        <v>26.940888434777907</v>
      </c>
      <c r="AZ16" s="33">
        <v>26.871622581561994</v>
      </c>
      <c r="BA16" s="34">
        <v>26.803874715567087</v>
      </c>
      <c r="BB16" s="110"/>
    </row>
    <row r="17" spans="1:54" x14ac:dyDescent="0.3">
      <c r="A17" s="41" t="s">
        <v>115</v>
      </c>
      <c r="B17" s="95">
        <v>17.5</v>
      </c>
      <c r="C17" s="95">
        <v>17.379118670148127</v>
      </c>
      <c r="D17" s="95">
        <v>17.308795073012988</v>
      </c>
      <c r="E17" s="95">
        <v>17.259072328633785</v>
      </c>
      <c r="F17" s="95">
        <v>17.220602758860512</v>
      </c>
      <c r="G17" s="95">
        <v>17.189234492066738</v>
      </c>
      <c r="H17" s="95">
        <v>17.162757582651015</v>
      </c>
      <c r="I17" s="95">
        <v>17.13985520777122</v>
      </c>
      <c r="J17" s="95">
        <v>17.119679250260496</v>
      </c>
      <c r="K17" s="95">
        <v>17.101651366726689</v>
      </c>
      <c r="L17" s="95">
        <v>17.085359517188394</v>
      </c>
      <c r="M17" s="95">
        <v>17.070499776378931</v>
      </c>
      <c r="N17" s="95">
        <v>17.056841553079604</v>
      </c>
      <c r="O17" s="95">
        <v>17.044205756335806</v>
      </c>
      <c r="P17" s="95">
        <v>17.032450524964492</v>
      </c>
      <c r="Q17" s="95">
        <v>17.021461579714998</v>
      </c>
      <c r="R17" s="95">
        <v>17.011145510359643</v>
      </c>
      <c r="S17" s="95">
        <v>17.001424987722839</v>
      </c>
      <c r="T17" s="95">
        <v>16.992235274190868</v>
      </c>
      <c r="U17" s="95">
        <v>16.983521631876801</v>
      </c>
      <c r="V17" s="95">
        <v>16.975237364908921</v>
      </c>
      <c r="W17" s="95">
        <v>16.967342318363528</v>
      </c>
      <c r="X17" s="95">
        <v>16.959801711732034</v>
      </c>
      <c r="Y17" s="95">
        <v>16.952585221281517</v>
      </c>
      <c r="Z17" s="95">
        <v>16.945666250198524</v>
      </c>
      <c r="AA17" s="95">
        <v>16.939021342221945</v>
      </c>
      <c r="AB17" s="95">
        <v>16.932629706198373</v>
      </c>
      <c r="AC17" s="95">
        <v>16.926472827301815</v>
      </c>
      <c r="AD17" s="95">
        <v>16.920534146630875</v>
      </c>
      <c r="AE17" s="95">
        <v>16.914798795244842</v>
      </c>
      <c r="AF17" s="95">
        <v>16.909253371905947</v>
      </c>
      <c r="AG17" s="95">
        <v>16.903885756184795</v>
      </c>
      <c r="AH17" s="95">
        <v>16.898684950386627</v>
      </c>
      <c r="AI17" s="95">
        <v>16.893640945125586</v>
      </c>
      <c r="AJ17" s="95">
        <v>16.888744604425948</v>
      </c>
      <c r="AK17" s="95">
        <v>16.883987567043249</v>
      </c>
      <c r="AL17" s="95">
        <v>16.879362161333628</v>
      </c>
      <c r="AM17" s="95">
        <v>16.874861331499435</v>
      </c>
      <c r="AN17" s="95">
        <v>16.870478573434706</v>
      </c>
      <c r="AO17" s="95">
        <v>16.86620787870941</v>
      </c>
      <c r="AP17" s="95">
        <v>16.862043685484444</v>
      </c>
      <c r="AQ17" s="95">
        <v>16.857980835353413</v>
      </c>
      <c r="AR17" s="95">
        <v>16.854014535272913</v>
      </c>
      <c r="AS17" s="95">
        <v>16.850140323878062</v>
      </c>
      <c r="AT17" s="95">
        <v>16.84635404159102</v>
      </c>
      <c r="AU17" s="95">
        <v>16.84265180402128</v>
      </c>
      <c r="AV17" s="95">
        <v>16.839029978232258</v>
      </c>
      <c r="AW17" s="95">
        <v>16.835485161511471</v>
      </c>
      <c r="AX17" s="95">
        <v>16.832014162333987</v>
      </c>
      <c r="AY17" s="95">
        <v>16.828613983252815</v>
      </c>
      <c r="AZ17" s="95">
        <v>16.825281805486856</v>
      </c>
      <c r="BA17" s="42">
        <v>16.822014975008404</v>
      </c>
      <c r="BB17" s="110"/>
    </row>
    <row r="18" spans="1:54" x14ac:dyDescent="0.3">
      <c r="A18" s="25" t="s">
        <v>5</v>
      </c>
      <c r="B18" s="6">
        <v>0</v>
      </c>
      <c r="C18" s="6">
        <v>630</v>
      </c>
      <c r="D18" s="6">
        <v>700</v>
      </c>
      <c r="E18" s="6">
        <v>700</v>
      </c>
      <c r="F18" s="6">
        <v>700</v>
      </c>
      <c r="G18" s="6">
        <v>700</v>
      </c>
      <c r="H18" s="6">
        <v>700</v>
      </c>
      <c r="I18" s="6">
        <v>700</v>
      </c>
      <c r="J18" s="6">
        <v>700</v>
      </c>
      <c r="K18" s="6">
        <v>700</v>
      </c>
      <c r="L18" s="6">
        <v>520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  <c r="Z18" s="6">
        <v>0</v>
      </c>
      <c r="AA18" s="6">
        <v>0</v>
      </c>
      <c r="AB18" s="6">
        <v>0</v>
      </c>
      <c r="AC18" s="6">
        <v>0</v>
      </c>
      <c r="AD18" s="6">
        <v>0</v>
      </c>
      <c r="AE18" s="6">
        <v>0</v>
      </c>
      <c r="AF18" s="6">
        <v>0</v>
      </c>
      <c r="AG18" s="6">
        <v>0</v>
      </c>
      <c r="AH18" s="6">
        <v>0</v>
      </c>
      <c r="AI18" s="6">
        <v>0</v>
      </c>
      <c r="AJ18" s="6">
        <v>0</v>
      </c>
      <c r="AK18" s="6">
        <v>0</v>
      </c>
      <c r="AL18" s="6">
        <v>0</v>
      </c>
      <c r="AM18" s="6">
        <v>0</v>
      </c>
      <c r="AN18" s="6">
        <v>0</v>
      </c>
      <c r="AO18" s="6">
        <v>0</v>
      </c>
      <c r="AP18" s="6">
        <v>0</v>
      </c>
      <c r="AQ18" s="6">
        <v>0</v>
      </c>
      <c r="AR18" s="6">
        <v>0</v>
      </c>
      <c r="AS18" s="6">
        <v>0</v>
      </c>
      <c r="AT18" s="6">
        <v>0</v>
      </c>
      <c r="AU18" s="6">
        <v>0</v>
      </c>
      <c r="AV18" s="6">
        <v>0</v>
      </c>
      <c r="AW18" s="6">
        <v>0</v>
      </c>
      <c r="AX18" s="6">
        <v>0</v>
      </c>
      <c r="AY18" s="6">
        <v>0</v>
      </c>
      <c r="AZ18" s="6">
        <v>0</v>
      </c>
      <c r="BA18" s="28">
        <v>0</v>
      </c>
      <c r="BB18" s="110"/>
    </row>
    <row r="19" spans="1:54" x14ac:dyDescent="0.3">
      <c r="A19" s="25" t="s">
        <v>116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560</v>
      </c>
      <c r="X19" s="6">
        <v>600</v>
      </c>
      <c r="Y19" s="6">
        <v>600</v>
      </c>
      <c r="Z19" s="6">
        <v>600</v>
      </c>
      <c r="AA19" s="6">
        <v>600</v>
      </c>
      <c r="AB19" s="6">
        <v>600</v>
      </c>
      <c r="AC19" s="6">
        <v>600</v>
      </c>
      <c r="AD19" s="6">
        <v>600</v>
      </c>
      <c r="AE19" s="6">
        <v>600</v>
      </c>
      <c r="AF19" s="6">
        <v>600</v>
      </c>
      <c r="AG19" s="6">
        <v>600</v>
      </c>
      <c r="AH19" s="6">
        <v>600</v>
      </c>
      <c r="AI19" s="6">
        <v>600</v>
      </c>
      <c r="AJ19" s="6">
        <v>300</v>
      </c>
      <c r="AK19" s="6">
        <v>0</v>
      </c>
      <c r="AL19" s="6">
        <v>0</v>
      </c>
      <c r="AM19" s="6">
        <v>0</v>
      </c>
      <c r="AN19" s="6">
        <v>0</v>
      </c>
      <c r="AO19" s="6">
        <v>0</v>
      </c>
      <c r="AP19" s="6">
        <v>0</v>
      </c>
      <c r="AQ19" s="6">
        <v>0</v>
      </c>
      <c r="AR19" s="6">
        <v>0</v>
      </c>
      <c r="AS19" s="6">
        <v>0</v>
      </c>
      <c r="AT19" s="6">
        <v>0</v>
      </c>
      <c r="AU19" s="6">
        <v>0</v>
      </c>
      <c r="AV19" s="6">
        <v>0</v>
      </c>
      <c r="AW19" s="6">
        <v>0</v>
      </c>
      <c r="AX19" s="6">
        <v>0</v>
      </c>
      <c r="AY19" s="6">
        <v>0</v>
      </c>
      <c r="AZ19" s="6">
        <v>0</v>
      </c>
      <c r="BA19" s="28">
        <v>0</v>
      </c>
      <c r="BB19" s="110"/>
    </row>
    <row r="20" spans="1:54" x14ac:dyDescent="0.3">
      <c r="A20" s="25" t="s">
        <v>117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280</v>
      </c>
      <c r="O20" s="6">
        <v>650</v>
      </c>
      <c r="P20" s="6">
        <v>650</v>
      </c>
      <c r="Q20" s="6">
        <v>650</v>
      </c>
      <c r="R20" s="6">
        <v>650</v>
      </c>
      <c r="S20" s="6">
        <v>650</v>
      </c>
      <c r="T20" s="6">
        <v>650</v>
      </c>
      <c r="U20" s="6">
        <v>130</v>
      </c>
      <c r="V20" s="6">
        <v>0</v>
      </c>
      <c r="W20" s="6">
        <v>0</v>
      </c>
      <c r="X20" s="6">
        <v>0</v>
      </c>
      <c r="Y20" s="6">
        <v>0</v>
      </c>
      <c r="Z20" s="6">
        <v>0</v>
      </c>
      <c r="AA20" s="6">
        <v>0</v>
      </c>
      <c r="AB20" s="6">
        <v>0</v>
      </c>
      <c r="AC20" s="6">
        <v>0</v>
      </c>
      <c r="AD20" s="6">
        <v>0</v>
      </c>
      <c r="AE20" s="6">
        <v>0</v>
      </c>
      <c r="AF20" s="6">
        <v>0</v>
      </c>
      <c r="AG20" s="6">
        <v>0</v>
      </c>
      <c r="AH20" s="6">
        <v>0</v>
      </c>
      <c r="AI20" s="6">
        <v>0</v>
      </c>
      <c r="AJ20" s="6">
        <v>0</v>
      </c>
      <c r="AK20" s="6">
        <v>0</v>
      </c>
      <c r="AL20" s="6">
        <v>0</v>
      </c>
      <c r="AM20" s="6">
        <v>0</v>
      </c>
      <c r="AN20" s="6">
        <v>0</v>
      </c>
      <c r="AO20" s="6">
        <v>0</v>
      </c>
      <c r="AP20" s="6">
        <v>0</v>
      </c>
      <c r="AQ20" s="6">
        <v>0</v>
      </c>
      <c r="AR20" s="6">
        <v>0</v>
      </c>
      <c r="AS20" s="6">
        <v>0</v>
      </c>
      <c r="AT20" s="6">
        <v>0</v>
      </c>
      <c r="AU20" s="6">
        <v>0</v>
      </c>
      <c r="AV20" s="6">
        <v>0</v>
      </c>
      <c r="AW20" s="6">
        <v>0</v>
      </c>
      <c r="AX20" s="6">
        <v>0</v>
      </c>
      <c r="AY20" s="6">
        <v>0</v>
      </c>
      <c r="AZ20" s="6">
        <v>0</v>
      </c>
      <c r="BA20" s="28">
        <v>0</v>
      </c>
    </row>
    <row r="21" spans="1:54" ht="16.2" thickBot="1" x14ac:dyDescent="0.35">
      <c r="A21" s="26" t="s">
        <v>118</v>
      </c>
      <c r="B21" s="7">
        <v>0</v>
      </c>
      <c r="C21" s="7">
        <v>0</v>
      </c>
      <c r="D21" s="7">
        <v>0</v>
      </c>
      <c r="E21" s="7">
        <v>0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">
        <v>0</v>
      </c>
      <c r="Z21" s="7">
        <v>0</v>
      </c>
      <c r="AA21" s="7">
        <v>0</v>
      </c>
      <c r="AB21" s="7">
        <v>0</v>
      </c>
      <c r="AC21" s="7">
        <v>0</v>
      </c>
      <c r="AD21" s="7">
        <v>0</v>
      </c>
      <c r="AE21" s="7">
        <v>0</v>
      </c>
      <c r="AF21" s="7">
        <v>0</v>
      </c>
      <c r="AG21" s="7">
        <v>0</v>
      </c>
      <c r="AH21" s="7">
        <v>0</v>
      </c>
      <c r="AI21" s="7">
        <v>0</v>
      </c>
      <c r="AJ21" s="7">
        <v>0</v>
      </c>
      <c r="AK21" s="7">
        <v>150</v>
      </c>
      <c r="AL21" s="7">
        <v>640</v>
      </c>
      <c r="AM21" s="7">
        <v>640</v>
      </c>
      <c r="AN21" s="7">
        <v>640</v>
      </c>
      <c r="AO21" s="7">
        <v>640</v>
      </c>
      <c r="AP21" s="7">
        <v>640</v>
      </c>
      <c r="AQ21" s="7">
        <v>640</v>
      </c>
      <c r="AR21" s="7">
        <v>640</v>
      </c>
      <c r="AS21" s="7">
        <v>640</v>
      </c>
      <c r="AT21" s="7">
        <v>640</v>
      </c>
      <c r="AU21" s="7">
        <v>640</v>
      </c>
      <c r="AV21" s="7">
        <v>640</v>
      </c>
      <c r="AW21" s="7">
        <v>640</v>
      </c>
      <c r="AX21" s="7">
        <v>640</v>
      </c>
      <c r="AY21" s="7">
        <v>640</v>
      </c>
      <c r="AZ21" s="7">
        <v>320</v>
      </c>
      <c r="BA21" s="8">
        <v>160</v>
      </c>
    </row>
    <row r="22" spans="1:54" x14ac:dyDescent="0.3">
      <c r="B22" s="71"/>
    </row>
    <row r="23" spans="1:54" x14ac:dyDescent="0.3">
      <c r="B23" s="71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20112-2123-4F65-86B0-35213ED82359}">
  <sheetPr>
    <tabColor rgb="FFD9C6FE"/>
  </sheetPr>
  <dimension ref="A1:AN56"/>
  <sheetViews>
    <sheetView zoomScale="70" zoomScaleNormal="70" workbookViewId="0">
      <selection activeCell="A58" sqref="A58"/>
    </sheetView>
  </sheetViews>
  <sheetFormatPr defaultColWidth="9.33203125" defaultRowHeight="15.6" x14ac:dyDescent="0.3"/>
  <cols>
    <col min="1" max="1" width="9.33203125" style="1"/>
    <col min="2" max="5" width="11.109375" style="1" bestFit="1" customWidth="1"/>
    <col min="6" max="33" width="9.33203125" style="1"/>
    <col min="34" max="37" width="11.109375" style="1" bestFit="1" customWidth="1"/>
    <col min="38" max="16384" width="9.33203125" style="1"/>
  </cols>
  <sheetData>
    <row r="1" spans="1:40" ht="16.2" thickBot="1" x14ac:dyDescent="0.35">
      <c r="A1" s="1" t="str">
        <f>_xlfn.CONCAT( "Table of Initial Pipeline Capacity between Sites  [",VLOOKUP("volume", Units!$A$2:$B$11, 2, FALSE),"/", VLOOKUP("time", Units!$A$2:$B$11, 2, FALSE),"]")</f>
        <v>Table of Initial Pipeline Capacity between Sites  [bbl/week]</v>
      </c>
    </row>
    <row r="2" spans="1:40" x14ac:dyDescent="0.3">
      <c r="A2" s="3" t="s">
        <v>205</v>
      </c>
      <c r="B2" s="4" t="s">
        <v>5</v>
      </c>
      <c r="C2" s="4" t="s">
        <v>116</v>
      </c>
      <c r="D2" s="4" t="s">
        <v>117</v>
      </c>
      <c r="E2" s="74" t="s">
        <v>118</v>
      </c>
      <c r="F2" s="4" t="s">
        <v>128</v>
      </c>
      <c r="G2" s="4" t="s">
        <v>80</v>
      </c>
      <c r="H2" s="4" t="s">
        <v>81</v>
      </c>
      <c r="I2" s="4" t="s">
        <v>82</v>
      </c>
      <c r="J2" s="4" t="s">
        <v>83</v>
      </c>
      <c r="K2" s="4" t="s">
        <v>84</v>
      </c>
      <c r="L2" s="4" t="s">
        <v>85</v>
      </c>
      <c r="M2" s="4" t="s">
        <v>86</v>
      </c>
      <c r="N2" s="4" t="s">
        <v>129</v>
      </c>
      <c r="O2" s="4" t="s">
        <v>130</v>
      </c>
      <c r="P2" s="4" t="s">
        <v>131</v>
      </c>
      <c r="Q2" s="4" t="s">
        <v>132</v>
      </c>
      <c r="R2" s="4" t="s">
        <v>133</v>
      </c>
      <c r="S2" s="4" t="s">
        <v>134</v>
      </c>
      <c r="T2" s="4" t="s">
        <v>135</v>
      </c>
      <c r="U2" s="4" t="s">
        <v>136</v>
      </c>
      <c r="V2" s="4" t="s">
        <v>137</v>
      </c>
      <c r="W2" s="4" t="s">
        <v>138</v>
      </c>
      <c r="X2" s="4" t="s">
        <v>139</v>
      </c>
      <c r="Y2" s="4" t="s">
        <v>140</v>
      </c>
      <c r="Z2" s="4" t="s">
        <v>141</v>
      </c>
      <c r="AA2" s="4" t="s">
        <v>142</v>
      </c>
      <c r="AB2" s="4" t="s">
        <v>143</v>
      </c>
      <c r="AC2" s="4" t="s">
        <v>144</v>
      </c>
      <c r="AD2" s="4" t="s">
        <v>145</v>
      </c>
      <c r="AE2" s="4" t="s">
        <v>146</v>
      </c>
      <c r="AF2" s="4" t="s">
        <v>147</v>
      </c>
      <c r="AG2" s="74" t="s">
        <v>148</v>
      </c>
      <c r="AH2" s="4" t="s">
        <v>79</v>
      </c>
      <c r="AI2" s="74" t="s">
        <v>127</v>
      </c>
      <c r="AJ2" s="4" t="s">
        <v>78</v>
      </c>
      <c r="AK2" s="74" t="s">
        <v>281</v>
      </c>
      <c r="AL2" s="4" t="s">
        <v>120</v>
      </c>
      <c r="AM2" s="4" t="s">
        <v>51</v>
      </c>
      <c r="AN2" s="24" t="s">
        <v>119</v>
      </c>
    </row>
    <row r="3" spans="1:40" x14ac:dyDescent="0.3">
      <c r="A3" s="25" t="s">
        <v>5</v>
      </c>
      <c r="B3" s="33"/>
      <c r="C3" s="33"/>
      <c r="D3" s="33"/>
      <c r="E3" s="96"/>
      <c r="F3" s="6"/>
      <c r="G3" s="33"/>
      <c r="H3" s="33">
        <v>300000</v>
      </c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96"/>
      <c r="AH3" s="33"/>
      <c r="AI3" s="96"/>
      <c r="AJ3" s="33"/>
      <c r="AK3" s="96"/>
      <c r="AL3" s="33"/>
      <c r="AM3" s="33"/>
      <c r="AN3" s="34"/>
    </row>
    <row r="4" spans="1:40" x14ac:dyDescent="0.3">
      <c r="A4" s="25" t="s">
        <v>116</v>
      </c>
      <c r="B4" s="33"/>
      <c r="C4" s="33"/>
      <c r="D4" s="33"/>
      <c r="E4" s="96"/>
      <c r="F4" s="6"/>
      <c r="G4" s="33"/>
      <c r="H4" s="33"/>
      <c r="I4" s="33"/>
      <c r="J4" s="33"/>
      <c r="K4" s="33"/>
      <c r="L4" s="33"/>
      <c r="M4" s="33"/>
      <c r="N4" s="33"/>
      <c r="O4" s="33">
        <v>100000</v>
      </c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96"/>
      <c r="AH4" s="33"/>
      <c r="AI4" s="96"/>
      <c r="AJ4" s="33"/>
      <c r="AK4" s="96"/>
      <c r="AL4" s="33"/>
      <c r="AM4" s="33"/>
      <c r="AN4" s="34"/>
    </row>
    <row r="5" spans="1:40" x14ac:dyDescent="0.3">
      <c r="A5" s="25" t="s">
        <v>117</v>
      </c>
      <c r="B5" s="33"/>
      <c r="C5" s="33"/>
      <c r="D5" s="33"/>
      <c r="E5" s="96"/>
      <c r="F5" s="6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>
        <v>150000</v>
      </c>
      <c r="W5" s="33"/>
      <c r="X5" s="33"/>
      <c r="Y5" s="33"/>
      <c r="Z5" s="33"/>
      <c r="AA5" s="33"/>
      <c r="AB5" s="33"/>
      <c r="AC5" s="33"/>
      <c r="AD5" s="33"/>
      <c r="AE5" s="33"/>
      <c r="AF5" s="33"/>
      <c r="AG5" s="96"/>
      <c r="AH5" s="33"/>
      <c r="AI5" s="96"/>
      <c r="AJ5" s="33"/>
      <c r="AK5" s="96"/>
      <c r="AL5" s="33"/>
      <c r="AM5" s="33"/>
      <c r="AN5" s="34"/>
    </row>
    <row r="6" spans="1:40" x14ac:dyDescent="0.3">
      <c r="A6" s="41" t="s">
        <v>118</v>
      </c>
      <c r="B6" s="95"/>
      <c r="C6" s="95"/>
      <c r="D6" s="95"/>
      <c r="E6" s="97"/>
      <c r="F6" s="91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5"/>
      <c r="U6" s="95"/>
      <c r="V6" s="95"/>
      <c r="W6" s="95"/>
      <c r="X6" s="95"/>
      <c r="Y6" s="95"/>
      <c r="Z6" s="95"/>
      <c r="AA6" s="95"/>
      <c r="AB6" s="95"/>
      <c r="AC6" s="95"/>
      <c r="AD6" s="95"/>
      <c r="AE6" s="95"/>
      <c r="AF6" s="95"/>
      <c r="AG6" s="97"/>
      <c r="AH6" s="95"/>
      <c r="AI6" s="97"/>
      <c r="AJ6" s="95"/>
      <c r="AK6" s="97"/>
      <c r="AL6" s="95"/>
      <c r="AM6" s="95"/>
      <c r="AN6" s="42"/>
    </row>
    <row r="7" spans="1:40" x14ac:dyDescent="0.3">
      <c r="A7" s="25" t="s">
        <v>128</v>
      </c>
      <c r="B7" s="33"/>
      <c r="C7" s="33"/>
      <c r="D7" s="33"/>
      <c r="E7" s="96"/>
      <c r="F7" s="6"/>
      <c r="G7" s="33">
        <v>50000</v>
      </c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  <c r="AG7" s="96"/>
      <c r="AH7" s="33"/>
      <c r="AI7" s="96"/>
      <c r="AJ7" s="33"/>
      <c r="AK7" s="96"/>
      <c r="AL7" s="33">
        <v>100000</v>
      </c>
      <c r="AM7" s="33"/>
      <c r="AN7" s="34"/>
    </row>
    <row r="8" spans="1:40" x14ac:dyDescent="0.3">
      <c r="A8" s="25" t="s">
        <v>80</v>
      </c>
      <c r="B8" s="33"/>
      <c r="C8" s="33"/>
      <c r="D8" s="33"/>
      <c r="E8" s="96"/>
      <c r="F8" s="33"/>
      <c r="G8" s="33"/>
      <c r="H8" s="33">
        <v>300000</v>
      </c>
      <c r="I8" s="33"/>
      <c r="J8" s="33">
        <v>300000</v>
      </c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96"/>
      <c r="AH8" s="33"/>
      <c r="AI8" s="96"/>
      <c r="AJ8" s="33"/>
      <c r="AK8" s="96"/>
      <c r="AL8" s="33"/>
      <c r="AM8" s="33"/>
      <c r="AN8" s="34"/>
    </row>
    <row r="9" spans="1:40" x14ac:dyDescent="0.3">
      <c r="A9" s="25" t="s">
        <v>81</v>
      </c>
      <c r="B9" s="33"/>
      <c r="C9" s="33"/>
      <c r="D9" s="33"/>
      <c r="E9" s="96"/>
      <c r="F9" s="6"/>
      <c r="G9" s="33"/>
      <c r="H9" s="33"/>
      <c r="I9" s="33">
        <v>300000</v>
      </c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96"/>
      <c r="AH9" s="33"/>
      <c r="AI9" s="96"/>
      <c r="AJ9" s="33"/>
      <c r="AK9" s="96"/>
      <c r="AL9" s="33"/>
      <c r="AM9" s="33"/>
      <c r="AN9" s="34"/>
    </row>
    <row r="10" spans="1:40" x14ac:dyDescent="0.3">
      <c r="A10" s="25" t="s">
        <v>82</v>
      </c>
      <c r="B10" s="33"/>
      <c r="C10" s="33"/>
      <c r="D10" s="33"/>
      <c r="E10" s="96"/>
      <c r="F10" s="6"/>
      <c r="G10" s="33"/>
      <c r="H10" s="33"/>
      <c r="I10" s="33"/>
      <c r="J10" s="33"/>
      <c r="K10" s="33">
        <v>300000</v>
      </c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96"/>
      <c r="AH10" s="33"/>
      <c r="AI10" s="96"/>
      <c r="AJ10" s="33"/>
      <c r="AK10" s="96"/>
      <c r="AL10" s="33"/>
      <c r="AM10" s="33">
        <v>300000</v>
      </c>
      <c r="AN10" s="34"/>
    </row>
    <row r="11" spans="1:40" x14ac:dyDescent="0.3">
      <c r="A11" s="25" t="s">
        <v>83</v>
      </c>
      <c r="B11" s="33"/>
      <c r="C11" s="33"/>
      <c r="D11" s="33"/>
      <c r="E11" s="96"/>
      <c r="F11" s="6"/>
      <c r="G11" s="33"/>
      <c r="H11" s="33"/>
      <c r="I11" s="33"/>
      <c r="J11" s="33"/>
      <c r="K11" s="33"/>
      <c r="L11" s="33"/>
      <c r="M11" s="33">
        <v>300000</v>
      </c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96"/>
      <c r="AH11" s="33"/>
      <c r="AI11" s="96"/>
      <c r="AJ11" s="33"/>
      <c r="AK11" s="96"/>
      <c r="AL11" s="33"/>
      <c r="AM11" s="33"/>
      <c r="AN11" s="34"/>
    </row>
    <row r="12" spans="1:40" x14ac:dyDescent="0.3">
      <c r="A12" s="25" t="s">
        <v>84</v>
      </c>
      <c r="B12" s="33"/>
      <c r="C12" s="33"/>
      <c r="D12" s="33"/>
      <c r="E12" s="96"/>
      <c r="F12" s="6"/>
      <c r="G12" s="33"/>
      <c r="H12" s="33"/>
      <c r="I12" s="33"/>
      <c r="J12" s="33"/>
      <c r="K12" s="33"/>
      <c r="L12" s="33">
        <v>300000</v>
      </c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96"/>
      <c r="AH12" s="33"/>
      <c r="AI12" s="96"/>
      <c r="AJ12" s="33"/>
      <c r="AK12" s="96"/>
      <c r="AL12" s="33"/>
      <c r="AM12" s="33"/>
      <c r="AN12" s="34"/>
    </row>
    <row r="13" spans="1:40" x14ac:dyDescent="0.3">
      <c r="A13" s="25" t="s">
        <v>85</v>
      </c>
      <c r="B13" s="33"/>
      <c r="C13" s="33"/>
      <c r="D13" s="33"/>
      <c r="E13" s="96"/>
      <c r="F13" s="6"/>
      <c r="G13" s="33"/>
      <c r="H13" s="33"/>
      <c r="I13" s="33"/>
      <c r="J13" s="33"/>
      <c r="K13" s="33"/>
      <c r="L13" s="33"/>
      <c r="M13" s="33">
        <v>300000</v>
      </c>
      <c r="N13" s="33">
        <v>250000</v>
      </c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  <c r="AG13" s="96"/>
      <c r="AH13" s="33"/>
      <c r="AI13" s="96"/>
      <c r="AJ13" s="33"/>
      <c r="AK13" s="96"/>
      <c r="AL13" s="33"/>
      <c r="AM13" s="33"/>
      <c r="AN13" s="34"/>
    </row>
    <row r="14" spans="1:40" x14ac:dyDescent="0.3">
      <c r="A14" s="25" t="s">
        <v>86</v>
      </c>
      <c r="B14" s="33"/>
      <c r="C14" s="33"/>
      <c r="D14" s="33"/>
      <c r="E14" s="96"/>
      <c r="F14" s="6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96"/>
      <c r="AH14" s="33">
        <v>500000</v>
      </c>
      <c r="AI14" s="96"/>
      <c r="AJ14" s="33"/>
      <c r="AK14" s="96"/>
      <c r="AL14" s="33"/>
      <c r="AM14" s="33"/>
      <c r="AN14" s="34"/>
    </row>
    <row r="15" spans="1:40" x14ac:dyDescent="0.3">
      <c r="A15" s="25" t="s">
        <v>129</v>
      </c>
      <c r="B15" s="33"/>
      <c r="C15" s="33"/>
      <c r="D15" s="33"/>
      <c r="E15" s="96"/>
      <c r="F15" s="6"/>
      <c r="G15" s="33"/>
      <c r="H15" s="33"/>
      <c r="I15" s="33"/>
      <c r="J15" s="33"/>
      <c r="K15" s="33"/>
      <c r="L15" s="33"/>
      <c r="M15" s="33"/>
      <c r="N15" s="33"/>
      <c r="O15" s="33">
        <v>200000</v>
      </c>
      <c r="P15" s="33">
        <v>50000</v>
      </c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96"/>
      <c r="AH15" s="33"/>
      <c r="AI15" s="96"/>
      <c r="AJ15" s="33"/>
      <c r="AK15" s="96"/>
      <c r="AL15" s="33"/>
      <c r="AM15" s="33"/>
      <c r="AN15" s="34"/>
    </row>
    <row r="16" spans="1:40" x14ac:dyDescent="0.3">
      <c r="A16" s="25" t="s">
        <v>130</v>
      </c>
      <c r="B16" s="33"/>
      <c r="C16" s="33"/>
      <c r="D16" s="33"/>
      <c r="E16" s="96"/>
      <c r="F16" s="6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96"/>
      <c r="AH16" s="33"/>
      <c r="AI16" s="96"/>
      <c r="AJ16" s="33"/>
      <c r="AK16" s="96"/>
      <c r="AL16" s="33"/>
      <c r="AM16" s="33"/>
      <c r="AN16" s="34"/>
    </row>
    <row r="17" spans="1:40" x14ac:dyDescent="0.3">
      <c r="A17" s="25" t="s">
        <v>131</v>
      </c>
      <c r="B17" s="33"/>
      <c r="C17" s="33"/>
      <c r="D17" s="33"/>
      <c r="E17" s="96"/>
      <c r="F17" s="6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>
        <v>50000</v>
      </c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96"/>
      <c r="AH17" s="33"/>
      <c r="AI17" s="96"/>
      <c r="AJ17" s="33"/>
      <c r="AK17" s="96"/>
      <c r="AL17" s="33"/>
      <c r="AM17" s="33"/>
      <c r="AN17" s="34"/>
    </row>
    <row r="18" spans="1:40" x14ac:dyDescent="0.3">
      <c r="A18" s="25" t="s">
        <v>132</v>
      </c>
      <c r="B18" s="33"/>
      <c r="C18" s="33"/>
      <c r="D18" s="33"/>
      <c r="E18" s="96"/>
      <c r="F18" s="6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>
        <v>150000</v>
      </c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96"/>
      <c r="AH18" s="33"/>
      <c r="AI18" s="96"/>
      <c r="AJ18" s="33"/>
      <c r="AK18" s="96"/>
      <c r="AL18" s="33"/>
      <c r="AM18" s="33"/>
      <c r="AN18" s="34"/>
    </row>
    <row r="19" spans="1:40" x14ac:dyDescent="0.3">
      <c r="A19" s="25" t="s">
        <v>133</v>
      </c>
      <c r="B19" s="33"/>
      <c r="C19" s="33"/>
      <c r="D19" s="33"/>
      <c r="E19" s="96"/>
      <c r="F19" s="6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>
        <v>50000</v>
      </c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96"/>
      <c r="AH19" s="33"/>
      <c r="AI19" s="96"/>
      <c r="AJ19" s="33"/>
      <c r="AK19" s="96"/>
      <c r="AL19" s="33"/>
      <c r="AM19" s="33"/>
      <c r="AN19" s="34"/>
    </row>
    <row r="20" spans="1:40" x14ac:dyDescent="0.3">
      <c r="A20" s="25" t="s">
        <v>134</v>
      </c>
      <c r="B20" s="33"/>
      <c r="C20" s="33"/>
      <c r="D20" s="33"/>
      <c r="E20" s="96"/>
      <c r="F20" s="6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96">
        <v>200000</v>
      </c>
      <c r="AH20" s="33"/>
      <c r="AI20" s="96"/>
      <c r="AJ20" s="33"/>
      <c r="AK20" s="96"/>
      <c r="AL20" s="33"/>
      <c r="AM20" s="33"/>
      <c r="AN20" s="34"/>
    </row>
    <row r="21" spans="1:40" x14ac:dyDescent="0.3">
      <c r="A21" s="25" t="s">
        <v>135</v>
      </c>
      <c r="B21" s="33"/>
      <c r="C21" s="33"/>
      <c r="D21" s="33"/>
      <c r="E21" s="96"/>
      <c r="F21" s="6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>
        <v>300000</v>
      </c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96">
        <v>300000</v>
      </c>
      <c r="AH21" s="33"/>
      <c r="AI21" s="96"/>
      <c r="AJ21" s="33"/>
      <c r="AK21" s="96"/>
      <c r="AL21" s="33"/>
      <c r="AM21" s="33"/>
      <c r="AN21" s="34"/>
    </row>
    <row r="22" spans="1:40" x14ac:dyDescent="0.3">
      <c r="A22" s="25" t="s">
        <v>136</v>
      </c>
      <c r="B22" s="33"/>
      <c r="C22" s="33"/>
      <c r="D22" s="33"/>
      <c r="E22" s="96"/>
      <c r="F22" s="6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>
        <v>50000</v>
      </c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96"/>
      <c r="AH22" s="33"/>
      <c r="AI22" s="96"/>
      <c r="AJ22" s="33"/>
      <c r="AK22" s="96"/>
      <c r="AL22" s="33"/>
      <c r="AM22" s="33"/>
      <c r="AN22" s="34"/>
    </row>
    <row r="23" spans="1:40" x14ac:dyDescent="0.3">
      <c r="A23" s="25" t="s">
        <v>137</v>
      </c>
      <c r="B23" s="33"/>
      <c r="C23" s="33"/>
      <c r="D23" s="33"/>
      <c r="E23" s="96"/>
      <c r="F23" s="6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96"/>
      <c r="AH23" s="33"/>
      <c r="AI23" s="96"/>
      <c r="AJ23" s="33"/>
      <c r="AK23" s="96"/>
      <c r="AL23" s="33"/>
      <c r="AM23" s="33"/>
      <c r="AN23" s="34">
        <v>100000</v>
      </c>
    </row>
    <row r="24" spans="1:40" x14ac:dyDescent="0.3">
      <c r="A24" s="25" t="s">
        <v>138</v>
      </c>
      <c r="B24" s="33"/>
      <c r="C24" s="33"/>
      <c r="D24" s="33"/>
      <c r="E24" s="96"/>
      <c r="F24" s="6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>
        <v>300000</v>
      </c>
      <c r="Y24" s="33"/>
      <c r="Z24" s="33"/>
      <c r="AA24" s="33"/>
      <c r="AB24" s="33"/>
      <c r="AC24" s="33"/>
      <c r="AD24" s="33"/>
      <c r="AE24" s="33"/>
      <c r="AF24" s="33"/>
      <c r="AG24" s="96"/>
      <c r="AH24" s="33"/>
      <c r="AI24" s="96"/>
      <c r="AJ24" s="33"/>
      <c r="AK24" s="96"/>
      <c r="AL24" s="33"/>
      <c r="AM24" s="33"/>
      <c r="AN24" s="34">
        <v>300000</v>
      </c>
    </row>
    <row r="25" spans="1:40" x14ac:dyDescent="0.3">
      <c r="A25" s="25" t="s">
        <v>139</v>
      </c>
      <c r="B25" s="33"/>
      <c r="C25" s="33"/>
      <c r="D25" s="33"/>
      <c r="E25" s="96"/>
      <c r="F25" s="6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>
        <v>300000</v>
      </c>
      <c r="AB25" s="33"/>
      <c r="AC25" s="33"/>
      <c r="AD25" s="33"/>
      <c r="AE25" s="33"/>
      <c r="AF25" s="33"/>
      <c r="AG25" s="96"/>
      <c r="AH25" s="33"/>
      <c r="AI25" s="96"/>
      <c r="AJ25" s="33"/>
      <c r="AK25" s="96"/>
      <c r="AL25" s="33"/>
      <c r="AM25" s="33"/>
      <c r="AN25" s="34"/>
    </row>
    <row r="26" spans="1:40" x14ac:dyDescent="0.3">
      <c r="A26" s="25" t="s">
        <v>140</v>
      </c>
      <c r="B26" s="33"/>
      <c r="C26" s="33"/>
      <c r="D26" s="33"/>
      <c r="E26" s="96"/>
      <c r="F26" s="6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>
        <v>300000</v>
      </c>
      <c r="AA26" s="33"/>
      <c r="AB26" s="33"/>
      <c r="AC26" s="33"/>
      <c r="AD26" s="33"/>
      <c r="AE26" s="33"/>
      <c r="AF26" s="33"/>
      <c r="AG26" s="96">
        <v>300000</v>
      </c>
      <c r="AH26" s="33"/>
      <c r="AI26" s="96">
        <v>500000</v>
      </c>
      <c r="AJ26" s="33"/>
      <c r="AK26" s="96"/>
      <c r="AL26" s="33"/>
      <c r="AM26" s="33"/>
      <c r="AN26" s="34"/>
    </row>
    <row r="27" spans="1:40" x14ac:dyDescent="0.3">
      <c r="A27" s="25" t="s">
        <v>141</v>
      </c>
      <c r="B27" s="33"/>
      <c r="C27" s="33"/>
      <c r="D27" s="33"/>
      <c r="E27" s="96"/>
      <c r="F27" s="6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>
        <v>300000</v>
      </c>
      <c r="AB27" s="33"/>
      <c r="AC27" s="33"/>
      <c r="AD27" s="33"/>
      <c r="AE27" s="33"/>
      <c r="AF27" s="33"/>
      <c r="AG27" s="96"/>
      <c r="AH27" s="33"/>
      <c r="AI27" s="96"/>
      <c r="AJ27" s="33"/>
      <c r="AK27" s="96"/>
      <c r="AL27" s="33"/>
      <c r="AM27" s="33"/>
      <c r="AN27" s="34"/>
    </row>
    <row r="28" spans="1:40" x14ac:dyDescent="0.3">
      <c r="A28" s="25" t="s">
        <v>142</v>
      </c>
      <c r="B28" s="33"/>
      <c r="C28" s="33"/>
      <c r="D28" s="33"/>
      <c r="E28" s="96"/>
      <c r="F28" s="6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>
        <v>100000</v>
      </c>
      <c r="AC28" s="33"/>
      <c r="AD28" s="33"/>
      <c r="AE28" s="33"/>
      <c r="AF28" s="33"/>
      <c r="AG28" s="96"/>
      <c r="AH28" s="33"/>
      <c r="AI28" s="96"/>
      <c r="AJ28" s="33"/>
      <c r="AK28" s="96"/>
      <c r="AL28" s="33"/>
      <c r="AM28" s="33"/>
      <c r="AN28" s="34"/>
    </row>
    <row r="29" spans="1:40" x14ac:dyDescent="0.3">
      <c r="A29" s="25" t="s">
        <v>143</v>
      </c>
      <c r="B29" s="33"/>
      <c r="C29" s="33"/>
      <c r="D29" s="33"/>
      <c r="E29" s="96"/>
      <c r="F29" s="6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>
        <v>100000</v>
      </c>
      <c r="AD29" s="33"/>
      <c r="AE29" s="33"/>
      <c r="AF29" s="33"/>
      <c r="AG29" s="96"/>
      <c r="AH29" s="33"/>
      <c r="AI29" s="96"/>
      <c r="AJ29" s="33"/>
      <c r="AK29" s="96"/>
      <c r="AL29" s="33"/>
      <c r="AM29" s="33"/>
      <c r="AN29" s="34"/>
    </row>
    <row r="30" spans="1:40" x14ac:dyDescent="0.3">
      <c r="A30" s="25" t="s">
        <v>144</v>
      </c>
      <c r="B30" s="33"/>
      <c r="C30" s="33"/>
      <c r="D30" s="33"/>
      <c r="E30" s="96"/>
      <c r="F30" s="6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>
        <v>100000</v>
      </c>
      <c r="AE30" s="33"/>
      <c r="AF30" s="33"/>
      <c r="AG30" s="96"/>
      <c r="AH30" s="33"/>
      <c r="AI30" s="96"/>
      <c r="AJ30" s="33"/>
      <c r="AK30" s="96"/>
      <c r="AL30" s="33"/>
      <c r="AM30" s="33"/>
      <c r="AN30" s="34"/>
    </row>
    <row r="31" spans="1:40" x14ac:dyDescent="0.3">
      <c r="A31" s="25" t="s">
        <v>145</v>
      </c>
      <c r="B31" s="33"/>
      <c r="C31" s="33"/>
      <c r="D31" s="33"/>
      <c r="E31" s="96"/>
      <c r="F31" s="6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>
        <v>50000</v>
      </c>
      <c r="AF31" s="33"/>
      <c r="AG31" s="96"/>
      <c r="AH31" s="33"/>
      <c r="AI31" s="96"/>
      <c r="AJ31" s="33"/>
      <c r="AK31" s="96"/>
      <c r="AL31" s="33"/>
      <c r="AM31" s="33"/>
      <c r="AN31" s="34"/>
    </row>
    <row r="32" spans="1:40" x14ac:dyDescent="0.3">
      <c r="A32" s="25" t="s">
        <v>146</v>
      </c>
      <c r="B32" s="33"/>
      <c r="C32" s="33"/>
      <c r="D32" s="33"/>
      <c r="E32" s="96"/>
      <c r="F32" s="6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>
        <v>50000</v>
      </c>
      <c r="AG32" s="96"/>
      <c r="AH32" s="33"/>
      <c r="AI32" s="96"/>
      <c r="AJ32" s="33"/>
      <c r="AK32" s="96"/>
      <c r="AL32" s="33"/>
      <c r="AM32" s="33"/>
      <c r="AN32" s="34"/>
    </row>
    <row r="33" spans="1:40" x14ac:dyDescent="0.3">
      <c r="A33" s="25" t="s">
        <v>147</v>
      </c>
      <c r="B33" s="33"/>
      <c r="C33" s="33"/>
      <c r="D33" s="33"/>
      <c r="E33" s="96"/>
      <c r="F33" s="6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96"/>
      <c r="AH33" s="33"/>
      <c r="AI33" s="96"/>
      <c r="AJ33" s="33"/>
      <c r="AK33" s="96"/>
      <c r="AL33" s="33"/>
      <c r="AM33" s="33"/>
      <c r="AN33" s="34"/>
    </row>
    <row r="34" spans="1:40" x14ac:dyDescent="0.3">
      <c r="A34" s="41" t="s">
        <v>148</v>
      </c>
      <c r="B34" s="95"/>
      <c r="C34" s="95"/>
      <c r="D34" s="95"/>
      <c r="E34" s="97"/>
      <c r="F34" s="91"/>
      <c r="G34" s="95"/>
      <c r="H34" s="95"/>
      <c r="I34" s="95"/>
      <c r="J34" s="95"/>
      <c r="K34" s="95"/>
      <c r="L34" s="95"/>
      <c r="M34" s="95"/>
      <c r="N34" s="95"/>
      <c r="O34" s="95"/>
      <c r="P34" s="95"/>
      <c r="Q34" s="95"/>
      <c r="R34" s="95"/>
      <c r="S34" s="95"/>
      <c r="T34" s="95"/>
      <c r="U34" s="95"/>
      <c r="V34" s="95"/>
      <c r="W34" s="95"/>
      <c r="X34" s="95"/>
      <c r="Y34" s="95"/>
      <c r="Z34" s="95"/>
      <c r="AA34" s="95"/>
      <c r="AB34" s="95"/>
      <c r="AC34" s="95"/>
      <c r="AD34" s="95"/>
      <c r="AE34" s="95"/>
      <c r="AF34" s="95"/>
      <c r="AG34" s="97"/>
      <c r="AH34" s="95"/>
      <c r="AI34" s="97"/>
      <c r="AJ34" s="95"/>
      <c r="AK34" s="97"/>
      <c r="AL34" s="95"/>
      <c r="AM34" s="95"/>
      <c r="AN34" s="42"/>
    </row>
    <row r="35" spans="1:40" x14ac:dyDescent="0.3">
      <c r="A35" s="25" t="s">
        <v>79</v>
      </c>
      <c r="B35" s="33"/>
      <c r="C35" s="33"/>
      <c r="D35" s="33"/>
      <c r="E35" s="96"/>
      <c r="F35" s="6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96"/>
      <c r="AH35" s="33"/>
      <c r="AI35" s="96"/>
      <c r="AJ35" s="33">
        <v>300000</v>
      </c>
      <c r="AK35" s="96"/>
      <c r="AL35" s="33"/>
      <c r="AM35" s="33"/>
      <c r="AN35" s="34"/>
    </row>
    <row r="36" spans="1:40" x14ac:dyDescent="0.3">
      <c r="A36" s="41" t="s">
        <v>127</v>
      </c>
      <c r="B36" s="95"/>
      <c r="C36" s="95"/>
      <c r="D36" s="95"/>
      <c r="E36" s="97"/>
      <c r="F36" s="91"/>
      <c r="G36" s="95"/>
      <c r="H36" s="95"/>
      <c r="I36" s="95"/>
      <c r="J36" s="95"/>
      <c r="K36" s="95"/>
      <c r="L36" s="95"/>
      <c r="M36" s="95"/>
      <c r="N36" s="95"/>
      <c r="O36" s="95"/>
      <c r="P36" s="95"/>
      <c r="Q36" s="95"/>
      <c r="R36" s="95"/>
      <c r="S36" s="95"/>
      <c r="T36" s="95"/>
      <c r="U36" s="95"/>
      <c r="V36" s="95"/>
      <c r="W36" s="95"/>
      <c r="X36" s="95"/>
      <c r="Y36" s="95"/>
      <c r="Z36" s="95"/>
      <c r="AA36" s="95"/>
      <c r="AB36" s="95"/>
      <c r="AC36" s="95"/>
      <c r="AD36" s="95"/>
      <c r="AE36" s="95"/>
      <c r="AF36" s="95"/>
      <c r="AG36" s="97"/>
      <c r="AH36" s="95"/>
      <c r="AI36" s="97"/>
      <c r="AJ36" s="95"/>
      <c r="AK36" s="97">
        <v>300000</v>
      </c>
      <c r="AL36" s="95"/>
      <c r="AM36" s="95"/>
      <c r="AN36" s="42"/>
    </row>
    <row r="37" spans="1:40" x14ac:dyDescent="0.3">
      <c r="A37" s="25" t="s">
        <v>78</v>
      </c>
      <c r="B37" s="33">
        <v>150000</v>
      </c>
      <c r="C37" s="33">
        <v>150000</v>
      </c>
      <c r="D37" s="33"/>
      <c r="E37" s="96"/>
      <c r="F37" s="6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96"/>
      <c r="AH37" s="33"/>
      <c r="AI37" s="96"/>
      <c r="AJ37" s="33"/>
      <c r="AK37" s="96"/>
      <c r="AL37" s="33"/>
      <c r="AM37" s="33"/>
      <c r="AN37" s="34"/>
    </row>
    <row r="38" spans="1:40" x14ac:dyDescent="0.3">
      <c r="A38" s="41" t="s">
        <v>281</v>
      </c>
      <c r="B38" s="95"/>
      <c r="C38" s="95"/>
      <c r="D38" s="95">
        <v>150000</v>
      </c>
      <c r="E38" s="97">
        <v>150000</v>
      </c>
      <c r="F38" s="91"/>
      <c r="G38" s="95"/>
      <c r="H38" s="95"/>
      <c r="I38" s="95"/>
      <c r="J38" s="95"/>
      <c r="K38" s="95"/>
      <c r="L38" s="95"/>
      <c r="M38" s="95"/>
      <c r="N38" s="95"/>
      <c r="O38" s="95"/>
      <c r="P38" s="95"/>
      <c r="Q38" s="95"/>
      <c r="R38" s="95"/>
      <c r="S38" s="95"/>
      <c r="T38" s="95"/>
      <c r="U38" s="95"/>
      <c r="V38" s="95"/>
      <c r="W38" s="95"/>
      <c r="X38" s="95"/>
      <c r="Y38" s="95"/>
      <c r="Z38" s="95"/>
      <c r="AA38" s="95"/>
      <c r="AB38" s="95"/>
      <c r="AC38" s="95"/>
      <c r="AD38" s="95"/>
      <c r="AE38" s="95"/>
      <c r="AF38" s="95"/>
      <c r="AG38" s="97"/>
      <c r="AH38" s="95"/>
      <c r="AI38" s="97"/>
      <c r="AJ38" s="95"/>
      <c r="AK38" s="97"/>
      <c r="AL38" s="95"/>
      <c r="AM38" s="95"/>
      <c r="AN38" s="42"/>
    </row>
    <row r="39" spans="1:40" x14ac:dyDescent="0.3">
      <c r="A39" s="25" t="s">
        <v>120</v>
      </c>
      <c r="B39" s="33"/>
      <c r="C39" s="33"/>
      <c r="D39" s="33"/>
      <c r="E39" s="96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96"/>
      <c r="AH39" s="33"/>
      <c r="AI39" s="96"/>
      <c r="AJ39" s="33"/>
      <c r="AK39" s="96"/>
      <c r="AL39" s="33"/>
      <c r="AM39" s="33"/>
      <c r="AN39" s="34"/>
    </row>
    <row r="40" spans="1:40" x14ac:dyDescent="0.3">
      <c r="A40" s="25" t="s">
        <v>51</v>
      </c>
      <c r="B40" s="33"/>
      <c r="C40" s="33"/>
      <c r="D40" s="33"/>
      <c r="E40" s="96"/>
      <c r="F40" s="6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3"/>
      <c r="AD40" s="33"/>
      <c r="AE40" s="33"/>
      <c r="AF40" s="33"/>
      <c r="AG40" s="96"/>
      <c r="AH40" s="33"/>
      <c r="AI40" s="96"/>
      <c r="AJ40" s="33"/>
      <c r="AK40" s="96"/>
      <c r="AL40" s="33"/>
      <c r="AM40" s="33"/>
      <c r="AN40" s="34"/>
    </row>
    <row r="41" spans="1:40" x14ac:dyDescent="0.3">
      <c r="A41" s="41" t="s">
        <v>119</v>
      </c>
      <c r="B41" s="95"/>
      <c r="C41" s="95"/>
      <c r="D41" s="95"/>
      <c r="E41" s="97"/>
      <c r="F41" s="91"/>
      <c r="G41" s="95"/>
      <c r="H41" s="95"/>
      <c r="I41" s="95"/>
      <c r="J41" s="95"/>
      <c r="K41" s="95"/>
      <c r="L41" s="95"/>
      <c r="M41" s="95"/>
      <c r="N41" s="95"/>
      <c r="O41" s="95"/>
      <c r="P41" s="95"/>
      <c r="Q41" s="95"/>
      <c r="R41" s="95"/>
      <c r="S41" s="95"/>
      <c r="T41" s="95"/>
      <c r="U41" s="95"/>
      <c r="V41" s="95"/>
      <c r="W41" s="95"/>
      <c r="X41" s="95"/>
      <c r="Y41" s="95"/>
      <c r="Z41" s="95"/>
      <c r="AA41" s="95"/>
      <c r="AB41" s="95"/>
      <c r="AC41" s="95"/>
      <c r="AD41" s="95"/>
      <c r="AE41" s="95"/>
      <c r="AF41" s="95"/>
      <c r="AG41" s="97"/>
      <c r="AH41" s="95"/>
      <c r="AI41" s="97"/>
      <c r="AJ41" s="95"/>
      <c r="AK41" s="97"/>
      <c r="AL41" s="95"/>
      <c r="AM41" s="95"/>
      <c r="AN41" s="42"/>
    </row>
    <row r="42" spans="1:40" x14ac:dyDescent="0.3">
      <c r="A42" s="25" t="s">
        <v>111</v>
      </c>
      <c r="B42" s="33"/>
      <c r="C42" s="33"/>
      <c r="D42" s="33"/>
      <c r="E42" s="96"/>
      <c r="F42" s="33">
        <v>50000</v>
      </c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33"/>
      <c r="AF42" s="33"/>
      <c r="AG42" s="96"/>
      <c r="AH42" s="33"/>
      <c r="AI42" s="96"/>
      <c r="AJ42" s="33"/>
      <c r="AK42" s="96"/>
      <c r="AL42" s="33"/>
      <c r="AM42" s="33"/>
      <c r="AN42" s="34"/>
    </row>
    <row r="43" spans="1:40" x14ac:dyDescent="0.3">
      <c r="A43" s="25" t="s">
        <v>3</v>
      </c>
      <c r="B43" s="33"/>
      <c r="C43" s="33"/>
      <c r="D43" s="33"/>
      <c r="E43" s="96"/>
      <c r="F43" s="6"/>
      <c r="G43" s="33"/>
      <c r="H43" s="33"/>
      <c r="I43" s="33"/>
      <c r="J43" s="33">
        <v>100000</v>
      </c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3"/>
      <c r="AD43" s="33"/>
      <c r="AE43" s="33"/>
      <c r="AF43" s="33"/>
      <c r="AG43" s="96"/>
      <c r="AH43" s="33"/>
      <c r="AI43" s="96"/>
      <c r="AJ43" s="33"/>
      <c r="AK43" s="96"/>
      <c r="AL43" s="33"/>
      <c r="AM43" s="33"/>
      <c r="AN43" s="34"/>
    </row>
    <row r="44" spans="1:40" x14ac:dyDescent="0.3">
      <c r="A44" s="25" t="s">
        <v>4</v>
      </c>
      <c r="B44" s="33"/>
      <c r="C44" s="33"/>
      <c r="D44" s="33"/>
      <c r="E44" s="96"/>
      <c r="F44" s="6"/>
      <c r="G44" s="33"/>
      <c r="H44" s="33"/>
      <c r="I44" s="33"/>
      <c r="J44" s="33"/>
      <c r="K44" s="33">
        <v>75000</v>
      </c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33"/>
      <c r="AF44" s="33"/>
      <c r="AG44" s="96"/>
      <c r="AH44" s="33"/>
      <c r="AI44" s="96"/>
      <c r="AJ44" s="33"/>
      <c r="AK44" s="96"/>
      <c r="AL44" s="33"/>
      <c r="AM44" s="33"/>
      <c r="AN44" s="34"/>
    </row>
    <row r="45" spans="1:40" x14ac:dyDescent="0.3">
      <c r="A45" s="25" t="s">
        <v>103</v>
      </c>
      <c r="B45" s="33"/>
      <c r="C45" s="33"/>
      <c r="D45" s="33"/>
      <c r="E45" s="96"/>
      <c r="F45" s="6"/>
      <c r="G45" s="33"/>
      <c r="H45" s="33"/>
      <c r="I45" s="33"/>
      <c r="J45" s="33"/>
      <c r="K45" s="33"/>
      <c r="L45" s="33"/>
      <c r="M45" s="33"/>
      <c r="N45" s="33"/>
      <c r="O45" s="33"/>
      <c r="P45" s="33">
        <v>50000</v>
      </c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3"/>
      <c r="AD45" s="33"/>
      <c r="AE45" s="33"/>
      <c r="AF45" s="33"/>
      <c r="AG45" s="96"/>
      <c r="AH45" s="33"/>
      <c r="AI45" s="96"/>
      <c r="AJ45" s="33"/>
      <c r="AK45" s="96"/>
      <c r="AL45" s="33"/>
      <c r="AM45" s="33"/>
      <c r="AN45" s="34"/>
    </row>
    <row r="46" spans="1:40" x14ac:dyDescent="0.3">
      <c r="A46" s="25" t="s">
        <v>104</v>
      </c>
      <c r="B46" s="33"/>
      <c r="C46" s="33"/>
      <c r="D46" s="33"/>
      <c r="E46" s="96"/>
      <c r="F46" s="6"/>
      <c r="G46" s="33"/>
      <c r="H46" s="33"/>
      <c r="I46" s="33"/>
      <c r="J46" s="33"/>
      <c r="K46" s="33"/>
      <c r="L46" s="33"/>
      <c r="M46" s="33"/>
      <c r="N46" s="33"/>
      <c r="O46" s="33">
        <v>50000</v>
      </c>
      <c r="P46" s="33"/>
      <c r="Q46" s="33">
        <v>50000</v>
      </c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96"/>
      <c r="AH46" s="33"/>
      <c r="AI46" s="96"/>
      <c r="AJ46" s="33"/>
      <c r="AK46" s="96"/>
      <c r="AL46" s="33"/>
      <c r="AM46" s="33"/>
      <c r="AN46" s="34"/>
    </row>
    <row r="47" spans="1:40" x14ac:dyDescent="0.3">
      <c r="A47" s="25" t="s">
        <v>105</v>
      </c>
      <c r="B47" s="33"/>
      <c r="C47" s="33"/>
      <c r="D47" s="33"/>
      <c r="E47" s="96"/>
      <c r="F47" s="6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>
        <v>100000</v>
      </c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96"/>
      <c r="AH47" s="33"/>
      <c r="AI47" s="96"/>
      <c r="AJ47" s="33"/>
      <c r="AK47" s="96"/>
      <c r="AL47" s="33"/>
      <c r="AM47" s="33"/>
      <c r="AN47" s="34"/>
    </row>
    <row r="48" spans="1:40" x14ac:dyDescent="0.3">
      <c r="A48" s="25" t="s">
        <v>106</v>
      </c>
      <c r="B48" s="33"/>
      <c r="C48" s="33"/>
      <c r="D48" s="33"/>
      <c r="E48" s="96"/>
      <c r="F48" s="6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>
        <v>100000</v>
      </c>
      <c r="U48" s="33"/>
      <c r="V48" s="33"/>
      <c r="W48" s="33"/>
      <c r="X48" s="33"/>
      <c r="Y48" s="33"/>
      <c r="Z48" s="33"/>
      <c r="AA48" s="33"/>
      <c r="AB48" s="33"/>
      <c r="AC48" s="33"/>
      <c r="AD48" s="33"/>
      <c r="AE48" s="33"/>
      <c r="AF48" s="33"/>
      <c r="AG48" s="96"/>
      <c r="AH48" s="33"/>
      <c r="AI48" s="96"/>
      <c r="AJ48" s="33"/>
      <c r="AK48" s="96"/>
      <c r="AL48" s="33"/>
      <c r="AM48" s="33"/>
      <c r="AN48" s="34"/>
    </row>
    <row r="49" spans="1:40" x14ac:dyDescent="0.3">
      <c r="A49" s="25" t="s">
        <v>107</v>
      </c>
      <c r="B49" s="33"/>
      <c r="C49" s="33"/>
      <c r="D49" s="33"/>
      <c r="E49" s="96"/>
      <c r="F49" s="6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>
        <v>100000</v>
      </c>
      <c r="X49" s="33"/>
      <c r="Y49" s="33"/>
      <c r="Z49" s="33"/>
      <c r="AA49" s="33"/>
      <c r="AB49" s="33"/>
      <c r="AC49" s="33"/>
      <c r="AD49" s="33"/>
      <c r="AE49" s="33"/>
      <c r="AF49" s="33"/>
      <c r="AG49" s="96"/>
      <c r="AH49" s="33"/>
      <c r="AI49" s="96"/>
      <c r="AJ49" s="33"/>
      <c r="AK49" s="96"/>
      <c r="AL49" s="33"/>
      <c r="AM49" s="33"/>
      <c r="AN49" s="34"/>
    </row>
    <row r="50" spans="1:40" x14ac:dyDescent="0.3">
      <c r="A50" s="25" t="s">
        <v>108</v>
      </c>
      <c r="B50" s="33"/>
      <c r="C50" s="33"/>
      <c r="D50" s="33"/>
      <c r="E50" s="96"/>
      <c r="F50" s="6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>
        <v>100000</v>
      </c>
      <c r="AA50" s="33"/>
      <c r="AB50" s="33"/>
      <c r="AC50" s="33"/>
      <c r="AD50" s="33"/>
      <c r="AE50" s="33"/>
      <c r="AF50" s="33"/>
      <c r="AG50" s="96"/>
      <c r="AH50" s="33"/>
      <c r="AI50" s="96"/>
      <c r="AJ50" s="33"/>
      <c r="AK50" s="96"/>
      <c r="AL50" s="33"/>
      <c r="AM50" s="33"/>
      <c r="AN50" s="34"/>
    </row>
    <row r="51" spans="1:40" x14ac:dyDescent="0.3">
      <c r="A51" s="25" t="s">
        <v>109</v>
      </c>
      <c r="B51" s="33"/>
      <c r="C51" s="33"/>
      <c r="D51" s="33"/>
      <c r="E51" s="96"/>
      <c r="F51" s="6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>
        <v>100000</v>
      </c>
      <c r="Y51" s="33"/>
      <c r="Z51" s="33"/>
      <c r="AA51" s="33"/>
      <c r="AB51" s="33"/>
      <c r="AC51" s="33"/>
      <c r="AD51" s="33"/>
      <c r="AE51" s="33"/>
      <c r="AF51" s="33"/>
      <c r="AG51" s="96"/>
      <c r="AH51" s="33"/>
      <c r="AI51" s="96"/>
      <c r="AJ51" s="33"/>
      <c r="AK51" s="96"/>
      <c r="AL51" s="33"/>
      <c r="AM51" s="33"/>
      <c r="AN51" s="34"/>
    </row>
    <row r="52" spans="1:40" x14ac:dyDescent="0.3">
      <c r="A52" s="25" t="s">
        <v>110</v>
      </c>
      <c r="B52" s="33"/>
      <c r="C52" s="33"/>
      <c r="D52" s="33"/>
      <c r="E52" s="96"/>
      <c r="F52" s="6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>
        <v>50000</v>
      </c>
      <c r="AE52" s="33"/>
      <c r="AF52" s="33"/>
      <c r="AG52" s="96"/>
      <c r="AH52" s="33"/>
      <c r="AI52" s="96"/>
      <c r="AJ52" s="33"/>
      <c r="AK52" s="96"/>
      <c r="AL52" s="33"/>
      <c r="AM52" s="33"/>
      <c r="AN52" s="34"/>
    </row>
    <row r="53" spans="1:40" x14ac:dyDescent="0.3">
      <c r="A53" s="25" t="s">
        <v>112</v>
      </c>
      <c r="B53" s="33"/>
      <c r="C53" s="33"/>
      <c r="D53" s="33"/>
      <c r="E53" s="96"/>
      <c r="F53" s="6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3"/>
      <c r="AD53" s="33"/>
      <c r="AE53" s="33"/>
      <c r="AF53" s="33">
        <v>50000</v>
      </c>
      <c r="AG53" s="96"/>
      <c r="AH53" s="33"/>
      <c r="AI53" s="96"/>
      <c r="AJ53" s="33"/>
      <c r="AK53" s="96"/>
      <c r="AL53" s="33"/>
      <c r="AM53" s="33"/>
      <c r="AN53" s="34"/>
    </row>
    <row r="54" spans="1:40" x14ac:dyDescent="0.3">
      <c r="A54" s="25" t="s">
        <v>113</v>
      </c>
      <c r="B54" s="33"/>
      <c r="C54" s="33"/>
      <c r="D54" s="33"/>
      <c r="E54" s="96"/>
      <c r="F54" s="6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3"/>
      <c r="AD54" s="33"/>
      <c r="AE54" s="33"/>
      <c r="AF54" s="33">
        <v>50000</v>
      </c>
      <c r="AG54" s="96"/>
      <c r="AH54" s="33"/>
      <c r="AI54" s="96"/>
      <c r="AJ54" s="33"/>
      <c r="AK54" s="96"/>
      <c r="AL54" s="33"/>
      <c r="AM54" s="33"/>
      <c r="AN54" s="34"/>
    </row>
    <row r="55" spans="1:40" x14ac:dyDescent="0.3">
      <c r="A55" s="25" t="s">
        <v>114</v>
      </c>
      <c r="B55" s="33"/>
      <c r="C55" s="33"/>
      <c r="D55" s="33"/>
      <c r="E55" s="96"/>
      <c r="F55" s="6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>
        <v>50000</v>
      </c>
      <c r="AG55" s="96"/>
      <c r="AH55" s="33"/>
      <c r="AI55" s="96"/>
      <c r="AJ55" s="33"/>
      <c r="AK55" s="96"/>
      <c r="AL55" s="33"/>
      <c r="AM55" s="33"/>
      <c r="AN55" s="34"/>
    </row>
    <row r="56" spans="1:40" ht="16.2" thickBot="1" x14ac:dyDescent="0.35">
      <c r="A56" s="26" t="s">
        <v>115</v>
      </c>
      <c r="B56" s="35"/>
      <c r="C56" s="35"/>
      <c r="D56" s="35"/>
      <c r="E56" s="98"/>
      <c r="F56" s="7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  <c r="AA56" s="35"/>
      <c r="AB56" s="35"/>
      <c r="AC56" s="35">
        <v>50000</v>
      </c>
      <c r="AD56" s="35"/>
      <c r="AE56" s="35"/>
      <c r="AF56" s="35"/>
      <c r="AG56" s="98"/>
      <c r="AH56" s="35"/>
      <c r="AI56" s="98"/>
      <c r="AJ56" s="35"/>
      <c r="AK56" s="98"/>
      <c r="AL56" s="35"/>
      <c r="AM56" s="35"/>
      <c r="AN56" s="36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FE18E-3C30-49FC-B6A0-0A6D3F02EBB0}">
  <dimension ref="A1:O15"/>
  <sheetViews>
    <sheetView workbookViewId="0">
      <selection activeCell="A2" sqref="A2"/>
    </sheetView>
  </sheetViews>
  <sheetFormatPr defaultColWidth="9.33203125" defaultRowHeight="15.6" x14ac:dyDescent="0.3"/>
  <cols>
    <col min="1" max="2" width="9.33203125" style="1"/>
    <col min="3" max="3" width="3.5546875" style="1" customWidth="1"/>
    <col min="4" max="12" width="9.33203125" style="1"/>
    <col min="13" max="13" width="11.33203125" style="1" customWidth="1"/>
    <col min="14" max="14" width="10.6640625" style="1" customWidth="1"/>
    <col min="15" max="15" width="12.88671875" style="1" customWidth="1"/>
    <col min="16" max="16" width="4.5546875" style="1" customWidth="1"/>
    <col min="17" max="16384" width="9.33203125" style="1"/>
  </cols>
  <sheetData>
    <row r="1" spans="1:15" x14ac:dyDescent="0.3">
      <c r="A1" s="1" t="s">
        <v>68</v>
      </c>
    </row>
    <row r="2" spans="1:15" x14ac:dyDescent="0.3">
      <c r="A2" s="2" t="s">
        <v>52</v>
      </c>
    </row>
    <row r="3" spans="1:15" x14ac:dyDescent="0.3">
      <c r="A3" s="2" t="s">
        <v>53</v>
      </c>
    </row>
    <row r="4" spans="1:15" x14ac:dyDescent="0.3">
      <c r="A4" s="2" t="s">
        <v>54</v>
      </c>
      <c r="D4" s="9"/>
    </row>
    <row r="5" spans="1:15" x14ac:dyDescent="0.3">
      <c r="A5" s="2" t="s">
        <v>55</v>
      </c>
      <c r="M5" s="10"/>
      <c r="N5" s="10"/>
      <c r="O5" s="10"/>
    </row>
    <row r="6" spans="1:15" x14ac:dyDescent="0.3">
      <c r="A6" s="2" t="s">
        <v>56</v>
      </c>
    </row>
    <row r="7" spans="1:15" x14ac:dyDescent="0.3">
      <c r="A7" s="2" t="s">
        <v>57</v>
      </c>
    </row>
    <row r="8" spans="1:15" x14ac:dyDescent="0.3">
      <c r="A8" s="2" t="s">
        <v>58</v>
      </c>
    </row>
    <row r="9" spans="1:15" x14ac:dyDescent="0.3">
      <c r="A9" s="2" t="s">
        <v>59</v>
      </c>
    </row>
    <row r="10" spans="1:15" x14ac:dyDescent="0.3">
      <c r="A10" s="2" t="s">
        <v>60</v>
      </c>
    </row>
    <row r="11" spans="1:15" x14ac:dyDescent="0.3">
      <c r="A11" s="2" t="s">
        <v>61</v>
      </c>
    </row>
    <row r="12" spans="1:15" x14ac:dyDescent="0.3">
      <c r="A12" s="2" t="s">
        <v>62</v>
      </c>
    </row>
    <row r="13" spans="1:15" x14ac:dyDescent="0.3">
      <c r="A13" s="2" t="s">
        <v>63</v>
      </c>
    </row>
    <row r="14" spans="1:15" x14ac:dyDescent="0.3">
      <c r="A14" s="2" t="s">
        <v>64</v>
      </c>
    </row>
    <row r="15" spans="1:15" x14ac:dyDescent="0.3">
      <c r="A15" s="2" t="s">
        <v>65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DC95A-3E5A-4F20-82A9-05C912F0EA7B}">
  <sheetPr>
    <tabColor rgb="FFD9C6FE"/>
  </sheetPr>
  <dimension ref="A1:BH61"/>
  <sheetViews>
    <sheetView zoomScale="70" zoomScaleNormal="70" workbookViewId="0">
      <selection activeCell="A58" sqref="A58"/>
    </sheetView>
  </sheetViews>
  <sheetFormatPr defaultColWidth="9.33203125" defaultRowHeight="15.6" x14ac:dyDescent="0.3"/>
  <cols>
    <col min="1" max="2" width="15.6640625" style="1" customWidth="1"/>
    <col min="3" max="18" width="9.33203125" style="1"/>
    <col min="19" max="19" width="12.109375" style="1" bestFit="1" customWidth="1"/>
    <col min="20" max="16384" width="9.33203125" style="1"/>
  </cols>
  <sheetData>
    <row r="1" spans="1:60" ht="16.2" thickBot="1" x14ac:dyDescent="0.35">
      <c r="A1" s="1" t="s">
        <v>297</v>
      </c>
    </row>
    <row r="2" spans="1:60" x14ac:dyDescent="0.3">
      <c r="A2" s="3" t="s">
        <v>205</v>
      </c>
      <c r="B2" s="4" t="s">
        <v>5</v>
      </c>
      <c r="C2" s="4" t="s">
        <v>116</v>
      </c>
      <c r="D2" s="4" t="s">
        <v>117</v>
      </c>
      <c r="E2" s="74" t="s">
        <v>118</v>
      </c>
      <c r="F2" s="4" t="s">
        <v>128</v>
      </c>
      <c r="G2" s="4" t="s">
        <v>80</v>
      </c>
      <c r="H2" s="4" t="s">
        <v>81</v>
      </c>
      <c r="I2" s="4" t="s">
        <v>82</v>
      </c>
      <c r="J2" s="4" t="s">
        <v>83</v>
      </c>
      <c r="K2" s="4" t="s">
        <v>84</v>
      </c>
      <c r="L2" s="4" t="s">
        <v>85</v>
      </c>
      <c r="M2" s="4" t="s">
        <v>86</v>
      </c>
      <c r="N2" s="4" t="s">
        <v>129</v>
      </c>
      <c r="O2" s="4" t="s">
        <v>130</v>
      </c>
      <c r="P2" s="4" t="s">
        <v>131</v>
      </c>
      <c r="Q2" s="4" t="s">
        <v>132</v>
      </c>
      <c r="R2" s="4" t="s">
        <v>133</v>
      </c>
      <c r="S2" s="4" t="s">
        <v>134</v>
      </c>
      <c r="T2" s="4" t="s">
        <v>135</v>
      </c>
      <c r="U2" s="4" t="s">
        <v>136</v>
      </c>
      <c r="V2" s="4" t="s">
        <v>137</v>
      </c>
      <c r="W2" s="4" t="s">
        <v>138</v>
      </c>
      <c r="X2" s="4" t="s">
        <v>139</v>
      </c>
      <c r="Y2" s="4" t="s">
        <v>140</v>
      </c>
      <c r="Z2" s="4" t="s">
        <v>141</v>
      </c>
      <c r="AA2" s="4" t="s">
        <v>142</v>
      </c>
      <c r="AB2" s="4" t="s">
        <v>143</v>
      </c>
      <c r="AC2" s="4" t="s">
        <v>144</v>
      </c>
      <c r="AD2" s="4" t="s">
        <v>145</v>
      </c>
      <c r="AE2" s="4" t="s">
        <v>146</v>
      </c>
      <c r="AF2" s="4" t="s">
        <v>147</v>
      </c>
      <c r="AG2" s="74" t="s">
        <v>148</v>
      </c>
      <c r="AH2" s="4" t="s">
        <v>79</v>
      </c>
      <c r="AI2" s="74" t="s">
        <v>127</v>
      </c>
      <c r="AJ2" s="4" t="s">
        <v>78</v>
      </c>
      <c r="AK2" s="74" t="s">
        <v>281</v>
      </c>
      <c r="AL2" s="4" t="s">
        <v>120</v>
      </c>
      <c r="AM2" s="4" t="s">
        <v>51</v>
      </c>
      <c r="AN2" s="24" t="s">
        <v>119</v>
      </c>
      <c r="AO2" s="116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</row>
    <row r="3" spans="1:60" x14ac:dyDescent="0.3">
      <c r="A3" s="25" t="s">
        <v>5</v>
      </c>
      <c r="B3" s="33"/>
      <c r="C3" s="33"/>
      <c r="D3" s="33"/>
      <c r="E3" s="96"/>
      <c r="F3" s="6"/>
      <c r="G3" s="33"/>
      <c r="H3" s="33">
        <v>6</v>
      </c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96"/>
      <c r="AH3" s="33"/>
      <c r="AI3" s="96"/>
      <c r="AJ3" s="33"/>
      <c r="AK3" s="96"/>
      <c r="AL3" s="33"/>
      <c r="AM3" s="33"/>
      <c r="AN3" s="34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</row>
    <row r="4" spans="1:60" x14ac:dyDescent="0.3">
      <c r="A4" s="25" t="s">
        <v>116</v>
      </c>
      <c r="B4" s="33"/>
      <c r="C4" s="33"/>
      <c r="D4" s="33"/>
      <c r="E4" s="96"/>
      <c r="F4" s="6"/>
      <c r="G4" s="33"/>
      <c r="H4" s="33"/>
      <c r="I4" s="33"/>
      <c r="J4" s="33"/>
      <c r="K4" s="33"/>
      <c r="L4" s="33"/>
      <c r="M4" s="33"/>
      <c r="N4" s="33"/>
      <c r="O4" s="33">
        <v>6</v>
      </c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96"/>
      <c r="AH4" s="33"/>
      <c r="AI4" s="96"/>
      <c r="AJ4" s="33"/>
      <c r="AK4" s="96"/>
      <c r="AL4" s="33"/>
      <c r="AM4" s="33"/>
      <c r="AN4" s="34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</row>
    <row r="5" spans="1:60" x14ac:dyDescent="0.3">
      <c r="A5" s="25" t="s">
        <v>117</v>
      </c>
      <c r="B5" s="33"/>
      <c r="C5" s="33"/>
      <c r="D5" s="33"/>
      <c r="E5" s="96"/>
      <c r="F5" s="6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>
        <v>6</v>
      </c>
      <c r="W5" s="33"/>
      <c r="X5" s="33"/>
      <c r="Y5" s="33"/>
      <c r="Z5" s="33"/>
      <c r="AA5" s="33"/>
      <c r="AB5" s="33"/>
      <c r="AC5" s="33"/>
      <c r="AD5" s="33"/>
      <c r="AE5" s="33"/>
      <c r="AF5" s="33"/>
      <c r="AG5" s="96"/>
      <c r="AH5" s="33"/>
      <c r="AI5" s="96"/>
      <c r="AJ5" s="33"/>
      <c r="AK5" s="96"/>
      <c r="AL5" s="33"/>
      <c r="AM5" s="33"/>
      <c r="AN5" s="34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</row>
    <row r="6" spans="1:60" x14ac:dyDescent="0.3">
      <c r="A6" s="41" t="s">
        <v>118</v>
      </c>
      <c r="B6" s="95"/>
      <c r="C6" s="95"/>
      <c r="D6" s="95"/>
      <c r="E6" s="97"/>
      <c r="F6" s="91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5"/>
      <c r="U6" s="95"/>
      <c r="V6" s="95"/>
      <c r="W6" s="95"/>
      <c r="X6" s="95"/>
      <c r="Y6" s="95"/>
      <c r="Z6" s="95"/>
      <c r="AA6" s="95"/>
      <c r="AB6" s="95"/>
      <c r="AC6" s="95"/>
      <c r="AD6" s="95"/>
      <c r="AE6" s="95"/>
      <c r="AF6" s="95"/>
      <c r="AG6" s="97"/>
      <c r="AH6" s="95"/>
      <c r="AI6" s="97"/>
      <c r="AJ6" s="95"/>
      <c r="AK6" s="97"/>
      <c r="AL6" s="95"/>
      <c r="AM6" s="95"/>
      <c r="AN6" s="42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</row>
    <row r="7" spans="1:60" x14ac:dyDescent="0.3">
      <c r="A7" s="25" t="s">
        <v>128</v>
      </c>
      <c r="B7" s="33"/>
      <c r="C7" s="33"/>
      <c r="D7" s="33"/>
      <c r="E7" s="96"/>
      <c r="F7" s="6"/>
      <c r="G7" s="33">
        <v>8</v>
      </c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  <c r="AG7" s="96"/>
      <c r="AH7" s="33"/>
      <c r="AI7" s="96"/>
      <c r="AJ7" s="33"/>
      <c r="AK7" s="96"/>
      <c r="AL7" s="33">
        <v>8</v>
      </c>
      <c r="AM7" s="33"/>
      <c r="AN7" s="34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</row>
    <row r="8" spans="1:60" x14ac:dyDescent="0.3">
      <c r="A8" s="25" t="s">
        <v>80</v>
      </c>
      <c r="B8" s="33"/>
      <c r="C8" s="33"/>
      <c r="D8" s="33"/>
      <c r="E8" s="96"/>
      <c r="F8" s="33"/>
      <c r="G8" s="33"/>
      <c r="H8" s="33">
        <v>8</v>
      </c>
      <c r="I8" s="33"/>
      <c r="J8" s="33">
        <v>8</v>
      </c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96"/>
      <c r="AH8" s="33"/>
      <c r="AI8" s="96"/>
      <c r="AJ8" s="33"/>
      <c r="AK8" s="96"/>
      <c r="AL8" s="33"/>
      <c r="AM8" s="33"/>
      <c r="AN8" s="34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</row>
    <row r="9" spans="1:60" x14ac:dyDescent="0.3">
      <c r="A9" s="25" t="s">
        <v>81</v>
      </c>
      <c r="B9" s="33"/>
      <c r="C9" s="33"/>
      <c r="D9" s="33"/>
      <c r="E9" s="96"/>
      <c r="F9" s="6"/>
      <c r="G9" s="33"/>
      <c r="H9" s="33"/>
      <c r="I9" s="33">
        <v>8</v>
      </c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96"/>
      <c r="AH9" s="33"/>
      <c r="AI9" s="96"/>
      <c r="AJ9" s="33"/>
      <c r="AK9" s="96"/>
      <c r="AL9" s="33"/>
      <c r="AM9" s="33"/>
      <c r="AN9" s="34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</row>
    <row r="10" spans="1:60" x14ac:dyDescent="0.3">
      <c r="A10" s="25" t="s">
        <v>82</v>
      </c>
      <c r="B10" s="33"/>
      <c r="C10" s="33"/>
      <c r="D10" s="33"/>
      <c r="E10" s="96"/>
      <c r="F10" s="6"/>
      <c r="G10" s="33"/>
      <c r="H10" s="33"/>
      <c r="I10" s="33"/>
      <c r="J10" s="33"/>
      <c r="K10" s="33">
        <v>8</v>
      </c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96"/>
      <c r="AH10" s="33"/>
      <c r="AI10" s="96"/>
      <c r="AJ10" s="33"/>
      <c r="AK10" s="96"/>
      <c r="AL10" s="33"/>
      <c r="AM10" s="33">
        <v>8</v>
      </c>
      <c r="AN10" s="34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</row>
    <row r="11" spans="1:60" x14ac:dyDescent="0.3">
      <c r="A11" s="25" t="s">
        <v>83</v>
      </c>
      <c r="B11" s="33"/>
      <c r="C11" s="33"/>
      <c r="D11" s="33"/>
      <c r="E11" s="96"/>
      <c r="F11" s="6"/>
      <c r="G11" s="33"/>
      <c r="H11" s="33"/>
      <c r="I11" s="33"/>
      <c r="J11" s="33"/>
      <c r="K11" s="33"/>
      <c r="L11" s="33"/>
      <c r="M11" s="33">
        <v>8</v>
      </c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96"/>
      <c r="AH11" s="33"/>
      <c r="AI11" s="96"/>
      <c r="AJ11" s="33"/>
      <c r="AK11" s="96"/>
      <c r="AL11" s="33"/>
      <c r="AM11" s="33"/>
      <c r="AN11" s="34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</row>
    <row r="12" spans="1:60" x14ac:dyDescent="0.3">
      <c r="A12" s="25" t="s">
        <v>84</v>
      </c>
      <c r="B12" s="33"/>
      <c r="C12" s="33"/>
      <c r="D12" s="33"/>
      <c r="E12" s="96"/>
      <c r="F12" s="6"/>
      <c r="G12" s="33"/>
      <c r="H12" s="33"/>
      <c r="I12" s="33"/>
      <c r="J12" s="33"/>
      <c r="K12" s="33"/>
      <c r="L12" s="33">
        <v>8</v>
      </c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96"/>
      <c r="AH12" s="33"/>
      <c r="AI12" s="96"/>
      <c r="AJ12" s="33"/>
      <c r="AK12" s="96"/>
      <c r="AL12" s="33"/>
      <c r="AM12" s="33"/>
      <c r="AN12" s="34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</row>
    <row r="13" spans="1:60" x14ac:dyDescent="0.3">
      <c r="A13" s="25" t="s">
        <v>85</v>
      </c>
      <c r="B13" s="33"/>
      <c r="C13" s="33"/>
      <c r="D13" s="33"/>
      <c r="E13" s="96"/>
      <c r="F13" s="6"/>
      <c r="G13" s="33"/>
      <c r="H13" s="33"/>
      <c r="I13" s="33"/>
      <c r="J13" s="33"/>
      <c r="K13" s="33"/>
      <c r="L13" s="33"/>
      <c r="M13" s="33">
        <v>8</v>
      </c>
      <c r="N13" s="33">
        <v>8</v>
      </c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  <c r="AG13" s="96"/>
      <c r="AH13" s="33"/>
      <c r="AI13" s="96"/>
      <c r="AJ13" s="33"/>
      <c r="AK13" s="96"/>
      <c r="AL13" s="33"/>
      <c r="AM13" s="33"/>
      <c r="AN13" s="34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</row>
    <row r="14" spans="1:60" x14ac:dyDescent="0.3">
      <c r="A14" s="25" t="s">
        <v>86</v>
      </c>
      <c r="B14" s="33"/>
      <c r="C14" s="33"/>
      <c r="D14" s="33"/>
      <c r="E14" s="96"/>
      <c r="F14" s="6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96"/>
      <c r="AH14" s="33">
        <v>8</v>
      </c>
      <c r="AI14" s="96"/>
      <c r="AJ14" s="33"/>
      <c r="AK14" s="96"/>
      <c r="AL14" s="33"/>
      <c r="AM14" s="33"/>
      <c r="AN14" s="34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</row>
    <row r="15" spans="1:60" x14ac:dyDescent="0.3">
      <c r="A15" s="25" t="s">
        <v>129</v>
      </c>
      <c r="B15" s="33"/>
      <c r="C15" s="33"/>
      <c r="D15" s="33"/>
      <c r="E15" s="96"/>
      <c r="F15" s="6"/>
      <c r="G15" s="33"/>
      <c r="H15" s="33"/>
      <c r="I15" s="33"/>
      <c r="J15" s="33"/>
      <c r="K15" s="33"/>
      <c r="L15" s="33"/>
      <c r="M15" s="33"/>
      <c r="N15" s="33"/>
      <c r="O15" s="33">
        <v>8</v>
      </c>
      <c r="P15" s="33">
        <v>8</v>
      </c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96"/>
      <c r="AH15" s="33"/>
      <c r="AI15" s="96"/>
      <c r="AJ15" s="33"/>
      <c r="AK15" s="96"/>
      <c r="AL15" s="33"/>
      <c r="AM15" s="33"/>
      <c r="AN15" s="34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</row>
    <row r="16" spans="1:60" x14ac:dyDescent="0.3">
      <c r="A16" s="25" t="s">
        <v>130</v>
      </c>
      <c r="B16" s="33"/>
      <c r="C16" s="33"/>
      <c r="D16" s="33"/>
      <c r="E16" s="96"/>
      <c r="F16" s="6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96"/>
      <c r="AH16" s="33"/>
      <c r="AI16" s="96"/>
      <c r="AJ16" s="33"/>
      <c r="AK16" s="96"/>
      <c r="AL16" s="33"/>
      <c r="AM16" s="33"/>
      <c r="AN16" s="34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</row>
    <row r="17" spans="1:60" x14ac:dyDescent="0.3">
      <c r="A17" s="25" t="s">
        <v>131</v>
      </c>
      <c r="B17" s="33"/>
      <c r="C17" s="33"/>
      <c r="D17" s="33"/>
      <c r="E17" s="96"/>
      <c r="F17" s="6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>
        <v>8</v>
      </c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96"/>
      <c r="AH17" s="33"/>
      <c r="AI17" s="96"/>
      <c r="AJ17" s="33"/>
      <c r="AK17" s="96"/>
      <c r="AL17" s="33"/>
      <c r="AM17" s="33"/>
      <c r="AN17" s="34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</row>
    <row r="18" spans="1:60" x14ac:dyDescent="0.3">
      <c r="A18" s="25" t="s">
        <v>132</v>
      </c>
      <c r="B18" s="33"/>
      <c r="C18" s="33"/>
      <c r="D18" s="33"/>
      <c r="E18" s="96"/>
      <c r="F18" s="6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>
        <v>8</v>
      </c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96"/>
      <c r="AH18" s="33"/>
      <c r="AI18" s="96"/>
      <c r="AJ18" s="33"/>
      <c r="AK18" s="96"/>
      <c r="AL18" s="33"/>
      <c r="AM18" s="33"/>
      <c r="AN18" s="34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</row>
    <row r="19" spans="1:60" x14ac:dyDescent="0.3">
      <c r="A19" s="25" t="s">
        <v>133</v>
      </c>
      <c r="B19" s="33"/>
      <c r="C19" s="33"/>
      <c r="D19" s="33"/>
      <c r="E19" s="96"/>
      <c r="F19" s="6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>
        <v>8</v>
      </c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96"/>
      <c r="AH19" s="33"/>
      <c r="AI19" s="96"/>
      <c r="AJ19" s="33"/>
      <c r="AK19" s="96"/>
      <c r="AL19" s="33"/>
      <c r="AM19" s="33"/>
      <c r="AN19" s="34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</row>
    <row r="20" spans="1:60" x14ac:dyDescent="0.3">
      <c r="A20" s="25" t="s">
        <v>134</v>
      </c>
      <c r="B20" s="33"/>
      <c r="C20" s="33"/>
      <c r="D20" s="33"/>
      <c r="E20" s="96"/>
      <c r="F20" s="6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96">
        <v>8</v>
      </c>
      <c r="AH20" s="33"/>
      <c r="AI20" s="96"/>
      <c r="AJ20" s="33"/>
      <c r="AK20" s="96"/>
      <c r="AL20" s="33"/>
      <c r="AM20" s="33"/>
      <c r="AN20" s="34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</row>
    <row r="21" spans="1:60" x14ac:dyDescent="0.3">
      <c r="A21" s="25" t="s">
        <v>135</v>
      </c>
      <c r="B21" s="33"/>
      <c r="C21" s="33"/>
      <c r="D21" s="33"/>
      <c r="E21" s="96"/>
      <c r="F21" s="6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>
        <v>8</v>
      </c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96">
        <v>8</v>
      </c>
      <c r="AH21" s="33"/>
      <c r="AI21" s="96"/>
      <c r="AJ21" s="33"/>
      <c r="AK21" s="96"/>
      <c r="AL21" s="33"/>
      <c r="AM21" s="33"/>
      <c r="AN21" s="34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</row>
    <row r="22" spans="1:60" x14ac:dyDescent="0.3">
      <c r="A22" s="25" t="s">
        <v>136</v>
      </c>
      <c r="B22" s="33"/>
      <c r="C22" s="33"/>
      <c r="D22" s="33"/>
      <c r="E22" s="96"/>
      <c r="F22" s="6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>
        <v>8</v>
      </c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96"/>
      <c r="AH22" s="33"/>
      <c r="AI22" s="96"/>
      <c r="AJ22" s="33"/>
      <c r="AK22" s="96"/>
      <c r="AL22" s="33"/>
      <c r="AM22" s="33"/>
      <c r="AN22" s="34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</row>
    <row r="23" spans="1:60" x14ac:dyDescent="0.3">
      <c r="A23" s="25" t="s">
        <v>137</v>
      </c>
      <c r="B23" s="33"/>
      <c r="C23" s="33"/>
      <c r="D23" s="33"/>
      <c r="E23" s="96"/>
      <c r="F23" s="6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96"/>
      <c r="AH23" s="33"/>
      <c r="AI23" s="96"/>
      <c r="AJ23" s="33"/>
      <c r="AK23" s="96"/>
      <c r="AL23" s="33"/>
      <c r="AM23" s="33"/>
      <c r="AN23" s="34">
        <v>8</v>
      </c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</row>
    <row r="24" spans="1:60" x14ac:dyDescent="0.3">
      <c r="A24" s="25" t="s">
        <v>138</v>
      </c>
      <c r="B24" s="33"/>
      <c r="C24" s="33"/>
      <c r="D24" s="33"/>
      <c r="E24" s="96"/>
      <c r="F24" s="6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>
        <v>8</v>
      </c>
      <c r="Y24" s="33"/>
      <c r="Z24" s="33"/>
      <c r="AA24" s="33"/>
      <c r="AB24" s="33"/>
      <c r="AC24" s="33"/>
      <c r="AD24" s="33"/>
      <c r="AE24" s="33"/>
      <c r="AF24" s="33"/>
      <c r="AG24" s="96"/>
      <c r="AH24" s="33"/>
      <c r="AI24" s="96"/>
      <c r="AJ24" s="33"/>
      <c r="AK24" s="96"/>
      <c r="AL24" s="33"/>
      <c r="AM24" s="33"/>
      <c r="AN24" s="34">
        <v>8</v>
      </c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</row>
    <row r="25" spans="1:60" x14ac:dyDescent="0.3">
      <c r="A25" s="25" t="s">
        <v>139</v>
      </c>
      <c r="B25" s="33"/>
      <c r="C25" s="33"/>
      <c r="D25" s="33"/>
      <c r="E25" s="96"/>
      <c r="F25" s="6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>
        <v>8</v>
      </c>
      <c r="AB25" s="33"/>
      <c r="AC25" s="33"/>
      <c r="AD25" s="33"/>
      <c r="AE25" s="33"/>
      <c r="AF25" s="33"/>
      <c r="AG25" s="96"/>
      <c r="AH25" s="33"/>
      <c r="AI25" s="96"/>
      <c r="AJ25" s="33"/>
      <c r="AK25" s="96"/>
      <c r="AL25" s="33"/>
      <c r="AM25" s="33"/>
      <c r="AN25" s="34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</row>
    <row r="26" spans="1:60" x14ac:dyDescent="0.3">
      <c r="A26" s="25" t="s">
        <v>140</v>
      </c>
      <c r="B26" s="33"/>
      <c r="C26" s="33"/>
      <c r="D26" s="33"/>
      <c r="E26" s="96"/>
      <c r="F26" s="6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>
        <v>8</v>
      </c>
      <c r="AA26" s="33"/>
      <c r="AB26" s="33"/>
      <c r="AC26" s="33"/>
      <c r="AD26" s="33"/>
      <c r="AE26" s="33"/>
      <c r="AF26" s="33"/>
      <c r="AG26" s="96">
        <v>8</v>
      </c>
      <c r="AH26" s="33"/>
      <c r="AI26" s="96">
        <v>8</v>
      </c>
      <c r="AJ26" s="33"/>
      <c r="AK26" s="96"/>
      <c r="AL26" s="33"/>
      <c r="AM26" s="33"/>
      <c r="AN26" s="34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</row>
    <row r="27" spans="1:60" x14ac:dyDescent="0.3">
      <c r="A27" s="25" t="s">
        <v>141</v>
      </c>
      <c r="B27" s="33"/>
      <c r="C27" s="33"/>
      <c r="D27" s="33"/>
      <c r="E27" s="96"/>
      <c r="F27" s="6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>
        <v>8</v>
      </c>
      <c r="AB27" s="33"/>
      <c r="AC27" s="33"/>
      <c r="AD27" s="33"/>
      <c r="AE27" s="33"/>
      <c r="AF27" s="33"/>
      <c r="AG27" s="96"/>
      <c r="AH27" s="33"/>
      <c r="AI27" s="96"/>
      <c r="AJ27" s="33"/>
      <c r="AK27" s="96"/>
      <c r="AL27" s="33"/>
      <c r="AM27" s="33"/>
      <c r="AN27" s="34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</row>
    <row r="28" spans="1:60" x14ac:dyDescent="0.3">
      <c r="A28" s="25" t="s">
        <v>142</v>
      </c>
      <c r="B28" s="33"/>
      <c r="C28" s="33"/>
      <c r="D28" s="33"/>
      <c r="E28" s="96"/>
      <c r="F28" s="6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>
        <v>8</v>
      </c>
      <c r="AC28" s="33"/>
      <c r="AD28" s="33"/>
      <c r="AE28" s="33"/>
      <c r="AF28" s="33"/>
      <c r="AG28" s="96"/>
      <c r="AH28" s="33"/>
      <c r="AI28" s="96"/>
      <c r="AJ28" s="33"/>
      <c r="AK28" s="96"/>
      <c r="AL28" s="33"/>
      <c r="AM28" s="33"/>
      <c r="AN28" s="34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</row>
    <row r="29" spans="1:60" x14ac:dyDescent="0.3">
      <c r="A29" s="25" t="s">
        <v>143</v>
      </c>
      <c r="B29" s="33"/>
      <c r="C29" s="33"/>
      <c r="D29" s="33"/>
      <c r="E29" s="96"/>
      <c r="F29" s="6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>
        <v>8</v>
      </c>
      <c r="AD29" s="33"/>
      <c r="AE29" s="33"/>
      <c r="AF29" s="33"/>
      <c r="AG29" s="96"/>
      <c r="AH29" s="33"/>
      <c r="AI29" s="96"/>
      <c r="AJ29" s="33"/>
      <c r="AK29" s="96"/>
      <c r="AL29" s="33"/>
      <c r="AM29" s="33"/>
      <c r="AN29" s="34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</row>
    <row r="30" spans="1:60" x14ac:dyDescent="0.3">
      <c r="A30" s="25" t="s">
        <v>144</v>
      </c>
      <c r="B30" s="33"/>
      <c r="C30" s="33"/>
      <c r="D30" s="33"/>
      <c r="E30" s="96"/>
      <c r="F30" s="6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>
        <v>8</v>
      </c>
      <c r="AE30" s="33"/>
      <c r="AF30" s="33"/>
      <c r="AG30" s="96"/>
      <c r="AH30" s="33"/>
      <c r="AI30" s="96"/>
      <c r="AJ30" s="33"/>
      <c r="AK30" s="96"/>
      <c r="AL30" s="33"/>
      <c r="AM30" s="33"/>
      <c r="AN30" s="34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</row>
    <row r="31" spans="1:60" x14ac:dyDescent="0.3">
      <c r="A31" s="25" t="s">
        <v>145</v>
      </c>
      <c r="B31" s="33"/>
      <c r="C31" s="33"/>
      <c r="D31" s="33"/>
      <c r="E31" s="96"/>
      <c r="F31" s="6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>
        <v>8</v>
      </c>
      <c r="AF31" s="33"/>
      <c r="AG31" s="96"/>
      <c r="AH31" s="33"/>
      <c r="AI31" s="96"/>
      <c r="AJ31" s="33"/>
      <c r="AK31" s="96"/>
      <c r="AL31" s="33"/>
      <c r="AM31" s="33"/>
      <c r="AN31" s="34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</row>
    <row r="32" spans="1:60" x14ac:dyDescent="0.3">
      <c r="A32" s="25" t="s">
        <v>146</v>
      </c>
      <c r="B32" s="33"/>
      <c r="C32" s="33"/>
      <c r="D32" s="33"/>
      <c r="E32" s="96"/>
      <c r="F32" s="6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>
        <v>8</v>
      </c>
      <c r="AG32" s="96"/>
      <c r="AH32" s="33"/>
      <c r="AI32" s="96"/>
      <c r="AJ32" s="33"/>
      <c r="AK32" s="96"/>
      <c r="AL32" s="33"/>
      <c r="AM32" s="33"/>
      <c r="AN32" s="34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</row>
    <row r="33" spans="1:60" x14ac:dyDescent="0.3">
      <c r="A33" s="25" t="s">
        <v>147</v>
      </c>
      <c r="B33" s="33"/>
      <c r="C33" s="33"/>
      <c r="D33" s="33"/>
      <c r="E33" s="96"/>
      <c r="F33" s="6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96"/>
      <c r="AH33" s="33"/>
      <c r="AI33" s="96"/>
      <c r="AJ33" s="33"/>
      <c r="AK33" s="96"/>
      <c r="AL33" s="33"/>
      <c r="AM33" s="33"/>
      <c r="AN33" s="34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</row>
    <row r="34" spans="1:60" x14ac:dyDescent="0.3">
      <c r="A34" s="41" t="s">
        <v>148</v>
      </c>
      <c r="B34" s="95"/>
      <c r="C34" s="95"/>
      <c r="D34" s="95"/>
      <c r="E34" s="97"/>
      <c r="F34" s="91"/>
      <c r="G34" s="95"/>
      <c r="H34" s="95"/>
      <c r="I34" s="95"/>
      <c r="J34" s="95"/>
      <c r="K34" s="95"/>
      <c r="L34" s="95"/>
      <c r="M34" s="95"/>
      <c r="N34" s="95"/>
      <c r="O34" s="95"/>
      <c r="P34" s="95"/>
      <c r="Q34" s="95"/>
      <c r="R34" s="95"/>
      <c r="S34" s="95"/>
      <c r="T34" s="95"/>
      <c r="U34" s="95"/>
      <c r="V34" s="95"/>
      <c r="W34" s="95"/>
      <c r="X34" s="95"/>
      <c r="Y34" s="95"/>
      <c r="Z34" s="95"/>
      <c r="AA34" s="95"/>
      <c r="AB34" s="95"/>
      <c r="AC34" s="95"/>
      <c r="AD34" s="95"/>
      <c r="AE34" s="95"/>
      <c r="AF34" s="95"/>
      <c r="AG34" s="97"/>
      <c r="AH34" s="95"/>
      <c r="AI34" s="97"/>
      <c r="AJ34" s="95"/>
      <c r="AK34" s="97"/>
      <c r="AL34" s="95"/>
      <c r="AM34" s="95"/>
      <c r="AN34" s="42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</row>
    <row r="35" spans="1:60" x14ac:dyDescent="0.3">
      <c r="A35" s="25" t="s">
        <v>79</v>
      </c>
      <c r="B35" s="33"/>
      <c r="C35" s="33"/>
      <c r="D35" s="33"/>
      <c r="E35" s="96"/>
      <c r="F35" s="6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96"/>
      <c r="AH35" s="33"/>
      <c r="AI35" s="96"/>
      <c r="AJ35" s="33">
        <v>6</v>
      </c>
      <c r="AK35" s="96"/>
      <c r="AL35" s="33"/>
      <c r="AM35" s="33"/>
      <c r="AN35" s="34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</row>
    <row r="36" spans="1:60" x14ac:dyDescent="0.3">
      <c r="A36" s="41" t="s">
        <v>127</v>
      </c>
      <c r="B36" s="95"/>
      <c r="C36" s="95"/>
      <c r="D36" s="95"/>
      <c r="E36" s="97"/>
      <c r="F36" s="91"/>
      <c r="G36" s="95"/>
      <c r="H36" s="95"/>
      <c r="I36" s="95"/>
      <c r="J36" s="95"/>
      <c r="K36" s="95"/>
      <c r="L36" s="95"/>
      <c r="M36" s="95"/>
      <c r="N36" s="95"/>
      <c r="O36" s="95"/>
      <c r="P36" s="95"/>
      <c r="Q36" s="95"/>
      <c r="R36" s="95"/>
      <c r="S36" s="95"/>
      <c r="T36" s="95"/>
      <c r="U36" s="95"/>
      <c r="V36" s="95"/>
      <c r="W36" s="95"/>
      <c r="X36" s="95"/>
      <c r="Y36" s="95"/>
      <c r="Z36" s="95"/>
      <c r="AA36" s="95"/>
      <c r="AB36" s="95"/>
      <c r="AC36" s="95"/>
      <c r="AD36" s="95"/>
      <c r="AE36" s="95"/>
      <c r="AF36" s="95"/>
      <c r="AG36" s="97"/>
      <c r="AH36" s="95"/>
      <c r="AI36" s="97"/>
      <c r="AJ36" s="95"/>
      <c r="AK36" s="97">
        <v>6</v>
      </c>
      <c r="AL36" s="95"/>
      <c r="AM36" s="95"/>
      <c r="AN36" s="42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</row>
    <row r="37" spans="1:60" x14ac:dyDescent="0.3">
      <c r="A37" s="25" t="s">
        <v>78</v>
      </c>
      <c r="B37" s="33">
        <v>8</v>
      </c>
      <c r="C37" s="33">
        <v>8</v>
      </c>
      <c r="D37" s="33"/>
      <c r="E37" s="96"/>
      <c r="F37" s="6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96"/>
      <c r="AH37" s="33"/>
      <c r="AI37" s="96"/>
      <c r="AJ37" s="33"/>
      <c r="AK37" s="96"/>
      <c r="AL37" s="33"/>
      <c r="AM37" s="33"/>
      <c r="AN37" s="34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</row>
    <row r="38" spans="1:60" x14ac:dyDescent="0.3">
      <c r="A38" s="41" t="s">
        <v>281</v>
      </c>
      <c r="B38" s="95"/>
      <c r="C38" s="95"/>
      <c r="D38" s="95">
        <v>8</v>
      </c>
      <c r="E38" s="97">
        <v>8</v>
      </c>
      <c r="F38" s="91"/>
      <c r="G38" s="95"/>
      <c r="H38" s="95"/>
      <c r="I38" s="95"/>
      <c r="J38" s="95"/>
      <c r="K38" s="95"/>
      <c r="L38" s="95"/>
      <c r="M38" s="95"/>
      <c r="N38" s="95"/>
      <c r="O38" s="95"/>
      <c r="P38" s="95"/>
      <c r="Q38" s="95"/>
      <c r="R38" s="95"/>
      <c r="S38" s="95"/>
      <c r="T38" s="95"/>
      <c r="U38" s="95"/>
      <c r="V38" s="95"/>
      <c r="W38" s="95"/>
      <c r="X38" s="95"/>
      <c r="Y38" s="95"/>
      <c r="Z38" s="95"/>
      <c r="AA38" s="95"/>
      <c r="AB38" s="95"/>
      <c r="AC38" s="95"/>
      <c r="AD38" s="95"/>
      <c r="AE38" s="95"/>
      <c r="AF38" s="95"/>
      <c r="AG38" s="97"/>
      <c r="AH38" s="95"/>
      <c r="AI38" s="97"/>
      <c r="AJ38" s="95"/>
      <c r="AK38" s="97"/>
      <c r="AL38" s="95"/>
      <c r="AM38" s="95"/>
      <c r="AN38" s="42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</row>
    <row r="39" spans="1:60" x14ac:dyDescent="0.3">
      <c r="A39" s="25" t="s">
        <v>120</v>
      </c>
      <c r="B39" s="33"/>
      <c r="C39" s="33"/>
      <c r="D39" s="33"/>
      <c r="E39" s="96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96"/>
      <c r="AH39" s="33"/>
      <c r="AI39" s="96"/>
      <c r="AJ39" s="33"/>
      <c r="AK39" s="96"/>
      <c r="AL39" s="33"/>
      <c r="AM39" s="33"/>
      <c r="AN39" s="34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</row>
    <row r="40" spans="1:60" x14ac:dyDescent="0.3">
      <c r="A40" s="25" t="s">
        <v>51</v>
      </c>
      <c r="B40" s="33"/>
      <c r="C40" s="33"/>
      <c r="D40" s="33"/>
      <c r="E40" s="96"/>
      <c r="F40" s="6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3"/>
      <c r="AD40" s="33"/>
      <c r="AE40" s="33"/>
      <c r="AF40" s="33"/>
      <c r="AG40" s="96"/>
      <c r="AH40" s="33"/>
      <c r="AI40" s="96"/>
      <c r="AJ40" s="33"/>
      <c r="AK40" s="96"/>
      <c r="AL40" s="33"/>
      <c r="AM40" s="33"/>
      <c r="AN40" s="34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</row>
    <row r="41" spans="1:60" x14ac:dyDescent="0.3">
      <c r="A41" s="41" t="s">
        <v>119</v>
      </c>
      <c r="B41" s="95"/>
      <c r="C41" s="95"/>
      <c r="D41" s="95"/>
      <c r="E41" s="97"/>
      <c r="F41" s="91"/>
      <c r="G41" s="95"/>
      <c r="H41" s="95"/>
      <c r="I41" s="95"/>
      <c r="J41" s="95"/>
      <c r="K41" s="95"/>
      <c r="L41" s="95"/>
      <c r="M41" s="95"/>
      <c r="N41" s="95"/>
      <c r="O41" s="95"/>
      <c r="P41" s="95"/>
      <c r="Q41" s="95"/>
      <c r="R41" s="95"/>
      <c r="S41" s="95"/>
      <c r="T41" s="95"/>
      <c r="U41" s="95"/>
      <c r="V41" s="95"/>
      <c r="W41" s="95"/>
      <c r="X41" s="95"/>
      <c r="Y41" s="95"/>
      <c r="Z41" s="95"/>
      <c r="AA41" s="95"/>
      <c r="AB41" s="95"/>
      <c r="AC41" s="95"/>
      <c r="AD41" s="95"/>
      <c r="AE41" s="95"/>
      <c r="AF41" s="95"/>
      <c r="AG41" s="97"/>
      <c r="AH41" s="95"/>
      <c r="AI41" s="97"/>
      <c r="AJ41" s="95"/>
      <c r="AK41" s="97"/>
      <c r="AL41" s="95"/>
      <c r="AM41" s="95"/>
      <c r="AN41" s="42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</row>
    <row r="42" spans="1:60" x14ac:dyDescent="0.3">
      <c r="A42" s="25" t="s">
        <v>111</v>
      </c>
      <c r="B42" s="33"/>
      <c r="C42" s="33"/>
      <c r="D42" s="33"/>
      <c r="E42" s="96"/>
      <c r="F42" s="33">
        <v>6</v>
      </c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33"/>
      <c r="AF42" s="33"/>
      <c r="AG42" s="96"/>
      <c r="AH42" s="33"/>
      <c r="AI42" s="96"/>
      <c r="AJ42" s="33"/>
      <c r="AK42" s="96"/>
      <c r="AL42" s="33"/>
      <c r="AM42" s="33"/>
      <c r="AN42" s="34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</row>
    <row r="43" spans="1:60" x14ac:dyDescent="0.3">
      <c r="A43" s="25" t="s">
        <v>3</v>
      </c>
      <c r="B43" s="33"/>
      <c r="C43" s="33"/>
      <c r="D43" s="33"/>
      <c r="E43" s="96"/>
      <c r="F43" s="6"/>
      <c r="G43" s="33"/>
      <c r="H43" s="33"/>
      <c r="I43" s="33"/>
      <c r="J43" s="33">
        <v>6</v>
      </c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3"/>
      <c r="AD43" s="33"/>
      <c r="AE43" s="33"/>
      <c r="AF43" s="33"/>
      <c r="AG43" s="96"/>
      <c r="AH43" s="33"/>
      <c r="AI43" s="96"/>
      <c r="AJ43" s="33"/>
      <c r="AK43" s="96"/>
      <c r="AL43" s="33"/>
      <c r="AM43" s="33"/>
      <c r="AN43" s="34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</row>
    <row r="44" spans="1:60" x14ac:dyDescent="0.3">
      <c r="A44" s="25" t="s">
        <v>4</v>
      </c>
      <c r="B44" s="33"/>
      <c r="C44" s="33"/>
      <c r="D44" s="33"/>
      <c r="E44" s="96"/>
      <c r="F44" s="6"/>
      <c r="G44" s="33"/>
      <c r="H44" s="33"/>
      <c r="I44" s="33"/>
      <c r="J44" s="33"/>
      <c r="K44" s="33">
        <v>6</v>
      </c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33"/>
      <c r="AF44" s="33"/>
      <c r="AG44" s="96"/>
      <c r="AH44" s="33"/>
      <c r="AI44" s="96"/>
      <c r="AJ44" s="33"/>
      <c r="AK44" s="96"/>
      <c r="AL44" s="33"/>
      <c r="AM44" s="33"/>
      <c r="AN44" s="34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</row>
    <row r="45" spans="1:60" x14ac:dyDescent="0.3">
      <c r="A45" s="25" t="s">
        <v>103</v>
      </c>
      <c r="B45" s="33"/>
      <c r="C45" s="33"/>
      <c r="D45" s="33"/>
      <c r="E45" s="96"/>
      <c r="F45" s="6"/>
      <c r="G45" s="33"/>
      <c r="H45" s="33"/>
      <c r="I45" s="33"/>
      <c r="J45" s="33"/>
      <c r="K45" s="33"/>
      <c r="L45" s="33"/>
      <c r="M45" s="33"/>
      <c r="N45" s="33"/>
      <c r="O45" s="33"/>
      <c r="P45" s="33">
        <v>6</v>
      </c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3"/>
      <c r="AD45" s="33"/>
      <c r="AE45" s="33"/>
      <c r="AF45" s="33"/>
      <c r="AG45" s="96"/>
      <c r="AH45" s="33"/>
      <c r="AI45" s="96"/>
      <c r="AJ45" s="33"/>
      <c r="AK45" s="96"/>
      <c r="AL45" s="33"/>
      <c r="AM45" s="33"/>
      <c r="AN45" s="34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</row>
    <row r="46" spans="1:60" x14ac:dyDescent="0.3">
      <c r="A46" s="25" t="s">
        <v>104</v>
      </c>
      <c r="B46" s="33"/>
      <c r="C46" s="33"/>
      <c r="D46" s="33"/>
      <c r="E46" s="96"/>
      <c r="F46" s="6"/>
      <c r="G46" s="33"/>
      <c r="H46" s="33"/>
      <c r="I46" s="33"/>
      <c r="J46" s="33"/>
      <c r="K46" s="33"/>
      <c r="L46" s="33"/>
      <c r="M46" s="33"/>
      <c r="N46" s="33"/>
      <c r="O46" s="33">
        <v>6</v>
      </c>
      <c r="P46" s="33"/>
      <c r="Q46" s="33">
        <v>6</v>
      </c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96"/>
      <c r="AH46" s="33"/>
      <c r="AI46" s="96"/>
      <c r="AJ46" s="33"/>
      <c r="AK46" s="96"/>
      <c r="AL46" s="33"/>
      <c r="AM46" s="33"/>
      <c r="AN46" s="34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</row>
    <row r="47" spans="1:60" x14ac:dyDescent="0.3">
      <c r="A47" s="25" t="s">
        <v>105</v>
      </c>
      <c r="B47" s="33"/>
      <c r="C47" s="33"/>
      <c r="D47" s="33"/>
      <c r="E47" s="96"/>
      <c r="F47" s="6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>
        <v>6</v>
      </c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96"/>
      <c r="AH47" s="33"/>
      <c r="AI47" s="96"/>
      <c r="AJ47" s="33"/>
      <c r="AK47" s="96"/>
      <c r="AL47" s="33"/>
      <c r="AM47" s="33"/>
      <c r="AN47" s="34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</row>
    <row r="48" spans="1:60" x14ac:dyDescent="0.3">
      <c r="A48" s="25" t="s">
        <v>106</v>
      </c>
      <c r="B48" s="33"/>
      <c r="C48" s="33"/>
      <c r="D48" s="33"/>
      <c r="E48" s="96"/>
      <c r="F48" s="6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>
        <v>6</v>
      </c>
      <c r="U48" s="33"/>
      <c r="V48" s="33"/>
      <c r="W48" s="33"/>
      <c r="X48" s="33"/>
      <c r="Y48" s="33"/>
      <c r="Z48" s="33"/>
      <c r="AA48" s="33"/>
      <c r="AB48" s="33"/>
      <c r="AC48" s="33"/>
      <c r="AD48" s="33"/>
      <c r="AE48" s="33"/>
      <c r="AF48" s="33"/>
      <c r="AG48" s="96"/>
      <c r="AH48" s="33"/>
      <c r="AI48" s="96"/>
      <c r="AJ48" s="33"/>
      <c r="AK48" s="96"/>
      <c r="AL48" s="33"/>
      <c r="AM48" s="33"/>
      <c r="AN48" s="34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</row>
    <row r="49" spans="1:60" x14ac:dyDescent="0.3">
      <c r="A49" s="25" t="s">
        <v>107</v>
      </c>
      <c r="B49" s="33"/>
      <c r="C49" s="33"/>
      <c r="D49" s="33"/>
      <c r="E49" s="96"/>
      <c r="F49" s="6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>
        <v>6</v>
      </c>
      <c r="X49" s="33"/>
      <c r="Y49" s="33"/>
      <c r="Z49" s="33"/>
      <c r="AA49" s="33"/>
      <c r="AB49" s="33"/>
      <c r="AC49" s="33"/>
      <c r="AD49" s="33"/>
      <c r="AE49" s="33"/>
      <c r="AF49" s="33"/>
      <c r="AG49" s="96"/>
      <c r="AH49" s="33"/>
      <c r="AI49" s="96"/>
      <c r="AJ49" s="33"/>
      <c r="AK49" s="96"/>
      <c r="AL49" s="33"/>
      <c r="AM49" s="33"/>
      <c r="AN49" s="34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</row>
    <row r="50" spans="1:60" x14ac:dyDescent="0.3">
      <c r="A50" s="25" t="s">
        <v>108</v>
      </c>
      <c r="B50" s="33"/>
      <c r="C50" s="33"/>
      <c r="D50" s="33"/>
      <c r="E50" s="96"/>
      <c r="F50" s="6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>
        <v>6</v>
      </c>
      <c r="AA50" s="33"/>
      <c r="AB50" s="33"/>
      <c r="AC50" s="33"/>
      <c r="AD50" s="33"/>
      <c r="AE50" s="33"/>
      <c r="AF50" s="33"/>
      <c r="AG50" s="96"/>
      <c r="AH50" s="33"/>
      <c r="AI50" s="96"/>
      <c r="AJ50" s="33"/>
      <c r="AK50" s="96"/>
      <c r="AL50" s="33"/>
      <c r="AM50" s="33"/>
      <c r="AN50" s="34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</row>
    <row r="51" spans="1:60" x14ac:dyDescent="0.3">
      <c r="A51" s="25" t="s">
        <v>109</v>
      </c>
      <c r="B51" s="33"/>
      <c r="C51" s="33"/>
      <c r="D51" s="33"/>
      <c r="E51" s="96"/>
      <c r="F51" s="6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>
        <v>6</v>
      </c>
      <c r="Y51" s="33"/>
      <c r="Z51" s="33"/>
      <c r="AA51" s="33"/>
      <c r="AB51" s="33"/>
      <c r="AC51" s="33"/>
      <c r="AD51" s="33"/>
      <c r="AE51" s="33"/>
      <c r="AF51" s="33"/>
      <c r="AG51" s="96"/>
      <c r="AH51" s="33"/>
      <c r="AI51" s="96"/>
      <c r="AJ51" s="33"/>
      <c r="AK51" s="96"/>
      <c r="AL51" s="33"/>
      <c r="AM51" s="33"/>
      <c r="AN51" s="34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</row>
    <row r="52" spans="1:60" x14ac:dyDescent="0.3">
      <c r="A52" s="25" t="s">
        <v>110</v>
      </c>
      <c r="B52" s="33"/>
      <c r="C52" s="33"/>
      <c r="D52" s="33"/>
      <c r="E52" s="96"/>
      <c r="F52" s="6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>
        <v>6</v>
      </c>
      <c r="AE52" s="33"/>
      <c r="AF52" s="33"/>
      <c r="AG52" s="96"/>
      <c r="AH52" s="33"/>
      <c r="AI52" s="96"/>
      <c r="AJ52" s="33"/>
      <c r="AK52" s="96"/>
      <c r="AL52" s="33"/>
      <c r="AM52" s="33"/>
      <c r="AN52" s="34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</row>
    <row r="53" spans="1:60" x14ac:dyDescent="0.3">
      <c r="A53" s="25" t="s">
        <v>112</v>
      </c>
      <c r="B53" s="33"/>
      <c r="C53" s="33"/>
      <c r="D53" s="33"/>
      <c r="E53" s="96"/>
      <c r="F53" s="6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3"/>
      <c r="AD53" s="33"/>
      <c r="AE53" s="33"/>
      <c r="AF53" s="33">
        <v>6</v>
      </c>
      <c r="AG53" s="96"/>
      <c r="AH53" s="33"/>
      <c r="AI53" s="96"/>
      <c r="AJ53" s="33"/>
      <c r="AK53" s="96"/>
      <c r="AL53" s="33"/>
      <c r="AM53" s="33"/>
      <c r="AN53" s="34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</row>
    <row r="54" spans="1:60" x14ac:dyDescent="0.3">
      <c r="A54" s="25" t="s">
        <v>113</v>
      </c>
      <c r="B54" s="33"/>
      <c r="C54" s="33"/>
      <c r="D54" s="33"/>
      <c r="E54" s="96"/>
      <c r="F54" s="6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3"/>
      <c r="AD54" s="33"/>
      <c r="AE54" s="33"/>
      <c r="AF54" s="33">
        <v>6</v>
      </c>
      <c r="AG54" s="96"/>
      <c r="AH54" s="33"/>
      <c r="AI54" s="96"/>
      <c r="AJ54" s="33"/>
      <c r="AK54" s="96"/>
      <c r="AL54" s="33"/>
      <c r="AM54" s="33"/>
      <c r="AN54" s="34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</row>
    <row r="55" spans="1:60" x14ac:dyDescent="0.3">
      <c r="A55" s="25" t="s">
        <v>114</v>
      </c>
      <c r="B55" s="33"/>
      <c r="C55" s="33"/>
      <c r="D55" s="33"/>
      <c r="E55" s="96"/>
      <c r="F55" s="6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>
        <v>6</v>
      </c>
      <c r="AG55" s="96"/>
      <c r="AH55" s="33"/>
      <c r="AI55" s="96"/>
      <c r="AJ55" s="33"/>
      <c r="AK55" s="96"/>
      <c r="AL55" s="33"/>
      <c r="AM55" s="33"/>
      <c r="AN55" s="34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</row>
    <row r="56" spans="1:60" ht="16.2" thickBot="1" x14ac:dyDescent="0.35">
      <c r="A56" s="26" t="s">
        <v>115</v>
      </c>
      <c r="B56" s="35"/>
      <c r="C56" s="35"/>
      <c r="D56" s="35"/>
      <c r="E56" s="98"/>
      <c r="F56" s="7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  <c r="AA56" s="35"/>
      <c r="AB56" s="35"/>
      <c r="AC56" s="35">
        <v>6</v>
      </c>
      <c r="AD56" s="35"/>
      <c r="AE56" s="35"/>
      <c r="AF56" s="35"/>
      <c r="AG56" s="98"/>
      <c r="AH56" s="35"/>
      <c r="AI56" s="98"/>
      <c r="AJ56" s="35"/>
      <c r="AK56" s="98"/>
      <c r="AL56" s="35"/>
      <c r="AM56" s="35"/>
      <c r="AN56" s="36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</row>
    <row r="57" spans="1:60" x14ac:dyDescent="0.3">
      <c r="A57" s="117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</row>
    <row r="58" spans="1:60" x14ac:dyDescent="0.3">
      <c r="A58" s="117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</row>
    <row r="59" spans="1:60" x14ac:dyDescent="0.3">
      <c r="A59" s="117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</row>
    <row r="60" spans="1:60" x14ac:dyDescent="0.3">
      <c r="A60" s="117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</row>
    <row r="61" spans="1:60" x14ac:dyDescent="0.3">
      <c r="A61" s="117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65BC4-7454-4A45-AA93-771B11A13108}">
  <sheetPr>
    <tabColor rgb="FFD9C6FE"/>
  </sheetPr>
  <dimension ref="A1:B5"/>
  <sheetViews>
    <sheetView workbookViewId="0">
      <selection activeCell="A8" sqref="A8"/>
    </sheetView>
  </sheetViews>
  <sheetFormatPr defaultColWidth="9.33203125" defaultRowHeight="15.6" x14ac:dyDescent="0.3"/>
  <cols>
    <col min="1" max="1" width="12.109375" style="1" customWidth="1"/>
    <col min="2" max="16384" width="9.33203125" style="1"/>
  </cols>
  <sheetData>
    <row r="1" spans="1:2" ht="16.2" thickBot="1" x14ac:dyDescent="0.35">
      <c r="A1" s="1" t="str">
        <f>_xlfn.CONCAT( "Table of Initial Disposal Capacity  [",VLOOKUP("volume", Units!$A$2:$B$11, 2, FALSE),"/", VLOOKUP("time", Units!$A$2:$B$11, 2, FALSE),"]")</f>
        <v>Table of Initial Disposal Capacity  [bbl/week]</v>
      </c>
    </row>
    <row r="2" spans="1:2" s="5" customFormat="1" x14ac:dyDescent="0.3">
      <c r="A2" s="3" t="s">
        <v>209</v>
      </c>
      <c r="B2" s="24" t="s">
        <v>207</v>
      </c>
    </row>
    <row r="3" spans="1:2" x14ac:dyDescent="0.3">
      <c r="A3" s="25" t="s">
        <v>120</v>
      </c>
      <c r="B3" s="34">
        <v>100000</v>
      </c>
    </row>
    <row r="4" spans="1:2" x14ac:dyDescent="0.3">
      <c r="A4" s="25" t="s">
        <v>51</v>
      </c>
      <c r="B4" s="34">
        <v>150000</v>
      </c>
    </row>
    <row r="5" spans="1:2" ht="16.2" thickBot="1" x14ac:dyDescent="0.35">
      <c r="A5" s="26" t="s">
        <v>119</v>
      </c>
      <c r="B5" s="36">
        <v>200000</v>
      </c>
    </row>
  </sheetData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F796A-A87C-4F37-A825-AF0AD18C802A}">
  <sheetPr>
    <tabColor rgb="FFD9C6FE"/>
  </sheetPr>
  <dimension ref="A1:B4"/>
  <sheetViews>
    <sheetView workbookViewId="0">
      <selection activeCell="A8" sqref="A8"/>
    </sheetView>
  </sheetViews>
  <sheetFormatPr defaultColWidth="9.33203125" defaultRowHeight="15.6" x14ac:dyDescent="0.3"/>
  <cols>
    <col min="1" max="1" width="16.44140625" style="1" customWidth="1"/>
    <col min="2" max="2" width="12.109375" style="1" bestFit="1" customWidth="1"/>
    <col min="3" max="16384" width="9.33203125" style="1"/>
  </cols>
  <sheetData>
    <row r="1" spans="1:2" ht="16.2" thickBot="1" x14ac:dyDescent="0.35">
      <c r="A1" s="1" t="str">
        <f>_xlfn.CONCAT( "Table of Initial Storage Capacity [",VLOOKUP("volume", Units!$A$2:$B$11, 2, FALSE),"]")</f>
        <v>Table of Initial Storage Capacity [bbl]</v>
      </c>
    </row>
    <row r="2" spans="1:2" s="5" customFormat="1" x14ac:dyDescent="0.3">
      <c r="A2" s="3" t="s">
        <v>211</v>
      </c>
      <c r="B2" s="24" t="s">
        <v>207</v>
      </c>
    </row>
    <row r="3" spans="1:2" s="5" customFormat="1" x14ac:dyDescent="0.3">
      <c r="A3" s="25" t="s">
        <v>78</v>
      </c>
      <c r="B3" s="34">
        <v>100000</v>
      </c>
    </row>
    <row r="4" spans="1:2" ht="16.2" thickBot="1" x14ac:dyDescent="0.35">
      <c r="A4" s="26" t="s">
        <v>281</v>
      </c>
      <c r="B4" s="36">
        <v>100000</v>
      </c>
    </row>
  </sheetData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13F53-E3AE-452E-A1A1-316A2C800322}">
  <sheetPr>
    <tabColor rgb="FFD9C6FE"/>
  </sheetPr>
  <dimension ref="A1:C4"/>
  <sheetViews>
    <sheetView workbookViewId="0">
      <selection activeCell="A8" sqref="A8"/>
    </sheetView>
  </sheetViews>
  <sheetFormatPr defaultColWidth="9.33203125" defaultRowHeight="15.6" x14ac:dyDescent="0.3"/>
  <cols>
    <col min="1" max="1" width="17.109375" style="1" customWidth="1"/>
    <col min="2" max="16384" width="9.33203125" style="1"/>
  </cols>
  <sheetData>
    <row r="1" spans="1:3" ht="16.2" thickBot="1" x14ac:dyDescent="0.35">
      <c r="A1" s="1" t="str">
        <f>_xlfn.CONCAT( "Table of Initial Treatment Capacity [",VLOOKUP("volume", Units!$A$2:$B$11, 2, FALSE),"/", VLOOKUP("time", Units!$A$2:$B$11, 2, FALSE),"]")</f>
        <v>Table of Initial Treatment Capacity [bbl/week]</v>
      </c>
    </row>
    <row r="2" spans="1:3" s="5" customFormat="1" x14ac:dyDescent="0.3">
      <c r="A2" s="3" t="s">
        <v>212</v>
      </c>
      <c r="B2" s="68" t="s">
        <v>273</v>
      </c>
      <c r="C2" s="24" t="s">
        <v>274</v>
      </c>
    </row>
    <row r="3" spans="1:3" s="5" customFormat="1" x14ac:dyDescent="0.3">
      <c r="A3" s="25" t="s">
        <v>79</v>
      </c>
      <c r="B3" s="72">
        <v>75000</v>
      </c>
      <c r="C3" s="69">
        <v>0</v>
      </c>
    </row>
    <row r="4" spans="1:3" ht="16.2" thickBot="1" x14ac:dyDescent="0.35">
      <c r="A4" s="26" t="s">
        <v>127</v>
      </c>
      <c r="B4" s="73">
        <v>50000</v>
      </c>
      <c r="C4" s="36">
        <v>0</v>
      </c>
    </row>
  </sheetData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298BC7-9C6D-4971-BB78-61E60B2E007F}">
  <sheetPr>
    <tabColor rgb="FFD9C6FE"/>
  </sheetPr>
  <dimension ref="A1"/>
  <sheetViews>
    <sheetView workbookViewId="0">
      <selection activeCell="A8" sqref="A8"/>
    </sheetView>
  </sheetViews>
  <sheetFormatPr defaultColWidth="9.109375" defaultRowHeight="15.6" x14ac:dyDescent="0.3"/>
  <cols>
    <col min="1" max="16384" width="9.109375" style="1"/>
  </cols>
  <sheetData>
    <row r="1" spans="1:1" x14ac:dyDescent="0.3">
      <c r="A1" s="1" t="str">
        <f>_xlfn.CONCAT( "Table of Beneficial Reuse minimum required flow [",VLOOKUP("volume", Units!$A$2:$B$11, 2, FALSE),"/", VLOOKUP("time", Units!$A$2:$B$11, 2, FALSE),"]")</f>
        <v>Table of Beneficial Reuse minimum required flow [bbl/week]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298B0-398A-4CF6-B3B6-5AB5075901E4}">
  <sheetPr>
    <tabColor rgb="FFD9C6FE"/>
  </sheetPr>
  <dimension ref="A1"/>
  <sheetViews>
    <sheetView workbookViewId="0">
      <selection activeCell="A2" sqref="A2"/>
    </sheetView>
  </sheetViews>
  <sheetFormatPr defaultColWidth="9.109375" defaultRowHeight="15.6" x14ac:dyDescent="0.3"/>
  <cols>
    <col min="1" max="16384" width="9.109375" style="1"/>
  </cols>
  <sheetData>
    <row r="1" spans="1:1" x14ac:dyDescent="0.3">
      <c r="A1" s="1" t="str">
        <f>_xlfn.CONCAT( "Table of Beneficial Reuse Capacity [",VLOOKUP("volume", Units!$A$2:$B$11, 2, FALSE),"/", VLOOKUP("time", Units!$A$2:$B$11, 2, FALSE),"] (leave cells blank to indicate infinite capacity)")</f>
        <v>Table of Beneficial Reuse Capacity [bbl/week] (leave cells blank to indicate infinite capacity)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2DBF7-A8C0-4CE1-BE66-F8E077B6F0F1}">
  <sheetPr>
    <tabColor rgb="FFD9C6FE"/>
  </sheetPr>
  <dimension ref="A1:BA15"/>
  <sheetViews>
    <sheetView workbookViewId="0">
      <selection activeCell="A12" sqref="A12"/>
    </sheetView>
  </sheetViews>
  <sheetFormatPr defaultColWidth="9.33203125" defaultRowHeight="15.6" x14ac:dyDescent="0.3"/>
  <cols>
    <col min="1" max="1" width="21" style="1" customWidth="1"/>
    <col min="2" max="16384" width="9.33203125" style="1"/>
  </cols>
  <sheetData>
    <row r="1" spans="1:53" ht="16.2" thickBot="1" x14ac:dyDescent="0.35">
      <c r="A1" s="1" t="str">
        <f>_xlfn.CONCAT( "Table of Freshwater Sourcing Availability [",VLOOKUP("volume", Units!$A$2:$B$11, 2, FALSE),"/", VLOOKUP("time", Units!$A$2:$B$11, 2, FALSE),"]")</f>
        <v>Table of Freshwater Sourcing Availability [bbl/week]</v>
      </c>
    </row>
    <row r="2" spans="1:53" s="5" customFormat="1" x14ac:dyDescent="0.3">
      <c r="A2" s="3" t="s">
        <v>210</v>
      </c>
      <c r="B2" s="4" t="s">
        <v>164</v>
      </c>
      <c r="C2" s="4" t="s">
        <v>165</v>
      </c>
      <c r="D2" s="4" t="s">
        <v>166</v>
      </c>
      <c r="E2" s="4" t="s">
        <v>167</v>
      </c>
      <c r="F2" s="4" t="s">
        <v>168</v>
      </c>
      <c r="G2" s="4" t="s">
        <v>169</v>
      </c>
      <c r="H2" s="4" t="s">
        <v>170</v>
      </c>
      <c r="I2" s="4" t="s">
        <v>171</v>
      </c>
      <c r="J2" s="4" t="s">
        <v>172</v>
      </c>
      <c r="K2" s="4" t="s">
        <v>151</v>
      </c>
      <c r="L2" s="4" t="s">
        <v>152</v>
      </c>
      <c r="M2" s="4" t="s">
        <v>153</v>
      </c>
      <c r="N2" s="4" t="s">
        <v>154</v>
      </c>
      <c r="O2" s="4" t="s">
        <v>155</v>
      </c>
      <c r="P2" s="4" t="s">
        <v>156</v>
      </c>
      <c r="Q2" s="4" t="s">
        <v>157</v>
      </c>
      <c r="R2" s="4" t="s">
        <v>158</v>
      </c>
      <c r="S2" s="4" t="s">
        <v>159</v>
      </c>
      <c r="T2" s="4" t="s">
        <v>160</v>
      </c>
      <c r="U2" s="4" t="s">
        <v>161</v>
      </c>
      <c r="V2" s="4" t="s">
        <v>162</v>
      </c>
      <c r="W2" s="4" t="s">
        <v>163</v>
      </c>
      <c r="X2" s="4" t="s">
        <v>174</v>
      </c>
      <c r="Y2" s="4" t="s">
        <v>175</v>
      </c>
      <c r="Z2" s="4" t="s">
        <v>176</v>
      </c>
      <c r="AA2" s="4" t="s">
        <v>177</v>
      </c>
      <c r="AB2" s="4" t="s">
        <v>178</v>
      </c>
      <c r="AC2" s="4" t="s">
        <v>179</v>
      </c>
      <c r="AD2" s="4" t="s">
        <v>180</v>
      </c>
      <c r="AE2" s="4" t="s">
        <v>181</v>
      </c>
      <c r="AF2" s="4" t="s">
        <v>182</v>
      </c>
      <c r="AG2" s="4" t="s">
        <v>183</v>
      </c>
      <c r="AH2" s="4" t="s">
        <v>184</v>
      </c>
      <c r="AI2" s="4" t="s">
        <v>185</v>
      </c>
      <c r="AJ2" s="4" t="s">
        <v>186</v>
      </c>
      <c r="AK2" s="4" t="s">
        <v>187</v>
      </c>
      <c r="AL2" s="4" t="s">
        <v>188</v>
      </c>
      <c r="AM2" s="4" t="s">
        <v>189</v>
      </c>
      <c r="AN2" s="4" t="s">
        <v>190</v>
      </c>
      <c r="AO2" s="4" t="s">
        <v>191</v>
      </c>
      <c r="AP2" s="4" t="s">
        <v>192</v>
      </c>
      <c r="AQ2" s="4" t="s">
        <v>193</v>
      </c>
      <c r="AR2" s="4" t="s">
        <v>194</v>
      </c>
      <c r="AS2" s="4" t="s">
        <v>195</v>
      </c>
      <c r="AT2" s="4" t="s">
        <v>196</v>
      </c>
      <c r="AU2" s="4" t="s">
        <v>197</v>
      </c>
      <c r="AV2" s="4" t="s">
        <v>198</v>
      </c>
      <c r="AW2" s="4" t="s">
        <v>199</v>
      </c>
      <c r="AX2" s="4" t="s">
        <v>200</v>
      </c>
      <c r="AY2" s="4" t="s">
        <v>201</v>
      </c>
      <c r="AZ2" s="4" t="s">
        <v>202</v>
      </c>
      <c r="BA2" s="24" t="s">
        <v>203</v>
      </c>
    </row>
    <row r="3" spans="1:53" s="5" customFormat="1" x14ac:dyDescent="0.3">
      <c r="A3" s="25" t="s">
        <v>66</v>
      </c>
      <c r="B3" s="33">
        <v>250000</v>
      </c>
      <c r="C3" s="33">
        <v>250000</v>
      </c>
      <c r="D3" s="33">
        <v>250000</v>
      </c>
      <c r="E3" s="33">
        <v>250000</v>
      </c>
      <c r="F3" s="33">
        <v>250000</v>
      </c>
      <c r="G3" s="33">
        <v>250000</v>
      </c>
      <c r="H3" s="33">
        <v>250000</v>
      </c>
      <c r="I3" s="33">
        <v>250000</v>
      </c>
      <c r="J3" s="33">
        <v>250000</v>
      </c>
      <c r="K3" s="33">
        <v>250000</v>
      </c>
      <c r="L3" s="33">
        <v>250000</v>
      </c>
      <c r="M3" s="33">
        <v>250000</v>
      </c>
      <c r="N3" s="33">
        <v>250000</v>
      </c>
      <c r="O3" s="33">
        <v>250000</v>
      </c>
      <c r="P3" s="33">
        <v>250000</v>
      </c>
      <c r="Q3" s="33">
        <v>250000</v>
      </c>
      <c r="R3" s="33">
        <v>250000</v>
      </c>
      <c r="S3" s="33">
        <v>250000</v>
      </c>
      <c r="T3" s="33">
        <v>250000</v>
      </c>
      <c r="U3" s="33">
        <v>250000</v>
      </c>
      <c r="V3" s="33">
        <v>250000</v>
      </c>
      <c r="W3" s="33">
        <v>250000</v>
      </c>
      <c r="X3" s="33">
        <v>250000</v>
      </c>
      <c r="Y3" s="33">
        <v>250000</v>
      </c>
      <c r="Z3" s="33">
        <v>250000</v>
      </c>
      <c r="AA3" s="33">
        <v>250000</v>
      </c>
      <c r="AB3" s="33">
        <v>250000</v>
      </c>
      <c r="AC3" s="33">
        <v>250000</v>
      </c>
      <c r="AD3" s="33">
        <v>250000</v>
      </c>
      <c r="AE3" s="33">
        <v>250000</v>
      </c>
      <c r="AF3" s="33">
        <v>250000</v>
      </c>
      <c r="AG3" s="33">
        <v>250000</v>
      </c>
      <c r="AH3" s="33">
        <v>250000</v>
      </c>
      <c r="AI3" s="33">
        <v>250000</v>
      </c>
      <c r="AJ3" s="33">
        <v>250000</v>
      </c>
      <c r="AK3" s="33">
        <v>250000</v>
      </c>
      <c r="AL3" s="33">
        <v>250000</v>
      </c>
      <c r="AM3" s="33">
        <v>250000</v>
      </c>
      <c r="AN3" s="33">
        <v>250000</v>
      </c>
      <c r="AO3" s="33">
        <v>250000</v>
      </c>
      <c r="AP3" s="33">
        <v>250000</v>
      </c>
      <c r="AQ3" s="33">
        <v>250000</v>
      </c>
      <c r="AR3" s="33">
        <v>250000</v>
      </c>
      <c r="AS3" s="33">
        <v>250000</v>
      </c>
      <c r="AT3" s="33">
        <v>250000</v>
      </c>
      <c r="AU3" s="33">
        <v>250000</v>
      </c>
      <c r="AV3" s="33">
        <v>250000</v>
      </c>
      <c r="AW3" s="33">
        <v>250000</v>
      </c>
      <c r="AX3" s="33">
        <v>250000</v>
      </c>
      <c r="AY3" s="33">
        <v>250000</v>
      </c>
      <c r="AZ3" s="33">
        <v>250000</v>
      </c>
      <c r="BA3" s="34">
        <v>250000</v>
      </c>
    </row>
    <row r="4" spans="1:53" s="5" customFormat="1" x14ac:dyDescent="0.3">
      <c r="A4" s="25" t="s">
        <v>67</v>
      </c>
      <c r="B4" s="33">
        <v>150000</v>
      </c>
      <c r="C4" s="33">
        <v>150000</v>
      </c>
      <c r="D4" s="33">
        <v>150000</v>
      </c>
      <c r="E4" s="33">
        <v>150000</v>
      </c>
      <c r="F4" s="33">
        <v>150000</v>
      </c>
      <c r="G4" s="33">
        <v>150000</v>
      </c>
      <c r="H4" s="33">
        <v>150000</v>
      </c>
      <c r="I4" s="33">
        <v>150000</v>
      </c>
      <c r="J4" s="33">
        <v>150000</v>
      </c>
      <c r="K4" s="33">
        <v>150000</v>
      </c>
      <c r="L4" s="33">
        <v>150000</v>
      </c>
      <c r="M4" s="33">
        <v>150000</v>
      </c>
      <c r="N4" s="33">
        <v>150000</v>
      </c>
      <c r="O4" s="33">
        <v>150000</v>
      </c>
      <c r="P4" s="33">
        <v>150000</v>
      </c>
      <c r="Q4" s="33">
        <v>150000</v>
      </c>
      <c r="R4" s="33">
        <v>150000</v>
      </c>
      <c r="S4" s="33">
        <v>150000</v>
      </c>
      <c r="T4" s="33">
        <v>150000</v>
      </c>
      <c r="U4" s="33">
        <v>150000</v>
      </c>
      <c r="V4" s="33">
        <v>150000</v>
      </c>
      <c r="W4" s="33">
        <v>150000</v>
      </c>
      <c r="X4" s="33">
        <v>150000</v>
      </c>
      <c r="Y4" s="33">
        <v>150000</v>
      </c>
      <c r="Z4" s="33">
        <v>150000</v>
      </c>
      <c r="AA4" s="33">
        <v>150000</v>
      </c>
      <c r="AB4" s="33">
        <v>150000</v>
      </c>
      <c r="AC4" s="33">
        <v>150000</v>
      </c>
      <c r="AD4" s="33">
        <v>150000</v>
      </c>
      <c r="AE4" s="33">
        <v>150000</v>
      </c>
      <c r="AF4" s="33">
        <v>150000</v>
      </c>
      <c r="AG4" s="33">
        <v>150000</v>
      </c>
      <c r="AH4" s="33">
        <v>150000</v>
      </c>
      <c r="AI4" s="33">
        <v>150000</v>
      </c>
      <c r="AJ4" s="33">
        <v>150000</v>
      </c>
      <c r="AK4" s="33">
        <v>150000</v>
      </c>
      <c r="AL4" s="33">
        <v>150000</v>
      </c>
      <c r="AM4" s="33">
        <v>150000</v>
      </c>
      <c r="AN4" s="33">
        <v>150000</v>
      </c>
      <c r="AO4" s="33">
        <v>150000</v>
      </c>
      <c r="AP4" s="33">
        <v>150000</v>
      </c>
      <c r="AQ4" s="33">
        <v>150000</v>
      </c>
      <c r="AR4" s="33">
        <v>150000</v>
      </c>
      <c r="AS4" s="33">
        <v>150000</v>
      </c>
      <c r="AT4" s="33">
        <v>150000</v>
      </c>
      <c r="AU4" s="33">
        <v>150000</v>
      </c>
      <c r="AV4" s="33">
        <v>150000</v>
      </c>
      <c r="AW4" s="33">
        <v>150000</v>
      </c>
      <c r="AX4" s="33">
        <v>150000</v>
      </c>
      <c r="AY4" s="33">
        <v>150000</v>
      </c>
      <c r="AZ4" s="33">
        <v>150000</v>
      </c>
      <c r="BA4" s="34">
        <v>150000</v>
      </c>
    </row>
    <row r="5" spans="1:53" s="5" customFormat="1" x14ac:dyDescent="0.3">
      <c r="A5" s="25" t="s">
        <v>121</v>
      </c>
      <c r="B5" s="33">
        <v>250000</v>
      </c>
      <c r="C5" s="33">
        <v>250000</v>
      </c>
      <c r="D5" s="33">
        <v>250000</v>
      </c>
      <c r="E5" s="33">
        <v>250000</v>
      </c>
      <c r="F5" s="33">
        <v>250000</v>
      </c>
      <c r="G5" s="33">
        <v>250000</v>
      </c>
      <c r="H5" s="33">
        <v>250000</v>
      </c>
      <c r="I5" s="33">
        <v>250000</v>
      </c>
      <c r="J5" s="33">
        <v>250000</v>
      </c>
      <c r="K5" s="33">
        <v>250000</v>
      </c>
      <c r="L5" s="33">
        <v>250000</v>
      </c>
      <c r="M5" s="33">
        <v>250000</v>
      </c>
      <c r="N5" s="33">
        <v>250000</v>
      </c>
      <c r="O5" s="33">
        <v>250000</v>
      </c>
      <c r="P5" s="33">
        <v>250000</v>
      </c>
      <c r="Q5" s="33">
        <v>250000</v>
      </c>
      <c r="R5" s="33">
        <v>250000</v>
      </c>
      <c r="S5" s="33">
        <v>250000</v>
      </c>
      <c r="T5" s="33">
        <v>250000</v>
      </c>
      <c r="U5" s="33">
        <v>250000</v>
      </c>
      <c r="V5" s="33">
        <v>250000</v>
      </c>
      <c r="W5" s="33">
        <v>250000</v>
      </c>
      <c r="X5" s="33">
        <v>250000</v>
      </c>
      <c r="Y5" s="33">
        <v>250000</v>
      </c>
      <c r="Z5" s="33">
        <v>250000</v>
      </c>
      <c r="AA5" s="33">
        <v>250000</v>
      </c>
      <c r="AB5" s="33">
        <v>250000</v>
      </c>
      <c r="AC5" s="33">
        <v>250000</v>
      </c>
      <c r="AD5" s="33">
        <v>250000</v>
      </c>
      <c r="AE5" s="33">
        <v>250000</v>
      </c>
      <c r="AF5" s="33">
        <v>250000</v>
      </c>
      <c r="AG5" s="33">
        <v>250000</v>
      </c>
      <c r="AH5" s="33">
        <v>250000</v>
      </c>
      <c r="AI5" s="33">
        <v>250000</v>
      </c>
      <c r="AJ5" s="33">
        <v>250000</v>
      </c>
      <c r="AK5" s="33">
        <v>250000</v>
      </c>
      <c r="AL5" s="33">
        <v>250000</v>
      </c>
      <c r="AM5" s="33">
        <v>250000</v>
      </c>
      <c r="AN5" s="33">
        <v>250000</v>
      </c>
      <c r="AO5" s="33">
        <v>250000</v>
      </c>
      <c r="AP5" s="33">
        <v>250000</v>
      </c>
      <c r="AQ5" s="33">
        <v>250000</v>
      </c>
      <c r="AR5" s="33">
        <v>250000</v>
      </c>
      <c r="AS5" s="33">
        <v>250000</v>
      </c>
      <c r="AT5" s="33">
        <v>250000</v>
      </c>
      <c r="AU5" s="33">
        <v>250000</v>
      </c>
      <c r="AV5" s="33">
        <v>250000</v>
      </c>
      <c r="AW5" s="33">
        <v>250000</v>
      </c>
      <c r="AX5" s="33">
        <v>250000</v>
      </c>
      <c r="AY5" s="33">
        <v>250000</v>
      </c>
      <c r="AZ5" s="33">
        <v>250000</v>
      </c>
      <c r="BA5" s="34">
        <v>250000</v>
      </c>
    </row>
    <row r="6" spans="1:53" s="5" customFormat="1" x14ac:dyDescent="0.3">
      <c r="A6" s="25" t="s">
        <v>122</v>
      </c>
      <c r="B6" s="33">
        <v>150000</v>
      </c>
      <c r="C6" s="33">
        <v>150000</v>
      </c>
      <c r="D6" s="33">
        <v>150000</v>
      </c>
      <c r="E6" s="33">
        <v>150000</v>
      </c>
      <c r="F6" s="33">
        <v>150000</v>
      </c>
      <c r="G6" s="33">
        <v>150000</v>
      </c>
      <c r="H6" s="33">
        <v>150000</v>
      </c>
      <c r="I6" s="33">
        <v>150000</v>
      </c>
      <c r="J6" s="33">
        <v>150000</v>
      </c>
      <c r="K6" s="33">
        <v>150000</v>
      </c>
      <c r="L6" s="33">
        <v>150000</v>
      </c>
      <c r="M6" s="33">
        <v>150000</v>
      </c>
      <c r="N6" s="33">
        <v>150000</v>
      </c>
      <c r="O6" s="33">
        <v>150000</v>
      </c>
      <c r="P6" s="33">
        <v>150000</v>
      </c>
      <c r="Q6" s="33">
        <v>150000</v>
      </c>
      <c r="R6" s="33">
        <v>150000</v>
      </c>
      <c r="S6" s="33">
        <v>150000</v>
      </c>
      <c r="T6" s="33">
        <v>150000</v>
      </c>
      <c r="U6" s="33">
        <v>150000</v>
      </c>
      <c r="V6" s="33">
        <v>150000</v>
      </c>
      <c r="W6" s="33">
        <v>150000</v>
      </c>
      <c r="X6" s="33">
        <v>150000</v>
      </c>
      <c r="Y6" s="33">
        <v>150000</v>
      </c>
      <c r="Z6" s="33">
        <v>150000</v>
      </c>
      <c r="AA6" s="33">
        <v>150000</v>
      </c>
      <c r="AB6" s="33">
        <v>150000</v>
      </c>
      <c r="AC6" s="33">
        <v>150000</v>
      </c>
      <c r="AD6" s="33">
        <v>150000</v>
      </c>
      <c r="AE6" s="33">
        <v>150000</v>
      </c>
      <c r="AF6" s="33">
        <v>150000</v>
      </c>
      <c r="AG6" s="33">
        <v>150000</v>
      </c>
      <c r="AH6" s="33">
        <v>150000</v>
      </c>
      <c r="AI6" s="33">
        <v>150000</v>
      </c>
      <c r="AJ6" s="33">
        <v>150000</v>
      </c>
      <c r="AK6" s="33">
        <v>150000</v>
      </c>
      <c r="AL6" s="33">
        <v>150000</v>
      </c>
      <c r="AM6" s="33">
        <v>150000</v>
      </c>
      <c r="AN6" s="33">
        <v>150000</v>
      </c>
      <c r="AO6" s="33">
        <v>150000</v>
      </c>
      <c r="AP6" s="33">
        <v>150000</v>
      </c>
      <c r="AQ6" s="33">
        <v>150000</v>
      </c>
      <c r="AR6" s="33">
        <v>150000</v>
      </c>
      <c r="AS6" s="33">
        <v>150000</v>
      </c>
      <c r="AT6" s="33">
        <v>150000</v>
      </c>
      <c r="AU6" s="33">
        <v>150000</v>
      </c>
      <c r="AV6" s="33">
        <v>150000</v>
      </c>
      <c r="AW6" s="33">
        <v>150000</v>
      </c>
      <c r="AX6" s="33">
        <v>150000</v>
      </c>
      <c r="AY6" s="33">
        <v>150000</v>
      </c>
      <c r="AZ6" s="33">
        <v>150000</v>
      </c>
      <c r="BA6" s="34">
        <v>150000</v>
      </c>
    </row>
    <row r="7" spans="1:53" s="5" customFormat="1" x14ac:dyDescent="0.3">
      <c r="A7" s="25" t="s">
        <v>123</v>
      </c>
      <c r="B7" s="33">
        <v>250000</v>
      </c>
      <c r="C7" s="33">
        <v>250000</v>
      </c>
      <c r="D7" s="33">
        <v>250000</v>
      </c>
      <c r="E7" s="33">
        <v>250000</v>
      </c>
      <c r="F7" s="33">
        <v>250000</v>
      </c>
      <c r="G7" s="33">
        <v>250000</v>
      </c>
      <c r="H7" s="33">
        <v>250000</v>
      </c>
      <c r="I7" s="33">
        <v>250000</v>
      </c>
      <c r="J7" s="33">
        <v>250000</v>
      </c>
      <c r="K7" s="33">
        <v>250000</v>
      </c>
      <c r="L7" s="33">
        <v>250000</v>
      </c>
      <c r="M7" s="33">
        <v>250000</v>
      </c>
      <c r="N7" s="33">
        <v>250000</v>
      </c>
      <c r="O7" s="33">
        <v>250000</v>
      </c>
      <c r="P7" s="33">
        <v>250000</v>
      </c>
      <c r="Q7" s="33">
        <v>250000</v>
      </c>
      <c r="R7" s="33">
        <v>250000</v>
      </c>
      <c r="S7" s="33">
        <v>250000</v>
      </c>
      <c r="T7" s="33">
        <v>250000</v>
      </c>
      <c r="U7" s="33">
        <v>250000</v>
      </c>
      <c r="V7" s="33">
        <v>250000</v>
      </c>
      <c r="W7" s="33">
        <v>250000</v>
      </c>
      <c r="X7" s="33">
        <v>250000</v>
      </c>
      <c r="Y7" s="33">
        <v>250000</v>
      </c>
      <c r="Z7" s="33">
        <v>250000</v>
      </c>
      <c r="AA7" s="33">
        <v>250000</v>
      </c>
      <c r="AB7" s="33">
        <v>250000</v>
      </c>
      <c r="AC7" s="33">
        <v>250000</v>
      </c>
      <c r="AD7" s="33">
        <v>250000</v>
      </c>
      <c r="AE7" s="33">
        <v>250000</v>
      </c>
      <c r="AF7" s="33">
        <v>250000</v>
      </c>
      <c r="AG7" s="33">
        <v>250000</v>
      </c>
      <c r="AH7" s="33">
        <v>250000</v>
      </c>
      <c r="AI7" s="33">
        <v>250000</v>
      </c>
      <c r="AJ7" s="33">
        <v>250000</v>
      </c>
      <c r="AK7" s="33">
        <v>250000</v>
      </c>
      <c r="AL7" s="33">
        <v>250000</v>
      </c>
      <c r="AM7" s="33">
        <v>250000</v>
      </c>
      <c r="AN7" s="33">
        <v>250000</v>
      </c>
      <c r="AO7" s="33">
        <v>250000</v>
      </c>
      <c r="AP7" s="33">
        <v>250000</v>
      </c>
      <c r="AQ7" s="33">
        <v>250000</v>
      </c>
      <c r="AR7" s="33">
        <v>250000</v>
      </c>
      <c r="AS7" s="33">
        <v>250000</v>
      </c>
      <c r="AT7" s="33">
        <v>250000</v>
      </c>
      <c r="AU7" s="33">
        <v>250000</v>
      </c>
      <c r="AV7" s="33">
        <v>250000</v>
      </c>
      <c r="AW7" s="33">
        <v>250000</v>
      </c>
      <c r="AX7" s="33">
        <v>250000</v>
      </c>
      <c r="AY7" s="33">
        <v>250000</v>
      </c>
      <c r="AZ7" s="33">
        <v>250000</v>
      </c>
      <c r="BA7" s="34">
        <v>250000</v>
      </c>
    </row>
    <row r="8" spans="1:53" s="5" customFormat="1" x14ac:dyDescent="0.3">
      <c r="A8" s="25" t="s">
        <v>124</v>
      </c>
      <c r="B8" s="33">
        <v>150000</v>
      </c>
      <c r="C8" s="33">
        <v>150000</v>
      </c>
      <c r="D8" s="33">
        <v>150000</v>
      </c>
      <c r="E8" s="33">
        <v>150000</v>
      </c>
      <c r="F8" s="33">
        <v>150000</v>
      </c>
      <c r="G8" s="33">
        <v>150000</v>
      </c>
      <c r="H8" s="33">
        <v>150000</v>
      </c>
      <c r="I8" s="33">
        <v>150000</v>
      </c>
      <c r="J8" s="33">
        <v>150000</v>
      </c>
      <c r="K8" s="33">
        <v>150000</v>
      </c>
      <c r="L8" s="33">
        <v>150000</v>
      </c>
      <c r="M8" s="33">
        <v>150000</v>
      </c>
      <c r="N8" s="33">
        <v>150000</v>
      </c>
      <c r="O8" s="33">
        <v>150000</v>
      </c>
      <c r="P8" s="33">
        <v>150000</v>
      </c>
      <c r="Q8" s="33">
        <v>150000</v>
      </c>
      <c r="R8" s="33">
        <v>150000</v>
      </c>
      <c r="S8" s="33">
        <v>150000</v>
      </c>
      <c r="T8" s="33">
        <v>150000</v>
      </c>
      <c r="U8" s="33">
        <v>150000</v>
      </c>
      <c r="V8" s="33">
        <v>150000</v>
      </c>
      <c r="W8" s="33">
        <v>150000</v>
      </c>
      <c r="X8" s="33">
        <v>150000</v>
      </c>
      <c r="Y8" s="33">
        <v>150000</v>
      </c>
      <c r="Z8" s="33">
        <v>150000</v>
      </c>
      <c r="AA8" s="33">
        <v>150000</v>
      </c>
      <c r="AB8" s="33">
        <v>150000</v>
      </c>
      <c r="AC8" s="33">
        <v>150000</v>
      </c>
      <c r="AD8" s="33">
        <v>150000</v>
      </c>
      <c r="AE8" s="33">
        <v>150000</v>
      </c>
      <c r="AF8" s="33">
        <v>150000</v>
      </c>
      <c r="AG8" s="33">
        <v>150000</v>
      </c>
      <c r="AH8" s="33">
        <v>150000</v>
      </c>
      <c r="AI8" s="33">
        <v>150000</v>
      </c>
      <c r="AJ8" s="33">
        <v>150000</v>
      </c>
      <c r="AK8" s="33">
        <v>150000</v>
      </c>
      <c r="AL8" s="33">
        <v>150000</v>
      </c>
      <c r="AM8" s="33">
        <v>150000</v>
      </c>
      <c r="AN8" s="33">
        <v>150000</v>
      </c>
      <c r="AO8" s="33">
        <v>150000</v>
      </c>
      <c r="AP8" s="33">
        <v>150000</v>
      </c>
      <c r="AQ8" s="33">
        <v>150000</v>
      </c>
      <c r="AR8" s="33">
        <v>150000</v>
      </c>
      <c r="AS8" s="33">
        <v>150000</v>
      </c>
      <c r="AT8" s="33">
        <v>150000</v>
      </c>
      <c r="AU8" s="33">
        <v>150000</v>
      </c>
      <c r="AV8" s="33">
        <v>150000</v>
      </c>
      <c r="AW8" s="33">
        <v>150000</v>
      </c>
      <c r="AX8" s="33">
        <v>150000</v>
      </c>
      <c r="AY8" s="33">
        <v>150000</v>
      </c>
      <c r="AZ8" s="33">
        <v>150000</v>
      </c>
      <c r="BA8" s="34">
        <v>150000</v>
      </c>
    </row>
    <row r="9" spans="1:53" s="5" customFormat="1" x14ac:dyDescent="0.3">
      <c r="A9" s="25" t="s">
        <v>125</v>
      </c>
      <c r="B9" s="33">
        <v>250000</v>
      </c>
      <c r="C9" s="33">
        <v>250000</v>
      </c>
      <c r="D9" s="33">
        <v>250000</v>
      </c>
      <c r="E9" s="33">
        <v>250000</v>
      </c>
      <c r="F9" s="33">
        <v>250000</v>
      </c>
      <c r="G9" s="33">
        <v>250000</v>
      </c>
      <c r="H9" s="33">
        <v>250000</v>
      </c>
      <c r="I9" s="33">
        <v>250000</v>
      </c>
      <c r="J9" s="33">
        <v>250000</v>
      </c>
      <c r="K9" s="33">
        <v>250000</v>
      </c>
      <c r="L9" s="33">
        <v>250000</v>
      </c>
      <c r="M9" s="33">
        <v>250000</v>
      </c>
      <c r="N9" s="33">
        <v>250000</v>
      </c>
      <c r="O9" s="33">
        <v>250000</v>
      </c>
      <c r="P9" s="33">
        <v>250000</v>
      </c>
      <c r="Q9" s="33">
        <v>250000</v>
      </c>
      <c r="R9" s="33">
        <v>250000</v>
      </c>
      <c r="S9" s="33">
        <v>250000</v>
      </c>
      <c r="T9" s="33">
        <v>250000</v>
      </c>
      <c r="U9" s="33">
        <v>250000</v>
      </c>
      <c r="V9" s="33">
        <v>250000</v>
      </c>
      <c r="W9" s="33">
        <v>250000</v>
      </c>
      <c r="X9" s="33">
        <v>250000</v>
      </c>
      <c r="Y9" s="33">
        <v>250000</v>
      </c>
      <c r="Z9" s="33">
        <v>250000</v>
      </c>
      <c r="AA9" s="33">
        <v>250000</v>
      </c>
      <c r="AB9" s="33">
        <v>250000</v>
      </c>
      <c r="AC9" s="33">
        <v>250000</v>
      </c>
      <c r="AD9" s="33">
        <v>250000</v>
      </c>
      <c r="AE9" s="33">
        <v>250000</v>
      </c>
      <c r="AF9" s="33">
        <v>250000</v>
      </c>
      <c r="AG9" s="33">
        <v>250000</v>
      </c>
      <c r="AH9" s="33">
        <v>250000</v>
      </c>
      <c r="AI9" s="33">
        <v>250000</v>
      </c>
      <c r="AJ9" s="33">
        <v>250000</v>
      </c>
      <c r="AK9" s="33">
        <v>250000</v>
      </c>
      <c r="AL9" s="33">
        <v>250000</v>
      </c>
      <c r="AM9" s="33">
        <v>250000</v>
      </c>
      <c r="AN9" s="33">
        <v>250000</v>
      </c>
      <c r="AO9" s="33">
        <v>250000</v>
      </c>
      <c r="AP9" s="33">
        <v>250000</v>
      </c>
      <c r="AQ9" s="33">
        <v>250000</v>
      </c>
      <c r="AR9" s="33">
        <v>250000</v>
      </c>
      <c r="AS9" s="33">
        <v>250000</v>
      </c>
      <c r="AT9" s="33">
        <v>250000</v>
      </c>
      <c r="AU9" s="33">
        <v>250000</v>
      </c>
      <c r="AV9" s="33">
        <v>250000</v>
      </c>
      <c r="AW9" s="33">
        <v>250000</v>
      </c>
      <c r="AX9" s="33">
        <v>250000</v>
      </c>
      <c r="AY9" s="33">
        <v>250000</v>
      </c>
      <c r="AZ9" s="33">
        <v>250000</v>
      </c>
      <c r="BA9" s="34">
        <v>250000</v>
      </c>
    </row>
    <row r="10" spans="1:53" ht="16.2" thickBot="1" x14ac:dyDescent="0.35">
      <c r="A10" s="26" t="s">
        <v>126</v>
      </c>
      <c r="B10" s="35">
        <v>150000</v>
      </c>
      <c r="C10" s="35">
        <v>150000</v>
      </c>
      <c r="D10" s="35">
        <v>150000</v>
      </c>
      <c r="E10" s="35">
        <v>150000</v>
      </c>
      <c r="F10" s="35">
        <v>150000</v>
      </c>
      <c r="G10" s="35">
        <v>150000</v>
      </c>
      <c r="H10" s="35">
        <v>150000</v>
      </c>
      <c r="I10" s="35">
        <v>150000</v>
      </c>
      <c r="J10" s="35">
        <v>150000</v>
      </c>
      <c r="K10" s="35">
        <v>150000</v>
      </c>
      <c r="L10" s="35">
        <v>150000</v>
      </c>
      <c r="M10" s="35">
        <v>150000</v>
      </c>
      <c r="N10" s="35">
        <v>150000</v>
      </c>
      <c r="O10" s="35">
        <v>150000</v>
      </c>
      <c r="P10" s="35">
        <v>150000</v>
      </c>
      <c r="Q10" s="35">
        <v>150000</v>
      </c>
      <c r="R10" s="35">
        <v>150000</v>
      </c>
      <c r="S10" s="35">
        <v>150000</v>
      </c>
      <c r="T10" s="35">
        <v>150000</v>
      </c>
      <c r="U10" s="35">
        <v>150000</v>
      </c>
      <c r="V10" s="35">
        <v>150000</v>
      </c>
      <c r="W10" s="35">
        <v>150000</v>
      </c>
      <c r="X10" s="35">
        <v>150000</v>
      </c>
      <c r="Y10" s="35">
        <v>150000</v>
      </c>
      <c r="Z10" s="35">
        <v>150000</v>
      </c>
      <c r="AA10" s="35">
        <v>150000</v>
      </c>
      <c r="AB10" s="35">
        <v>150000</v>
      </c>
      <c r="AC10" s="35">
        <v>150000</v>
      </c>
      <c r="AD10" s="35">
        <v>150000</v>
      </c>
      <c r="AE10" s="35">
        <v>150000</v>
      </c>
      <c r="AF10" s="35">
        <v>150000</v>
      </c>
      <c r="AG10" s="35">
        <v>150000</v>
      </c>
      <c r="AH10" s="35">
        <v>150000</v>
      </c>
      <c r="AI10" s="35">
        <v>150000</v>
      </c>
      <c r="AJ10" s="35">
        <v>150000</v>
      </c>
      <c r="AK10" s="35">
        <v>150000</v>
      </c>
      <c r="AL10" s="35">
        <v>150000</v>
      </c>
      <c r="AM10" s="35">
        <v>150000</v>
      </c>
      <c r="AN10" s="35">
        <v>150000</v>
      </c>
      <c r="AO10" s="35">
        <v>150000</v>
      </c>
      <c r="AP10" s="35">
        <v>150000</v>
      </c>
      <c r="AQ10" s="35">
        <v>150000</v>
      </c>
      <c r="AR10" s="35">
        <v>150000</v>
      </c>
      <c r="AS10" s="35">
        <v>150000</v>
      </c>
      <c r="AT10" s="35">
        <v>150000</v>
      </c>
      <c r="AU10" s="35">
        <v>150000</v>
      </c>
      <c r="AV10" s="35">
        <v>150000</v>
      </c>
      <c r="AW10" s="35">
        <v>150000</v>
      </c>
      <c r="AX10" s="35">
        <v>150000</v>
      </c>
      <c r="AY10" s="35">
        <v>150000</v>
      </c>
      <c r="AZ10" s="35">
        <v>150000</v>
      </c>
      <c r="BA10" s="36">
        <v>150000</v>
      </c>
    </row>
    <row r="15" spans="1:53" x14ac:dyDescent="0.3">
      <c r="F15" s="9"/>
    </row>
  </sheetData>
  <phoneticPr fontId="2" type="noConversion"/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B793D-71C1-4CA2-A5D0-D94D2FB81D42}">
  <sheetPr>
    <tabColor rgb="FFD9C6FE"/>
  </sheetPr>
  <dimension ref="A1:B6"/>
  <sheetViews>
    <sheetView workbookViewId="0">
      <selection activeCell="A8" sqref="A8"/>
    </sheetView>
  </sheetViews>
  <sheetFormatPr defaultColWidth="9.33203125" defaultRowHeight="15.6" x14ac:dyDescent="0.3"/>
  <cols>
    <col min="1" max="1" width="19.88671875" style="1" customWidth="1"/>
    <col min="2" max="2" width="10.109375" style="1" bestFit="1" customWidth="1"/>
    <col min="3" max="16384" width="9.33203125" style="1"/>
  </cols>
  <sheetData>
    <row r="1" spans="1:2" ht="16.2" thickBot="1" x14ac:dyDescent="0.35">
      <c r="A1" s="1" t="str">
        <f>_xlfn.CONCAT( "Table of Completions Pad Storage Capacity [",VLOOKUP("volume", Units!$A$2:$B$11, 2, FALSE),"]")</f>
        <v>Table of Completions Pad Storage Capacity [bbl]</v>
      </c>
    </row>
    <row r="2" spans="1:2" s="5" customFormat="1" x14ac:dyDescent="0.3">
      <c r="A2" s="3" t="s">
        <v>208</v>
      </c>
      <c r="B2" s="24" t="s">
        <v>207</v>
      </c>
    </row>
    <row r="3" spans="1:2" x14ac:dyDescent="0.3">
      <c r="A3" s="25" t="s">
        <v>5</v>
      </c>
      <c r="B3" s="34">
        <v>1000000</v>
      </c>
    </row>
    <row r="4" spans="1:2" x14ac:dyDescent="0.3">
      <c r="A4" s="25" t="s">
        <v>116</v>
      </c>
      <c r="B4" s="34">
        <v>500000</v>
      </c>
    </row>
    <row r="5" spans="1:2" x14ac:dyDescent="0.3">
      <c r="A5" s="25" t="s">
        <v>117</v>
      </c>
      <c r="B5" s="34">
        <v>750000</v>
      </c>
    </row>
    <row r="6" spans="1:2" ht="16.2" thickBot="1" x14ac:dyDescent="0.35">
      <c r="A6" s="26" t="s">
        <v>118</v>
      </c>
      <c r="B6" s="36">
        <v>800000</v>
      </c>
    </row>
  </sheetData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6C6A0-7BAD-498F-AAE7-F43EE79415DD}">
  <sheetPr>
    <tabColor rgb="FFD9C6FE"/>
  </sheetPr>
  <dimension ref="A1:B6"/>
  <sheetViews>
    <sheetView workbookViewId="0">
      <selection activeCell="A8" sqref="A8"/>
    </sheetView>
  </sheetViews>
  <sheetFormatPr defaultColWidth="9.33203125" defaultRowHeight="15.6" x14ac:dyDescent="0.3"/>
  <cols>
    <col min="1" max="1" width="18.5546875" style="1" customWidth="1"/>
    <col min="2" max="16384" width="9.33203125" style="1"/>
  </cols>
  <sheetData>
    <row r="1" spans="1:2" ht="16.2" thickBot="1" x14ac:dyDescent="0.35">
      <c r="A1" s="1" t="str">
        <f>_xlfn.CONCAT( "Table of Pad Offloading Capacity [",VLOOKUP("volume", Units!$A$2:$B$11, 2, FALSE),"/", VLOOKUP("time", Units!$A$2:$B$11, 2, FALSE),"]")</f>
        <v>Table of Pad Offloading Capacity [bbl/week]</v>
      </c>
    </row>
    <row r="2" spans="1:2" s="5" customFormat="1" x14ac:dyDescent="0.3">
      <c r="A2" s="3" t="s">
        <v>208</v>
      </c>
      <c r="B2" s="24" t="s">
        <v>207</v>
      </c>
    </row>
    <row r="3" spans="1:2" x14ac:dyDescent="0.3">
      <c r="A3" s="25" t="s">
        <v>5</v>
      </c>
      <c r="B3" s="34">
        <v>210000</v>
      </c>
    </row>
    <row r="4" spans="1:2" x14ac:dyDescent="0.3">
      <c r="A4" s="25" t="s">
        <v>116</v>
      </c>
      <c r="B4" s="34">
        <v>210000</v>
      </c>
    </row>
    <row r="5" spans="1:2" x14ac:dyDescent="0.3">
      <c r="A5" s="25" t="s">
        <v>117</v>
      </c>
      <c r="B5" s="34">
        <v>210000</v>
      </c>
    </row>
    <row r="6" spans="1:2" ht="16.2" thickBot="1" x14ac:dyDescent="0.35">
      <c r="A6" s="26" t="s">
        <v>118</v>
      </c>
      <c r="B6" s="36">
        <v>210000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0780D-32E5-452A-A6C3-3B8E431097FA}">
  <sheetPr>
    <tabColor rgb="FFD9C6FE"/>
  </sheetPr>
  <dimension ref="A1:B3"/>
  <sheetViews>
    <sheetView workbookViewId="0">
      <selection activeCell="A8" sqref="A8"/>
    </sheetView>
  </sheetViews>
  <sheetFormatPr defaultColWidth="9.33203125" defaultRowHeight="15.6" x14ac:dyDescent="0.3"/>
  <cols>
    <col min="1" max="1" width="11" style="1" customWidth="1"/>
    <col min="2" max="2" width="11.33203125" style="1" bestFit="1" customWidth="1"/>
    <col min="3" max="16384" width="9.33203125" style="1"/>
  </cols>
  <sheetData>
    <row r="1" spans="1:2" ht="16.2" thickBot="1" x14ac:dyDescent="0.35">
      <c r="A1" s="1" t="str">
        <f>_xlfn.CONCAT( "Table of Node Capacity Capacity [",VLOOKUP("volume", Units!$A$2:$B$11, 2, FALSE),"/", VLOOKUP("time", Units!$A$2:$B$11, 2, FALSE),"]", " (absence of node or empty cell signifies no max capacity)")</f>
        <v>Table of Node Capacity Capacity [bbl/week] (absence of node or empty cell signifies no max capacity)</v>
      </c>
    </row>
    <row r="2" spans="1:2" s="5" customFormat="1" x14ac:dyDescent="0.3">
      <c r="A2" s="3" t="s">
        <v>205</v>
      </c>
      <c r="B2" s="24" t="s">
        <v>207</v>
      </c>
    </row>
    <row r="3" spans="1:2" ht="16.2" thickBot="1" x14ac:dyDescent="0.35">
      <c r="A3" s="26" t="s">
        <v>128</v>
      </c>
      <c r="B3" s="36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83BC5-D620-4970-8035-9A1157B6300D}">
  <sheetPr>
    <tabColor theme="9" tint="0.79998168889431442"/>
  </sheetPr>
  <dimension ref="A1:P5"/>
  <sheetViews>
    <sheetView workbookViewId="0">
      <selection activeCell="A7" sqref="A7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16" x14ac:dyDescent="0.3">
      <c r="A1" s="1" t="s">
        <v>1</v>
      </c>
    </row>
    <row r="2" spans="1:16" x14ac:dyDescent="0.3">
      <c r="A2" s="2" t="s">
        <v>5</v>
      </c>
    </row>
    <row r="3" spans="1:16" x14ac:dyDescent="0.3">
      <c r="A3" s="2" t="s">
        <v>116</v>
      </c>
      <c r="N3" s="10"/>
      <c r="O3" s="10"/>
      <c r="P3" s="10"/>
    </row>
    <row r="4" spans="1:16" x14ac:dyDescent="0.3">
      <c r="A4" s="2" t="s">
        <v>117</v>
      </c>
    </row>
    <row r="5" spans="1:16" x14ac:dyDescent="0.3">
      <c r="A5" s="2" t="s">
        <v>118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4B69F-B42E-4A8C-B24F-D4CE4D83DFA9}">
  <sheetPr>
    <tabColor rgb="FFD9C6FE"/>
  </sheetPr>
  <dimension ref="A1:BD10"/>
  <sheetViews>
    <sheetView showZeros="0" zoomScaleNormal="100" workbookViewId="0">
      <selection activeCell="A8" sqref="A8"/>
    </sheetView>
  </sheetViews>
  <sheetFormatPr defaultColWidth="9.33203125" defaultRowHeight="15.6" x14ac:dyDescent="0.3"/>
  <cols>
    <col min="1" max="1" width="13.88671875" style="1" customWidth="1"/>
    <col min="2" max="53" width="9" style="1" customWidth="1"/>
    <col min="54" max="16384" width="9.33203125" style="1"/>
  </cols>
  <sheetData>
    <row r="1" spans="1:56" ht="16.2" thickBot="1" x14ac:dyDescent="0.35">
      <c r="A1" s="1" t="str">
        <f>_xlfn.CONCAT( "Operating Capacity of Disposal Site [%]")</f>
        <v>Operating Capacity of Disposal Site [%]</v>
      </c>
    </row>
    <row r="2" spans="1:56" s="5" customFormat="1" x14ac:dyDescent="0.3">
      <c r="A2" s="80" t="s">
        <v>209</v>
      </c>
      <c r="B2" s="84" t="s">
        <v>164</v>
      </c>
      <c r="C2" s="84" t="s">
        <v>165</v>
      </c>
      <c r="D2" s="84" t="s">
        <v>166</v>
      </c>
      <c r="E2" s="84" t="s">
        <v>167</v>
      </c>
      <c r="F2" s="84" t="s">
        <v>168</v>
      </c>
      <c r="G2" s="84" t="s">
        <v>169</v>
      </c>
      <c r="H2" s="84" t="s">
        <v>170</v>
      </c>
      <c r="I2" s="84" t="s">
        <v>171</v>
      </c>
      <c r="J2" s="84" t="s">
        <v>172</v>
      </c>
      <c r="K2" s="84" t="s">
        <v>151</v>
      </c>
      <c r="L2" s="84" t="s">
        <v>152</v>
      </c>
      <c r="M2" s="84" t="s">
        <v>153</v>
      </c>
      <c r="N2" s="84" t="s">
        <v>154</v>
      </c>
      <c r="O2" s="84" t="s">
        <v>155</v>
      </c>
      <c r="P2" s="84" t="s">
        <v>156</v>
      </c>
      <c r="Q2" s="84" t="s">
        <v>157</v>
      </c>
      <c r="R2" s="84" t="s">
        <v>158</v>
      </c>
      <c r="S2" s="84" t="s">
        <v>159</v>
      </c>
      <c r="T2" s="84" t="s">
        <v>160</v>
      </c>
      <c r="U2" s="84" t="s">
        <v>161</v>
      </c>
      <c r="V2" s="84" t="s">
        <v>162</v>
      </c>
      <c r="W2" s="84" t="s">
        <v>163</v>
      </c>
      <c r="X2" s="84" t="s">
        <v>174</v>
      </c>
      <c r="Y2" s="84" t="s">
        <v>175</v>
      </c>
      <c r="Z2" s="84" t="s">
        <v>176</v>
      </c>
      <c r="AA2" s="84" t="s">
        <v>177</v>
      </c>
      <c r="AB2" s="84" t="s">
        <v>178</v>
      </c>
      <c r="AC2" s="84" t="s">
        <v>179</v>
      </c>
      <c r="AD2" s="84" t="s">
        <v>180</v>
      </c>
      <c r="AE2" s="84" t="s">
        <v>181</v>
      </c>
      <c r="AF2" s="84" t="s">
        <v>182</v>
      </c>
      <c r="AG2" s="84" t="s">
        <v>183</v>
      </c>
      <c r="AH2" s="84" t="s">
        <v>184</v>
      </c>
      <c r="AI2" s="84" t="s">
        <v>185</v>
      </c>
      <c r="AJ2" s="84" t="s">
        <v>186</v>
      </c>
      <c r="AK2" s="84" t="s">
        <v>187</v>
      </c>
      <c r="AL2" s="84" t="s">
        <v>188</v>
      </c>
      <c r="AM2" s="84" t="s">
        <v>189</v>
      </c>
      <c r="AN2" s="84" t="s">
        <v>190</v>
      </c>
      <c r="AO2" s="84" t="s">
        <v>191</v>
      </c>
      <c r="AP2" s="84" t="s">
        <v>192</v>
      </c>
      <c r="AQ2" s="84" t="s">
        <v>193</v>
      </c>
      <c r="AR2" s="84" t="s">
        <v>194</v>
      </c>
      <c r="AS2" s="84" t="s">
        <v>195</v>
      </c>
      <c r="AT2" s="84" t="s">
        <v>196</v>
      </c>
      <c r="AU2" s="84" t="s">
        <v>197</v>
      </c>
      <c r="AV2" s="84" t="s">
        <v>198</v>
      </c>
      <c r="AW2" s="84" t="s">
        <v>199</v>
      </c>
      <c r="AX2" s="84" t="s">
        <v>200</v>
      </c>
      <c r="AY2" s="84" t="s">
        <v>201</v>
      </c>
      <c r="AZ2" s="84" t="s">
        <v>202</v>
      </c>
      <c r="BA2" s="85" t="s">
        <v>203</v>
      </c>
    </row>
    <row r="3" spans="1:56" s="5" customFormat="1" x14ac:dyDescent="0.3">
      <c r="A3" s="45" t="s">
        <v>120</v>
      </c>
      <c r="B3" s="86">
        <v>1</v>
      </c>
      <c r="C3" s="86">
        <v>1</v>
      </c>
      <c r="D3" s="86">
        <v>1</v>
      </c>
      <c r="E3" s="86">
        <v>1</v>
      </c>
      <c r="F3" s="86">
        <v>1</v>
      </c>
      <c r="G3" s="86">
        <v>1</v>
      </c>
      <c r="H3" s="86">
        <v>1</v>
      </c>
      <c r="I3" s="86">
        <v>1</v>
      </c>
      <c r="J3" s="86">
        <v>1</v>
      </c>
      <c r="K3" s="86">
        <v>1</v>
      </c>
      <c r="L3" s="86">
        <v>1</v>
      </c>
      <c r="M3" s="86">
        <v>1</v>
      </c>
      <c r="N3" s="86">
        <v>1</v>
      </c>
      <c r="O3" s="86">
        <v>1</v>
      </c>
      <c r="P3" s="86">
        <v>1</v>
      </c>
      <c r="Q3" s="86">
        <v>1</v>
      </c>
      <c r="R3" s="86">
        <v>1</v>
      </c>
      <c r="S3" s="86">
        <v>1</v>
      </c>
      <c r="T3" s="86">
        <v>1</v>
      </c>
      <c r="U3" s="86">
        <v>1</v>
      </c>
      <c r="V3" s="86">
        <v>1</v>
      </c>
      <c r="W3" s="86">
        <v>1</v>
      </c>
      <c r="X3" s="86">
        <v>1</v>
      </c>
      <c r="Y3" s="86">
        <v>1</v>
      </c>
      <c r="Z3" s="86">
        <v>1</v>
      </c>
      <c r="AA3" s="86">
        <v>1</v>
      </c>
      <c r="AB3" s="86">
        <v>1</v>
      </c>
      <c r="AC3" s="86">
        <v>1</v>
      </c>
      <c r="AD3" s="86">
        <v>1</v>
      </c>
      <c r="AE3" s="86">
        <v>1</v>
      </c>
      <c r="AF3" s="86">
        <v>1</v>
      </c>
      <c r="AG3" s="86">
        <v>1</v>
      </c>
      <c r="AH3" s="86">
        <v>1</v>
      </c>
      <c r="AI3" s="86">
        <v>1</v>
      </c>
      <c r="AJ3" s="86">
        <v>1</v>
      </c>
      <c r="AK3" s="86">
        <v>1</v>
      </c>
      <c r="AL3" s="86">
        <v>1</v>
      </c>
      <c r="AM3" s="86">
        <v>1</v>
      </c>
      <c r="AN3" s="86">
        <v>1</v>
      </c>
      <c r="AO3" s="86">
        <v>1</v>
      </c>
      <c r="AP3" s="86">
        <v>1</v>
      </c>
      <c r="AQ3" s="86">
        <v>1</v>
      </c>
      <c r="AR3" s="86">
        <v>1</v>
      </c>
      <c r="AS3" s="86">
        <v>1</v>
      </c>
      <c r="AT3" s="86">
        <v>1</v>
      </c>
      <c r="AU3" s="86">
        <v>1</v>
      </c>
      <c r="AV3" s="86">
        <v>1</v>
      </c>
      <c r="AW3" s="86">
        <v>1</v>
      </c>
      <c r="AX3" s="86">
        <v>1</v>
      </c>
      <c r="AY3" s="86">
        <v>1</v>
      </c>
      <c r="AZ3" s="86">
        <v>1</v>
      </c>
      <c r="BA3" s="87">
        <v>1</v>
      </c>
    </row>
    <row r="4" spans="1:56" s="5" customFormat="1" x14ac:dyDescent="0.3">
      <c r="A4" s="25" t="s">
        <v>51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  <c r="Y4" s="6">
        <v>1</v>
      </c>
      <c r="Z4" s="6">
        <v>1</v>
      </c>
      <c r="AA4" s="6">
        <v>1</v>
      </c>
      <c r="AB4" s="6">
        <v>1</v>
      </c>
      <c r="AC4" s="6">
        <v>1</v>
      </c>
      <c r="AD4" s="6">
        <v>1</v>
      </c>
      <c r="AE4" s="6">
        <v>1</v>
      </c>
      <c r="AF4" s="6">
        <v>1</v>
      </c>
      <c r="AG4" s="6">
        <v>1</v>
      </c>
      <c r="AH4" s="6">
        <v>1</v>
      </c>
      <c r="AI4" s="6">
        <v>1</v>
      </c>
      <c r="AJ4" s="6">
        <v>1</v>
      </c>
      <c r="AK4" s="6">
        <v>1</v>
      </c>
      <c r="AL4" s="6">
        <v>1</v>
      </c>
      <c r="AM4" s="6">
        <v>1</v>
      </c>
      <c r="AN4" s="6">
        <v>1</v>
      </c>
      <c r="AO4" s="6">
        <v>1</v>
      </c>
      <c r="AP4" s="6">
        <v>1</v>
      </c>
      <c r="AQ4" s="6">
        <v>1</v>
      </c>
      <c r="AR4" s="6">
        <v>1</v>
      </c>
      <c r="AS4" s="6">
        <v>1</v>
      </c>
      <c r="AT4" s="6">
        <v>1</v>
      </c>
      <c r="AU4" s="6">
        <v>1</v>
      </c>
      <c r="AV4" s="6">
        <v>1</v>
      </c>
      <c r="AW4" s="6">
        <v>1</v>
      </c>
      <c r="AX4" s="6">
        <v>1</v>
      </c>
      <c r="AY4" s="6">
        <v>1</v>
      </c>
      <c r="AZ4" s="6">
        <v>1</v>
      </c>
      <c r="BA4" s="28">
        <v>1</v>
      </c>
    </row>
    <row r="5" spans="1:56" s="5" customFormat="1" ht="16.2" thickBot="1" x14ac:dyDescent="0.35">
      <c r="A5" s="26" t="s">
        <v>119</v>
      </c>
      <c r="B5" s="7">
        <v>1</v>
      </c>
      <c r="C5" s="7">
        <v>1</v>
      </c>
      <c r="D5" s="7">
        <v>1</v>
      </c>
      <c r="E5" s="7">
        <v>1</v>
      </c>
      <c r="F5" s="7">
        <v>1</v>
      </c>
      <c r="G5" s="7">
        <v>1</v>
      </c>
      <c r="H5" s="7">
        <v>1</v>
      </c>
      <c r="I5" s="7">
        <v>1</v>
      </c>
      <c r="J5" s="7">
        <v>1</v>
      </c>
      <c r="K5" s="7">
        <v>1</v>
      </c>
      <c r="L5" s="7">
        <v>1</v>
      </c>
      <c r="M5" s="7">
        <v>1</v>
      </c>
      <c r="N5" s="7">
        <v>1</v>
      </c>
      <c r="O5" s="7">
        <v>1</v>
      </c>
      <c r="P5" s="7">
        <v>1</v>
      </c>
      <c r="Q5" s="7">
        <v>1</v>
      </c>
      <c r="R5" s="7">
        <v>1</v>
      </c>
      <c r="S5" s="7">
        <v>1</v>
      </c>
      <c r="T5" s="7">
        <v>1</v>
      </c>
      <c r="U5" s="7">
        <v>1</v>
      </c>
      <c r="V5" s="7">
        <v>1</v>
      </c>
      <c r="W5" s="7">
        <v>1</v>
      </c>
      <c r="X5" s="7">
        <v>1</v>
      </c>
      <c r="Y5" s="7">
        <v>1</v>
      </c>
      <c r="Z5" s="7">
        <v>1</v>
      </c>
      <c r="AA5" s="7">
        <v>1</v>
      </c>
      <c r="AB5" s="7">
        <v>1</v>
      </c>
      <c r="AC5" s="7">
        <v>1</v>
      </c>
      <c r="AD5" s="7">
        <v>1</v>
      </c>
      <c r="AE5" s="7">
        <v>1</v>
      </c>
      <c r="AF5" s="7">
        <v>1</v>
      </c>
      <c r="AG5" s="7">
        <v>1</v>
      </c>
      <c r="AH5" s="7">
        <v>1</v>
      </c>
      <c r="AI5" s="7">
        <v>1</v>
      </c>
      <c r="AJ5" s="7">
        <v>1</v>
      </c>
      <c r="AK5" s="7">
        <v>1</v>
      </c>
      <c r="AL5" s="7">
        <v>1</v>
      </c>
      <c r="AM5" s="7">
        <v>1</v>
      </c>
      <c r="AN5" s="7">
        <v>1</v>
      </c>
      <c r="AO5" s="7">
        <v>1</v>
      </c>
      <c r="AP5" s="7">
        <v>1</v>
      </c>
      <c r="AQ5" s="7">
        <v>1</v>
      </c>
      <c r="AR5" s="7">
        <v>1</v>
      </c>
      <c r="AS5" s="7">
        <v>1</v>
      </c>
      <c r="AT5" s="7">
        <v>1</v>
      </c>
      <c r="AU5" s="7">
        <v>1</v>
      </c>
      <c r="AV5" s="7">
        <v>1</v>
      </c>
      <c r="AW5" s="7">
        <v>1</v>
      </c>
      <c r="AX5" s="7">
        <v>1</v>
      </c>
      <c r="AY5" s="7">
        <v>1</v>
      </c>
      <c r="AZ5" s="7">
        <v>1</v>
      </c>
      <c r="BA5" s="8">
        <v>1</v>
      </c>
      <c r="BD5" s="70"/>
    </row>
    <row r="9" spans="1:56" x14ac:dyDescent="0.3">
      <c r="B9" s="71"/>
    </row>
    <row r="10" spans="1:56" x14ac:dyDescent="0.3">
      <c r="D10" s="1" t="s">
        <v>275</v>
      </c>
      <c r="F10" s="9"/>
    </row>
  </sheetData>
  <pageMargins left="0.7" right="0.7" top="0.75" bottom="0.75" header="0.3" footer="0.3"/>
  <pageSetup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D9A13-6613-4A4D-92BC-DD0B79B273AD}">
  <sheetPr>
    <tabColor theme="5" tint="0.79998168889431442"/>
  </sheetPr>
  <dimension ref="A1:B5"/>
  <sheetViews>
    <sheetView workbookViewId="0">
      <selection activeCell="A8" sqref="A8"/>
    </sheetView>
  </sheetViews>
  <sheetFormatPr defaultColWidth="9.33203125" defaultRowHeight="15.6" x14ac:dyDescent="0.3"/>
  <cols>
    <col min="1" max="1" width="12.109375" style="1" customWidth="1"/>
    <col min="2" max="16384" width="9.33203125" style="1"/>
  </cols>
  <sheetData>
    <row r="1" spans="1:2" ht="16.2" thickBot="1" x14ac:dyDescent="0.35">
      <c r="A1" s="1" t="str">
        <f>_xlfn.CONCAT( "Table of Disposal Operational Cost [",VLOOKUP("currency", Units!$A$2:$B$11, 2, FALSE),"/", VLOOKUP("volume", Units!$A$2:$B$11, 2, FALSE),"]")</f>
        <v>Table of Disposal Operational Cost [USD/bbl]</v>
      </c>
    </row>
    <row r="2" spans="1:2" s="5" customFormat="1" x14ac:dyDescent="0.3">
      <c r="A2" s="3" t="s">
        <v>209</v>
      </c>
      <c r="B2" s="24" t="s">
        <v>207</v>
      </c>
    </row>
    <row r="3" spans="1:2" s="5" customFormat="1" x14ac:dyDescent="0.3">
      <c r="A3" s="25" t="s">
        <v>120</v>
      </c>
      <c r="B3" s="28">
        <v>0.25</v>
      </c>
    </row>
    <row r="4" spans="1:2" s="5" customFormat="1" x14ac:dyDescent="0.3">
      <c r="A4" s="25" t="s">
        <v>51</v>
      </c>
      <c r="B4" s="28">
        <v>0.25</v>
      </c>
    </row>
    <row r="5" spans="1:2" s="5" customFormat="1" ht="16.2" thickBot="1" x14ac:dyDescent="0.35">
      <c r="A5" s="26" t="s">
        <v>119</v>
      </c>
      <c r="B5" s="8">
        <v>0.25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50C77-5C7B-4C97-8F2B-C60EA6AF1AED}">
  <sheetPr>
    <tabColor theme="5" tint="0.79998168889431442"/>
  </sheetPr>
  <dimension ref="A1:C10"/>
  <sheetViews>
    <sheetView workbookViewId="0">
      <selection activeCell="A8" sqref="A8"/>
    </sheetView>
  </sheetViews>
  <sheetFormatPr defaultColWidth="9.33203125" defaultRowHeight="15.6" x14ac:dyDescent="0.3"/>
  <cols>
    <col min="1" max="1" width="18.33203125" style="1" customWidth="1"/>
    <col min="2" max="2" width="26.44140625" style="1" customWidth="1"/>
    <col min="3" max="16384" width="9.33203125" style="1"/>
  </cols>
  <sheetData>
    <row r="1" spans="1:3" ht="16.2" thickBot="1" x14ac:dyDescent="0.35">
      <c r="A1" s="1" t="str">
        <f>_xlfn.CONCAT( "Table of Treatment Operational Cost [",VLOOKUP("currency", Units!$A$2:$B$11, 2, FALSE),"/", VLOOKUP("volume", Units!$A$2:$B$11, 2, FALSE),"]")</f>
        <v>Table of Treatment Operational Cost [USD/bbl]</v>
      </c>
    </row>
    <row r="2" spans="1:3" s="5" customFormat="1" x14ac:dyDescent="0.3">
      <c r="A2" s="3" t="s">
        <v>212</v>
      </c>
      <c r="B2" s="77" t="s">
        <v>276</v>
      </c>
      <c r="C2" s="24" t="s">
        <v>207</v>
      </c>
    </row>
    <row r="3" spans="1:3" s="5" customFormat="1" x14ac:dyDescent="0.3">
      <c r="A3" s="25" t="s">
        <v>79</v>
      </c>
      <c r="B3" s="78" t="s">
        <v>273</v>
      </c>
      <c r="C3" s="28">
        <v>0.4</v>
      </c>
    </row>
    <row r="4" spans="1:3" x14ac:dyDescent="0.3">
      <c r="A4" s="25" t="s">
        <v>127</v>
      </c>
      <c r="B4" s="78" t="s">
        <v>273</v>
      </c>
      <c r="C4" s="28">
        <v>0.5</v>
      </c>
    </row>
    <row r="5" spans="1:3" x14ac:dyDescent="0.3">
      <c r="A5" s="25" t="s">
        <v>79</v>
      </c>
      <c r="B5" s="78" t="s">
        <v>274</v>
      </c>
      <c r="C5" s="28">
        <v>10</v>
      </c>
    </row>
    <row r="6" spans="1:3" ht="16.2" thickBot="1" x14ac:dyDescent="0.35">
      <c r="A6" s="26" t="s">
        <v>127</v>
      </c>
      <c r="B6" s="79" t="s">
        <v>274</v>
      </c>
      <c r="C6" s="8">
        <v>10</v>
      </c>
    </row>
    <row r="7" spans="1:3" x14ac:dyDescent="0.3">
      <c r="A7" s="10"/>
      <c r="B7" s="10"/>
      <c r="C7" s="10"/>
    </row>
    <row r="8" spans="1:3" x14ac:dyDescent="0.3">
      <c r="A8" s="10"/>
      <c r="B8" s="10"/>
      <c r="C8" s="10"/>
    </row>
    <row r="9" spans="1:3" x14ac:dyDescent="0.3">
      <c r="A9" s="10"/>
      <c r="B9" s="10"/>
      <c r="C9" s="10"/>
    </row>
    <row r="10" spans="1:3" x14ac:dyDescent="0.3">
      <c r="A10" s="10"/>
      <c r="B10" s="10"/>
      <c r="C10" s="10"/>
    </row>
  </sheetData>
  <pageMargins left="0.7" right="0.7" top="0.75" bottom="0.75" header="0.3" footer="0.3"/>
  <pageSetup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5D225-B5AF-4E75-9547-7AC1A8034351}">
  <sheetPr>
    <tabColor theme="5" tint="0.79998168889431442"/>
  </sheetPr>
  <dimension ref="A1:B6"/>
  <sheetViews>
    <sheetView workbookViewId="0">
      <selection activeCell="A8" sqref="A8"/>
    </sheetView>
  </sheetViews>
  <sheetFormatPr defaultColWidth="9.33203125" defaultRowHeight="15.6" x14ac:dyDescent="0.3"/>
  <cols>
    <col min="1" max="1" width="19.109375" style="1" customWidth="1"/>
    <col min="2" max="16384" width="9.33203125" style="1"/>
  </cols>
  <sheetData>
    <row r="1" spans="1:2" ht="16.2" thickBot="1" x14ac:dyDescent="0.35">
      <c r="A1" s="1" t="str">
        <f>_xlfn.CONCAT( "Table of Reuse Operational Cost [",VLOOKUP("currency", Units!$A$2:$B$11, 2, FALSE),"/", VLOOKUP("volume", Units!$A$2:$B$11, 2, FALSE),"]")</f>
        <v>Table of Reuse Operational Cost [USD/bbl]</v>
      </c>
    </row>
    <row r="2" spans="1:2" s="5" customFormat="1" x14ac:dyDescent="0.3">
      <c r="A2" s="3" t="s">
        <v>208</v>
      </c>
      <c r="B2" s="24" t="s">
        <v>207</v>
      </c>
    </row>
    <row r="3" spans="1:2" s="5" customFormat="1" x14ac:dyDescent="0.3">
      <c r="A3" s="25" t="s">
        <v>5</v>
      </c>
      <c r="B3" s="28">
        <v>0</v>
      </c>
    </row>
    <row r="4" spans="1:2" s="5" customFormat="1" x14ac:dyDescent="0.3">
      <c r="A4" s="25" t="s">
        <v>116</v>
      </c>
      <c r="B4" s="28">
        <v>0</v>
      </c>
    </row>
    <row r="5" spans="1:2" s="5" customFormat="1" x14ac:dyDescent="0.3">
      <c r="A5" s="25" t="s">
        <v>117</v>
      </c>
      <c r="B5" s="28">
        <v>0</v>
      </c>
    </row>
    <row r="6" spans="1:2" ht="16.2" thickBot="1" x14ac:dyDescent="0.35">
      <c r="A6" s="26" t="s">
        <v>118</v>
      </c>
      <c r="B6" s="8">
        <v>0</v>
      </c>
    </row>
  </sheetData>
  <pageMargins left="0.7" right="0.7" top="0.75" bottom="0.75" header="0.3" footer="0.3"/>
  <pageSetup orientation="portrait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24AD9-42B2-417F-BF2D-D0F067DA599C}">
  <sheetPr>
    <tabColor theme="5" tint="0.79998168889431442"/>
  </sheetPr>
  <dimension ref="A1:AN61"/>
  <sheetViews>
    <sheetView zoomScale="70" zoomScaleNormal="70" workbookViewId="0">
      <selection activeCell="A63" sqref="A63"/>
    </sheetView>
  </sheetViews>
  <sheetFormatPr defaultColWidth="9.33203125" defaultRowHeight="15.6" x14ac:dyDescent="0.3"/>
  <cols>
    <col min="1" max="1" width="9.33203125" style="1"/>
    <col min="2" max="40" width="11.88671875" style="1" bestFit="1" customWidth="1"/>
    <col min="41" max="16384" width="9.33203125" style="1"/>
  </cols>
  <sheetData>
    <row r="1" spans="1:40" ht="16.2" thickBot="1" x14ac:dyDescent="0.35">
      <c r="A1" s="1" t="s">
        <v>298</v>
      </c>
    </row>
    <row r="2" spans="1:40" x14ac:dyDescent="0.3">
      <c r="A2" s="3" t="s">
        <v>205</v>
      </c>
      <c r="B2" s="68" t="s">
        <v>128</v>
      </c>
      <c r="C2" s="4" t="s">
        <v>80</v>
      </c>
      <c r="D2" s="4" t="s">
        <v>81</v>
      </c>
      <c r="E2" s="4" t="s">
        <v>82</v>
      </c>
      <c r="F2" s="4" t="s">
        <v>83</v>
      </c>
      <c r="G2" s="4" t="s">
        <v>84</v>
      </c>
      <c r="H2" s="4" t="s">
        <v>85</v>
      </c>
      <c r="I2" s="4" t="s">
        <v>86</v>
      </c>
      <c r="J2" s="4" t="s">
        <v>129</v>
      </c>
      <c r="K2" s="4" t="s">
        <v>130</v>
      </c>
      <c r="L2" s="4" t="s">
        <v>131</v>
      </c>
      <c r="M2" s="4" t="s">
        <v>132</v>
      </c>
      <c r="N2" s="4" t="s">
        <v>133</v>
      </c>
      <c r="O2" s="4" t="s">
        <v>134</v>
      </c>
      <c r="P2" s="4" t="s">
        <v>135</v>
      </c>
      <c r="Q2" s="4" t="s">
        <v>136</v>
      </c>
      <c r="R2" s="4" t="s">
        <v>137</v>
      </c>
      <c r="S2" s="4" t="s">
        <v>138</v>
      </c>
      <c r="T2" s="4" t="s">
        <v>139</v>
      </c>
      <c r="U2" s="4" t="s">
        <v>140</v>
      </c>
      <c r="V2" s="4" t="s">
        <v>141</v>
      </c>
      <c r="W2" s="4" t="s">
        <v>142</v>
      </c>
      <c r="X2" s="4" t="s">
        <v>143</v>
      </c>
      <c r="Y2" s="4" t="s">
        <v>144</v>
      </c>
      <c r="Z2" s="4" t="s">
        <v>145</v>
      </c>
      <c r="AA2" s="4" t="s">
        <v>146</v>
      </c>
      <c r="AB2" s="4" t="s">
        <v>147</v>
      </c>
      <c r="AC2" s="74" t="s">
        <v>148</v>
      </c>
      <c r="AD2" s="4" t="s">
        <v>120</v>
      </c>
      <c r="AE2" s="4" t="s">
        <v>51</v>
      </c>
      <c r="AF2" s="74" t="s">
        <v>119</v>
      </c>
      <c r="AG2" s="4" t="s">
        <v>79</v>
      </c>
      <c r="AH2" s="74" t="s">
        <v>127</v>
      </c>
      <c r="AI2" s="4" t="s">
        <v>78</v>
      </c>
      <c r="AJ2" s="74" t="s">
        <v>281</v>
      </c>
      <c r="AK2" s="4" t="s">
        <v>5</v>
      </c>
      <c r="AL2" s="4" t="s">
        <v>116</v>
      </c>
      <c r="AM2" s="4" t="s">
        <v>117</v>
      </c>
      <c r="AN2" s="24" t="s">
        <v>118</v>
      </c>
    </row>
    <row r="3" spans="1:40" x14ac:dyDescent="0.3">
      <c r="A3" s="45" t="s">
        <v>111</v>
      </c>
      <c r="B3" s="6">
        <v>1E-4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88"/>
      <c r="AD3" s="6"/>
      <c r="AE3" s="6"/>
      <c r="AF3" s="88"/>
      <c r="AG3" s="6"/>
      <c r="AH3" s="88"/>
      <c r="AI3" s="6"/>
      <c r="AJ3" s="88"/>
      <c r="AK3" s="6"/>
      <c r="AL3" s="6"/>
      <c r="AM3" s="6"/>
      <c r="AN3" s="28"/>
    </row>
    <row r="4" spans="1:40" x14ac:dyDescent="0.3">
      <c r="A4" s="25" t="s">
        <v>3</v>
      </c>
      <c r="B4" s="6"/>
      <c r="C4" s="6"/>
      <c r="D4" s="6"/>
      <c r="E4" s="6"/>
      <c r="F4" s="6">
        <v>1E-4</v>
      </c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88"/>
      <c r="AD4" s="6"/>
      <c r="AE4" s="6"/>
      <c r="AF4" s="88"/>
      <c r="AG4" s="6"/>
      <c r="AH4" s="88"/>
      <c r="AI4" s="6"/>
      <c r="AJ4" s="88"/>
      <c r="AK4" s="6"/>
      <c r="AL4" s="6"/>
      <c r="AM4" s="6"/>
      <c r="AN4" s="28"/>
    </row>
    <row r="5" spans="1:40" x14ac:dyDescent="0.3">
      <c r="A5" s="25" t="s">
        <v>4</v>
      </c>
      <c r="B5" s="6"/>
      <c r="C5" s="6"/>
      <c r="D5" s="6"/>
      <c r="E5" s="6"/>
      <c r="F5" s="6"/>
      <c r="G5" s="6">
        <v>1E-4</v>
      </c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88"/>
      <c r="AD5" s="6"/>
      <c r="AE5" s="6"/>
      <c r="AF5" s="88"/>
      <c r="AG5" s="6"/>
      <c r="AH5" s="88"/>
      <c r="AI5" s="6"/>
      <c r="AJ5" s="88"/>
      <c r="AK5" s="6"/>
      <c r="AL5" s="6"/>
      <c r="AM5" s="6"/>
      <c r="AN5" s="28"/>
    </row>
    <row r="6" spans="1:40" x14ac:dyDescent="0.3">
      <c r="A6" s="25" t="s">
        <v>103</v>
      </c>
      <c r="B6" s="6"/>
      <c r="C6" s="6"/>
      <c r="D6" s="6"/>
      <c r="E6" s="6"/>
      <c r="F6" s="6"/>
      <c r="G6" s="6"/>
      <c r="H6" s="6"/>
      <c r="I6" s="6"/>
      <c r="J6" s="6"/>
      <c r="K6" s="6"/>
      <c r="L6" s="6">
        <v>1E-4</v>
      </c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88"/>
      <c r="AD6" s="6"/>
      <c r="AE6" s="6"/>
      <c r="AF6" s="88"/>
      <c r="AG6" s="6"/>
      <c r="AH6" s="88"/>
      <c r="AI6" s="6"/>
      <c r="AJ6" s="88"/>
      <c r="AK6" s="6"/>
      <c r="AL6" s="6"/>
      <c r="AM6" s="6"/>
      <c r="AN6" s="28"/>
    </row>
    <row r="7" spans="1:40" x14ac:dyDescent="0.3">
      <c r="A7" s="25" t="s">
        <v>104</v>
      </c>
      <c r="B7" s="6"/>
      <c r="C7" s="6"/>
      <c r="D7" s="6"/>
      <c r="E7" s="6"/>
      <c r="F7" s="6"/>
      <c r="G7" s="6"/>
      <c r="H7" s="6"/>
      <c r="I7" s="6"/>
      <c r="J7" s="6"/>
      <c r="K7" s="6">
        <v>1E-4</v>
      </c>
      <c r="L7" s="6"/>
      <c r="M7" s="6">
        <v>1E-4</v>
      </c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88"/>
      <c r="AD7" s="6"/>
      <c r="AE7" s="6"/>
      <c r="AF7" s="88"/>
      <c r="AG7" s="6"/>
      <c r="AH7" s="88"/>
      <c r="AI7" s="6"/>
      <c r="AJ7" s="88"/>
      <c r="AK7" s="6"/>
      <c r="AL7" s="6"/>
      <c r="AM7" s="6"/>
      <c r="AN7" s="28"/>
    </row>
    <row r="8" spans="1:40" x14ac:dyDescent="0.3">
      <c r="A8" s="25" t="s">
        <v>105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>
        <v>1E-4</v>
      </c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88"/>
      <c r="AD8" s="6"/>
      <c r="AE8" s="6"/>
      <c r="AF8" s="88"/>
      <c r="AG8" s="6"/>
      <c r="AH8" s="88"/>
      <c r="AI8" s="6"/>
      <c r="AJ8" s="88"/>
      <c r="AK8" s="6"/>
      <c r="AL8" s="6"/>
      <c r="AM8" s="6"/>
      <c r="AN8" s="28"/>
    </row>
    <row r="9" spans="1:40" x14ac:dyDescent="0.3">
      <c r="A9" s="25" t="s">
        <v>106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>
        <v>1E-4</v>
      </c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88"/>
      <c r="AD9" s="6"/>
      <c r="AE9" s="6"/>
      <c r="AF9" s="88"/>
      <c r="AG9" s="6"/>
      <c r="AH9" s="88"/>
      <c r="AI9" s="6"/>
      <c r="AJ9" s="88"/>
      <c r="AK9" s="6"/>
      <c r="AL9" s="6"/>
      <c r="AM9" s="6"/>
      <c r="AN9" s="28"/>
    </row>
    <row r="10" spans="1:40" x14ac:dyDescent="0.3">
      <c r="A10" s="25" t="s">
        <v>107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>
        <v>1E-4</v>
      </c>
      <c r="T10" s="6"/>
      <c r="U10" s="6"/>
      <c r="V10" s="6"/>
      <c r="W10" s="6"/>
      <c r="X10" s="6"/>
      <c r="Y10" s="6"/>
      <c r="Z10" s="6"/>
      <c r="AA10" s="6"/>
      <c r="AB10" s="6"/>
      <c r="AC10" s="88"/>
      <c r="AD10" s="6"/>
      <c r="AE10" s="6"/>
      <c r="AF10" s="88"/>
      <c r="AG10" s="6"/>
      <c r="AH10" s="88"/>
      <c r="AI10" s="6"/>
      <c r="AJ10" s="88"/>
      <c r="AK10" s="6"/>
      <c r="AL10" s="6"/>
      <c r="AM10" s="6"/>
      <c r="AN10" s="28"/>
    </row>
    <row r="11" spans="1:40" x14ac:dyDescent="0.3">
      <c r="A11" s="25" t="s">
        <v>108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>
        <v>1E-4</v>
      </c>
      <c r="W11" s="6"/>
      <c r="X11" s="6"/>
      <c r="Y11" s="6"/>
      <c r="Z11" s="6"/>
      <c r="AA11" s="6"/>
      <c r="AB11" s="6"/>
      <c r="AC11" s="88"/>
      <c r="AD11" s="6"/>
      <c r="AE11" s="6"/>
      <c r="AF11" s="88"/>
      <c r="AG11" s="6"/>
      <c r="AH11" s="88"/>
      <c r="AI11" s="6"/>
      <c r="AJ11" s="88"/>
      <c r="AK11" s="6"/>
      <c r="AL11" s="6"/>
      <c r="AM11" s="6"/>
      <c r="AN11" s="28"/>
    </row>
    <row r="12" spans="1:40" x14ac:dyDescent="0.3">
      <c r="A12" s="25" t="s">
        <v>109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>
        <v>1E-4</v>
      </c>
      <c r="U12" s="6"/>
      <c r="V12" s="6"/>
      <c r="W12" s="6"/>
      <c r="X12" s="6"/>
      <c r="Y12" s="6"/>
      <c r="Z12" s="6"/>
      <c r="AA12" s="6"/>
      <c r="AB12" s="6"/>
      <c r="AC12" s="88"/>
      <c r="AD12" s="6"/>
      <c r="AE12" s="6"/>
      <c r="AF12" s="88"/>
      <c r="AG12" s="6"/>
      <c r="AH12" s="88"/>
      <c r="AI12" s="6"/>
      <c r="AJ12" s="88"/>
      <c r="AK12" s="6"/>
      <c r="AL12" s="6"/>
      <c r="AM12" s="6"/>
      <c r="AN12" s="28"/>
    </row>
    <row r="13" spans="1:40" x14ac:dyDescent="0.3">
      <c r="A13" s="25" t="s">
        <v>110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>
        <v>1E-4</v>
      </c>
      <c r="AA13" s="6"/>
      <c r="AB13" s="6"/>
      <c r="AC13" s="88"/>
      <c r="AD13" s="6"/>
      <c r="AE13" s="6"/>
      <c r="AF13" s="88"/>
      <c r="AG13" s="6"/>
      <c r="AH13" s="88"/>
      <c r="AI13" s="6"/>
      <c r="AJ13" s="88"/>
      <c r="AK13" s="6"/>
      <c r="AL13" s="6"/>
      <c r="AM13" s="6"/>
      <c r="AN13" s="28"/>
    </row>
    <row r="14" spans="1:40" x14ac:dyDescent="0.3">
      <c r="A14" s="25" t="s">
        <v>112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>
        <v>1E-4</v>
      </c>
      <c r="AC14" s="88"/>
      <c r="AD14" s="6"/>
      <c r="AE14" s="6"/>
      <c r="AF14" s="88"/>
      <c r="AG14" s="6"/>
      <c r="AH14" s="88"/>
      <c r="AI14" s="6"/>
      <c r="AJ14" s="88"/>
      <c r="AK14" s="6"/>
      <c r="AL14" s="6"/>
      <c r="AM14" s="6"/>
      <c r="AN14" s="28"/>
    </row>
    <row r="15" spans="1:40" x14ac:dyDescent="0.3">
      <c r="A15" s="25" t="s">
        <v>113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>
        <v>1E-4</v>
      </c>
      <c r="AC15" s="88"/>
      <c r="AD15" s="6"/>
      <c r="AE15" s="6"/>
      <c r="AF15" s="88"/>
      <c r="AG15" s="6"/>
      <c r="AH15" s="88"/>
      <c r="AI15" s="6"/>
      <c r="AJ15" s="88"/>
      <c r="AK15" s="6"/>
      <c r="AL15" s="6"/>
      <c r="AM15" s="6"/>
      <c r="AN15" s="28"/>
    </row>
    <row r="16" spans="1:40" x14ac:dyDescent="0.3">
      <c r="A16" s="25" t="s">
        <v>114</v>
      </c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>
        <v>1E-4</v>
      </c>
      <c r="AC16" s="88"/>
      <c r="AD16" s="6"/>
      <c r="AE16" s="6"/>
      <c r="AF16" s="88"/>
      <c r="AG16" s="6"/>
      <c r="AH16" s="88"/>
      <c r="AI16" s="6"/>
      <c r="AJ16" s="88"/>
      <c r="AK16" s="6"/>
      <c r="AL16" s="6"/>
      <c r="AM16" s="6"/>
      <c r="AN16" s="28"/>
    </row>
    <row r="17" spans="1:40" x14ac:dyDescent="0.3">
      <c r="A17" s="41" t="s">
        <v>115</v>
      </c>
      <c r="B17" s="91"/>
      <c r="C17" s="91"/>
      <c r="D17" s="91"/>
      <c r="E17" s="91"/>
      <c r="F17" s="91"/>
      <c r="G17" s="91"/>
      <c r="H17" s="91"/>
      <c r="I17" s="91"/>
      <c r="J17" s="91"/>
      <c r="K17" s="91"/>
      <c r="L17" s="91"/>
      <c r="M17" s="91"/>
      <c r="N17" s="91"/>
      <c r="O17" s="91"/>
      <c r="P17" s="91"/>
      <c r="Q17" s="91"/>
      <c r="R17" s="91"/>
      <c r="S17" s="91"/>
      <c r="T17" s="91"/>
      <c r="U17" s="91"/>
      <c r="V17" s="91"/>
      <c r="W17" s="91"/>
      <c r="X17" s="91"/>
      <c r="Y17" s="91">
        <v>1E-4</v>
      </c>
      <c r="Z17" s="91"/>
      <c r="AA17" s="91"/>
      <c r="AB17" s="91"/>
      <c r="AC17" s="99"/>
      <c r="AD17" s="91"/>
      <c r="AE17" s="91"/>
      <c r="AF17" s="99"/>
      <c r="AG17" s="91"/>
      <c r="AH17" s="99"/>
      <c r="AI17" s="91"/>
      <c r="AJ17" s="99"/>
      <c r="AK17" s="91"/>
      <c r="AL17" s="91"/>
      <c r="AM17" s="91"/>
      <c r="AN17" s="90"/>
    </row>
    <row r="18" spans="1:40" x14ac:dyDescent="0.3">
      <c r="A18" s="25" t="s">
        <v>5</v>
      </c>
      <c r="B18" s="6"/>
      <c r="C18" s="6"/>
      <c r="D18" s="6">
        <v>1E-4</v>
      </c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88"/>
      <c r="AD18" s="6"/>
      <c r="AE18" s="6"/>
      <c r="AF18" s="88"/>
      <c r="AG18" s="6"/>
      <c r="AH18" s="88"/>
      <c r="AI18" s="6">
        <v>1E-4</v>
      </c>
      <c r="AJ18" s="88"/>
      <c r="AK18" s="6"/>
      <c r="AL18" s="6"/>
      <c r="AM18" s="6"/>
      <c r="AN18" s="28"/>
    </row>
    <row r="19" spans="1:40" x14ac:dyDescent="0.3">
      <c r="A19" s="25" t="s">
        <v>116</v>
      </c>
      <c r="B19" s="6"/>
      <c r="C19" s="6"/>
      <c r="D19" s="6"/>
      <c r="E19" s="6"/>
      <c r="F19" s="6"/>
      <c r="G19" s="6"/>
      <c r="H19" s="6"/>
      <c r="I19" s="6"/>
      <c r="J19" s="6"/>
      <c r="K19" s="6">
        <v>1E-4</v>
      </c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88"/>
      <c r="AD19" s="6"/>
      <c r="AE19" s="6"/>
      <c r="AF19" s="88"/>
      <c r="AG19" s="6"/>
      <c r="AH19" s="88"/>
      <c r="AI19" s="6">
        <v>1E-4</v>
      </c>
      <c r="AJ19" s="88"/>
      <c r="AK19" s="6"/>
      <c r="AL19" s="6"/>
      <c r="AM19" s="6"/>
      <c r="AN19" s="28"/>
    </row>
    <row r="20" spans="1:40" x14ac:dyDescent="0.3">
      <c r="A20" s="25" t="s">
        <v>117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>
        <v>1E-4</v>
      </c>
      <c r="S20" s="6"/>
      <c r="T20" s="6"/>
      <c r="U20" s="6"/>
      <c r="V20" s="6"/>
      <c r="W20" s="6"/>
      <c r="X20" s="6"/>
      <c r="Y20" s="6"/>
      <c r="Z20" s="6"/>
      <c r="AA20" s="6"/>
      <c r="AB20" s="6"/>
      <c r="AC20" s="88"/>
      <c r="AD20" s="6"/>
      <c r="AE20" s="6"/>
      <c r="AF20" s="88"/>
      <c r="AG20" s="6"/>
      <c r="AH20" s="88"/>
      <c r="AI20" s="6"/>
      <c r="AJ20" s="88">
        <v>1E-4</v>
      </c>
      <c r="AK20" s="6"/>
      <c r="AL20" s="6"/>
      <c r="AM20" s="6"/>
      <c r="AN20" s="28"/>
    </row>
    <row r="21" spans="1:40" x14ac:dyDescent="0.3">
      <c r="A21" s="41" t="s">
        <v>118</v>
      </c>
      <c r="B21" s="91"/>
      <c r="C21" s="91"/>
      <c r="D21" s="91"/>
      <c r="E21" s="91"/>
      <c r="F21" s="91"/>
      <c r="G21" s="91"/>
      <c r="H21" s="91"/>
      <c r="I21" s="91"/>
      <c r="J21" s="91"/>
      <c r="K21" s="91"/>
      <c r="L21" s="91"/>
      <c r="M21" s="91"/>
      <c r="N21" s="91"/>
      <c r="O21" s="91"/>
      <c r="P21" s="91"/>
      <c r="Q21" s="91"/>
      <c r="R21" s="91"/>
      <c r="S21" s="91"/>
      <c r="T21" s="91"/>
      <c r="U21" s="91"/>
      <c r="V21" s="91"/>
      <c r="W21" s="91"/>
      <c r="X21" s="91"/>
      <c r="Y21" s="91"/>
      <c r="Z21" s="91"/>
      <c r="AA21" s="91"/>
      <c r="AB21" s="91"/>
      <c r="AC21" s="99"/>
      <c r="AD21" s="91"/>
      <c r="AE21" s="91"/>
      <c r="AF21" s="99"/>
      <c r="AG21" s="91"/>
      <c r="AH21" s="99"/>
      <c r="AI21" s="91"/>
      <c r="AJ21" s="99">
        <v>1E-4</v>
      </c>
      <c r="AK21" s="91"/>
      <c r="AL21" s="91"/>
      <c r="AM21" s="91"/>
      <c r="AN21" s="90"/>
    </row>
    <row r="22" spans="1:40" x14ac:dyDescent="0.3">
      <c r="A22" s="25" t="s">
        <v>128</v>
      </c>
      <c r="B22" s="6"/>
      <c r="C22" s="6">
        <v>1E-4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88"/>
      <c r="AD22" s="6">
        <v>1E-4</v>
      </c>
      <c r="AE22" s="6"/>
      <c r="AF22" s="88"/>
      <c r="AG22" s="6"/>
      <c r="AH22" s="88"/>
      <c r="AI22" s="6"/>
      <c r="AJ22" s="88"/>
      <c r="AK22" s="6"/>
      <c r="AL22" s="6"/>
      <c r="AM22" s="6"/>
      <c r="AN22" s="28"/>
    </row>
    <row r="23" spans="1:40" x14ac:dyDescent="0.3">
      <c r="A23" s="25" t="s">
        <v>80</v>
      </c>
      <c r="B23" s="6">
        <v>1E-4</v>
      </c>
      <c r="C23" s="6"/>
      <c r="D23" s="6">
        <v>1E-4</v>
      </c>
      <c r="E23" s="6"/>
      <c r="F23" s="6">
        <v>1E-4</v>
      </c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88"/>
      <c r="AD23" s="6"/>
      <c r="AE23" s="6"/>
      <c r="AF23" s="88"/>
      <c r="AG23" s="6"/>
      <c r="AH23" s="88"/>
      <c r="AI23" s="6"/>
      <c r="AJ23" s="88"/>
      <c r="AK23" s="6"/>
      <c r="AL23" s="6"/>
      <c r="AM23" s="6"/>
      <c r="AN23" s="28"/>
    </row>
    <row r="24" spans="1:40" x14ac:dyDescent="0.3">
      <c r="A24" s="25" t="s">
        <v>81</v>
      </c>
      <c r="B24" s="6"/>
      <c r="C24" s="6">
        <v>1E-4</v>
      </c>
      <c r="D24" s="6"/>
      <c r="E24" s="6">
        <v>1E-4</v>
      </c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88"/>
      <c r="AD24" s="6"/>
      <c r="AE24" s="6"/>
      <c r="AF24" s="88"/>
      <c r="AG24" s="6"/>
      <c r="AH24" s="88"/>
      <c r="AI24" s="6"/>
      <c r="AJ24" s="88"/>
      <c r="AK24" s="6">
        <v>1E-4</v>
      </c>
      <c r="AL24" s="6"/>
      <c r="AM24" s="6"/>
      <c r="AN24" s="28"/>
    </row>
    <row r="25" spans="1:40" x14ac:dyDescent="0.3">
      <c r="A25" s="25" t="s">
        <v>82</v>
      </c>
      <c r="B25" s="6"/>
      <c r="C25" s="6"/>
      <c r="D25" s="6">
        <v>1E-4</v>
      </c>
      <c r="E25" s="6"/>
      <c r="F25" s="6"/>
      <c r="G25" s="6">
        <v>1E-4</v>
      </c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88"/>
      <c r="AD25" s="6"/>
      <c r="AE25" s="6">
        <v>1E-4</v>
      </c>
      <c r="AF25" s="88"/>
      <c r="AG25" s="6"/>
      <c r="AH25" s="88"/>
      <c r="AI25" s="6"/>
      <c r="AJ25" s="88"/>
      <c r="AK25" s="6"/>
      <c r="AL25" s="6"/>
      <c r="AM25" s="6"/>
      <c r="AN25" s="28"/>
    </row>
    <row r="26" spans="1:40" x14ac:dyDescent="0.3">
      <c r="A26" s="25" t="s">
        <v>83</v>
      </c>
      <c r="B26" s="6"/>
      <c r="C26" s="6">
        <v>1E-4</v>
      </c>
      <c r="D26" s="6"/>
      <c r="E26" s="6"/>
      <c r="F26" s="6"/>
      <c r="G26" s="6"/>
      <c r="H26" s="6"/>
      <c r="I26" s="6">
        <v>1E-4</v>
      </c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88"/>
      <c r="AD26" s="6"/>
      <c r="AE26" s="6"/>
      <c r="AF26" s="88"/>
      <c r="AG26" s="6"/>
      <c r="AH26" s="88"/>
      <c r="AI26" s="6"/>
      <c r="AJ26" s="88"/>
      <c r="AK26" s="6"/>
      <c r="AL26" s="6"/>
      <c r="AM26" s="6"/>
      <c r="AN26" s="28"/>
    </row>
    <row r="27" spans="1:40" x14ac:dyDescent="0.3">
      <c r="A27" s="25" t="s">
        <v>84</v>
      </c>
      <c r="B27" s="6"/>
      <c r="C27" s="6"/>
      <c r="D27" s="6"/>
      <c r="E27" s="6">
        <v>1E-4</v>
      </c>
      <c r="F27" s="6"/>
      <c r="G27" s="6"/>
      <c r="H27" s="6">
        <v>1E-4</v>
      </c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88"/>
      <c r="AD27" s="6"/>
      <c r="AE27" s="6"/>
      <c r="AF27" s="88"/>
      <c r="AG27" s="6"/>
      <c r="AH27" s="88"/>
      <c r="AI27" s="6"/>
      <c r="AJ27" s="88"/>
      <c r="AK27" s="6"/>
      <c r="AL27" s="6"/>
      <c r="AM27" s="6"/>
      <c r="AN27" s="28"/>
    </row>
    <row r="28" spans="1:40" x14ac:dyDescent="0.3">
      <c r="A28" s="25" t="s">
        <v>85</v>
      </c>
      <c r="B28" s="6"/>
      <c r="C28" s="6"/>
      <c r="D28" s="6"/>
      <c r="E28" s="6"/>
      <c r="F28" s="6"/>
      <c r="G28" s="6">
        <v>1E-4</v>
      </c>
      <c r="H28" s="6"/>
      <c r="I28" s="6">
        <v>1E-4</v>
      </c>
      <c r="J28" s="6">
        <v>1E-4</v>
      </c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88"/>
      <c r="AD28" s="6"/>
      <c r="AE28" s="6"/>
      <c r="AF28" s="88"/>
      <c r="AG28" s="6"/>
      <c r="AH28" s="88"/>
      <c r="AI28" s="6"/>
      <c r="AJ28" s="88"/>
      <c r="AK28" s="6"/>
      <c r="AL28" s="6"/>
      <c r="AM28" s="6"/>
      <c r="AN28" s="28"/>
    </row>
    <row r="29" spans="1:40" x14ac:dyDescent="0.3">
      <c r="A29" s="25" t="s">
        <v>86</v>
      </c>
      <c r="B29" s="6"/>
      <c r="C29" s="6"/>
      <c r="D29" s="6"/>
      <c r="E29" s="6"/>
      <c r="F29" s="6">
        <v>1E-4</v>
      </c>
      <c r="G29" s="6"/>
      <c r="H29" s="6">
        <v>1E-4</v>
      </c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88"/>
      <c r="AD29" s="6"/>
      <c r="AE29" s="6"/>
      <c r="AF29" s="88"/>
      <c r="AG29" s="6">
        <v>1E-4</v>
      </c>
      <c r="AH29" s="88"/>
      <c r="AI29" s="6"/>
      <c r="AJ29" s="88"/>
      <c r="AK29" s="6"/>
      <c r="AL29" s="6"/>
      <c r="AM29" s="6"/>
      <c r="AN29" s="28"/>
    </row>
    <row r="30" spans="1:40" x14ac:dyDescent="0.3">
      <c r="A30" s="25" t="s">
        <v>129</v>
      </c>
      <c r="B30" s="6"/>
      <c r="C30" s="6"/>
      <c r="D30" s="6"/>
      <c r="E30" s="6"/>
      <c r="F30" s="6"/>
      <c r="G30" s="6"/>
      <c r="H30" s="6">
        <v>1E-4</v>
      </c>
      <c r="I30" s="6"/>
      <c r="J30" s="6"/>
      <c r="K30" s="6">
        <v>1E-4</v>
      </c>
      <c r="L30" s="6">
        <v>1E-4</v>
      </c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88"/>
      <c r="AD30" s="6"/>
      <c r="AE30" s="6"/>
      <c r="AF30" s="88"/>
      <c r="AG30" s="6"/>
      <c r="AH30" s="88"/>
      <c r="AI30" s="6"/>
      <c r="AJ30" s="88"/>
      <c r="AK30" s="6"/>
      <c r="AL30" s="6"/>
      <c r="AM30" s="6"/>
      <c r="AN30" s="28"/>
    </row>
    <row r="31" spans="1:40" x14ac:dyDescent="0.3">
      <c r="A31" s="25" t="s">
        <v>130</v>
      </c>
      <c r="B31" s="6"/>
      <c r="C31" s="6"/>
      <c r="D31" s="6"/>
      <c r="E31" s="6"/>
      <c r="F31" s="6"/>
      <c r="G31" s="6"/>
      <c r="H31" s="6"/>
      <c r="I31" s="6"/>
      <c r="J31" s="6">
        <v>1E-4</v>
      </c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88"/>
      <c r="AD31" s="6"/>
      <c r="AE31" s="6"/>
      <c r="AF31" s="88"/>
      <c r="AG31" s="6"/>
      <c r="AH31" s="88"/>
      <c r="AI31" s="6"/>
      <c r="AJ31" s="88"/>
      <c r="AK31" s="6"/>
      <c r="AL31" s="6">
        <v>1E-4</v>
      </c>
      <c r="AM31" s="6"/>
      <c r="AN31" s="28"/>
    </row>
    <row r="32" spans="1:40" x14ac:dyDescent="0.3">
      <c r="A32" s="25" t="s">
        <v>131</v>
      </c>
      <c r="B32" s="6"/>
      <c r="C32" s="6"/>
      <c r="D32" s="6"/>
      <c r="E32" s="6"/>
      <c r="F32" s="6"/>
      <c r="G32" s="6"/>
      <c r="H32" s="6"/>
      <c r="I32" s="6"/>
      <c r="J32" s="6">
        <v>1E-4</v>
      </c>
      <c r="K32" s="6"/>
      <c r="L32" s="6"/>
      <c r="M32" s="6"/>
      <c r="N32" s="6">
        <v>1E-4</v>
      </c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88"/>
      <c r="AD32" s="6"/>
      <c r="AE32" s="6"/>
      <c r="AF32" s="88"/>
      <c r="AG32" s="6"/>
      <c r="AH32" s="88"/>
      <c r="AI32" s="6"/>
      <c r="AJ32" s="88"/>
      <c r="AK32" s="6"/>
      <c r="AL32" s="6"/>
      <c r="AM32" s="6"/>
      <c r="AN32" s="28"/>
    </row>
    <row r="33" spans="1:40" x14ac:dyDescent="0.3">
      <c r="A33" s="25" t="s">
        <v>132</v>
      </c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>
        <v>1E-4</v>
      </c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88"/>
      <c r="AD33" s="6"/>
      <c r="AE33" s="6"/>
      <c r="AF33" s="88"/>
      <c r="AG33" s="6"/>
      <c r="AH33" s="88"/>
      <c r="AI33" s="6"/>
      <c r="AJ33" s="88"/>
      <c r="AK33" s="6"/>
      <c r="AL33" s="6"/>
      <c r="AM33" s="6"/>
      <c r="AN33" s="28"/>
    </row>
    <row r="34" spans="1:40" x14ac:dyDescent="0.3">
      <c r="A34" s="25" t="s">
        <v>133</v>
      </c>
      <c r="B34" s="6"/>
      <c r="C34" s="6"/>
      <c r="D34" s="6"/>
      <c r="E34" s="6"/>
      <c r="F34" s="6"/>
      <c r="G34" s="6"/>
      <c r="H34" s="6"/>
      <c r="I34" s="6"/>
      <c r="J34" s="6"/>
      <c r="K34" s="6"/>
      <c r="L34" s="6">
        <v>1E-4</v>
      </c>
      <c r="M34" s="6" t="s">
        <v>230</v>
      </c>
      <c r="N34" s="6"/>
      <c r="O34" s="6">
        <v>1E-4</v>
      </c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88"/>
      <c r="AD34" s="6"/>
      <c r="AE34" s="6"/>
      <c r="AF34" s="88"/>
      <c r="AG34" s="6"/>
      <c r="AH34" s="88"/>
      <c r="AI34" s="6"/>
      <c r="AJ34" s="88"/>
      <c r="AK34" s="6"/>
      <c r="AL34" s="6"/>
      <c r="AM34" s="6"/>
      <c r="AN34" s="28"/>
    </row>
    <row r="35" spans="1:40" x14ac:dyDescent="0.3">
      <c r="A35" s="25" t="s">
        <v>134</v>
      </c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>
        <v>1E-4</v>
      </c>
      <c r="N35" s="6">
        <v>1E-4</v>
      </c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88">
        <v>1E-4</v>
      </c>
      <c r="AD35" s="6"/>
      <c r="AE35" s="6"/>
      <c r="AF35" s="88"/>
      <c r="AG35" s="6"/>
      <c r="AH35" s="88"/>
      <c r="AI35" s="6"/>
      <c r="AJ35" s="88"/>
      <c r="AK35" s="6"/>
      <c r="AL35" s="6"/>
      <c r="AM35" s="6"/>
      <c r="AN35" s="28"/>
    </row>
    <row r="36" spans="1:40" x14ac:dyDescent="0.3">
      <c r="A36" s="25" t="s">
        <v>135</v>
      </c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>
        <v>1E-4</v>
      </c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88">
        <v>1E-4</v>
      </c>
      <c r="AD36" s="6"/>
      <c r="AE36" s="6"/>
      <c r="AF36" s="88"/>
      <c r="AG36" s="6"/>
      <c r="AH36" s="88"/>
      <c r="AI36" s="6"/>
      <c r="AJ36" s="88"/>
      <c r="AK36" s="6"/>
      <c r="AL36" s="6"/>
      <c r="AM36" s="6"/>
      <c r="AN36" s="28"/>
    </row>
    <row r="37" spans="1:40" x14ac:dyDescent="0.3">
      <c r="A37" s="25" t="s">
        <v>136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>
        <v>1E-4</v>
      </c>
      <c r="Q37" s="6" t="s">
        <v>230</v>
      </c>
      <c r="R37" s="6">
        <v>1E-4</v>
      </c>
      <c r="S37" s="6"/>
      <c r="T37" s="6"/>
      <c r="U37" s="6"/>
      <c r="V37" s="6"/>
      <c r="W37" s="6"/>
      <c r="X37" s="6"/>
      <c r="Y37" s="6"/>
      <c r="Z37" s="6"/>
      <c r="AA37" s="6"/>
      <c r="AB37" s="6"/>
      <c r="AC37" s="88"/>
      <c r="AD37" s="6"/>
      <c r="AE37" s="6"/>
      <c r="AF37" s="88"/>
      <c r="AG37" s="6"/>
      <c r="AH37" s="88"/>
      <c r="AI37" s="6"/>
      <c r="AJ37" s="88"/>
      <c r="AK37" s="6"/>
      <c r="AL37" s="6"/>
      <c r="AM37" s="6"/>
      <c r="AN37" s="28"/>
    </row>
    <row r="38" spans="1:40" x14ac:dyDescent="0.3">
      <c r="A38" s="25" t="s">
        <v>137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>
        <v>1E-4</v>
      </c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88"/>
      <c r="AD38" s="6"/>
      <c r="AE38" s="6"/>
      <c r="AF38" s="88">
        <v>1E-4</v>
      </c>
      <c r="AG38" s="6"/>
      <c r="AH38" s="88"/>
      <c r="AI38" s="6"/>
      <c r="AJ38" s="88"/>
      <c r="AK38" s="6"/>
      <c r="AL38" s="6"/>
      <c r="AM38" s="6">
        <v>1E-4</v>
      </c>
      <c r="AN38" s="28"/>
    </row>
    <row r="39" spans="1:40" x14ac:dyDescent="0.3">
      <c r="A39" s="25" t="s">
        <v>138</v>
      </c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>
        <v>1E-4</v>
      </c>
      <c r="U39" s="6"/>
      <c r="V39" s="6"/>
      <c r="W39" s="6"/>
      <c r="X39" s="6"/>
      <c r="Y39" s="6"/>
      <c r="Z39" s="6"/>
      <c r="AA39" s="6"/>
      <c r="AB39" s="6"/>
      <c r="AC39" s="88"/>
      <c r="AD39" s="6"/>
      <c r="AE39" s="6"/>
      <c r="AF39" s="88">
        <v>1E-4</v>
      </c>
      <c r="AG39" s="6"/>
      <c r="AH39" s="88"/>
      <c r="AI39" s="6"/>
      <c r="AJ39" s="88"/>
      <c r="AK39" s="6"/>
      <c r="AL39" s="6"/>
      <c r="AM39" s="6"/>
      <c r="AN39" s="28"/>
    </row>
    <row r="40" spans="1:40" x14ac:dyDescent="0.3">
      <c r="A40" s="25" t="s">
        <v>139</v>
      </c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>
        <v>1E-4</v>
      </c>
      <c r="T40" s="6"/>
      <c r="U40" s="6"/>
      <c r="V40" s="6"/>
      <c r="W40" s="6">
        <v>1E-4</v>
      </c>
      <c r="X40" s="6"/>
      <c r="Y40" s="6"/>
      <c r="Z40" s="6"/>
      <c r="AA40" s="6"/>
      <c r="AB40" s="6"/>
      <c r="AC40" s="88"/>
      <c r="AD40" s="6"/>
      <c r="AE40" s="6"/>
      <c r="AF40" s="88"/>
      <c r="AG40" s="6"/>
      <c r="AH40" s="88"/>
      <c r="AI40" s="6"/>
      <c r="AJ40" s="88"/>
      <c r="AK40" s="6"/>
      <c r="AL40" s="6"/>
      <c r="AM40" s="6"/>
      <c r="AN40" s="28"/>
    </row>
    <row r="41" spans="1:40" x14ac:dyDescent="0.3">
      <c r="A41" s="25" t="s">
        <v>140</v>
      </c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>
        <v>1E-4</v>
      </c>
      <c r="W41" s="6"/>
      <c r="X41" s="6"/>
      <c r="Y41" s="6"/>
      <c r="Z41" s="6"/>
      <c r="AA41" s="6"/>
      <c r="AB41" s="6"/>
      <c r="AC41" s="88">
        <v>1E-4</v>
      </c>
      <c r="AD41" s="6"/>
      <c r="AE41" s="6"/>
      <c r="AF41" s="88"/>
      <c r="AG41" s="6"/>
      <c r="AH41" s="88">
        <v>1E-4</v>
      </c>
      <c r="AI41" s="6"/>
      <c r="AJ41" s="88"/>
      <c r="AK41" s="6"/>
      <c r="AL41" s="6"/>
      <c r="AM41" s="6"/>
      <c r="AN41" s="28"/>
    </row>
    <row r="42" spans="1:40" x14ac:dyDescent="0.3">
      <c r="A42" s="25" t="s">
        <v>141</v>
      </c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>
        <v>1E-4</v>
      </c>
      <c r="V42" s="6"/>
      <c r="W42" s="6">
        <v>1E-4</v>
      </c>
      <c r="X42" s="6"/>
      <c r="Y42" s="6"/>
      <c r="Z42" s="6"/>
      <c r="AA42" s="6"/>
      <c r="AB42" s="6"/>
      <c r="AC42" s="88"/>
      <c r="AD42" s="6"/>
      <c r="AE42" s="6"/>
      <c r="AF42" s="88"/>
      <c r="AG42" s="6"/>
      <c r="AH42" s="88"/>
      <c r="AI42" s="6"/>
      <c r="AJ42" s="88"/>
      <c r="AK42" s="6"/>
      <c r="AL42" s="6"/>
      <c r="AM42" s="6"/>
      <c r="AN42" s="28"/>
    </row>
    <row r="43" spans="1:40" x14ac:dyDescent="0.3">
      <c r="A43" s="25" t="s">
        <v>142</v>
      </c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>
        <v>1E-4</v>
      </c>
      <c r="U43" s="6"/>
      <c r="V43" s="6">
        <v>1E-4</v>
      </c>
      <c r="W43" s="6"/>
      <c r="X43" s="6">
        <v>1E-4</v>
      </c>
      <c r="Y43" s="6"/>
      <c r="Z43" s="6"/>
      <c r="AA43" s="6"/>
      <c r="AB43" s="6"/>
      <c r="AC43" s="88"/>
      <c r="AD43" s="6"/>
      <c r="AE43" s="6"/>
      <c r="AF43" s="88"/>
      <c r="AG43" s="6"/>
      <c r="AH43" s="88"/>
      <c r="AI43" s="6"/>
      <c r="AJ43" s="88"/>
      <c r="AK43" s="6"/>
      <c r="AL43" s="6"/>
      <c r="AM43" s="6"/>
      <c r="AN43" s="28"/>
    </row>
    <row r="44" spans="1:40" x14ac:dyDescent="0.3">
      <c r="A44" s="25" t="s">
        <v>143</v>
      </c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 t="s">
        <v>230</v>
      </c>
      <c r="V44" s="6" t="s">
        <v>230</v>
      </c>
      <c r="W44" s="6">
        <v>1E-4</v>
      </c>
      <c r="X44" s="6"/>
      <c r="Y44" s="6">
        <v>1E-4</v>
      </c>
      <c r="Z44" s="6"/>
      <c r="AA44" s="6"/>
      <c r="AB44" s="6"/>
      <c r="AC44" s="88"/>
      <c r="AD44" s="6"/>
      <c r="AE44" s="6"/>
      <c r="AF44" s="88"/>
      <c r="AG44" s="6"/>
      <c r="AH44" s="88"/>
      <c r="AI44" s="6"/>
      <c r="AJ44" s="88"/>
      <c r="AK44" s="6"/>
      <c r="AL44" s="6"/>
      <c r="AM44" s="6"/>
      <c r="AN44" s="28"/>
    </row>
    <row r="45" spans="1:40" x14ac:dyDescent="0.3">
      <c r="A45" s="25" t="s">
        <v>144</v>
      </c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>
        <v>1E-4</v>
      </c>
      <c r="Y45" s="6"/>
      <c r="Z45" s="6">
        <v>1E-4</v>
      </c>
      <c r="AA45" s="6"/>
      <c r="AB45" s="6"/>
      <c r="AC45" s="88"/>
      <c r="AD45" s="6"/>
      <c r="AE45" s="6"/>
      <c r="AF45" s="88"/>
      <c r="AG45" s="6"/>
      <c r="AH45" s="88"/>
      <c r="AI45" s="6"/>
      <c r="AJ45" s="88"/>
      <c r="AK45" s="6"/>
      <c r="AL45" s="6"/>
      <c r="AM45" s="6"/>
      <c r="AN45" s="28"/>
    </row>
    <row r="46" spans="1:40" x14ac:dyDescent="0.3">
      <c r="A46" s="25" t="s">
        <v>145</v>
      </c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>
        <v>1E-4</v>
      </c>
      <c r="Z46" s="6"/>
      <c r="AA46" s="6">
        <v>1E-4</v>
      </c>
      <c r="AB46" s="6"/>
      <c r="AC46" s="88"/>
      <c r="AD46" s="6"/>
      <c r="AE46" s="6"/>
      <c r="AF46" s="88"/>
      <c r="AG46" s="6"/>
      <c r="AH46" s="88"/>
      <c r="AI46" s="6"/>
      <c r="AJ46" s="88"/>
      <c r="AK46" s="6"/>
      <c r="AL46" s="6"/>
      <c r="AM46" s="6"/>
      <c r="AN46" s="28"/>
    </row>
    <row r="47" spans="1:40" x14ac:dyDescent="0.3">
      <c r="A47" s="25" t="s">
        <v>146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>
        <v>1E-4</v>
      </c>
      <c r="AA47" s="6"/>
      <c r="AB47" s="6">
        <v>1E-4</v>
      </c>
      <c r="AC47" s="88"/>
      <c r="AD47" s="6"/>
      <c r="AE47" s="6"/>
      <c r="AF47" s="88"/>
      <c r="AG47" s="6"/>
      <c r="AH47" s="88"/>
      <c r="AI47" s="6"/>
      <c r="AJ47" s="88"/>
      <c r="AK47" s="6"/>
      <c r="AL47" s="6"/>
      <c r="AM47" s="6"/>
      <c r="AN47" s="28"/>
    </row>
    <row r="48" spans="1:40" x14ac:dyDescent="0.3">
      <c r="A48" s="25" t="s">
        <v>147</v>
      </c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>
        <v>1E-4</v>
      </c>
      <c r="AB48" s="6"/>
      <c r="AC48" s="88"/>
      <c r="AD48" s="6"/>
      <c r="AE48" s="6"/>
      <c r="AF48" s="88"/>
      <c r="AG48" s="6"/>
      <c r="AH48" s="88"/>
      <c r="AI48" s="6"/>
      <c r="AJ48" s="88"/>
      <c r="AK48" s="6"/>
      <c r="AL48" s="6"/>
      <c r="AM48" s="6"/>
      <c r="AN48" s="28"/>
    </row>
    <row r="49" spans="1:40" x14ac:dyDescent="0.3">
      <c r="A49" s="41" t="s">
        <v>148</v>
      </c>
      <c r="B49" s="91"/>
      <c r="C49" s="91"/>
      <c r="D49" s="91"/>
      <c r="E49" s="91"/>
      <c r="F49" s="91"/>
      <c r="G49" s="91"/>
      <c r="H49" s="91"/>
      <c r="I49" s="91"/>
      <c r="J49" s="91"/>
      <c r="K49" s="91"/>
      <c r="L49" s="91"/>
      <c r="M49" s="91"/>
      <c r="N49" s="91"/>
      <c r="O49" s="91">
        <v>1E-4</v>
      </c>
      <c r="P49" s="91">
        <v>1E-4</v>
      </c>
      <c r="Q49" s="91"/>
      <c r="R49" s="91"/>
      <c r="S49" s="91"/>
      <c r="T49" s="91"/>
      <c r="U49" s="91">
        <v>1E-4</v>
      </c>
      <c r="V49" s="91"/>
      <c r="W49" s="91"/>
      <c r="X49" s="91"/>
      <c r="Y49" s="91"/>
      <c r="Z49" s="91"/>
      <c r="AA49" s="91"/>
      <c r="AB49" s="91"/>
      <c r="AC49" s="99"/>
      <c r="AD49" s="91"/>
      <c r="AE49" s="91"/>
      <c r="AF49" s="99"/>
      <c r="AG49" s="91"/>
      <c r="AH49" s="99"/>
      <c r="AI49" s="91"/>
      <c r="AJ49" s="99"/>
      <c r="AK49" s="91"/>
      <c r="AL49" s="91"/>
      <c r="AM49" s="91"/>
      <c r="AN49" s="90"/>
    </row>
    <row r="50" spans="1:40" x14ac:dyDescent="0.3">
      <c r="A50" s="25" t="s">
        <v>78</v>
      </c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88"/>
      <c r="AD50" s="6"/>
      <c r="AE50" s="6"/>
      <c r="AF50" s="88"/>
      <c r="AG50" s="6">
        <v>1E-4</v>
      </c>
      <c r="AH50" s="88"/>
      <c r="AI50" s="6"/>
      <c r="AJ50" s="88"/>
      <c r="AK50" s="6">
        <v>1E-4</v>
      </c>
      <c r="AL50" s="6">
        <v>1E-4</v>
      </c>
      <c r="AM50" s="6"/>
      <c r="AN50" s="28"/>
    </row>
    <row r="51" spans="1:40" x14ac:dyDescent="0.3">
      <c r="A51" s="41" t="s">
        <v>281</v>
      </c>
      <c r="B51" s="91"/>
      <c r="C51" s="91"/>
      <c r="D51" s="91"/>
      <c r="E51" s="91"/>
      <c r="F51" s="91"/>
      <c r="G51" s="91"/>
      <c r="H51" s="91"/>
      <c r="I51" s="91"/>
      <c r="J51" s="91"/>
      <c r="K51" s="91"/>
      <c r="L51" s="91"/>
      <c r="M51" s="91"/>
      <c r="N51" s="91"/>
      <c r="O51" s="91"/>
      <c r="P51" s="91"/>
      <c r="Q51" s="91"/>
      <c r="R51" s="91"/>
      <c r="S51" s="91"/>
      <c r="T51" s="91"/>
      <c r="U51" s="91"/>
      <c r="V51" s="91"/>
      <c r="W51" s="91"/>
      <c r="X51" s="91"/>
      <c r="Y51" s="91"/>
      <c r="Z51" s="91"/>
      <c r="AA51" s="91"/>
      <c r="AB51" s="91"/>
      <c r="AC51" s="99"/>
      <c r="AD51" s="91"/>
      <c r="AE51" s="91"/>
      <c r="AF51" s="99"/>
      <c r="AG51" s="91"/>
      <c r="AH51" s="99">
        <v>1E-4</v>
      </c>
      <c r="AI51" s="91"/>
      <c r="AJ51" s="99"/>
      <c r="AK51" s="91"/>
      <c r="AL51" s="91"/>
      <c r="AM51" s="91">
        <v>1E-4</v>
      </c>
      <c r="AN51" s="90">
        <v>1E-4</v>
      </c>
    </row>
    <row r="52" spans="1:40" x14ac:dyDescent="0.3">
      <c r="A52" s="25" t="s">
        <v>66</v>
      </c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88"/>
      <c r="AD52" s="6"/>
      <c r="AE52" s="6"/>
      <c r="AF52" s="88"/>
      <c r="AG52" s="6"/>
      <c r="AH52" s="88"/>
      <c r="AI52" s="6"/>
      <c r="AJ52" s="88"/>
      <c r="AK52" s="6">
        <v>1E-4</v>
      </c>
      <c r="AL52" s="6"/>
      <c r="AM52" s="6"/>
      <c r="AN52" s="28"/>
    </row>
    <row r="53" spans="1:40" x14ac:dyDescent="0.3">
      <c r="A53" s="25" t="s">
        <v>67</v>
      </c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88"/>
      <c r="AD53" s="6"/>
      <c r="AE53" s="6"/>
      <c r="AF53" s="88"/>
      <c r="AG53" s="6"/>
      <c r="AH53" s="88"/>
      <c r="AI53" s="6"/>
      <c r="AJ53" s="88"/>
      <c r="AK53" s="6">
        <v>1E-4</v>
      </c>
      <c r="AL53" s="6"/>
      <c r="AM53" s="6"/>
      <c r="AN53" s="28"/>
    </row>
    <row r="54" spans="1:40" x14ac:dyDescent="0.3">
      <c r="A54" s="25" t="s">
        <v>121</v>
      </c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88"/>
      <c r="AD54" s="6"/>
      <c r="AE54" s="6"/>
      <c r="AF54" s="88"/>
      <c r="AG54" s="6"/>
      <c r="AH54" s="88"/>
      <c r="AI54" s="6"/>
      <c r="AJ54" s="88"/>
      <c r="AK54" s="6"/>
      <c r="AL54" s="6">
        <v>1E-4</v>
      </c>
      <c r="AM54" s="6"/>
      <c r="AN54" s="28"/>
    </row>
    <row r="55" spans="1:40" x14ac:dyDescent="0.3">
      <c r="A55" s="25" t="s">
        <v>122</v>
      </c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88"/>
      <c r="AD55" s="6"/>
      <c r="AE55" s="6"/>
      <c r="AF55" s="88"/>
      <c r="AG55" s="6"/>
      <c r="AH55" s="88"/>
      <c r="AI55" s="6"/>
      <c r="AJ55" s="88"/>
      <c r="AK55" s="6"/>
      <c r="AL55" s="6">
        <v>1E-4</v>
      </c>
      <c r="AM55" s="6"/>
      <c r="AN55" s="28"/>
    </row>
    <row r="56" spans="1:40" x14ac:dyDescent="0.3">
      <c r="A56" s="25" t="s">
        <v>123</v>
      </c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88"/>
      <c r="AD56" s="6"/>
      <c r="AE56" s="6"/>
      <c r="AF56" s="88"/>
      <c r="AG56" s="6"/>
      <c r="AH56" s="88"/>
      <c r="AI56" s="6"/>
      <c r="AJ56" s="88"/>
      <c r="AK56" s="6"/>
      <c r="AL56" s="6"/>
      <c r="AM56" s="6">
        <v>1E-4</v>
      </c>
      <c r="AN56" s="28"/>
    </row>
    <row r="57" spans="1:40" x14ac:dyDescent="0.3">
      <c r="A57" s="25" t="s">
        <v>124</v>
      </c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88"/>
      <c r="AD57" s="6"/>
      <c r="AE57" s="6"/>
      <c r="AF57" s="88"/>
      <c r="AG57" s="6"/>
      <c r="AH57" s="88"/>
      <c r="AI57" s="6"/>
      <c r="AJ57" s="88"/>
      <c r="AK57" s="6"/>
      <c r="AL57" s="6"/>
      <c r="AM57" s="6">
        <v>1E-4</v>
      </c>
      <c r="AN57" s="28"/>
    </row>
    <row r="58" spans="1:40" x14ac:dyDescent="0.3">
      <c r="A58" s="25" t="s">
        <v>125</v>
      </c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88"/>
      <c r="AD58" s="6"/>
      <c r="AE58" s="6"/>
      <c r="AF58" s="88"/>
      <c r="AG58" s="6"/>
      <c r="AH58" s="88"/>
      <c r="AI58" s="6"/>
      <c r="AJ58" s="88"/>
      <c r="AK58" s="6"/>
      <c r="AL58" s="6"/>
      <c r="AM58" s="6"/>
      <c r="AN58" s="28">
        <v>1E-4</v>
      </c>
    </row>
    <row r="59" spans="1:40" x14ac:dyDescent="0.3">
      <c r="A59" s="41" t="s">
        <v>126</v>
      </c>
      <c r="B59" s="91"/>
      <c r="C59" s="91"/>
      <c r="D59" s="91"/>
      <c r="E59" s="91"/>
      <c r="F59" s="91"/>
      <c r="G59" s="91"/>
      <c r="H59" s="91"/>
      <c r="I59" s="91"/>
      <c r="J59" s="91"/>
      <c r="K59" s="91"/>
      <c r="L59" s="91"/>
      <c r="M59" s="91"/>
      <c r="N59" s="91"/>
      <c r="O59" s="91"/>
      <c r="P59" s="91"/>
      <c r="Q59" s="91"/>
      <c r="R59" s="91"/>
      <c r="S59" s="91"/>
      <c r="T59" s="91"/>
      <c r="U59" s="91"/>
      <c r="V59" s="91"/>
      <c r="W59" s="91"/>
      <c r="X59" s="91"/>
      <c r="Y59" s="91"/>
      <c r="Z59" s="91"/>
      <c r="AA59" s="91"/>
      <c r="AB59" s="91"/>
      <c r="AC59" s="99"/>
      <c r="AD59" s="91"/>
      <c r="AE59" s="91"/>
      <c r="AF59" s="99"/>
      <c r="AG59" s="91"/>
      <c r="AH59" s="99"/>
      <c r="AI59" s="91"/>
      <c r="AJ59" s="99"/>
      <c r="AK59" s="91"/>
      <c r="AL59" s="91"/>
      <c r="AM59" s="91"/>
      <c r="AN59" s="90">
        <v>1E-4</v>
      </c>
    </row>
    <row r="60" spans="1:40" x14ac:dyDescent="0.3">
      <c r="A60" s="25" t="s">
        <v>79</v>
      </c>
      <c r="B60" s="6"/>
      <c r="C60" s="6"/>
      <c r="D60" s="6"/>
      <c r="E60" s="6"/>
      <c r="F60" s="6"/>
      <c r="G60" s="6"/>
      <c r="H60" s="6"/>
      <c r="I60" s="6">
        <v>1E-4</v>
      </c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88"/>
      <c r="AD60" s="6"/>
      <c r="AE60" s="6"/>
      <c r="AF60" s="88"/>
      <c r="AG60" s="6"/>
      <c r="AH60" s="88"/>
      <c r="AI60" s="6">
        <v>1E-4</v>
      </c>
      <c r="AJ60" s="88"/>
      <c r="AK60" s="6"/>
      <c r="AL60" s="6"/>
      <c r="AM60" s="6"/>
      <c r="AN60" s="28"/>
    </row>
    <row r="61" spans="1:40" ht="16.2" thickBot="1" x14ac:dyDescent="0.35">
      <c r="A61" s="26" t="s">
        <v>127</v>
      </c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>
        <v>1E-4</v>
      </c>
      <c r="V61" s="7"/>
      <c r="W61" s="7"/>
      <c r="X61" s="7"/>
      <c r="Y61" s="7"/>
      <c r="Z61" s="7"/>
      <c r="AA61" s="7"/>
      <c r="AB61" s="7"/>
      <c r="AC61" s="89"/>
      <c r="AD61" s="7"/>
      <c r="AE61" s="7"/>
      <c r="AF61" s="89"/>
      <c r="AG61" s="7"/>
      <c r="AH61" s="89"/>
      <c r="AI61" s="7"/>
      <c r="AJ61" s="89">
        <v>1E-4</v>
      </c>
      <c r="AK61" s="7"/>
      <c r="AL61" s="7"/>
      <c r="AM61" s="7"/>
      <c r="AN61" s="8"/>
    </row>
  </sheetData>
  <phoneticPr fontId="2" type="noConversion"/>
  <pageMargins left="0.7" right="0.7" top="0.75" bottom="0.75" header="0.3" footer="0.3"/>
  <pageSetup orientation="portrait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9AF2E-9304-4DC1-ABFA-7D5DAA6BA0BC}">
  <sheetPr>
    <tabColor theme="5" tint="0.79998168889431442"/>
  </sheetPr>
  <dimension ref="A1:B10"/>
  <sheetViews>
    <sheetView workbookViewId="0">
      <selection activeCell="A12" sqref="A12"/>
    </sheetView>
  </sheetViews>
  <sheetFormatPr defaultColWidth="9.33203125" defaultRowHeight="15.6" x14ac:dyDescent="0.3"/>
  <cols>
    <col min="1" max="1" width="21.5546875" style="1" customWidth="1"/>
    <col min="2" max="16384" width="9.33203125" style="1"/>
  </cols>
  <sheetData>
    <row r="1" spans="1:2" ht="16.2" thickBot="1" x14ac:dyDescent="0.35">
      <c r="A1" s="1" t="str">
        <f>_xlfn.CONCAT( "Table of Freshwater Souring Cost [",VLOOKUP("currency", Units!$A$2:$B$11, 2, FALSE),"/", VLOOKUP("volume", Units!$A$2:$B$11, 2, FALSE),"]")</f>
        <v>Table of Freshwater Souring Cost [USD/bbl]</v>
      </c>
    </row>
    <row r="2" spans="1:2" s="5" customFormat="1" x14ac:dyDescent="0.3">
      <c r="A2" s="3" t="s">
        <v>210</v>
      </c>
      <c r="B2" s="24" t="s">
        <v>207</v>
      </c>
    </row>
    <row r="3" spans="1:2" s="5" customFormat="1" x14ac:dyDescent="0.3">
      <c r="A3" s="25" t="s">
        <v>66</v>
      </c>
      <c r="B3" s="28">
        <v>1.35</v>
      </c>
    </row>
    <row r="4" spans="1:2" x14ac:dyDescent="0.3">
      <c r="A4" s="25" t="s">
        <v>67</v>
      </c>
      <c r="B4" s="28">
        <v>1.25</v>
      </c>
    </row>
    <row r="5" spans="1:2" x14ac:dyDescent="0.3">
      <c r="A5" s="25" t="s">
        <v>121</v>
      </c>
      <c r="B5" s="28">
        <v>1.35</v>
      </c>
    </row>
    <row r="6" spans="1:2" x14ac:dyDescent="0.3">
      <c r="A6" s="25" t="s">
        <v>122</v>
      </c>
      <c r="B6" s="28">
        <v>1.25</v>
      </c>
    </row>
    <row r="7" spans="1:2" x14ac:dyDescent="0.3">
      <c r="A7" s="25" t="s">
        <v>123</v>
      </c>
      <c r="B7" s="28">
        <v>1.35</v>
      </c>
    </row>
    <row r="8" spans="1:2" x14ac:dyDescent="0.3">
      <c r="A8" s="25" t="s">
        <v>124</v>
      </c>
      <c r="B8" s="28">
        <v>1.1499999999999999</v>
      </c>
    </row>
    <row r="9" spans="1:2" x14ac:dyDescent="0.3">
      <c r="A9" s="25" t="s">
        <v>125</v>
      </c>
      <c r="B9" s="28">
        <v>1.35</v>
      </c>
    </row>
    <row r="10" spans="1:2" ht="16.2" thickBot="1" x14ac:dyDescent="0.35">
      <c r="A10" s="26" t="s">
        <v>126</v>
      </c>
      <c r="B10" s="8">
        <v>1.25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85569-7889-4883-A327-3B12D4AB6358}">
  <sheetPr>
    <tabColor theme="5" tint="0.79998168889431442"/>
  </sheetPr>
  <dimension ref="A1:B29"/>
  <sheetViews>
    <sheetView workbookViewId="0">
      <selection activeCell="A31" sqref="A31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tr">
        <f>_xlfn.CONCAT( "Table of Trucking Hourly Cost [",VLOOKUP("currency", Units!$A$2:$B$11, 2, FALSE),"/", "hour","]")</f>
        <v>Table of Trucking Hourly Cost [USD/hour]</v>
      </c>
    </row>
    <row r="2" spans="1:2" s="5" customFormat="1" x14ac:dyDescent="0.3">
      <c r="A2" s="3" t="s">
        <v>205</v>
      </c>
      <c r="B2" s="24" t="s">
        <v>207</v>
      </c>
    </row>
    <row r="3" spans="1:2" s="5" customFormat="1" x14ac:dyDescent="0.3">
      <c r="A3" s="25" t="s">
        <v>111</v>
      </c>
      <c r="B3" s="28">
        <v>95</v>
      </c>
    </row>
    <row r="4" spans="1:2" s="5" customFormat="1" x14ac:dyDescent="0.3">
      <c r="A4" s="25" t="s">
        <v>3</v>
      </c>
      <c r="B4" s="28">
        <v>93</v>
      </c>
    </row>
    <row r="5" spans="1:2" s="5" customFormat="1" x14ac:dyDescent="0.3">
      <c r="A5" s="25" t="s">
        <v>4</v>
      </c>
      <c r="B5" s="28">
        <v>97</v>
      </c>
    </row>
    <row r="6" spans="1:2" s="5" customFormat="1" x14ac:dyDescent="0.3">
      <c r="A6" s="25" t="s">
        <v>103</v>
      </c>
      <c r="B6" s="28">
        <v>94</v>
      </c>
    </row>
    <row r="7" spans="1:2" s="5" customFormat="1" x14ac:dyDescent="0.3">
      <c r="A7" s="25" t="s">
        <v>104</v>
      </c>
      <c r="B7" s="28">
        <v>96</v>
      </c>
    </row>
    <row r="8" spans="1:2" s="5" customFormat="1" x14ac:dyDescent="0.3">
      <c r="A8" s="25" t="s">
        <v>105</v>
      </c>
      <c r="B8" s="28">
        <v>98</v>
      </c>
    </row>
    <row r="9" spans="1:2" s="5" customFormat="1" x14ac:dyDescent="0.3">
      <c r="A9" s="25" t="s">
        <v>106</v>
      </c>
      <c r="B9" s="28">
        <v>99</v>
      </c>
    </row>
    <row r="10" spans="1:2" s="5" customFormat="1" x14ac:dyDescent="0.3">
      <c r="A10" s="25" t="s">
        <v>107</v>
      </c>
      <c r="B10" s="28">
        <v>97</v>
      </c>
    </row>
    <row r="11" spans="1:2" s="5" customFormat="1" x14ac:dyDescent="0.3">
      <c r="A11" s="25" t="s">
        <v>108</v>
      </c>
      <c r="B11" s="28">
        <v>101</v>
      </c>
    </row>
    <row r="12" spans="1:2" s="5" customFormat="1" x14ac:dyDescent="0.3">
      <c r="A12" s="25" t="s">
        <v>109</v>
      </c>
      <c r="B12" s="28">
        <v>103</v>
      </c>
    </row>
    <row r="13" spans="1:2" s="5" customFormat="1" x14ac:dyDescent="0.3">
      <c r="A13" s="25" t="s">
        <v>110</v>
      </c>
      <c r="B13" s="28">
        <v>100</v>
      </c>
    </row>
    <row r="14" spans="1:2" s="5" customFormat="1" x14ac:dyDescent="0.3">
      <c r="A14" s="25" t="s">
        <v>112</v>
      </c>
      <c r="B14" s="28">
        <v>99</v>
      </c>
    </row>
    <row r="15" spans="1:2" s="5" customFormat="1" x14ac:dyDescent="0.3">
      <c r="A15" s="25" t="s">
        <v>113</v>
      </c>
      <c r="B15" s="28">
        <v>95</v>
      </c>
    </row>
    <row r="16" spans="1:2" s="5" customFormat="1" x14ac:dyDescent="0.3">
      <c r="A16" s="25" t="s">
        <v>114</v>
      </c>
      <c r="B16" s="28">
        <v>105</v>
      </c>
    </row>
    <row r="17" spans="1:2" s="5" customFormat="1" x14ac:dyDescent="0.3">
      <c r="A17" s="41" t="s">
        <v>115</v>
      </c>
      <c r="B17" s="90">
        <v>98</v>
      </c>
    </row>
    <row r="18" spans="1:2" s="5" customFormat="1" x14ac:dyDescent="0.3">
      <c r="A18" s="25" t="s">
        <v>5</v>
      </c>
      <c r="B18" s="28">
        <v>90</v>
      </c>
    </row>
    <row r="19" spans="1:2" s="5" customFormat="1" x14ac:dyDescent="0.3">
      <c r="A19" s="25" t="s">
        <v>116</v>
      </c>
      <c r="B19" s="28">
        <v>100</v>
      </c>
    </row>
    <row r="20" spans="1:2" s="5" customFormat="1" x14ac:dyDescent="0.3">
      <c r="A20" s="25" t="s">
        <v>117</v>
      </c>
      <c r="B20" s="28">
        <v>110</v>
      </c>
    </row>
    <row r="21" spans="1:2" s="5" customFormat="1" x14ac:dyDescent="0.3">
      <c r="A21" s="41" t="s">
        <v>118</v>
      </c>
      <c r="B21" s="90">
        <v>95</v>
      </c>
    </row>
    <row r="22" spans="1:2" s="5" customFormat="1" x14ac:dyDescent="0.3">
      <c r="A22" s="25" t="s">
        <v>66</v>
      </c>
      <c r="B22" s="28">
        <v>110</v>
      </c>
    </row>
    <row r="23" spans="1:2" x14ac:dyDescent="0.3">
      <c r="A23" s="25" t="s">
        <v>67</v>
      </c>
      <c r="B23" s="28">
        <v>110</v>
      </c>
    </row>
    <row r="24" spans="1:2" x14ac:dyDescent="0.3">
      <c r="A24" s="25" t="s">
        <v>121</v>
      </c>
      <c r="B24" s="28">
        <v>110</v>
      </c>
    </row>
    <row r="25" spans="1:2" x14ac:dyDescent="0.3">
      <c r="A25" s="25" t="s">
        <v>122</v>
      </c>
      <c r="B25" s="28">
        <v>110</v>
      </c>
    </row>
    <row r="26" spans="1:2" x14ac:dyDescent="0.3">
      <c r="A26" s="25" t="s">
        <v>123</v>
      </c>
      <c r="B26" s="28">
        <v>110</v>
      </c>
    </row>
    <row r="27" spans="1:2" x14ac:dyDescent="0.3">
      <c r="A27" s="25" t="s">
        <v>124</v>
      </c>
      <c r="B27" s="28">
        <v>110</v>
      </c>
    </row>
    <row r="28" spans="1:2" x14ac:dyDescent="0.3">
      <c r="A28" s="25" t="s">
        <v>125</v>
      </c>
      <c r="B28" s="28">
        <v>110</v>
      </c>
    </row>
    <row r="29" spans="1:2" ht="16.2" thickBot="1" x14ac:dyDescent="0.35">
      <c r="A29" s="26" t="s">
        <v>126</v>
      </c>
      <c r="B29" s="8">
        <v>110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57926-ED56-4D32-9A5B-F7129B221F36}">
  <sheetPr>
    <tabColor theme="5" tint="0.79998168889431442"/>
  </sheetPr>
  <dimension ref="A1:D21"/>
  <sheetViews>
    <sheetView workbookViewId="0">
      <selection activeCell="A23" sqref="A23"/>
    </sheetView>
  </sheetViews>
  <sheetFormatPr defaultColWidth="9.33203125" defaultRowHeight="15.6" x14ac:dyDescent="0.3"/>
  <cols>
    <col min="1" max="16384" width="9.33203125" style="1"/>
  </cols>
  <sheetData>
    <row r="1" spans="1:4" ht="16.2" thickBot="1" x14ac:dyDescent="0.35">
      <c r="A1" s="1" t="s">
        <v>6</v>
      </c>
    </row>
    <row r="2" spans="1:4" x14ac:dyDescent="0.3">
      <c r="A2" s="3" t="s">
        <v>205</v>
      </c>
      <c r="B2" s="4" t="s">
        <v>120</v>
      </c>
      <c r="C2" s="4" t="s">
        <v>51</v>
      </c>
      <c r="D2" s="24" t="s">
        <v>119</v>
      </c>
    </row>
    <row r="3" spans="1:4" x14ac:dyDescent="0.3">
      <c r="A3" s="25" t="s">
        <v>111</v>
      </c>
      <c r="B3" s="6">
        <v>3</v>
      </c>
      <c r="C3" s="6">
        <v>3.5</v>
      </c>
      <c r="D3" s="28">
        <v>12.5</v>
      </c>
    </row>
    <row r="4" spans="1:4" x14ac:dyDescent="0.3">
      <c r="A4" s="25" t="s">
        <v>3</v>
      </c>
      <c r="B4" s="6">
        <v>2.5</v>
      </c>
      <c r="C4" s="6">
        <v>2</v>
      </c>
      <c r="D4" s="28">
        <v>11</v>
      </c>
    </row>
    <row r="5" spans="1:4" x14ac:dyDescent="0.3">
      <c r="A5" s="25" t="s">
        <v>4</v>
      </c>
      <c r="B5" s="6">
        <v>3</v>
      </c>
      <c r="C5" s="6">
        <v>0.5</v>
      </c>
      <c r="D5" s="28">
        <v>6</v>
      </c>
    </row>
    <row r="6" spans="1:4" x14ac:dyDescent="0.3">
      <c r="A6" s="25" t="s">
        <v>103</v>
      </c>
      <c r="B6" s="6">
        <v>5</v>
      </c>
      <c r="C6" s="6">
        <v>4</v>
      </c>
      <c r="D6" s="28">
        <v>6</v>
      </c>
    </row>
    <row r="7" spans="1:4" x14ac:dyDescent="0.3">
      <c r="A7" s="25" t="s">
        <v>104</v>
      </c>
      <c r="B7" s="6">
        <v>5.5</v>
      </c>
      <c r="C7" s="6">
        <v>4.5</v>
      </c>
      <c r="D7" s="28">
        <v>5</v>
      </c>
    </row>
    <row r="8" spans="1:4" x14ac:dyDescent="0.3">
      <c r="A8" s="25" t="s">
        <v>105</v>
      </c>
      <c r="B8" s="6">
        <v>9</v>
      </c>
      <c r="C8" s="6">
        <v>9.5</v>
      </c>
      <c r="D8" s="28">
        <v>1</v>
      </c>
    </row>
    <row r="9" spans="1:4" x14ac:dyDescent="0.3">
      <c r="A9" s="25" t="s">
        <v>106</v>
      </c>
      <c r="B9" s="6">
        <v>8.5</v>
      </c>
      <c r="C9" s="6">
        <v>9</v>
      </c>
      <c r="D9" s="28">
        <v>1.5</v>
      </c>
    </row>
    <row r="10" spans="1:4" x14ac:dyDescent="0.3">
      <c r="A10" s="25" t="s">
        <v>107</v>
      </c>
      <c r="B10" s="6">
        <v>12</v>
      </c>
      <c r="C10" s="6">
        <v>12.5</v>
      </c>
      <c r="D10" s="28">
        <v>0.5</v>
      </c>
    </row>
    <row r="11" spans="1:4" x14ac:dyDescent="0.3">
      <c r="A11" s="25" t="s">
        <v>108</v>
      </c>
      <c r="B11" s="6">
        <v>9</v>
      </c>
      <c r="C11" s="6">
        <v>9.5</v>
      </c>
      <c r="D11" s="28">
        <v>1.5</v>
      </c>
    </row>
    <row r="12" spans="1:4" x14ac:dyDescent="0.3">
      <c r="A12" s="25" t="s">
        <v>109</v>
      </c>
      <c r="B12" s="6">
        <v>11.5</v>
      </c>
      <c r="C12" s="6">
        <v>12</v>
      </c>
      <c r="D12" s="28">
        <v>0.5</v>
      </c>
    </row>
    <row r="13" spans="1:4" x14ac:dyDescent="0.3">
      <c r="A13" s="25" t="s">
        <v>110</v>
      </c>
      <c r="B13" s="6">
        <v>12</v>
      </c>
      <c r="C13" s="6">
        <v>12.5</v>
      </c>
      <c r="D13" s="28">
        <v>3</v>
      </c>
    </row>
    <row r="14" spans="1:4" x14ac:dyDescent="0.3">
      <c r="A14" s="25" t="s">
        <v>112</v>
      </c>
      <c r="B14" s="6">
        <v>12.5</v>
      </c>
      <c r="C14" s="6">
        <v>13</v>
      </c>
      <c r="D14" s="28">
        <v>3.5</v>
      </c>
    </row>
    <row r="15" spans="1:4" x14ac:dyDescent="0.3">
      <c r="A15" s="25" t="s">
        <v>113</v>
      </c>
      <c r="B15" s="6">
        <v>12.5</v>
      </c>
      <c r="C15" s="6">
        <v>13</v>
      </c>
      <c r="D15" s="28">
        <v>3.5</v>
      </c>
    </row>
    <row r="16" spans="1:4" x14ac:dyDescent="0.3">
      <c r="A16" s="25" t="s">
        <v>114</v>
      </c>
      <c r="B16" s="6">
        <v>12.5</v>
      </c>
      <c r="C16" s="6">
        <v>13</v>
      </c>
      <c r="D16" s="28">
        <v>3.5</v>
      </c>
    </row>
    <row r="17" spans="1:4" x14ac:dyDescent="0.3">
      <c r="A17" s="41" t="s">
        <v>115</v>
      </c>
      <c r="B17" s="91">
        <v>11.5</v>
      </c>
      <c r="C17" s="91">
        <v>12</v>
      </c>
      <c r="D17" s="90">
        <v>2.5</v>
      </c>
    </row>
    <row r="18" spans="1:4" x14ac:dyDescent="0.3">
      <c r="A18" s="25" t="s">
        <v>5</v>
      </c>
      <c r="B18" s="6">
        <v>3</v>
      </c>
      <c r="C18" s="6">
        <v>1.5</v>
      </c>
      <c r="D18" s="28">
        <v>6</v>
      </c>
    </row>
    <row r="19" spans="1:4" x14ac:dyDescent="0.3">
      <c r="A19" s="25" t="s">
        <v>116</v>
      </c>
      <c r="B19" s="6">
        <v>3.5</v>
      </c>
      <c r="C19" s="6">
        <v>2</v>
      </c>
      <c r="D19" s="28">
        <v>5</v>
      </c>
    </row>
    <row r="20" spans="1:4" x14ac:dyDescent="0.3">
      <c r="A20" s="25" t="s">
        <v>117</v>
      </c>
      <c r="B20" s="6">
        <v>8</v>
      </c>
      <c r="C20" s="6">
        <v>6</v>
      </c>
      <c r="D20" s="28">
        <v>2</v>
      </c>
    </row>
    <row r="21" spans="1:4" ht="16.2" thickBot="1" x14ac:dyDescent="0.35">
      <c r="A21" s="26" t="s">
        <v>118</v>
      </c>
      <c r="B21" s="7">
        <v>8</v>
      </c>
      <c r="C21" s="7">
        <v>9</v>
      </c>
      <c r="D21" s="8">
        <v>3.5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5CD4B-C8DB-4A49-956D-761D45563331}">
  <sheetPr>
    <tabColor theme="5" tint="0.79998168889431442"/>
  </sheetPr>
  <dimension ref="A1:B5"/>
  <sheetViews>
    <sheetView workbookViewId="0">
      <selection activeCell="A8" sqref="A8"/>
    </sheetView>
  </sheetViews>
  <sheetFormatPr defaultColWidth="9.33203125" defaultRowHeight="15.6" x14ac:dyDescent="0.3"/>
  <cols>
    <col min="1" max="1" width="11.88671875" style="1" customWidth="1"/>
    <col min="2" max="16384" width="9.33203125" style="1"/>
  </cols>
  <sheetData>
    <row r="1" spans="1:2" ht="16.2" thickBot="1" x14ac:dyDescent="0.35">
      <c r="A1" s="1" t="str">
        <f>_xlfn.CONCAT( "Table of Disposal Capacity Expansion Cost [",VLOOKUP("currency", Units!$A$2:$B$11, 2, FALSE),"/(", VLOOKUP("volume", Units!$A$2:$B$11, 2, FALSE),"/", VLOOKUP("time", Units!$A$2:$B$11, 2, FALSE),")]")</f>
        <v>Table of Disposal Capacity Expansion Cost [USD/(bbl/week)]</v>
      </c>
    </row>
    <row r="2" spans="1:2" s="5" customFormat="1" x14ac:dyDescent="0.3">
      <c r="A2" s="3" t="s">
        <v>209</v>
      </c>
      <c r="B2" s="24" t="s">
        <v>92</v>
      </c>
    </row>
    <row r="3" spans="1:2" s="5" customFormat="1" x14ac:dyDescent="0.3">
      <c r="A3" s="25" t="s">
        <v>120</v>
      </c>
      <c r="B3" s="34">
        <v>20</v>
      </c>
    </row>
    <row r="4" spans="1:2" s="5" customFormat="1" x14ac:dyDescent="0.3">
      <c r="A4" s="25" t="s">
        <v>51</v>
      </c>
      <c r="B4" s="34">
        <v>20</v>
      </c>
    </row>
    <row r="5" spans="1:2" s="5" customFormat="1" ht="16.2" thickBot="1" x14ac:dyDescent="0.35">
      <c r="A5" s="26" t="s">
        <v>119</v>
      </c>
      <c r="B5" s="36">
        <v>20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C988E-F277-4EB8-BD08-045871CAA4ED}">
  <sheetPr>
    <tabColor theme="5" tint="0.79998168889431442"/>
  </sheetPr>
  <dimension ref="A1:B3"/>
  <sheetViews>
    <sheetView workbookViewId="0">
      <selection activeCell="A8" sqref="A8"/>
    </sheetView>
  </sheetViews>
  <sheetFormatPr defaultColWidth="9.33203125" defaultRowHeight="15.6" x14ac:dyDescent="0.3"/>
  <cols>
    <col min="1" max="1" width="21.44140625" style="1" customWidth="1"/>
    <col min="2" max="16384" width="9.33203125" style="1"/>
  </cols>
  <sheetData>
    <row r="1" spans="1:2" ht="16.2" thickBot="1" x14ac:dyDescent="0.35">
      <c r="A1" s="1" t="str">
        <f>_xlfn.CONCAT( "Table of Disposal Capacity Expansion Increments [",VLOOKUP("volume", Units!$A$2:$B$11, 2, FALSE),"/", VLOOKUP("time", Units!$A$2:$B$11, 2, FALSE),"]")</f>
        <v>Table of Disposal Capacity Expansion Increments [bbl/week]</v>
      </c>
    </row>
    <row r="2" spans="1:2" x14ac:dyDescent="0.3">
      <c r="A2" s="3" t="s">
        <v>216</v>
      </c>
      <c r="B2" s="24" t="s">
        <v>207</v>
      </c>
    </row>
    <row r="3" spans="1:2" ht="16.2" thickBot="1" x14ac:dyDescent="0.35">
      <c r="A3" s="26" t="s">
        <v>92</v>
      </c>
      <c r="B3" s="36"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B6341-94DE-401B-89F3-66EA9EB6DBB9}">
  <sheetPr>
    <tabColor theme="9" tint="0.79998168889431442"/>
  </sheetPr>
  <dimension ref="A1:A4"/>
  <sheetViews>
    <sheetView workbookViewId="0">
      <selection activeCell="A6" sqref="A6"/>
    </sheetView>
  </sheetViews>
  <sheetFormatPr defaultColWidth="9.33203125" defaultRowHeight="15.6" x14ac:dyDescent="0.3"/>
  <cols>
    <col min="1" max="3" width="9.33203125" style="1"/>
    <col min="4" max="4" width="4.44140625" style="1" customWidth="1"/>
    <col min="5" max="14" width="9.33203125" style="1"/>
    <col min="15" max="15" width="12.109375" style="1" customWidth="1"/>
    <col min="16" max="16" width="12.33203125" style="1" customWidth="1"/>
    <col min="17" max="17" width="4.5546875" style="1" customWidth="1"/>
    <col min="18" max="16384" width="9.33203125" style="1"/>
  </cols>
  <sheetData>
    <row r="1" spans="1:1" x14ac:dyDescent="0.3">
      <c r="A1" s="1" t="s">
        <v>2</v>
      </c>
    </row>
    <row r="2" spans="1:1" x14ac:dyDescent="0.3">
      <c r="A2" s="2" t="s">
        <v>120</v>
      </c>
    </row>
    <row r="3" spans="1:1" x14ac:dyDescent="0.3">
      <c r="A3" s="2" t="s">
        <v>51</v>
      </c>
    </row>
    <row r="4" spans="1:1" x14ac:dyDescent="0.3">
      <c r="A4" s="2" t="s">
        <v>119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AC655-401B-435E-9F3E-B4AFCEDA07DB}">
  <sheetPr>
    <tabColor theme="5" tint="0.79998168889431442"/>
  </sheetPr>
  <dimension ref="A1:B4"/>
  <sheetViews>
    <sheetView workbookViewId="0">
      <selection activeCell="A8" sqref="A8"/>
    </sheetView>
  </sheetViews>
  <sheetFormatPr defaultColWidth="9.33203125" defaultRowHeight="15.6" x14ac:dyDescent="0.3"/>
  <cols>
    <col min="1" max="1" width="15.44140625" style="1" customWidth="1"/>
    <col min="2" max="16384" width="9.33203125" style="1"/>
  </cols>
  <sheetData>
    <row r="1" spans="1:2" ht="16.2" thickBot="1" x14ac:dyDescent="0.35">
      <c r="A1" s="1" t="str">
        <f>_xlfn.CONCAT( "Table of Storage Capacity Expansion Cost [",VLOOKUP("currency", Units!$A$2:$B$11, 2, FALSE),"/", VLOOKUP("volume", Units!$A$2:$B$11, 2, FALSE),"]")</f>
        <v>Table of Storage Capacity Expansion Cost [USD/bbl]</v>
      </c>
    </row>
    <row r="2" spans="1:2" s="5" customFormat="1" x14ac:dyDescent="0.3">
      <c r="A2" s="3" t="s">
        <v>211</v>
      </c>
      <c r="B2" s="24" t="s">
        <v>89</v>
      </c>
    </row>
    <row r="3" spans="1:2" s="5" customFormat="1" x14ac:dyDescent="0.3">
      <c r="A3" s="25" t="s">
        <v>78</v>
      </c>
      <c r="B3" s="94">
        <v>2</v>
      </c>
    </row>
    <row r="4" spans="1:2" ht="16.2" thickBot="1" x14ac:dyDescent="0.35">
      <c r="A4" s="26" t="s">
        <v>281</v>
      </c>
      <c r="B4" s="93">
        <v>2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26805-7F3D-4935-8D0C-80B2E9E9F409}">
  <sheetPr>
    <tabColor theme="5" tint="0.79998168889431442"/>
  </sheetPr>
  <dimension ref="A1:B3"/>
  <sheetViews>
    <sheetView workbookViewId="0">
      <selection activeCell="A8" sqref="A8"/>
    </sheetView>
  </sheetViews>
  <sheetFormatPr defaultColWidth="9.33203125" defaultRowHeight="15.6" x14ac:dyDescent="0.3"/>
  <cols>
    <col min="1" max="1" width="19.44140625" style="1" customWidth="1"/>
    <col min="2" max="16384" width="9.33203125" style="1"/>
  </cols>
  <sheetData>
    <row r="1" spans="1:2" ht="16.2" thickBot="1" x14ac:dyDescent="0.35">
      <c r="A1" s="1" t="str">
        <f>_xlfn.CONCAT( "Table of Storage Capacity Expansion Increments [",VLOOKUP("volume", Units!$A$2:$B$11, 2, FALSE),"]")</f>
        <v>Table of Storage Capacity Expansion Increments [bbl]</v>
      </c>
    </row>
    <row r="2" spans="1:2" x14ac:dyDescent="0.3">
      <c r="A2" s="3" t="s">
        <v>215</v>
      </c>
      <c r="B2" s="24" t="s">
        <v>207</v>
      </c>
    </row>
    <row r="3" spans="1:2" ht="16.2" thickBot="1" x14ac:dyDescent="0.35">
      <c r="A3" s="26" t="s">
        <v>89</v>
      </c>
      <c r="B3" s="36"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D3944-A6F1-468B-A756-A99C077811C6}">
  <sheetPr>
    <tabColor theme="5" tint="0.79998168889431442"/>
  </sheetPr>
  <dimension ref="A1:D6"/>
  <sheetViews>
    <sheetView workbookViewId="0">
      <selection activeCell="A8" sqref="A8"/>
    </sheetView>
  </sheetViews>
  <sheetFormatPr defaultColWidth="9.33203125" defaultRowHeight="15.6" x14ac:dyDescent="0.3"/>
  <cols>
    <col min="1" max="1" width="17.5546875" style="1" customWidth="1"/>
    <col min="2" max="2" width="24" style="1" bestFit="1" customWidth="1"/>
    <col min="3" max="4" width="10" style="1" customWidth="1"/>
    <col min="5" max="16384" width="9.33203125" style="1"/>
  </cols>
  <sheetData>
    <row r="1" spans="1:4" ht="16.2" thickBot="1" x14ac:dyDescent="0.35">
      <c r="A1" s="1" t="str">
        <f>_xlfn.CONCAT( "Table of Treatment Capacity Expansion Cost [",VLOOKUP("currency", Units!$A$2:$B$11, 2, FALSE),"/(", VLOOKUP("volume", Units!$A$2:$B$11, 2, FALSE),"/", VLOOKUP("time", Units!$A$2:$B$11, 2, FALSE),")]")</f>
        <v>Table of Treatment Capacity Expansion Cost [USD/(bbl/week)]</v>
      </c>
    </row>
    <row r="2" spans="1:4" s="5" customFormat="1" x14ac:dyDescent="0.3">
      <c r="A2" s="3" t="s">
        <v>212</v>
      </c>
      <c r="B2" s="74" t="s">
        <v>276</v>
      </c>
      <c r="C2" s="4" t="s">
        <v>279</v>
      </c>
      <c r="D2" s="24" t="s">
        <v>280</v>
      </c>
    </row>
    <row r="3" spans="1:4" s="5" customFormat="1" x14ac:dyDescent="0.3">
      <c r="A3" s="25" t="s">
        <v>79</v>
      </c>
      <c r="B3" s="75" t="s">
        <v>273</v>
      </c>
      <c r="C3" s="72">
        <v>10</v>
      </c>
      <c r="D3" s="34">
        <v>10</v>
      </c>
    </row>
    <row r="4" spans="1:4" x14ac:dyDescent="0.3">
      <c r="A4" s="25" t="s">
        <v>127</v>
      </c>
      <c r="B4" s="75" t="s">
        <v>273</v>
      </c>
      <c r="C4" s="83">
        <v>10</v>
      </c>
      <c r="D4" s="34">
        <v>10</v>
      </c>
    </row>
    <row r="5" spans="1:4" x14ac:dyDescent="0.3">
      <c r="A5" s="25" t="s">
        <v>79</v>
      </c>
      <c r="B5" s="75" t="s">
        <v>274</v>
      </c>
      <c r="C5" s="83">
        <v>12</v>
      </c>
      <c r="D5" s="34">
        <v>12</v>
      </c>
    </row>
    <row r="6" spans="1:4" ht="16.2" thickBot="1" x14ac:dyDescent="0.35">
      <c r="A6" s="26" t="s">
        <v>127</v>
      </c>
      <c r="B6" s="76" t="s">
        <v>274</v>
      </c>
      <c r="C6" s="73">
        <v>12</v>
      </c>
      <c r="D6" s="36">
        <v>12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DB070-53D7-4763-B1D6-04233A007F0E}">
  <sheetPr>
    <tabColor theme="5" tint="0.79998168889431442"/>
  </sheetPr>
  <dimension ref="A1:C4"/>
  <sheetViews>
    <sheetView workbookViewId="0">
      <selection activeCell="A8" sqref="A8"/>
    </sheetView>
  </sheetViews>
  <sheetFormatPr defaultColWidth="9.33203125" defaultRowHeight="15.6" x14ac:dyDescent="0.3"/>
  <cols>
    <col min="1" max="1" width="21.33203125" style="1" customWidth="1"/>
    <col min="2" max="3" width="9.6640625" style="1" customWidth="1"/>
    <col min="4" max="16384" width="9.33203125" style="1"/>
  </cols>
  <sheetData>
    <row r="1" spans="1:3" ht="16.2" thickBot="1" x14ac:dyDescent="0.35">
      <c r="A1" s="1" t="str">
        <f>_xlfn.CONCAT( "Table of Treatment Capacity Expansion Increments  [",VLOOKUP("volume", Units!$A$2:$B$11, 2, FALSE),"/", VLOOKUP("time", Units!$A$2:$B$11, 2, FALSE),"]")</f>
        <v>Table of Treatment Capacity Expansion Increments  [bbl/week]</v>
      </c>
    </row>
    <row r="2" spans="1:3" x14ac:dyDescent="0.3">
      <c r="A2" s="3" t="s">
        <v>217</v>
      </c>
      <c r="B2" s="4" t="s">
        <v>279</v>
      </c>
      <c r="C2" s="24" t="s">
        <v>280</v>
      </c>
    </row>
    <row r="3" spans="1:3" x14ac:dyDescent="0.3">
      <c r="A3" s="25" t="s">
        <v>273</v>
      </c>
      <c r="B3" s="6">
        <v>0</v>
      </c>
      <c r="C3" s="34">
        <v>50000</v>
      </c>
    </row>
    <row r="4" spans="1:3" ht="16.2" thickBot="1" x14ac:dyDescent="0.35">
      <c r="A4" s="26" t="s">
        <v>274</v>
      </c>
      <c r="B4" s="7">
        <v>0</v>
      </c>
      <c r="C4" s="36"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02C13-E391-4A34-8851-63FF84EE5034}">
  <sheetPr>
    <tabColor theme="5" tint="0.79998168889431442"/>
  </sheetPr>
  <dimension ref="A1:B3"/>
  <sheetViews>
    <sheetView workbookViewId="0">
      <selection activeCell="A8" sqref="A8"/>
    </sheetView>
  </sheetViews>
  <sheetFormatPr defaultColWidth="9.109375" defaultRowHeight="15.6" x14ac:dyDescent="0.3"/>
  <cols>
    <col min="1" max="1" width="28" style="1" customWidth="1"/>
    <col min="2" max="16384" width="9.109375" style="1"/>
  </cols>
  <sheetData>
    <row r="1" spans="1:2" ht="16.2" thickBot="1" x14ac:dyDescent="0.35">
      <c r="A1" s="1" t="str">
        <f>_xlfn.CONCAT( "Pipeline Expansion Cost [",VLOOKUP("currency", Units!$A$2:$B$11, 2, FALSE),"/(", VLOOKUP("diameter", Units!$A$2:$B$11, 2, FALSE),"-", VLOOKUP("distance", Units!$A$2:$B$11, 2, FALSE),")]")</f>
        <v>Pipeline Expansion Cost [USD/(inch-mile)]</v>
      </c>
    </row>
    <row r="2" spans="1:2" x14ac:dyDescent="0.3">
      <c r="A2" s="3" t="s">
        <v>219</v>
      </c>
      <c r="B2" s="24" t="s">
        <v>220</v>
      </c>
    </row>
    <row r="3" spans="1:2" ht="16.2" thickBot="1" x14ac:dyDescent="0.35">
      <c r="A3" s="26" t="s">
        <v>223</v>
      </c>
      <c r="B3" s="36">
        <v>120000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A4E88-E142-4CAA-9941-4EFBE822A9B8}">
  <sheetPr>
    <tabColor theme="5" tint="0.79998168889431442"/>
  </sheetPr>
  <dimension ref="A1:AN61"/>
  <sheetViews>
    <sheetView showZeros="0" zoomScale="70" zoomScaleNormal="70" workbookViewId="0">
      <selection activeCell="A63" sqref="A63"/>
    </sheetView>
  </sheetViews>
  <sheetFormatPr defaultColWidth="9.109375" defaultRowHeight="15.6" x14ac:dyDescent="0.3"/>
  <cols>
    <col min="1" max="16384" width="9.109375" style="1"/>
  </cols>
  <sheetData>
    <row r="1" spans="1:40" ht="16.2" thickBot="1" x14ac:dyDescent="0.35">
      <c r="A1" s="1" t="str">
        <f>_xlfn.CONCAT( "Table of Pipeline Expansion Distances [",VLOOKUP("distance", Units!$A$2:$B$11, 2, FALSE),"]")</f>
        <v>Table of Pipeline Expansion Distances [mile]</v>
      </c>
    </row>
    <row r="2" spans="1:40" x14ac:dyDescent="0.3">
      <c r="A2" s="3" t="s">
        <v>205</v>
      </c>
      <c r="B2" s="4" t="s">
        <v>128</v>
      </c>
      <c r="C2" s="4" t="s">
        <v>80</v>
      </c>
      <c r="D2" s="4" t="s">
        <v>81</v>
      </c>
      <c r="E2" s="4" t="s">
        <v>82</v>
      </c>
      <c r="F2" s="4" t="s">
        <v>83</v>
      </c>
      <c r="G2" s="4" t="s">
        <v>84</v>
      </c>
      <c r="H2" s="4" t="s">
        <v>85</v>
      </c>
      <c r="I2" s="4" t="s">
        <v>86</v>
      </c>
      <c r="J2" s="4" t="s">
        <v>129</v>
      </c>
      <c r="K2" s="4" t="s">
        <v>130</v>
      </c>
      <c r="L2" s="4" t="s">
        <v>131</v>
      </c>
      <c r="M2" s="4" t="s">
        <v>132</v>
      </c>
      <c r="N2" s="4" t="s">
        <v>133</v>
      </c>
      <c r="O2" s="4" t="s">
        <v>134</v>
      </c>
      <c r="P2" s="4" t="s">
        <v>135</v>
      </c>
      <c r="Q2" s="4" t="s">
        <v>136</v>
      </c>
      <c r="R2" s="4" t="s">
        <v>137</v>
      </c>
      <c r="S2" s="4" t="s">
        <v>138</v>
      </c>
      <c r="T2" s="4" t="s">
        <v>139</v>
      </c>
      <c r="U2" s="4" t="s">
        <v>140</v>
      </c>
      <c r="V2" s="4" t="s">
        <v>141</v>
      </c>
      <c r="W2" s="4" t="s">
        <v>142</v>
      </c>
      <c r="X2" s="4" t="s">
        <v>143</v>
      </c>
      <c r="Y2" s="4" t="s">
        <v>144</v>
      </c>
      <c r="Z2" s="4" t="s">
        <v>145</v>
      </c>
      <c r="AA2" s="4" t="s">
        <v>146</v>
      </c>
      <c r="AB2" s="4" t="s">
        <v>147</v>
      </c>
      <c r="AC2" s="74" t="s">
        <v>148</v>
      </c>
      <c r="AD2" s="4" t="s">
        <v>120</v>
      </c>
      <c r="AE2" s="4" t="s">
        <v>51</v>
      </c>
      <c r="AF2" s="74" t="s">
        <v>119</v>
      </c>
      <c r="AG2" s="4" t="s">
        <v>79</v>
      </c>
      <c r="AH2" s="74" t="s">
        <v>127</v>
      </c>
      <c r="AI2" s="4" t="s">
        <v>78</v>
      </c>
      <c r="AJ2" s="74" t="s">
        <v>281</v>
      </c>
      <c r="AK2" s="4" t="s">
        <v>5</v>
      </c>
      <c r="AL2" s="4" t="s">
        <v>116</v>
      </c>
      <c r="AM2" s="4" t="s">
        <v>117</v>
      </c>
      <c r="AN2" s="24" t="s">
        <v>118</v>
      </c>
    </row>
    <row r="3" spans="1:40" x14ac:dyDescent="0.3">
      <c r="A3" s="25" t="s">
        <v>111</v>
      </c>
      <c r="B3" s="6">
        <v>14.26</v>
      </c>
      <c r="C3" s="6" t="s">
        <v>230</v>
      </c>
      <c r="D3" s="6" t="s">
        <v>230</v>
      </c>
      <c r="E3" s="6" t="s">
        <v>230</v>
      </c>
      <c r="F3" s="6" t="s">
        <v>230</v>
      </c>
      <c r="G3" s="6" t="s">
        <v>230</v>
      </c>
      <c r="H3" s="6" t="s">
        <v>230</v>
      </c>
      <c r="I3" s="6" t="s">
        <v>230</v>
      </c>
      <c r="J3" s="6" t="s">
        <v>230</v>
      </c>
      <c r="K3" s="6" t="s">
        <v>230</v>
      </c>
      <c r="L3" s="6" t="s">
        <v>230</v>
      </c>
      <c r="M3" s="6" t="s">
        <v>230</v>
      </c>
      <c r="N3" s="6" t="s">
        <v>230</v>
      </c>
      <c r="O3" s="6" t="s">
        <v>230</v>
      </c>
      <c r="P3" s="6" t="s">
        <v>230</v>
      </c>
      <c r="Q3" s="6" t="s">
        <v>230</v>
      </c>
      <c r="R3" s="6" t="s">
        <v>230</v>
      </c>
      <c r="S3" s="6" t="s">
        <v>230</v>
      </c>
      <c r="T3" s="6" t="s">
        <v>230</v>
      </c>
      <c r="U3" s="6" t="s">
        <v>230</v>
      </c>
      <c r="V3" s="6" t="s">
        <v>230</v>
      </c>
      <c r="W3" s="6" t="s">
        <v>230</v>
      </c>
      <c r="X3" s="6" t="s">
        <v>230</v>
      </c>
      <c r="Y3" s="6" t="s">
        <v>230</v>
      </c>
      <c r="Z3" s="6" t="s">
        <v>230</v>
      </c>
      <c r="AA3" s="6" t="s">
        <v>230</v>
      </c>
      <c r="AB3" s="6" t="s">
        <v>230</v>
      </c>
      <c r="AC3" s="88" t="s">
        <v>230</v>
      </c>
      <c r="AD3" s="6" t="s">
        <v>230</v>
      </c>
      <c r="AE3" s="6" t="s">
        <v>230</v>
      </c>
      <c r="AF3" s="88" t="s">
        <v>230</v>
      </c>
      <c r="AG3" s="6" t="s">
        <v>230</v>
      </c>
      <c r="AH3" s="88" t="s">
        <v>230</v>
      </c>
      <c r="AI3" s="6" t="s">
        <v>230</v>
      </c>
      <c r="AJ3" s="88"/>
      <c r="AK3" s="6" t="s">
        <v>230</v>
      </c>
      <c r="AL3" s="6" t="s">
        <v>230</v>
      </c>
      <c r="AM3" s="6" t="s">
        <v>230</v>
      </c>
      <c r="AN3" s="28" t="s">
        <v>230</v>
      </c>
    </row>
    <row r="4" spans="1:40" x14ac:dyDescent="0.3">
      <c r="A4" s="25" t="s">
        <v>3</v>
      </c>
      <c r="B4" s="6" t="s">
        <v>230</v>
      </c>
      <c r="C4" s="6" t="s">
        <v>230</v>
      </c>
      <c r="D4" s="6" t="s">
        <v>230</v>
      </c>
      <c r="E4" s="6" t="s">
        <v>230</v>
      </c>
      <c r="F4" s="6">
        <v>16.847000000000001</v>
      </c>
      <c r="G4" s="6" t="s">
        <v>230</v>
      </c>
      <c r="H4" s="6" t="s">
        <v>230</v>
      </c>
      <c r="I4" s="6" t="s">
        <v>230</v>
      </c>
      <c r="J4" s="6" t="s">
        <v>230</v>
      </c>
      <c r="K4" s="6" t="s">
        <v>230</v>
      </c>
      <c r="L4" s="6" t="s">
        <v>230</v>
      </c>
      <c r="M4" s="6" t="s">
        <v>230</v>
      </c>
      <c r="N4" s="6" t="s">
        <v>230</v>
      </c>
      <c r="O4" s="6" t="s">
        <v>230</v>
      </c>
      <c r="P4" s="6" t="s">
        <v>230</v>
      </c>
      <c r="Q4" s="6" t="s">
        <v>230</v>
      </c>
      <c r="R4" s="6" t="s">
        <v>230</v>
      </c>
      <c r="S4" s="6" t="s">
        <v>230</v>
      </c>
      <c r="T4" s="6" t="s">
        <v>230</v>
      </c>
      <c r="U4" s="6" t="s">
        <v>230</v>
      </c>
      <c r="V4" s="6" t="s">
        <v>230</v>
      </c>
      <c r="W4" s="6" t="s">
        <v>230</v>
      </c>
      <c r="X4" s="6" t="s">
        <v>230</v>
      </c>
      <c r="Y4" s="6" t="s">
        <v>230</v>
      </c>
      <c r="Z4" s="6" t="s">
        <v>230</v>
      </c>
      <c r="AA4" s="6" t="s">
        <v>230</v>
      </c>
      <c r="AB4" s="6" t="s">
        <v>230</v>
      </c>
      <c r="AC4" s="88" t="s">
        <v>230</v>
      </c>
      <c r="AD4" s="6" t="s">
        <v>230</v>
      </c>
      <c r="AE4" s="6" t="s">
        <v>230</v>
      </c>
      <c r="AF4" s="88" t="s">
        <v>230</v>
      </c>
      <c r="AG4" s="6" t="s">
        <v>230</v>
      </c>
      <c r="AH4" s="88" t="s">
        <v>230</v>
      </c>
      <c r="AI4" s="6" t="s">
        <v>230</v>
      </c>
      <c r="AJ4" s="88"/>
      <c r="AK4" s="6" t="s">
        <v>230</v>
      </c>
      <c r="AL4" s="6" t="s">
        <v>230</v>
      </c>
      <c r="AM4" s="6" t="s">
        <v>230</v>
      </c>
      <c r="AN4" s="28" t="s">
        <v>230</v>
      </c>
    </row>
    <row r="5" spans="1:40" x14ac:dyDescent="0.3">
      <c r="A5" s="25" t="s">
        <v>4</v>
      </c>
      <c r="B5" s="6" t="s">
        <v>230</v>
      </c>
      <c r="C5" s="6" t="s">
        <v>230</v>
      </c>
      <c r="D5" s="6" t="s">
        <v>230</v>
      </c>
      <c r="E5" s="6" t="s">
        <v>230</v>
      </c>
      <c r="F5" s="6" t="s">
        <v>230</v>
      </c>
      <c r="G5" s="6">
        <v>12.562999999999999</v>
      </c>
      <c r="H5" s="6" t="s">
        <v>230</v>
      </c>
      <c r="I5" s="6" t="s">
        <v>230</v>
      </c>
      <c r="J5" s="6" t="s">
        <v>230</v>
      </c>
      <c r="K5" s="6" t="s">
        <v>230</v>
      </c>
      <c r="L5" s="6" t="s">
        <v>230</v>
      </c>
      <c r="M5" s="6" t="s">
        <v>230</v>
      </c>
      <c r="N5" s="6" t="s">
        <v>230</v>
      </c>
      <c r="O5" s="6" t="s">
        <v>230</v>
      </c>
      <c r="P5" s="6" t="s">
        <v>230</v>
      </c>
      <c r="Q5" s="6" t="s">
        <v>230</v>
      </c>
      <c r="R5" s="6" t="s">
        <v>230</v>
      </c>
      <c r="S5" s="6" t="s">
        <v>230</v>
      </c>
      <c r="T5" s="6" t="s">
        <v>230</v>
      </c>
      <c r="U5" s="6" t="s">
        <v>230</v>
      </c>
      <c r="V5" s="6" t="s">
        <v>230</v>
      </c>
      <c r="W5" s="6" t="s">
        <v>230</v>
      </c>
      <c r="X5" s="6" t="s">
        <v>230</v>
      </c>
      <c r="Y5" s="6" t="s">
        <v>230</v>
      </c>
      <c r="Z5" s="6" t="s">
        <v>230</v>
      </c>
      <c r="AA5" s="6" t="s">
        <v>230</v>
      </c>
      <c r="AB5" s="6" t="s">
        <v>230</v>
      </c>
      <c r="AC5" s="88" t="s">
        <v>230</v>
      </c>
      <c r="AD5" s="6" t="s">
        <v>230</v>
      </c>
      <c r="AE5" s="6" t="s">
        <v>230</v>
      </c>
      <c r="AF5" s="88" t="s">
        <v>230</v>
      </c>
      <c r="AG5" s="6" t="s">
        <v>230</v>
      </c>
      <c r="AH5" s="88" t="s">
        <v>230</v>
      </c>
      <c r="AI5" s="6" t="s">
        <v>230</v>
      </c>
      <c r="AJ5" s="88"/>
      <c r="AK5" s="6" t="s">
        <v>230</v>
      </c>
      <c r="AL5" s="6" t="s">
        <v>230</v>
      </c>
      <c r="AM5" s="6" t="s">
        <v>230</v>
      </c>
      <c r="AN5" s="28" t="s">
        <v>230</v>
      </c>
    </row>
    <row r="6" spans="1:40" x14ac:dyDescent="0.3">
      <c r="A6" s="25" t="s">
        <v>103</v>
      </c>
      <c r="B6" s="6" t="s">
        <v>230</v>
      </c>
      <c r="C6" s="6" t="s">
        <v>230</v>
      </c>
      <c r="D6" s="6" t="s">
        <v>230</v>
      </c>
      <c r="E6" s="6" t="s">
        <v>230</v>
      </c>
      <c r="F6" s="6" t="s">
        <v>230</v>
      </c>
      <c r="G6" s="6" t="s">
        <v>230</v>
      </c>
      <c r="H6" s="6" t="s">
        <v>230</v>
      </c>
      <c r="I6" s="6" t="s">
        <v>230</v>
      </c>
      <c r="J6" s="6" t="s">
        <v>230</v>
      </c>
      <c r="K6" s="6" t="s">
        <v>230</v>
      </c>
      <c r="L6" s="6">
        <v>25.074000000000002</v>
      </c>
      <c r="M6" s="6" t="s">
        <v>230</v>
      </c>
      <c r="N6" s="6" t="s">
        <v>230</v>
      </c>
      <c r="O6" s="6" t="s">
        <v>230</v>
      </c>
      <c r="P6" s="6" t="s">
        <v>230</v>
      </c>
      <c r="Q6" s="6" t="s">
        <v>230</v>
      </c>
      <c r="R6" s="6" t="s">
        <v>230</v>
      </c>
      <c r="S6" s="6" t="s">
        <v>230</v>
      </c>
      <c r="T6" s="6" t="s">
        <v>230</v>
      </c>
      <c r="U6" s="6" t="s">
        <v>230</v>
      </c>
      <c r="V6" s="6" t="s">
        <v>230</v>
      </c>
      <c r="W6" s="6" t="s">
        <v>230</v>
      </c>
      <c r="X6" s="6" t="s">
        <v>230</v>
      </c>
      <c r="Y6" s="6" t="s">
        <v>230</v>
      </c>
      <c r="Z6" s="6" t="s">
        <v>230</v>
      </c>
      <c r="AA6" s="6" t="s">
        <v>230</v>
      </c>
      <c r="AB6" s="6" t="s">
        <v>230</v>
      </c>
      <c r="AC6" s="88" t="s">
        <v>230</v>
      </c>
      <c r="AD6" s="6" t="s">
        <v>230</v>
      </c>
      <c r="AE6" s="6" t="s">
        <v>230</v>
      </c>
      <c r="AF6" s="88" t="s">
        <v>230</v>
      </c>
      <c r="AG6" s="6" t="s">
        <v>230</v>
      </c>
      <c r="AH6" s="88" t="s">
        <v>230</v>
      </c>
      <c r="AI6" s="6" t="s">
        <v>230</v>
      </c>
      <c r="AJ6" s="88"/>
      <c r="AK6" s="6" t="s">
        <v>230</v>
      </c>
      <c r="AL6" s="6" t="s">
        <v>230</v>
      </c>
      <c r="AM6" s="6" t="s">
        <v>230</v>
      </c>
      <c r="AN6" s="28" t="s">
        <v>230</v>
      </c>
    </row>
    <row r="7" spans="1:40" x14ac:dyDescent="0.3">
      <c r="A7" s="25" t="s">
        <v>104</v>
      </c>
      <c r="B7" s="6" t="s">
        <v>230</v>
      </c>
      <c r="C7" s="6" t="s">
        <v>230</v>
      </c>
      <c r="D7" s="6" t="s">
        <v>230</v>
      </c>
      <c r="E7" s="6" t="s">
        <v>230</v>
      </c>
      <c r="F7" s="6" t="s">
        <v>230</v>
      </c>
      <c r="G7" s="6" t="s">
        <v>230</v>
      </c>
      <c r="H7" s="6" t="s">
        <v>230</v>
      </c>
      <c r="I7" s="6" t="s">
        <v>230</v>
      </c>
      <c r="J7" s="6" t="s">
        <v>230</v>
      </c>
      <c r="K7" s="6">
        <v>59.184867367820758</v>
      </c>
      <c r="L7" s="6" t="s">
        <v>230</v>
      </c>
      <c r="M7" s="6">
        <v>14.871</v>
      </c>
      <c r="N7" s="6" t="s">
        <v>230</v>
      </c>
      <c r="O7" s="6" t="s">
        <v>230</v>
      </c>
      <c r="P7" s="6" t="s">
        <v>230</v>
      </c>
      <c r="Q7" s="6" t="s">
        <v>230</v>
      </c>
      <c r="R7" s="6" t="s">
        <v>230</v>
      </c>
      <c r="S7" s="6" t="s">
        <v>230</v>
      </c>
      <c r="T7" s="6" t="s">
        <v>230</v>
      </c>
      <c r="U7" s="6" t="s">
        <v>230</v>
      </c>
      <c r="V7" s="6" t="s">
        <v>230</v>
      </c>
      <c r="W7" s="6" t="s">
        <v>230</v>
      </c>
      <c r="X7" s="6" t="s">
        <v>230</v>
      </c>
      <c r="Y7" s="6" t="s">
        <v>230</v>
      </c>
      <c r="Z7" s="6" t="s">
        <v>230</v>
      </c>
      <c r="AA7" s="6" t="s">
        <v>230</v>
      </c>
      <c r="AB7" s="6" t="s">
        <v>230</v>
      </c>
      <c r="AC7" s="88" t="s">
        <v>230</v>
      </c>
      <c r="AD7" s="6" t="s">
        <v>230</v>
      </c>
      <c r="AE7" s="6" t="s">
        <v>230</v>
      </c>
      <c r="AF7" s="88" t="s">
        <v>230</v>
      </c>
      <c r="AG7" s="6" t="s">
        <v>230</v>
      </c>
      <c r="AH7" s="88" t="s">
        <v>230</v>
      </c>
      <c r="AI7" s="6" t="s">
        <v>230</v>
      </c>
      <c r="AJ7" s="88"/>
      <c r="AK7" s="6" t="s">
        <v>230</v>
      </c>
      <c r="AL7" s="6" t="s">
        <v>230</v>
      </c>
      <c r="AM7" s="6" t="s">
        <v>230</v>
      </c>
      <c r="AN7" s="28" t="s">
        <v>230</v>
      </c>
    </row>
    <row r="8" spans="1:40" x14ac:dyDescent="0.3">
      <c r="A8" s="25" t="s">
        <v>105</v>
      </c>
      <c r="B8" s="6" t="s">
        <v>230</v>
      </c>
      <c r="C8" s="6" t="s">
        <v>230</v>
      </c>
      <c r="D8" s="6" t="s">
        <v>230</v>
      </c>
      <c r="E8" s="6" t="s">
        <v>230</v>
      </c>
      <c r="F8" s="6" t="s">
        <v>230</v>
      </c>
      <c r="G8" s="6" t="s">
        <v>230</v>
      </c>
      <c r="H8" s="6" t="s">
        <v>230</v>
      </c>
      <c r="I8" s="6" t="s">
        <v>230</v>
      </c>
      <c r="J8" s="6" t="s">
        <v>230</v>
      </c>
      <c r="K8" s="6" t="s">
        <v>230</v>
      </c>
      <c r="L8" s="6" t="s">
        <v>230</v>
      </c>
      <c r="M8" s="6" t="s">
        <v>230</v>
      </c>
      <c r="N8" s="6" t="s">
        <v>230</v>
      </c>
      <c r="O8" s="6" t="s">
        <v>230</v>
      </c>
      <c r="P8" s="6" t="s">
        <v>230</v>
      </c>
      <c r="Q8" s="6">
        <v>24.758000000000003</v>
      </c>
      <c r="R8" s="6" t="s">
        <v>230</v>
      </c>
      <c r="S8" s="6" t="s">
        <v>230</v>
      </c>
      <c r="T8" s="6" t="s">
        <v>230</v>
      </c>
      <c r="U8" s="6" t="s">
        <v>230</v>
      </c>
      <c r="V8" s="6" t="s">
        <v>230</v>
      </c>
      <c r="W8" s="6" t="s">
        <v>230</v>
      </c>
      <c r="X8" s="6" t="s">
        <v>230</v>
      </c>
      <c r="Y8" s="6" t="s">
        <v>230</v>
      </c>
      <c r="Z8" s="6" t="s">
        <v>230</v>
      </c>
      <c r="AA8" s="6" t="s">
        <v>230</v>
      </c>
      <c r="AB8" s="6" t="s">
        <v>230</v>
      </c>
      <c r="AC8" s="88" t="s">
        <v>230</v>
      </c>
      <c r="AD8" s="6" t="s">
        <v>230</v>
      </c>
      <c r="AE8" s="6" t="s">
        <v>230</v>
      </c>
      <c r="AF8" s="88" t="s">
        <v>230</v>
      </c>
      <c r="AG8" s="6" t="s">
        <v>230</v>
      </c>
      <c r="AH8" s="88" t="s">
        <v>230</v>
      </c>
      <c r="AI8" s="6" t="s">
        <v>230</v>
      </c>
      <c r="AJ8" s="88"/>
      <c r="AK8" s="6" t="s">
        <v>230</v>
      </c>
      <c r="AL8" s="6" t="s">
        <v>230</v>
      </c>
      <c r="AM8" s="6" t="s">
        <v>230</v>
      </c>
      <c r="AN8" s="28" t="s">
        <v>230</v>
      </c>
    </row>
    <row r="9" spans="1:40" x14ac:dyDescent="0.3">
      <c r="A9" s="25" t="s">
        <v>106</v>
      </c>
      <c r="B9" s="6" t="s">
        <v>230</v>
      </c>
      <c r="C9" s="6" t="s">
        <v>230</v>
      </c>
      <c r="D9" s="6" t="s">
        <v>230</v>
      </c>
      <c r="E9" s="6" t="s">
        <v>230</v>
      </c>
      <c r="F9" s="6" t="s">
        <v>230</v>
      </c>
      <c r="G9" s="6" t="s">
        <v>230</v>
      </c>
      <c r="H9" s="6" t="s">
        <v>230</v>
      </c>
      <c r="I9" s="6" t="s">
        <v>230</v>
      </c>
      <c r="J9" s="6" t="s">
        <v>230</v>
      </c>
      <c r="K9" s="6" t="s">
        <v>230</v>
      </c>
      <c r="L9" s="6" t="s">
        <v>230</v>
      </c>
      <c r="M9" s="6" t="s">
        <v>230</v>
      </c>
      <c r="N9" s="6" t="s">
        <v>230</v>
      </c>
      <c r="O9" s="6" t="s">
        <v>230</v>
      </c>
      <c r="P9" s="6">
        <v>30.722259990726229</v>
      </c>
      <c r="Q9" s="6" t="s">
        <v>230</v>
      </c>
      <c r="R9" s="6" t="s">
        <v>230</v>
      </c>
      <c r="S9" s="6" t="s">
        <v>230</v>
      </c>
      <c r="T9" s="6" t="s">
        <v>230</v>
      </c>
      <c r="U9" s="6" t="s">
        <v>230</v>
      </c>
      <c r="V9" s="6" t="s">
        <v>230</v>
      </c>
      <c r="W9" s="6" t="s">
        <v>230</v>
      </c>
      <c r="X9" s="6" t="s">
        <v>230</v>
      </c>
      <c r="Y9" s="6" t="s">
        <v>230</v>
      </c>
      <c r="Z9" s="6" t="s">
        <v>230</v>
      </c>
      <c r="AA9" s="6" t="s">
        <v>230</v>
      </c>
      <c r="AB9" s="6" t="s">
        <v>230</v>
      </c>
      <c r="AC9" s="88" t="s">
        <v>230</v>
      </c>
      <c r="AD9" s="6" t="s">
        <v>230</v>
      </c>
      <c r="AE9" s="6" t="s">
        <v>230</v>
      </c>
      <c r="AF9" s="88" t="s">
        <v>230</v>
      </c>
      <c r="AG9" s="6" t="s">
        <v>230</v>
      </c>
      <c r="AH9" s="88" t="s">
        <v>230</v>
      </c>
      <c r="AI9" s="6" t="s">
        <v>230</v>
      </c>
      <c r="AJ9" s="88"/>
      <c r="AK9" s="6" t="s">
        <v>230</v>
      </c>
      <c r="AL9" s="6" t="s">
        <v>230</v>
      </c>
      <c r="AM9" s="6" t="s">
        <v>230</v>
      </c>
      <c r="AN9" s="28" t="s">
        <v>230</v>
      </c>
    </row>
    <row r="10" spans="1:40" x14ac:dyDescent="0.3">
      <c r="A10" s="25" t="s">
        <v>107</v>
      </c>
      <c r="B10" s="6" t="s">
        <v>230</v>
      </c>
      <c r="C10" s="6" t="s">
        <v>230</v>
      </c>
      <c r="D10" s="6" t="s">
        <v>230</v>
      </c>
      <c r="E10" s="6" t="s">
        <v>230</v>
      </c>
      <c r="F10" s="6" t="s">
        <v>230</v>
      </c>
      <c r="G10" s="6" t="s">
        <v>230</v>
      </c>
      <c r="H10" s="6" t="s">
        <v>230</v>
      </c>
      <c r="I10" s="6" t="s">
        <v>230</v>
      </c>
      <c r="J10" s="6" t="s">
        <v>230</v>
      </c>
      <c r="K10" s="6" t="s">
        <v>230</v>
      </c>
      <c r="L10" s="6" t="s">
        <v>230</v>
      </c>
      <c r="M10" s="6" t="s">
        <v>230</v>
      </c>
      <c r="N10" s="6" t="s">
        <v>230</v>
      </c>
      <c r="O10" s="6" t="s">
        <v>230</v>
      </c>
      <c r="P10" s="6" t="s">
        <v>230</v>
      </c>
      <c r="Q10" s="6" t="s">
        <v>230</v>
      </c>
      <c r="R10" s="6" t="s">
        <v>230</v>
      </c>
      <c r="S10" s="6">
        <v>9.952</v>
      </c>
      <c r="T10" s="6" t="s">
        <v>230</v>
      </c>
      <c r="U10" s="6" t="s">
        <v>230</v>
      </c>
      <c r="V10" s="6" t="s">
        <v>230</v>
      </c>
      <c r="W10" s="6" t="s">
        <v>230</v>
      </c>
      <c r="X10" s="6" t="s">
        <v>230</v>
      </c>
      <c r="Y10" s="6" t="s">
        <v>230</v>
      </c>
      <c r="Z10" s="6" t="s">
        <v>230</v>
      </c>
      <c r="AA10" s="6" t="s">
        <v>230</v>
      </c>
      <c r="AB10" s="6" t="s">
        <v>230</v>
      </c>
      <c r="AC10" s="88" t="s">
        <v>230</v>
      </c>
      <c r="AD10" s="6" t="s">
        <v>230</v>
      </c>
      <c r="AE10" s="6" t="s">
        <v>230</v>
      </c>
      <c r="AF10" s="88" t="s">
        <v>230</v>
      </c>
      <c r="AG10" s="6" t="s">
        <v>230</v>
      </c>
      <c r="AH10" s="88" t="s">
        <v>230</v>
      </c>
      <c r="AI10" s="6" t="s">
        <v>230</v>
      </c>
      <c r="AJ10" s="88"/>
      <c r="AK10" s="6" t="s">
        <v>230</v>
      </c>
      <c r="AL10" s="6" t="s">
        <v>230</v>
      </c>
      <c r="AM10" s="6" t="s">
        <v>230</v>
      </c>
      <c r="AN10" s="28" t="s">
        <v>230</v>
      </c>
    </row>
    <row r="11" spans="1:40" x14ac:dyDescent="0.3">
      <c r="A11" s="25" t="s">
        <v>108</v>
      </c>
      <c r="B11" s="6" t="s">
        <v>230</v>
      </c>
      <c r="C11" s="6" t="s">
        <v>230</v>
      </c>
      <c r="D11" s="6" t="s">
        <v>230</v>
      </c>
      <c r="E11" s="6" t="s">
        <v>230</v>
      </c>
      <c r="F11" s="6" t="s">
        <v>230</v>
      </c>
      <c r="G11" s="6" t="s">
        <v>230</v>
      </c>
      <c r="H11" s="6" t="s">
        <v>230</v>
      </c>
      <c r="I11" s="6" t="s">
        <v>230</v>
      </c>
      <c r="J11" s="6" t="s">
        <v>230</v>
      </c>
      <c r="K11" s="6" t="s">
        <v>230</v>
      </c>
      <c r="L11" s="6" t="s">
        <v>230</v>
      </c>
      <c r="M11" s="6" t="s">
        <v>230</v>
      </c>
      <c r="N11" s="6" t="s">
        <v>230</v>
      </c>
      <c r="O11" s="6" t="s">
        <v>230</v>
      </c>
      <c r="P11" s="6" t="s">
        <v>230</v>
      </c>
      <c r="Q11" s="6" t="s">
        <v>230</v>
      </c>
      <c r="R11" s="6" t="s">
        <v>230</v>
      </c>
      <c r="S11" s="6" t="s">
        <v>230</v>
      </c>
      <c r="T11" s="6" t="s">
        <v>230</v>
      </c>
      <c r="U11" s="6" t="s">
        <v>230</v>
      </c>
      <c r="V11" s="6">
        <v>24.247</v>
      </c>
      <c r="W11" s="6" t="s">
        <v>230</v>
      </c>
      <c r="X11" s="6" t="s">
        <v>230</v>
      </c>
      <c r="Y11" s="6" t="s">
        <v>230</v>
      </c>
      <c r="Z11" s="6" t="s">
        <v>230</v>
      </c>
      <c r="AA11" s="6" t="s">
        <v>230</v>
      </c>
      <c r="AB11" s="6" t="s">
        <v>230</v>
      </c>
      <c r="AC11" s="88" t="s">
        <v>230</v>
      </c>
      <c r="AD11" s="6" t="s">
        <v>230</v>
      </c>
      <c r="AE11" s="6" t="s">
        <v>230</v>
      </c>
      <c r="AF11" s="88" t="s">
        <v>230</v>
      </c>
      <c r="AG11" s="6" t="s">
        <v>230</v>
      </c>
      <c r="AH11" s="88" t="s">
        <v>230</v>
      </c>
      <c r="AI11" s="6" t="s">
        <v>230</v>
      </c>
      <c r="AJ11" s="88"/>
      <c r="AK11" s="6" t="s">
        <v>230</v>
      </c>
      <c r="AL11" s="6" t="s">
        <v>230</v>
      </c>
      <c r="AM11" s="6" t="s">
        <v>230</v>
      </c>
      <c r="AN11" s="28" t="s">
        <v>230</v>
      </c>
    </row>
    <row r="12" spans="1:40" x14ac:dyDescent="0.3">
      <c r="A12" s="25" t="s">
        <v>109</v>
      </c>
      <c r="B12" s="6" t="s">
        <v>230</v>
      </c>
      <c r="C12" s="6" t="s">
        <v>230</v>
      </c>
      <c r="D12" s="6" t="s">
        <v>230</v>
      </c>
      <c r="E12" s="6" t="s">
        <v>230</v>
      </c>
      <c r="F12" s="6" t="s">
        <v>230</v>
      </c>
      <c r="G12" s="6" t="s">
        <v>230</v>
      </c>
      <c r="H12" s="6" t="s">
        <v>230</v>
      </c>
      <c r="I12" s="6" t="s">
        <v>230</v>
      </c>
      <c r="J12" s="6" t="s">
        <v>230</v>
      </c>
      <c r="K12" s="6" t="s">
        <v>230</v>
      </c>
      <c r="L12" s="6" t="s">
        <v>230</v>
      </c>
      <c r="M12" s="6" t="s">
        <v>230</v>
      </c>
      <c r="N12" s="6" t="s">
        <v>230</v>
      </c>
      <c r="O12" s="6" t="s">
        <v>230</v>
      </c>
      <c r="P12" s="6" t="s">
        <v>230</v>
      </c>
      <c r="Q12" s="6" t="s">
        <v>230</v>
      </c>
      <c r="R12" s="6" t="s">
        <v>230</v>
      </c>
      <c r="S12" s="6" t="s">
        <v>230</v>
      </c>
      <c r="T12" s="6">
        <v>24.036999999999999</v>
      </c>
      <c r="U12" s="6" t="s">
        <v>230</v>
      </c>
      <c r="V12" s="6" t="s">
        <v>230</v>
      </c>
      <c r="W12" s="6" t="s">
        <v>230</v>
      </c>
      <c r="X12" s="6" t="s">
        <v>230</v>
      </c>
      <c r="Y12" s="6" t="s">
        <v>230</v>
      </c>
      <c r="Z12" s="6" t="s">
        <v>230</v>
      </c>
      <c r="AA12" s="6" t="s">
        <v>230</v>
      </c>
      <c r="AB12" s="6" t="s">
        <v>230</v>
      </c>
      <c r="AC12" s="88" t="s">
        <v>230</v>
      </c>
      <c r="AD12" s="6" t="s">
        <v>230</v>
      </c>
      <c r="AE12" s="6" t="s">
        <v>230</v>
      </c>
      <c r="AF12" s="88" t="s">
        <v>230</v>
      </c>
      <c r="AG12" s="6" t="s">
        <v>230</v>
      </c>
      <c r="AH12" s="88" t="s">
        <v>230</v>
      </c>
      <c r="AI12" s="6" t="s">
        <v>230</v>
      </c>
      <c r="AJ12" s="88"/>
      <c r="AK12" s="6" t="s">
        <v>230</v>
      </c>
      <c r="AL12" s="6" t="s">
        <v>230</v>
      </c>
      <c r="AM12" s="6" t="s">
        <v>230</v>
      </c>
      <c r="AN12" s="28" t="s">
        <v>230</v>
      </c>
    </row>
    <row r="13" spans="1:40" x14ac:dyDescent="0.3">
      <c r="A13" s="25" t="s">
        <v>110</v>
      </c>
      <c r="B13" s="6" t="s">
        <v>230</v>
      </c>
      <c r="C13" s="6" t="s">
        <v>230</v>
      </c>
      <c r="D13" s="6" t="s">
        <v>230</v>
      </c>
      <c r="E13" s="6" t="s">
        <v>230</v>
      </c>
      <c r="F13" s="6" t="s">
        <v>230</v>
      </c>
      <c r="G13" s="6" t="s">
        <v>230</v>
      </c>
      <c r="H13" s="6" t="s">
        <v>230</v>
      </c>
      <c r="I13" s="6" t="s">
        <v>230</v>
      </c>
      <c r="J13" s="6" t="s">
        <v>230</v>
      </c>
      <c r="K13" s="6" t="s">
        <v>230</v>
      </c>
      <c r="L13" s="6" t="s">
        <v>230</v>
      </c>
      <c r="M13" s="6" t="s">
        <v>230</v>
      </c>
      <c r="N13" s="6" t="s">
        <v>230</v>
      </c>
      <c r="O13" s="6" t="s">
        <v>230</v>
      </c>
      <c r="P13" s="6" t="s">
        <v>230</v>
      </c>
      <c r="Q13" s="6" t="s">
        <v>230</v>
      </c>
      <c r="R13" s="6" t="s">
        <v>230</v>
      </c>
      <c r="S13" s="6" t="s">
        <v>230</v>
      </c>
      <c r="T13" s="6" t="s">
        <v>230</v>
      </c>
      <c r="U13" s="6" t="s">
        <v>230</v>
      </c>
      <c r="V13" s="6" t="s">
        <v>230</v>
      </c>
      <c r="W13" s="6" t="s">
        <v>230</v>
      </c>
      <c r="X13" s="6" t="s">
        <v>230</v>
      </c>
      <c r="Y13" s="6" t="s">
        <v>230</v>
      </c>
      <c r="Z13" s="6">
        <v>38.297000000000004</v>
      </c>
      <c r="AA13" s="6" t="s">
        <v>230</v>
      </c>
      <c r="AB13" s="6" t="s">
        <v>230</v>
      </c>
      <c r="AC13" s="88" t="s">
        <v>230</v>
      </c>
      <c r="AD13" s="6" t="s">
        <v>230</v>
      </c>
      <c r="AE13" s="6" t="s">
        <v>230</v>
      </c>
      <c r="AF13" s="88" t="s">
        <v>230</v>
      </c>
      <c r="AG13" s="6" t="s">
        <v>230</v>
      </c>
      <c r="AH13" s="88" t="s">
        <v>230</v>
      </c>
      <c r="AI13" s="6" t="s">
        <v>230</v>
      </c>
      <c r="AJ13" s="88"/>
      <c r="AK13" s="6" t="s">
        <v>230</v>
      </c>
      <c r="AL13" s="6" t="s">
        <v>230</v>
      </c>
      <c r="AM13" s="6" t="s">
        <v>230</v>
      </c>
      <c r="AN13" s="28" t="s">
        <v>230</v>
      </c>
    </row>
    <row r="14" spans="1:40" x14ac:dyDescent="0.3">
      <c r="A14" s="25" t="s">
        <v>112</v>
      </c>
      <c r="B14" s="6" t="s">
        <v>230</v>
      </c>
      <c r="C14" s="6" t="s">
        <v>230</v>
      </c>
      <c r="D14" s="6" t="s">
        <v>230</v>
      </c>
      <c r="E14" s="6" t="s">
        <v>230</v>
      </c>
      <c r="F14" s="6" t="s">
        <v>230</v>
      </c>
      <c r="G14" s="6" t="s">
        <v>230</v>
      </c>
      <c r="H14" s="6" t="s">
        <v>230</v>
      </c>
      <c r="I14" s="6" t="s">
        <v>230</v>
      </c>
      <c r="J14" s="6" t="s">
        <v>230</v>
      </c>
      <c r="K14" s="6" t="s">
        <v>230</v>
      </c>
      <c r="L14" s="6" t="s">
        <v>230</v>
      </c>
      <c r="M14" s="6" t="s">
        <v>230</v>
      </c>
      <c r="N14" s="6" t="s">
        <v>230</v>
      </c>
      <c r="O14" s="6" t="s">
        <v>230</v>
      </c>
      <c r="P14" s="6" t="s">
        <v>230</v>
      </c>
      <c r="Q14" s="6" t="s">
        <v>230</v>
      </c>
      <c r="R14" s="6" t="s">
        <v>230</v>
      </c>
      <c r="S14" s="6" t="s">
        <v>230</v>
      </c>
      <c r="T14" s="6" t="s">
        <v>230</v>
      </c>
      <c r="U14" s="6" t="s">
        <v>230</v>
      </c>
      <c r="V14" s="6" t="s">
        <v>230</v>
      </c>
      <c r="W14" s="6" t="s">
        <v>230</v>
      </c>
      <c r="X14" s="6" t="s">
        <v>230</v>
      </c>
      <c r="Y14" s="6" t="s">
        <v>230</v>
      </c>
      <c r="Z14" s="6" t="s">
        <v>230</v>
      </c>
      <c r="AA14" s="6" t="s">
        <v>230</v>
      </c>
      <c r="AB14" s="6">
        <v>8.504999999999999</v>
      </c>
      <c r="AC14" s="88" t="s">
        <v>230</v>
      </c>
      <c r="AD14" s="6" t="s">
        <v>230</v>
      </c>
      <c r="AE14" s="6" t="s">
        <v>230</v>
      </c>
      <c r="AF14" s="88" t="s">
        <v>230</v>
      </c>
      <c r="AG14" s="6" t="s">
        <v>230</v>
      </c>
      <c r="AH14" s="88" t="s">
        <v>230</v>
      </c>
      <c r="AI14" s="6" t="s">
        <v>230</v>
      </c>
      <c r="AJ14" s="88"/>
      <c r="AK14" s="6" t="s">
        <v>230</v>
      </c>
      <c r="AL14" s="6" t="s">
        <v>230</v>
      </c>
      <c r="AM14" s="6" t="s">
        <v>230</v>
      </c>
      <c r="AN14" s="28" t="s">
        <v>230</v>
      </c>
    </row>
    <row r="15" spans="1:40" x14ac:dyDescent="0.3">
      <c r="A15" s="25" t="s">
        <v>113</v>
      </c>
      <c r="B15" s="6" t="s">
        <v>230</v>
      </c>
      <c r="C15" s="6" t="s">
        <v>230</v>
      </c>
      <c r="D15" s="6" t="s">
        <v>230</v>
      </c>
      <c r="E15" s="6" t="s">
        <v>230</v>
      </c>
      <c r="F15" s="6" t="s">
        <v>230</v>
      </c>
      <c r="G15" s="6" t="s">
        <v>230</v>
      </c>
      <c r="H15" s="6" t="s">
        <v>230</v>
      </c>
      <c r="I15" s="6" t="s">
        <v>230</v>
      </c>
      <c r="J15" s="6" t="s">
        <v>230</v>
      </c>
      <c r="K15" s="6" t="s">
        <v>230</v>
      </c>
      <c r="L15" s="6" t="s">
        <v>230</v>
      </c>
      <c r="M15" s="6" t="s">
        <v>230</v>
      </c>
      <c r="N15" s="6" t="s">
        <v>230</v>
      </c>
      <c r="O15" s="6" t="s">
        <v>230</v>
      </c>
      <c r="P15" s="6" t="s">
        <v>230</v>
      </c>
      <c r="Q15" s="6" t="s">
        <v>230</v>
      </c>
      <c r="R15" s="6" t="s">
        <v>230</v>
      </c>
      <c r="S15" s="6" t="s">
        <v>230</v>
      </c>
      <c r="T15" s="6" t="s">
        <v>230</v>
      </c>
      <c r="U15" s="6" t="s">
        <v>230</v>
      </c>
      <c r="V15" s="6" t="s">
        <v>230</v>
      </c>
      <c r="W15" s="6" t="s">
        <v>230</v>
      </c>
      <c r="X15" s="6" t="s">
        <v>230</v>
      </c>
      <c r="Y15" s="6" t="s">
        <v>230</v>
      </c>
      <c r="Z15" s="6" t="s">
        <v>230</v>
      </c>
      <c r="AA15" s="6" t="s">
        <v>230</v>
      </c>
      <c r="AB15" s="6">
        <v>8.9529999999999994</v>
      </c>
      <c r="AC15" s="88" t="s">
        <v>230</v>
      </c>
      <c r="AD15" s="6" t="s">
        <v>230</v>
      </c>
      <c r="AE15" s="6" t="s">
        <v>230</v>
      </c>
      <c r="AF15" s="88" t="s">
        <v>230</v>
      </c>
      <c r="AG15" s="6" t="s">
        <v>230</v>
      </c>
      <c r="AH15" s="88" t="s">
        <v>230</v>
      </c>
      <c r="AI15" s="6" t="s">
        <v>230</v>
      </c>
      <c r="AJ15" s="88"/>
      <c r="AK15" s="6" t="s">
        <v>230</v>
      </c>
      <c r="AL15" s="6" t="s">
        <v>230</v>
      </c>
      <c r="AM15" s="6" t="s">
        <v>230</v>
      </c>
      <c r="AN15" s="28" t="s">
        <v>230</v>
      </c>
    </row>
    <row r="16" spans="1:40" x14ac:dyDescent="0.3">
      <c r="A16" s="25" t="s">
        <v>114</v>
      </c>
      <c r="B16" s="6" t="s">
        <v>230</v>
      </c>
      <c r="C16" s="6" t="s">
        <v>230</v>
      </c>
      <c r="D16" s="6" t="s">
        <v>230</v>
      </c>
      <c r="E16" s="6" t="s">
        <v>230</v>
      </c>
      <c r="F16" s="6" t="s">
        <v>230</v>
      </c>
      <c r="G16" s="6" t="s">
        <v>230</v>
      </c>
      <c r="H16" s="6" t="s">
        <v>230</v>
      </c>
      <c r="I16" s="6" t="s">
        <v>230</v>
      </c>
      <c r="J16" s="6" t="s">
        <v>230</v>
      </c>
      <c r="K16" s="6" t="s">
        <v>230</v>
      </c>
      <c r="L16" s="6" t="s">
        <v>230</v>
      </c>
      <c r="M16" s="6" t="s">
        <v>230</v>
      </c>
      <c r="N16" s="6" t="s">
        <v>230</v>
      </c>
      <c r="O16" s="6" t="s">
        <v>230</v>
      </c>
      <c r="P16" s="6" t="s">
        <v>230</v>
      </c>
      <c r="Q16" s="6" t="s">
        <v>230</v>
      </c>
      <c r="R16" s="6" t="s">
        <v>230</v>
      </c>
      <c r="S16" s="6" t="s">
        <v>230</v>
      </c>
      <c r="T16" s="6" t="s">
        <v>230</v>
      </c>
      <c r="U16" s="6" t="s">
        <v>230</v>
      </c>
      <c r="V16" s="6" t="s">
        <v>230</v>
      </c>
      <c r="W16" s="6" t="s">
        <v>230</v>
      </c>
      <c r="X16" s="6" t="s">
        <v>230</v>
      </c>
      <c r="Y16" s="6" t="s">
        <v>230</v>
      </c>
      <c r="Z16" s="6" t="s">
        <v>230</v>
      </c>
      <c r="AA16" s="6" t="s">
        <v>230</v>
      </c>
      <c r="AB16" s="6">
        <v>12.425000000000001</v>
      </c>
      <c r="AC16" s="88" t="s">
        <v>230</v>
      </c>
      <c r="AD16" s="6" t="s">
        <v>230</v>
      </c>
      <c r="AE16" s="6" t="s">
        <v>230</v>
      </c>
      <c r="AF16" s="88" t="s">
        <v>230</v>
      </c>
      <c r="AG16" s="6" t="s">
        <v>230</v>
      </c>
      <c r="AH16" s="88" t="s">
        <v>230</v>
      </c>
      <c r="AI16" s="6" t="s">
        <v>230</v>
      </c>
      <c r="AJ16" s="88"/>
      <c r="AK16" s="6" t="s">
        <v>230</v>
      </c>
      <c r="AL16" s="6" t="s">
        <v>230</v>
      </c>
      <c r="AM16" s="6" t="s">
        <v>230</v>
      </c>
      <c r="AN16" s="28" t="s">
        <v>230</v>
      </c>
    </row>
    <row r="17" spans="1:40" x14ac:dyDescent="0.3">
      <c r="A17" s="41" t="s">
        <v>115</v>
      </c>
      <c r="B17" s="91" t="s">
        <v>230</v>
      </c>
      <c r="C17" s="91" t="s">
        <v>230</v>
      </c>
      <c r="D17" s="91" t="s">
        <v>230</v>
      </c>
      <c r="E17" s="91" t="s">
        <v>230</v>
      </c>
      <c r="F17" s="91" t="s">
        <v>230</v>
      </c>
      <c r="G17" s="91" t="s">
        <v>230</v>
      </c>
      <c r="H17" s="91" t="s">
        <v>230</v>
      </c>
      <c r="I17" s="91" t="s">
        <v>230</v>
      </c>
      <c r="J17" s="91" t="s">
        <v>230</v>
      </c>
      <c r="K17" s="91" t="s">
        <v>230</v>
      </c>
      <c r="L17" s="91" t="s">
        <v>230</v>
      </c>
      <c r="M17" s="91" t="s">
        <v>230</v>
      </c>
      <c r="N17" s="91" t="s">
        <v>230</v>
      </c>
      <c r="O17" s="91" t="s">
        <v>230</v>
      </c>
      <c r="P17" s="91" t="s">
        <v>230</v>
      </c>
      <c r="Q17" s="91" t="s">
        <v>230</v>
      </c>
      <c r="R17" s="91" t="s">
        <v>230</v>
      </c>
      <c r="S17" s="91" t="s">
        <v>230</v>
      </c>
      <c r="T17" s="91" t="s">
        <v>230</v>
      </c>
      <c r="U17" s="91" t="s">
        <v>230</v>
      </c>
      <c r="V17" s="91" t="s">
        <v>230</v>
      </c>
      <c r="W17" s="91" t="s">
        <v>230</v>
      </c>
      <c r="X17" s="91" t="s">
        <v>230</v>
      </c>
      <c r="Y17" s="91">
        <v>24.249000000000002</v>
      </c>
      <c r="Z17" s="91" t="s">
        <v>230</v>
      </c>
      <c r="AA17" s="91" t="s">
        <v>230</v>
      </c>
      <c r="AB17" s="91" t="s">
        <v>230</v>
      </c>
      <c r="AC17" s="99" t="s">
        <v>230</v>
      </c>
      <c r="AD17" s="91" t="s">
        <v>230</v>
      </c>
      <c r="AE17" s="91" t="s">
        <v>230</v>
      </c>
      <c r="AF17" s="99" t="s">
        <v>230</v>
      </c>
      <c r="AG17" s="91" t="s">
        <v>230</v>
      </c>
      <c r="AH17" s="99" t="s">
        <v>230</v>
      </c>
      <c r="AI17" s="91" t="s">
        <v>230</v>
      </c>
      <c r="AJ17" s="99"/>
      <c r="AK17" s="91" t="s">
        <v>230</v>
      </c>
      <c r="AL17" s="91" t="s">
        <v>230</v>
      </c>
      <c r="AM17" s="91" t="s">
        <v>230</v>
      </c>
      <c r="AN17" s="90" t="s">
        <v>230</v>
      </c>
    </row>
    <row r="18" spans="1:40" x14ac:dyDescent="0.3">
      <c r="A18" s="25" t="s">
        <v>5</v>
      </c>
      <c r="B18" s="6" t="s">
        <v>230</v>
      </c>
      <c r="C18" s="6" t="s">
        <v>230</v>
      </c>
      <c r="D18" s="6">
        <v>11.209999999999999</v>
      </c>
      <c r="E18" s="6" t="s">
        <v>230</v>
      </c>
      <c r="F18" s="6" t="s">
        <v>230</v>
      </c>
      <c r="G18" s="6" t="s">
        <v>230</v>
      </c>
      <c r="H18" s="6" t="s">
        <v>230</v>
      </c>
      <c r="I18" s="6" t="s">
        <v>230</v>
      </c>
      <c r="J18" s="6" t="s">
        <v>230</v>
      </c>
      <c r="K18" s="6" t="s">
        <v>230</v>
      </c>
      <c r="L18" s="6" t="s">
        <v>230</v>
      </c>
      <c r="M18" s="6" t="s">
        <v>230</v>
      </c>
      <c r="N18" s="6" t="s">
        <v>230</v>
      </c>
      <c r="O18" s="6" t="s">
        <v>230</v>
      </c>
      <c r="P18" s="6" t="s">
        <v>230</v>
      </c>
      <c r="Q18" s="6" t="s">
        <v>230</v>
      </c>
      <c r="R18" s="6" t="s">
        <v>230</v>
      </c>
      <c r="S18" s="6" t="s">
        <v>230</v>
      </c>
      <c r="T18" s="6" t="s">
        <v>230</v>
      </c>
      <c r="U18" s="6" t="s">
        <v>230</v>
      </c>
      <c r="V18" s="6" t="s">
        <v>230</v>
      </c>
      <c r="W18" s="6" t="s">
        <v>230</v>
      </c>
      <c r="X18" s="6" t="s">
        <v>230</v>
      </c>
      <c r="Y18" s="6" t="s">
        <v>230</v>
      </c>
      <c r="Z18" s="29" t="s">
        <v>230</v>
      </c>
      <c r="AA18" s="29" t="s">
        <v>230</v>
      </c>
      <c r="AB18" s="29" t="s">
        <v>230</v>
      </c>
      <c r="AC18" s="75" t="s">
        <v>230</v>
      </c>
      <c r="AD18" s="29" t="s">
        <v>230</v>
      </c>
      <c r="AE18" s="29" t="s">
        <v>230</v>
      </c>
      <c r="AF18" s="75" t="s">
        <v>230</v>
      </c>
      <c r="AG18" s="6"/>
      <c r="AH18" s="88"/>
      <c r="AI18" s="6">
        <v>35.07985</v>
      </c>
      <c r="AJ18" s="75"/>
      <c r="AK18" s="29" t="s">
        <v>230</v>
      </c>
      <c r="AL18" s="29" t="s">
        <v>230</v>
      </c>
      <c r="AM18" s="29" t="s">
        <v>230</v>
      </c>
      <c r="AN18" s="31" t="s">
        <v>230</v>
      </c>
    </row>
    <row r="19" spans="1:40" x14ac:dyDescent="0.3">
      <c r="A19" s="25" t="s">
        <v>116</v>
      </c>
      <c r="B19" s="6" t="s">
        <v>230</v>
      </c>
      <c r="C19" s="6" t="s">
        <v>230</v>
      </c>
      <c r="D19" s="6" t="s">
        <v>230</v>
      </c>
      <c r="E19" s="6" t="s">
        <v>230</v>
      </c>
      <c r="F19" s="6" t="s">
        <v>230</v>
      </c>
      <c r="G19" s="6" t="s">
        <v>230</v>
      </c>
      <c r="H19" s="6" t="s">
        <v>230</v>
      </c>
      <c r="I19" s="6" t="s">
        <v>230</v>
      </c>
      <c r="J19" s="6" t="s">
        <v>230</v>
      </c>
      <c r="K19" s="6">
        <v>21.292999999999999</v>
      </c>
      <c r="L19" s="6" t="s">
        <v>230</v>
      </c>
      <c r="M19" s="6" t="s">
        <v>230</v>
      </c>
      <c r="N19" s="6" t="s">
        <v>230</v>
      </c>
      <c r="O19" s="6" t="s">
        <v>230</v>
      </c>
      <c r="P19" s="6" t="s">
        <v>230</v>
      </c>
      <c r="Q19" s="6" t="s">
        <v>230</v>
      </c>
      <c r="R19" s="6" t="s">
        <v>230</v>
      </c>
      <c r="S19" s="6" t="s">
        <v>230</v>
      </c>
      <c r="T19" s="6" t="s">
        <v>230</v>
      </c>
      <c r="U19" s="6" t="s">
        <v>230</v>
      </c>
      <c r="V19" s="6" t="s">
        <v>230</v>
      </c>
      <c r="W19" s="6" t="s">
        <v>230</v>
      </c>
      <c r="X19" s="6" t="s">
        <v>230</v>
      </c>
      <c r="Y19" s="6" t="s">
        <v>230</v>
      </c>
      <c r="Z19" s="29" t="s">
        <v>230</v>
      </c>
      <c r="AA19" s="29" t="s">
        <v>230</v>
      </c>
      <c r="AB19" s="29" t="s">
        <v>230</v>
      </c>
      <c r="AC19" s="75" t="s">
        <v>230</v>
      </c>
      <c r="AD19" s="29" t="s">
        <v>230</v>
      </c>
      <c r="AE19" s="29" t="s">
        <v>230</v>
      </c>
      <c r="AF19" s="75" t="s">
        <v>230</v>
      </c>
      <c r="AG19" s="6"/>
      <c r="AH19" s="88"/>
      <c r="AI19" s="6">
        <v>30.886050000000001</v>
      </c>
      <c r="AJ19" s="75"/>
      <c r="AK19" s="29" t="s">
        <v>230</v>
      </c>
      <c r="AL19" s="29" t="s">
        <v>230</v>
      </c>
      <c r="AM19" s="29" t="s">
        <v>230</v>
      </c>
      <c r="AN19" s="31" t="s">
        <v>230</v>
      </c>
    </row>
    <row r="20" spans="1:40" x14ac:dyDescent="0.3">
      <c r="A20" s="25" t="s">
        <v>117</v>
      </c>
      <c r="B20" s="6" t="s">
        <v>230</v>
      </c>
      <c r="C20" s="6" t="s">
        <v>230</v>
      </c>
      <c r="D20" s="6" t="s">
        <v>230</v>
      </c>
      <c r="E20" s="6" t="s">
        <v>230</v>
      </c>
      <c r="F20" s="6" t="s">
        <v>230</v>
      </c>
      <c r="G20" s="6" t="s">
        <v>230</v>
      </c>
      <c r="H20" s="6" t="s">
        <v>230</v>
      </c>
      <c r="I20" s="6" t="s">
        <v>230</v>
      </c>
      <c r="J20" s="6" t="s">
        <v>230</v>
      </c>
      <c r="K20" s="6" t="s">
        <v>230</v>
      </c>
      <c r="L20" s="6" t="s">
        <v>230</v>
      </c>
      <c r="M20" s="6" t="s">
        <v>230</v>
      </c>
      <c r="N20" s="6" t="s">
        <v>230</v>
      </c>
      <c r="O20" s="6" t="s">
        <v>230</v>
      </c>
      <c r="P20" s="6" t="s">
        <v>230</v>
      </c>
      <c r="Q20" s="6" t="s">
        <v>230</v>
      </c>
      <c r="R20" s="6">
        <v>20.696999999999999</v>
      </c>
      <c r="S20" s="6" t="s">
        <v>230</v>
      </c>
      <c r="T20" s="6" t="s">
        <v>230</v>
      </c>
      <c r="U20" s="6" t="s">
        <v>230</v>
      </c>
      <c r="V20" s="6" t="s">
        <v>230</v>
      </c>
      <c r="W20" s="6" t="s">
        <v>230</v>
      </c>
      <c r="X20" s="6" t="s">
        <v>230</v>
      </c>
      <c r="Y20" s="6" t="s">
        <v>230</v>
      </c>
      <c r="Z20" s="29" t="s">
        <v>230</v>
      </c>
      <c r="AA20" s="29" t="s">
        <v>230</v>
      </c>
      <c r="AB20" s="29" t="s">
        <v>230</v>
      </c>
      <c r="AC20" s="75" t="s">
        <v>230</v>
      </c>
      <c r="AD20" s="29" t="s">
        <v>230</v>
      </c>
      <c r="AE20" s="29" t="s">
        <v>230</v>
      </c>
      <c r="AF20" s="75" t="s">
        <v>230</v>
      </c>
      <c r="AG20" s="6"/>
      <c r="AH20" s="88"/>
      <c r="AI20" s="29" t="s">
        <v>230</v>
      </c>
      <c r="AJ20" s="88">
        <v>46.94885</v>
      </c>
      <c r="AK20" s="29" t="s">
        <v>230</v>
      </c>
      <c r="AL20" s="29" t="s">
        <v>230</v>
      </c>
      <c r="AM20" s="29" t="s">
        <v>230</v>
      </c>
      <c r="AN20" s="31" t="s">
        <v>230</v>
      </c>
    </row>
    <row r="21" spans="1:40" x14ac:dyDescent="0.3">
      <c r="A21" s="41" t="s">
        <v>118</v>
      </c>
      <c r="B21" s="91" t="s">
        <v>230</v>
      </c>
      <c r="C21" s="91" t="s">
        <v>230</v>
      </c>
      <c r="D21" s="91" t="s">
        <v>230</v>
      </c>
      <c r="E21" s="91" t="s">
        <v>230</v>
      </c>
      <c r="F21" s="91" t="s">
        <v>230</v>
      </c>
      <c r="G21" s="91" t="s">
        <v>230</v>
      </c>
      <c r="H21" s="91" t="s">
        <v>230</v>
      </c>
      <c r="I21" s="91" t="s">
        <v>230</v>
      </c>
      <c r="J21" s="91" t="s">
        <v>230</v>
      </c>
      <c r="K21" s="91" t="s">
        <v>230</v>
      </c>
      <c r="L21" s="91" t="s">
        <v>230</v>
      </c>
      <c r="M21" s="91" t="s">
        <v>230</v>
      </c>
      <c r="N21" s="91" t="s">
        <v>230</v>
      </c>
      <c r="O21" s="91" t="s">
        <v>230</v>
      </c>
      <c r="P21" s="91" t="s">
        <v>230</v>
      </c>
      <c r="Q21" s="91" t="s">
        <v>230</v>
      </c>
      <c r="R21" s="91" t="s">
        <v>230</v>
      </c>
      <c r="S21" s="91" t="s">
        <v>230</v>
      </c>
      <c r="T21" s="91" t="s">
        <v>230</v>
      </c>
      <c r="U21" s="91" t="s">
        <v>230</v>
      </c>
      <c r="V21" s="91" t="s">
        <v>230</v>
      </c>
      <c r="W21" s="91" t="s">
        <v>230</v>
      </c>
      <c r="X21" s="91"/>
      <c r="Y21" s="91" t="s">
        <v>230</v>
      </c>
      <c r="Z21" s="100" t="s">
        <v>230</v>
      </c>
      <c r="AA21" s="100" t="s">
        <v>230</v>
      </c>
      <c r="AB21" s="100" t="s">
        <v>230</v>
      </c>
      <c r="AC21" s="102" t="s">
        <v>230</v>
      </c>
      <c r="AD21" s="100" t="s">
        <v>230</v>
      </c>
      <c r="AE21" s="100" t="s">
        <v>230</v>
      </c>
      <c r="AF21" s="102" t="s">
        <v>230</v>
      </c>
      <c r="AG21" s="91"/>
      <c r="AH21" s="99"/>
      <c r="AI21" s="100" t="s">
        <v>230</v>
      </c>
      <c r="AJ21" s="99">
        <v>46.479550000000003</v>
      </c>
      <c r="AK21" s="100" t="s">
        <v>230</v>
      </c>
      <c r="AL21" s="100" t="s">
        <v>230</v>
      </c>
      <c r="AM21" s="100" t="s">
        <v>230</v>
      </c>
      <c r="AN21" s="101" t="s">
        <v>230</v>
      </c>
    </row>
    <row r="22" spans="1:40" x14ac:dyDescent="0.3">
      <c r="A22" s="25" t="s">
        <v>128</v>
      </c>
      <c r="B22" s="103" t="s">
        <v>230</v>
      </c>
      <c r="C22" s="103">
        <v>40.752409775985356</v>
      </c>
      <c r="D22" s="6" t="s">
        <v>230</v>
      </c>
      <c r="E22" s="6" t="s">
        <v>230</v>
      </c>
      <c r="F22" s="6" t="s">
        <v>230</v>
      </c>
      <c r="G22" s="6" t="s">
        <v>230</v>
      </c>
      <c r="H22" s="6" t="s">
        <v>230</v>
      </c>
      <c r="I22" s="6" t="s">
        <v>230</v>
      </c>
      <c r="J22" s="6" t="s">
        <v>230</v>
      </c>
      <c r="K22" s="6" t="s">
        <v>230</v>
      </c>
      <c r="L22" s="6" t="s">
        <v>230</v>
      </c>
      <c r="M22" s="6" t="s">
        <v>230</v>
      </c>
      <c r="N22" s="6" t="s">
        <v>230</v>
      </c>
      <c r="O22" s="6" t="s">
        <v>230</v>
      </c>
      <c r="P22" s="6" t="s">
        <v>230</v>
      </c>
      <c r="Q22" s="6" t="s">
        <v>230</v>
      </c>
      <c r="R22" s="6" t="s">
        <v>230</v>
      </c>
      <c r="S22" s="6" t="s">
        <v>230</v>
      </c>
      <c r="T22" s="6" t="s">
        <v>230</v>
      </c>
      <c r="U22" s="6" t="s">
        <v>230</v>
      </c>
      <c r="V22" s="6" t="s">
        <v>230</v>
      </c>
      <c r="W22" s="6" t="s">
        <v>230</v>
      </c>
      <c r="X22" s="6" t="s">
        <v>230</v>
      </c>
      <c r="Y22" s="6" t="s">
        <v>230</v>
      </c>
      <c r="Z22" s="6" t="s">
        <v>230</v>
      </c>
      <c r="AA22" s="6" t="s">
        <v>230</v>
      </c>
      <c r="AB22" s="6" t="s">
        <v>230</v>
      </c>
      <c r="AC22" s="88" t="s">
        <v>230</v>
      </c>
      <c r="AD22" s="103">
        <v>41.716999999999999</v>
      </c>
      <c r="AE22" s="6" t="s">
        <v>230</v>
      </c>
      <c r="AF22" s="88" t="s">
        <v>230</v>
      </c>
      <c r="AG22" s="6" t="s">
        <v>230</v>
      </c>
      <c r="AH22" s="88" t="s">
        <v>230</v>
      </c>
      <c r="AI22" s="6" t="s">
        <v>230</v>
      </c>
      <c r="AJ22" s="88"/>
      <c r="AK22" s="6" t="s">
        <v>230</v>
      </c>
      <c r="AL22" s="6" t="s">
        <v>230</v>
      </c>
      <c r="AM22" s="6" t="s">
        <v>230</v>
      </c>
      <c r="AN22" s="28" t="s">
        <v>230</v>
      </c>
    </row>
    <row r="23" spans="1:40" x14ac:dyDescent="0.3">
      <c r="A23" s="25" t="s">
        <v>80</v>
      </c>
      <c r="B23" s="103">
        <v>40.752409775985356</v>
      </c>
      <c r="C23" s="103" t="s">
        <v>230</v>
      </c>
      <c r="D23" s="6">
        <v>8.2970000000000006</v>
      </c>
      <c r="E23" s="6" t="s">
        <v>230</v>
      </c>
      <c r="F23" s="6">
        <v>18.141999999999999</v>
      </c>
      <c r="G23" s="6" t="s">
        <v>230</v>
      </c>
      <c r="H23" s="6" t="s">
        <v>230</v>
      </c>
      <c r="I23" s="6" t="s">
        <v>230</v>
      </c>
      <c r="J23" s="6" t="s">
        <v>230</v>
      </c>
      <c r="K23" s="6" t="s">
        <v>230</v>
      </c>
      <c r="L23" s="6" t="s">
        <v>230</v>
      </c>
      <c r="M23" s="6" t="s">
        <v>230</v>
      </c>
      <c r="N23" s="6" t="s">
        <v>230</v>
      </c>
      <c r="O23" s="6" t="s">
        <v>230</v>
      </c>
      <c r="P23" s="6" t="s">
        <v>230</v>
      </c>
      <c r="Q23" s="6" t="s">
        <v>230</v>
      </c>
      <c r="R23" s="6" t="s">
        <v>230</v>
      </c>
      <c r="S23" s="6" t="s">
        <v>230</v>
      </c>
      <c r="T23" s="6" t="s">
        <v>230</v>
      </c>
      <c r="U23" s="6" t="s">
        <v>230</v>
      </c>
      <c r="V23" s="6" t="s">
        <v>230</v>
      </c>
      <c r="W23" s="6" t="s">
        <v>230</v>
      </c>
      <c r="X23" s="6" t="s">
        <v>230</v>
      </c>
      <c r="Y23" s="6" t="s">
        <v>230</v>
      </c>
      <c r="Z23" s="6" t="s">
        <v>230</v>
      </c>
      <c r="AA23" s="6" t="s">
        <v>230</v>
      </c>
      <c r="AB23" s="6" t="s">
        <v>230</v>
      </c>
      <c r="AC23" s="88" t="s">
        <v>230</v>
      </c>
      <c r="AD23" s="6" t="s">
        <v>230</v>
      </c>
      <c r="AE23" s="6" t="s">
        <v>230</v>
      </c>
      <c r="AF23" s="88" t="s">
        <v>230</v>
      </c>
      <c r="AG23" s="6" t="s">
        <v>230</v>
      </c>
      <c r="AH23" s="88" t="s">
        <v>230</v>
      </c>
      <c r="AI23" s="6" t="s">
        <v>230</v>
      </c>
      <c r="AJ23" s="88"/>
      <c r="AK23" s="6" t="s">
        <v>230</v>
      </c>
      <c r="AL23" s="6" t="s">
        <v>230</v>
      </c>
      <c r="AM23" s="6" t="s">
        <v>230</v>
      </c>
      <c r="AN23" s="28" t="s">
        <v>230</v>
      </c>
    </row>
    <row r="24" spans="1:40" x14ac:dyDescent="0.3">
      <c r="A24" s="25" t="s">
        <v>81</v>
      </c>
      <c r="B24" s="6" t="s">
        <v>230</v>
      </c>
      <c r="C24" s="6">
        <v>8.2970000000000006</v>
      </c>
      <c r="D24" s="6" t="s">
        <v>230</v>
      </c>
      <c r="E24" s="6">
        <v>8.3129999999999988</v>
      </c>
      <c r="F24" s="6" t="s">
        <v>230</v>
      </c>
      <c r="G24" s="6" t="s">
        <v>230</v>
      </c>
      <c r="H24" s="6" t="s">
        <v>230</v>
      </c>
      <c r="I24" s="6" t="s">
        <v>230</v>
      </c>
      <c r="J24" s="6" t="s">
        <v>230</v>
      </c>
      <c r="K24" s="6" t="s">
        <v>230</v>
      </c>
      <c r="L24" s="6" t="s">
        <v>230</v>
      </c>
      <c r="M24" s="6" t="s">
        <v>230</v>
      </c>
      <c r="N24" s="6" t="s">
        <v>230</v>
      </c>
      <c r="O24" s="6" t="s">
        <v>230</v>
      </c>
      <c r="P24" s="6" t="s">
        <v>230</v>
      </c>
      <c r="Q24" s="6" t="s">
        <v>230</v>
      </c>
      <c r="R24" s="6" t="s">
        <v>230</v>
      </c>
      <c r="S24" s="6" t="s">
        <v>230</v>
      </c>
      <c r="T24" s="6" t="s">
        <v>230</v>
      </c>
      <c r="U24" s="6" t="s">
        <v>230</v>
      </c>
      <c r="V24" s="6" t="s">
        <v>230</v>
      </c>
      <c r="W24" s="6" t="s">
        <v>230</v>
      </c>
      <c r="X24" s="6" t="s">
        <v>230</v>
      </c>
      <c r="Y24" s="6" t="s">
        <v>230</v>
      </c>
      <c r="Z24" s="6" t="s">
        <v>230</v>
      </c>
      <c r="AA24" s="6" t="s">
        <v>230</v>
      </c>
      <c r="AB24" s="6" t="s">
        <v>230</v>
      </c>
      <c r="AC24" s="88" t="s">
        <v>230</v>
      </c>
      <c r="AD24" s="6" t="s">
        <v>230</v>
      </c>
      <c r="AE24" s="6" t="s">
        <v>230</v>
      </c>
      <c r="AF24" s="88" t="s">
        <v>230</v>
      </c>
      <c r="AG24" s="6" t="s">
        <v>230</v>
      </c>
      <c r="AH24" s="88" t="s">
        <v>230</v>
      </c>
      <c r="AI24" s="6" t="s">
        <v>230</v>
      </c>
      <c r="AJ24" s="88"/>
      <c r="AK24" s="6">
        <v>11.209999999999999</v>
      </c>
      <c r="AL24" s="6" t="s">
        <v>230</v>
      </c>
      <c r="AM24" s="6" t="s">
        <v>230</v>
      </c>
      <c r="AN24" s="28" t="s">
        <v>230</v>
      </c>
    </row>
    <row r="25" spans="1:40" x14ac:dyDescent="0.3">
      <c r="A25" s="25" t="s">
        <v>82</v>
      </c>
      <c r="B25" s="6" t="s">
        <v>230</v>
      </c>
      <c r="C25" s="6" t="s">
        <v>230</v>
      </c>
      <c r="D25" s="6">
        <v>8.3129999999999988</v>
      </c>
      <c r="E25" s="6" t="s">
        <v>230</v>
      </c>
      <c r="F25" s="6" t="s">
        <v>230</v>
      </c>
      <c r="G25" s="6">
        <v>12.532999999999999</v>
      </c>
      <c r="H25" s="6" t="s">
        <v>230</v>
      </c>
      <c r="I25" s="6" t="s">
        <v>230</v>
      </c>
      <c r="J25" s="6" t="s">
        <v>230</v>
      </c>
      <c r="K25" s="6" t="s">
        <v>230</v>
      </c>
      <c r="L25" s="6" t="s">
        <v>230</v>
      </c>
      <c r="M25" s="6" t="s">
        <v>230</v>
      </c>
      <c r="N25" s="6" t="s">
        <v>230</v>
      </c>
      <c r="O25" s="6" t="s">
        <v>230</v>
      </c>
      <c r="P25" s="6" t="s">
        <v>230</v>
      </c>
      <c r="Q25" s="6" t="s">
        <v>230</v>
      </c>
      <c r="R25" s="6" t="s">
        <v>230</v>
      </c>
      <c r="S25" s="6" t="s">
        <v>230</v>
      </c>
      <c r="T25" s="6" t="s">
        <v>230</v>
      </c>
      <c r="U25" s="6" t="s">
        <v>230</v>
      </c>
      <c r="V25" s="6" t="s">
        <v>230</v>
      </c>
      <c r="W25" s="6" t="s">
        <v>230</v>
      </c>
      <c r="X25" s="6" t="s">
        <v>230</v>
      </c>
      <c r="Y25" s="6" t="s">
        <v>230</v>
      </c>
      <c r="Z25" s="6" t="s">
        <v>230</v>
      </c>
      <c r="AA25" s="6" t="s">
        <v>230</v>
      </c>
      <c r="AB25" s="6" t="s">
        <v>230</v>
      </c>
      <c r="AC25" s="88" t="s">
        <v>230</v>
      </c>
      <c r="AD25" s="6" t="s">
        <v>230</v>
      </c>
      <c r="AE25" s="6">
        <v>13.163</v>
      </c>
      <c r="AF25" s="88" t="s">
        <v>230</v>
      </c>
      <c r="AG25" s="6" t="s">
        <v>230</v>
      </c>
      <c r="AH25" s="88" t="s">
        <v>230</v>
      </c>
      <c r="AI25" s="6" t="s">
        <v>230</v>
      </c>
      <c r="AJ25" s="88"/>
      <c r="AK25" s="6" t="s">
        <v>230</v>
      </c>
      <c r="AL25" s="6" t="s">
        <v>230</v>
      </c>
      <c r="AM25" s="6" t="s">
        <v>230</v>
      </c>
      <c r="AN25" s="28" t="s">
        <v>230</v>
      </c>
    </row>
    <row r="26" spans="1:40" x14ac:dyDescent="0.3">
      <c r="A26" s="25" t="s">
        <v>83</v>
      </c>
      <c r="B26" s="6" t="s">
        <v>230</v>
      </c>
      <c r="C26" s="103">
        <v>18.141999999999999</v>
      </c>
      <c r="D26" s="6" t="s">
        <v>230</v>
      </c>
      <c r="E26" s="6" t="s">
        <v>230</v>
      </c>
      <c r="F26" s="6" t="s">
        <v>230</v>
      </c>
      <c r="G26" s="6" t="s">
        <v>230</v>
      </c>
      <c r="H26" s="6" t="s">
        <v>230</v>
      </c>
      <c r="I26" s="6">
        <v>14.431000000000001</v>
      </c>
      <c r="J26" s="6" t="s">
        <v>230</v>
      </c>
      <c r="K26" s="6" t="s">
        <v>230</v>
      </c>
      <c r="L26" s="6" t="s">
        <v>230</v>
      </c>
      <c r="M26" s="6" t="s">
        <v>230</v>
      </c>
      <c r="N26" s="6" t="s">
        <v>230</v>
      </c>
      <c r="O26" s="6" t="s">
        <v>230</v>
      </c>
      <c r="P26" s="6" t="s">
        <v>230</v>
      </c>
      <c r="Q26" s="6" t="s">
        <v>230</v>
      </c>
      <c r="R26" s="6" t="s">
        <v>230</v>
      </c>
      <c r="S26" s="6" t="s">
        <v>230</v>
      </c>
      <c r="T26" s="6" t="s">
        <v>230</v>
      </c>
      <c r="U26" s="6" t="s">
        <v>230</v>
      </c>
      <c r="V26" s="6" t="s">
        <v>230</v>
      </c>
      <c r="W26" s="6" t="s">
        <v>230</v>
      </c>
      <c r="X26" s="6" t="s">
        <v>230</v>
      </c>
      <c r="Y26" s="6" t="s">
        <v>230</v>
      </c>
      <c r="Z26" s="6" t="s">
        <v>230</v>
      </c>
      <c r="AA26" s="6" t="s">
        <v>230</v>
      </c>
      <c r="AB26" s="6" t="s">
        <v>230</v>
      </c>
      <c r="AC26" s="88" t="s">
        <v>230</v>
      </c>
      <c r="AD26" s="6" t="s">
        <v>230</v>
      </c>
      <c r="AE26" s="6" t="s">
        <v>230</v>
      </c>
      <c r="AF26" s="88" t="s">
        <v>230</v>
      </c>
      <c r="AG26" s="6" t="s">
        <v>230</v>
      </c>
      <c r="AH26" s="88" t="s">
        <v>230</v>
      </c>
      <c r="AI26" s="6" t="s">
        <v>230</v>
      </c>
      <c r="AJ26" s="88"/>
      <c r="AK26" s="6" t="s">
        <v>230</v>
      </c>
      <c r="AL26" s="6" t="s">
        <v>230</v>
      </c>
      <c r="AM26" s="6" t="s">
        <v>230</v>
      </c>
      <c r="AN26" s="28" t="s">
        <v>230</v>
      </c>
    </row>
    <row r="27" spans="1:40" x14ac:dyDescent="0.3">
      <c r="A27" s="25" t="s">
        <v>84</v>
      </c>
      <c r="B27" s="6" t="s">
        <v>230</v>
      </c>
      <c r="C27" s="6" t="s">
        <v>230</v>
      </c>
      <c r="D27" s="6" t="s">
        <v>230</v>
      </c>
      <c r="E27" s="6">
        <v>12.532999999999999</v>
      </c>
      <c r="F27" s="6" t="s">
        <v>230</v>
      </c>
      <c r="G27" s="6" t="s">
        <v>230</v>
      </c>
      <c r="H27" s="6">
        <v>11.53</v>
      </c>
      <c r="I27" s="6" t="s">
        <v>230</v>
      </c>
      <c r="J27" s="6" t="s">
        <v>230</v>
      </c>
      <c r="K27" s="6" t="s">
        <v>230</v>
      </c>
      <c r="L27" s="6" t="s">
        <v>230</v>
      </c>
      <c r="M27" s="6" t="s">
        <v>230</v>
      </c>
      <c r="N27" s="6" t="s">
        <v>230</v>
      </c>
      <c r="O27" s="6" t="s">
        <v>230</v>
      </c>
      <c r="P27" s="6" t="s">
        <v>230</v>
      </c>
      <c r="Q27" s="6" t="s">
        <v>230</v>
      </c>
      <c r="R27" s="6" t="s">
        <v>230</v>
      </c>
      <c r="S27" s="6" t="s">
        <v>230</v>
      </c>
      <c r="T27" s="6" t="s">
        <v>230</v>
      </c>
      <c r="U27" s="6" t="s">
        <v>230</v>
      </c>
      <c r="V27" s="6" t="s">
        <v>230</v>
      </c>
      <c r="W27" s="6" t="s">
        <v>230</v>
      </c>
      <c r="X27" s="6" t="s">
        <v>230</v>
      </c>
      <c r="Y27" s="6" t="s">
        <v>230</v>
      </c>
      <c r="Z27" s="6" t="s">
        <v>230</v>
      </c>
      <c r="AA27" s="6" t="s">
        <v>230</v>
      </c>
      <c r="AB27" s="6" t="s">
        <v>230</v>
      </c>
      <c r="AC27" s="88" t="s">
        <v>230</v>
      </c>
      <c r="AD27" s="6" t="s">
        <v>230</v>
      </c>
      <c r="AE27" s="6" t="s">
        <v>230</v>
      </c>
      <c r="AF27" s="88" t="s">
        <v>230</v>
      </c>
      <c r="AG27" s="6" t="s">
        <v>230</v>
      </c>
      <c r="AH27" s="88" t="s">
        <v>230</v>
      </c>
      <c r="AI27" s="6" t="s">
        <v>230</v>
      </c>
      <c r="AJ27" s="88"/>
      <c r="AK27" s="6" t="s">
        <v>230</v>
      </c>
      <c r="AL27" s="6" t="s">
        <v>230</v>
      </c>
      <c r="AM27" s="6" t="s">
        <v>230</v>
      </c>
      <c r="AN27" s="28" t="s">
        <v>230</v>
      </c>
    </row>
    <row r="28" spans="1:40" x14ac:dyDescent="0.3">
      <c r="A28" s="25" t="s">
        <v>85</v>
      </c>
      <c r="B28" s="6" t="s">
        <v>230</v>
      </c>
      <c r="C28" s="6" t="s">
        <v>230</v>
      </c>
      <c r="D28" s="6" t="s">
        <v>230</v>
      </c>
      <c r="E28" s="6" t="s">
        <v>230</v>
      </c>
      <c r="F28" s="6" t="s">
        <v>230</v>
      </c>
      <c r="G28" s="6">
        <v>11.53</v>
      </c>
      <c r="H28" s="6" t="s">
        <v>230</v>
      </c>
      <c r="I28" s="6">
        <v>6.0780000000000003</v>
      </c>
      <c r="J28" s="6">
        <v>24.449000000000002</v>
      </c>
      <c r="K28" s="6" t="s">
        <v>230</v>
      </c>
      <c r="L28" s="6" t="s">
        <v>230</v>
      </c>
      <c r="M28" s="6" t="s">
        <v>230</v>
      </c>
      <c r="N28" s="6" t="s">
        <v>230</v>
      </c>
      <c r="O28" s="6" t="s">
        <v>230</v>
      </c>
      <c r="P28" s="6" t="s">
        <v>230</v>
      </c>
      <c r="Q28" s="6" t="s">
        <v>230</v>
      </c>
      <c r="R28" s="6" t="s">
        <v>230</v>
      </c>
      <c r="S28" s="6" t="s">
        <v>230</v>
      </c>
      <c r="T28" s="6" t="s">
        <v>230</v>
      </c>
      <c r="U28" s="6" t="s">
        <v>230</v>
      </c>
      <c r="V28" s="6" t="s">
        <v>230</v>
      </c>
      <c r="W28" s="6" t="s">
        <v>230</v>
      </c>
      <c r="X28" s="6" t="s">
        <v>230</v>
      </c>
      <c r="Y28" s="6" t="s">
        <v>230</v>
      </c>
      <c r="Z28" s="6" t="s">
        <v>230</v>
      </c>
      <c r="AA28" s="6" t="s">
        <v>230</v>
      </c>
      <c r="AB28" s="6" t="s">
        <v>230</v>
      </c>
      <c r="AC28" s="88" t="s">
        <v>230</v>
      </c>
      <c r="AD28" s="6" t="s">
        <v>230</v>
      </c>
      <c r="AE28" s="6" t="s">
        <v>230</v>
      </c>
      <c r="AF28" s="88" t="s">
        <v>230</v>
      </c>
      <c r="AG28" s="6" t="s">
        <v>230</v>
      </c>
      <c r="AH28" s="88" t="s">
        <v>230</v>
      </c>
      <c r="AI28" s="6" t="s">
        <v>230</v>
      </c>
      <c r="AJ28" s="88"/>
      <c r="AK28" s="6" t="s">
        <v>230</v>
      </c>
      <c r="AL28" s="6" t="s">
        <v>230</v>
      </c>
      <c r="AM28" s="6" t="s">
        <v>230</v>
      </c>
      <c r="AN28" s="28" t="s">
        <v>230</v>
      </c>
    </row>
    <row r="29" spans="1:40" x14ac:dyDescent="0.3">
      <c r="A29" s="25" t="s">
        <v>86</v>
      </c>
      <c r="B29" s="6" t="s">
        <v>230</v>
      </c>
      <c r="C29" s="6" t="s">
        <v>230</v>
      </c>
      <c r="D29" s="6" t="s">
        <v>230</v>
      </c>
      <c r="E29" s="6" t="s">
        <v>230</v>
      </c>
      <c r="F29" s="6">
        <v>14.431000000000001</v>
      </c>
      <c r="G29" s="6" t="s">
        <v>230</v>
      </c>
      <c r="H29" s="6">
        <v>6.0780000000000003</v>
      </c>
      <c r="I29" s="6" t="s">
        <v>230</v>
      </c>
      <c r="J29" s="6" t="s">
        <v>230</v>
      </c>
      <c r="K29" s="6" t="s">
        <v>230</v>
      </c>
      <c r="L29" s="6" t="s">
        <v>230</v>
      </c>
      <c r="M29" s="6" t="s">
        <v>230</v>
      </c>
      <c r="N29" s="6" t="s">
        <v>230</v>
      </c>
      <c r="O29" s="6" t="s">
        <v>230</v>
      </c>
      <c r="P29" s="6" t="s">
        <v>230</v>
      </c>
      <c r="Q29" s="6" t="s">
        <v>230</v>
      </c>
      <c r="R29" s="6" t="s">
        <v>230</v>
      </c>
      <c r="S29" s="6" t="s">
        <v>230</v>
      </c>
      <c r="T29" s="6" t="s">
        <v>230</v>
      </c>
      <c r="U29" s="6" t="s">
        <v>230</v>
      </c>
      <c r="V29" s="6" t="s">
        <v>230</v>
      </c>
      <c r="W29" s="6" t="s">
        <v>230</v>
      </c>
      <c r="X29" s="6" t="s">
        <v>230</v>
      </c>
      <c r="Y29" s="6" t="s">
        <v>230</v>
      </c>
      <c r="Z29" s="6" t="s">
        <v>230</v>
      </c>
      <c r="AA29" s="6" t="s">
        <v>230</v>
      </c>
      <c r="AB29" s="6" t="s">
        <v>230</v>
      </c>
      <c r="AC29" s="88" t="s">
        <v>230</v>
      </c>
      <c r="AD29" s="6" t="s">
        <v>230</v>
      </c>
      <c r="AE29" s="6" t="s">
        <v>230</v>
      </c>
      <c r="AF29" s="88" t="s">
        <v>230</v>
      </c>
      <c r="AG29" s="6">
        <v>17.599</v>
      </c>
      <c r="AH29" s="88" t="s">
        <v>230</v>
      </c>
      <c r="AI29" s="6" t="s">
        <v>230</v>
      </c>
      <c r="AJ29" s="88"/>
      <c r="AK29" s="6" t="s">
        <v>230</v>
      </c>
      <c r="AL29" s="6" t="s">
        <v>230</v>
      </c>
      <c r="AM29" s="6" t="s">
        <v>230</v>
      </c>
      <c r="AN29" s="28" t="s">
        <v>230</v>
      </c>
    </row>
    <row r="30" spans="1:40" x14ac:dyDescent="0.3">
      <c r="A30" s="25" t="s">
        <v>129</v>
      </c>
      <c r="B30" s="6" t="s">
        <v>230</v>
      </c>
      <c r="C30" s="6" t="s">
        <v>230</v>
      </c>
      <c r="D30" s="6" t="s">
        <v>230</v>
      </c>
      <c r="E30" s="6" t="s">
        <v>230</v>
      </c>
      <c r="F30" s="6" t="s">
        <v>230</v>
      </c>
      <c r="G30" s="6" t="s">
        <v>230</v>
      </c>
      <c r="H30" s="6">
        <v>24.449000000000002</v>
      </c>
      <c r="I30" s="6" t="s">
        <v>230</v>
      </c>
      <c r="J30" s="6" t="s">
        <v>230</v>
      </c>
      <c r="K30" s="6">
        <v>9.9379999999999988</v>
      </c>
      <c r="L30" s="6">
        <v>38.850999999999999</v>
      </c>
      <c r="M30" s="6" t="s">
        <v>230</v>
      </c>
      <c r="N30" s="6" t="s">
        <v>230</v>
      </c>
      <c r="O30" s="6" t="s">
        <v>230</v>
      </c>
      <c r="P30" s="6" t="s">
        <v>230</v>
      </c>
      <c r="Q30" s="6" t="s">
        <v>230</v>
      </c>
      <c r="R30" s="6" t="s">
        <v>230</v>
      </c>
      <c r="S30" s="6" t="s">
        <v>230</v>
      </c>
      <c r="T30" s="6" t="s">
        <v>230</v>
      </c>
      <c r="U30" s="6" t="s">
        <v>230</v>
      </c>
      <c r="V30" s="6" t="s">
        <v>230</v>
      </c>
      <c r="W30" s="6" t="s">
        <v>230</v>
      </c>
      <c r="X30" s="6" t="s">
        <v>230</v>
      </c>
      <c r="Y30" s="6" t="s">
        <v>230</v>
      </c>
      <c r="Z30" s="6" t="s">
        <v>230</v>
      </c>
      <c r="AA30" s="6" t="s">
        <v>230</v>
      </c>
      <c r="AB30" s="6" t="s">
        <v>230</v>
      </c>
      <c r="AC30" s="88" t="s">
        <v>230</v>
      </c>
      <c r="AD30" s="6" t="s">
        <v>230</v>
      </c>
      <c r="AE30" s="6" t="s">
        <v>230</v>
      </c>
      <c r="AF30" s="88" t="s">
        <v>230</v>
      </c>
      <c r="AG30" s="6" t="s">
        <v>230</v>
      </c>
      <c r="AH30" s="88" t="s">
        <v>230</v>
      </c>
      <c r="AI30" s="6" t="s">
        <v>230</v>
      </c>
      <c r="AJ30" s="88"/>
      <c r="AK30" s="6" t="s">
        <v>230</v>
      </c>
      <c r="AL30" s="6" t="s">
        <v>230</v>
      </c>
      <c r="AM30" s="6" t="s">
        <v>230</v>
      </c>
      <c r="AN30" s="28" t="s">
        <v>230</v>
      </c>
    </row>
    <row r="31" spans="1:40" x14ac:dyDescent="0.3">
      <c r="A31" s="25" t="s">
        <v>130</v>
      </c>
      <c r="B31" s="6" t="s">
        <v>230</v>
      </c>
      <c r="C31" s="6" t="s">
        <v>230</v>
      </c>
      <c r="D31" s="6" t="s">
        <v>230</v>
      </c>
      <c r="E31" s="6" t="s">
        <v>230</v>
      </c>
      <c r="F31" s="6" t="s">
        <v>230</v>
      </c>
      <c r="G31" s="6" t="s">
        <v>230</v>
      </c>
      <c r="H31" s="6" t="s">
        <v>230</v>
      </c>
      <c r="I31" s="6" t="s">
        <v>230</v>
      </c>
      <c r="J31" s="6">
        <v>9.9379999999999988</v>
      </c>
      <c r="K31" s="6" t="s">
        <v>230</v>
      </c>
      <c r="L31" s="6" t="s">
        <v>230</v>
      </c>
      <c r="M31" s="6"/>
      <c r="N31" s="6" t="s">
        <v>230</v>
      </c>
      <c r="O31" s="6" t="s">
        <v>230</v>
      </c>
      <c r="P31" s="6" t="s">
        <v>230</v>
      </c>
      <c r="Q31" s="6" t="s">
        <v>230</v>
      </c>
      <c r="R31" s="6" t="s">
        <v>230</v>
      </c>
      <c r="S31" s="6" t="s">
        <v>230</v>
      </c>
      <c r="T31" s="6" t="s">
        <v>230</v>
      </c>
      <c r="U31" s="6" t="s">
        <v>230</v>
      </c>
      <c r="V31" s="6" t="s">
        <v>230</v>
      </c>
      <c r="W31" s="6" t="s">
        <v>230</v>
      </c>
      <c r="X31" s="6" t="s">
        <v>230</v>
      </c>
      <c r="Y31" s="6" t="s">
        <v>230</v>
      </c>
      <c r="Z31" s="6" t="s">
        <v>230</v>
      </c>
      <c r="AA31" s="6" t="s">
        <v>230</v>
      </c>
      <c r="AB31" s="6" t="s">
        <v>230</v>
      </c>
      <c r="AC31" s="88" t="s">
        <v>230</v>
      </c>
      <c r="AD31" s="6" t="s">
        <v>230</v>
      </c>
      <c r="AE31" s="6" t="s">
        <v>230</v>
      </c>
      <c r="AF31" s="88" t="s">
        <v>230</v>
      </c>
      <c r="AG31" s="6" t="s">
        <v>230</v>
      </c>
      <c r="AH31" s="88" t="s">
        <v>230</v>
      </c>
      <c r="AI31" s="6" t="s">
        <v>230</v>
      </c>
      <c r="AJ31" s="88"/>
      <c r="AK31" s="6" t="s">
        <v>230</v>
      </c>
      <c r="AL31" s="6">
        <v>21.292999999999999</v>
      </c>
      <c r="AM31" s="6" t="s">
        <v>230</v>
      </c>
      <c r="AN31" s="28" t="s">
        <v>230</v>
      </c>
    </row>
    <row r="32" spans="1:40" x14ac:dyDescent="0.3">
      <c r="A32" s="25" t="s">
        <v>131</v>
      </c>
      <c r="B32" s="6" t="s">
        <v>230</v>
      </c>
      <c r="C32" s="6" t="s">
        <v>230</v>
      </c>
      <c r="D32" s="6" t="s">
        <v>230</v>
      </c>
      <c r="E32" s="6" t="s">
        <v>230</v>
      </c>
      <c r="F32" s="6" t="s">
        <v>230</v>
      </c>
      <c r="G32" s="6" t="s">
        <v>230</v>
      </c>
      <c r="H32" s="6" t="s">
        <v>230</v>
      </c>
      <c r="I32" s="6" t="s">
        <v>230</v>
      </c>
      <c r="J32" s="6">
        <v>38.850999999999999</v>
      </c>
      <c r="K32" s="6" t="s">
        <v>230</v>
      </c>
      <c r="L32" s="6" t="s">
        <v>230</v>
      </c>
      <c r="M32" s="6" t="s">
        <v>230</v>
      </c>
      <c r="N32" s="6">
        <v>26.43</v>
      </c>
      <c r="O32" s="6" t="s">
        <v>230</v>
      </c>
      <c r="P32" s="6" t="s">
        <v>230</v>
      </c>
      <c r="Q32" s="6" t="s">
        <v>230</v>
      </c>
      <c r="R32" s="6" t="s">
        <v>230</v>
      </c>
      <c r="S32" s="6" t="s">
        <v>230</v>
      </c>
      <c r="T32" s="6" t="s">
        <v>230</v>
      </c>
      <c r="U32" s="6" t="s">
        <v>230</v>
      </c>
      <c r="V32" s="6" t="s">
        <v>230</v>
      </c>
      <c r="W32" s="6" t="s">
        <v>230</v>
      </c>
      <c r="X32" s="6" t="s">
        <v>230</v>
      </c>
      <c r="Y32" s="6" t="s">
        <v>230</v>
      </c>
      <c r="Z32" s="6" t="s">
        <v>230</v>
      </c>
      <c r="AA32" s="6" t="s">
        <v>230</v>
      </c>
      <c r="AB32" s="6" t="s">
        <v>230</v>
      </c>
      <c r="AC32" s="88" t="s">
        <v>230</v>
      </c>
      <c r="AD32" s="6" t="s">
        <v>230</v>
      </c>
      <c r="AE32" s="6" t="s">
        <v>230</v>
      </c>
      <c r="AF32" s="88" t="s">
        <v>230</v>
      </c>
      <c r="AG32" s="6" t="s">
        <v>230</v>
      </c>
      <c r="AH32" s="88" t="s">
        <v>230</v>
      </c>
      <c r="AI32" s="6" t="s">
        <v>230</v>
      </c>
      <c r="AJ32" s="88"/>
      <c r="AK32" s="6" t="s">
        <v>230</v>
      </c>
      <c r="AL32" s="6" t="s">
        <v>230</v>
      </c>
      <c r="AM32" s="6" t="s">
        <v>230</v>
      </c>
      <c r="AN32" s="28" t="s">
        <v>230</v>
      </c>
    </row>
    <row r="33" spans="1:40" x14ac:dyDescent="0.3">
      <c r="A33" s="25" t="s">
        <v>132</v>
      </c>
      <c r="B33" s="6" t="s">
        <v>230</v>
      </c>
      <c r="C33" s="6" t="s">
        <v>230</v>
      </c>
      <c r="D33" s="6" t="s">
        <v>230</v>
      </c>
      <c r="E33" s="6" t="s">
        <v>230</v>
      </c>
      <c r="F33" s="6" t="s">
        <v>230</v>
      </c>
      <c r="G33" s="6" t="s">
        <v>230</v>
      </c>
      <c r="H33" s="6" t="s">
        <v>230</v>
      </c>
      <c r="I33" s="6" t="s">
        <v>230</v>
      </c>
      <c r="J33" s="6" t="s">
        <v>230</v>
      </c>
      <c r="K33" s="6"/>
      <c r="L33" s="6" t="s">
        <v>230</v>
      </c>
      <c r="M33" s="6" t="s">
        <v>230</v>
      </c>
      <c r="N33" s="6" t="s">
        <v>230</v>
      </c>
      <c r="O33" s="6">
        <v>48.848606101876086</v>
      </c>
      <c r="P33" s="6" t="s">
        <v>230</v>
      </c>
      <c r="Q33" s="6" t="s">
        <v>230</v>
      </c>
      <c r="R33" s="6" t="s">
        <v>230</v>
      </c>
      <c r="S33" s="6" t="s">
        <v>230</v>
      </c>
      <c r="T33" s="6" t="s">
        <v>230</v>
      </c>
      <c r="U33" s="6" t="s">
        <v>230</v>
      </c>
      <c r="V33" s="6" t="s">
        <v>230</v>
      </c>
      <c r="W33" s="6" t="s">
        <v>230</v>
      </c>
      <c r="X33" s="6" t="s">
        <v>230</v>
      </c>
      <c r="Y33" s="6" t="s">
        <v>230</v>
      </c>
      <c r="Z33" s="6" t="s">
        <v>230</v>
      </c>
      <c r="AA33" s="6" t="s">
        <v>230</v>
      </c>
      <c r="AB33" s="6" t="s">
        <v>230</v>
      </c>
      <c r="AC33" s="88" t="s">
        <v>230</v>
      </c>
      <c r="AD33" s="6" t="s">
        <v>230</v>
      </c>
      <c r="AE33" s="6" t="s">
        <v>230</v>
      </c>
      <c r="AF33" s="88" t="s">
        <v>230</v>
      </c>
      <c r="AG33" s="6" t="s">
        <v>230</v>
      </c>
      <c r="AH33" s="88" t="s">
        <v>230</v>
      </c>
      <c r="AI33" s="6"/>
      <c r="AJ33" s="88"/>
      <c r="AK33" s="6" t="s">
        <v>230</v>
      </c>
      <c r="AL33" s="6" t="s">
        <v>230</v>
      </c>
      <c r="AM33" s="6" t="s">
        <v>230</v>
      </c>
      <c r="AN33" s="28" t="s">
        <v>230</v>
      </c>
    </row>
    <row r="34" spans="1:40" x14ac:dyDescent="0.3">
      <c r="A34" s="25" t="s">
        <v>133</v>
      </c>
      <c r="B34" s="6" t="s">
        <v>230</v>
      </c>
      <c r="C34" s="6" t="s">
        <v>230</v>
      </c>
      <c r="D34" s="6" t="s">
        <v>230</v>
      </c>
      <c r="E34" s="6" t="s">
        <v>230</v>
      </c>
      <c r="F34" s="6" t="s">
        <v>230</v>
      </c>
      <c r="G34" s="6" t="s">
        <v>230</v>
      </c>
      <c r="H34" s="6" t="s">
        <v>230</v>
      </c>
      <c r="I34" s="6" t="s">
        <v>230</v>
      </c>
      <c r="J34" s="6" t="s">
        <v>230</v>
      </c>
      <c r="K34" s="6" t="s">
        <v>230</v>
      </c>
      <c r="L34" s="6">
        <v>26.43</v>
      </c>
      <c r="M34" s="6" t="s">
        <v>230</v>
      </c>
      <c r="N34" s="6" t="s">
        <v>230</v>
      </c>
      <c r="O34" s="6">
        <v>31.087656701677112</v>
      </c>
      <c r="P34" s="6" t="s">
        <v>230</v>
      </c>
      <c r="Q34" s="6" t="s">
        <v>230</v>
      </c>
      <c r="R34" s="6" t="s">
        <v>230</v>
      </c>
      <c r="S34" s="6" t="s">
        <v>230</v>
      </c>
      <c r="T34" s="6" t="s">
        <v>230</v>
      </c>
      <c r="U34" s="6" t="s">
        <v>230</v>
      </c>
      <c r="V34" s="6" t="s">
        <v>230</v>
      </c>
      <c r="W34" s="6" t="s">
        <v>230</v>
      </c>
      <c r="X34" s="6" t="s">
        <v>230</v>
      </c>
      <c r="Y34" s="6" t="s">
        <v>230</v>
      </c>
      <c r="Z34" s="6" t="s">
        <v>230</v>
      </c>
      <c r="AA34" s="6" t="s">
        <v>230</v>
      </c>
      <c r="AB34" s="6" t="s">
        <v>230</v>
      </c>
      <c r="AC34" s="88" t="s">
        <v>230</v>
      </c>
      <c r="AD34" s="6" t="s">
        <v>230</v>
      </c>
      <c r="AE34" s="6" t="s">
        <v>230</v>
      </c>
      <c r="AF34" s="88" t="s">
        <v>230</v>
      </c>
      <c r="AG34" s="6" t="s">
        <v>230</v>
      </c>
      <c r="AH34" s="88" t="s">
        <v>230</v>
      </c>
      <c r="AI34" s="6" t="s">
        <v>230</v>
      </c>
      <c r="AJ34" s="88"/>
      <c r="AK34" s="6" t="s">
        <v>230</v>
      </c>
      <c r="AL34" s="6" t="s">
        <v>230</v>
      </c>
      <c r="AM34" s="6" t="s">
        <v>230</v>
      </c>
      <c r="AN34" s="28" t="s">
        <v>230</v>
      </c>
    </row>
    <row r="35" spans="1:40" x14ac:dyDescent="0.3">
      <c r="A35" s="25" t="s">
        <v>134</v>
      </c>
      <c r="B35" s="6" t="s">
        <v>230</v>
      </c>
      <c r="C35" s="6" t="s">
        <v>230</v>
      </c>
      <c r="D35" s="6" t="s">
        <v>230</v>
      </c>
      <c r="E35" s="6" t="s">
        <v>230</v>
      </c>
      <c r="F35" s="6" t="s">
        <v>230</v>
      </c>
      <c r="G35" s="6" t="s">
        <v>230</v>
      </c>
      <c r="H35" s="6" t="s">
        <v>230</v>
      </c>
      <c r="I35" s="6" t="s">
        <v>230</v>
      </c>
      <c r="J35" s="6" t="s">
        <v>230</v>
      </c>
      <c r="K35" s="6" t="s">
        <v>230</v>
      </c>
      <c r="L35" s="6" t="s">
        <v>230</v>
      </c>
      <c r="M35" s="6">
        <v>48.848606101876086</v>
      </c>
      <c r="N35" s="6">
        <v>31.087656701677112</v>
      </c>
      <c r="O35" s="6" t="s">
        <v>230</v>
      </c>
      <c r="P35" s="6" t="s">
        <v>230</v>
      </c>
      <c r="Q35" s="6" t="s">
        <v>230</v>
      </c>
      <c r="R35" s="6" t="s">
        <v>230</v>
      </c>
      <c r="S35" s="6" t="s">
        <v>230</v>
      </c>
      <c r="T35" s="6" t="s">
        <v>230</v>
      </c>
      <c r="U35" s="6" t="s">
        <v>230</v>
      </c>
      <c r="V35" s="6" t="s">
        <v>230</v>
      </c>
      <c r="W35" s="6" t="s">
        <v>230</v>
      </c>
      <c r="X35" s="6" t="s">
        <v>230</v>
      </c>
      <c r="Y35" s="6" t="s">
        <v>230</v>
      </c>
      <c r="Z35" s="6" t="s">
        <v>230</v>
      </c>
      <c r="AA35" s="6" t="s">
        <v>230</v>
      </c>
      <c r="AB35" s="6" t="s">
        <v>230</v>
      </c>
      <c r="AC35" s="88">
        <v>13.959</v>
      </c>
      <c r="AD35" s="6" t="s">
        <v>230</v>
      </c>
      <c r="AE35" s="6" t="s">
        <v>230</v>
      </c>
      <c r="AF35" s="88" t="s">
        <v>230</v>
      </c>
      <c r="AG35" s="6" t="s">
        <v>230</v>
      </c>
      <c r="AH35" s="88" t="s">
        <v>230</v>
      </c>
      <c r="AI35" s="6" t="s">
        <v>230</v>
      </c>
      <c r="AJ35" s="88"/>
      <c r="AK35" s="6" t="s">
        <v>230</v>
      </c>
      <c r="AL35" s="6" t="s">
        <v>230</v>
      </c>
      <c r="AM35" s="6" t="s">
        <v>230</v>
      </c>
      <c r="AN35" s="28" t="s">
        <v>230</v>
      </c>
    </row>
    <row r="36" spans="1:40" x14ac:dyDescent="0.3">
      <c r="A36" s="25" t="s">
        <v>135</v>
      </c>
      <c r="B36" s="6" t="s">
        <v>230</v>
      </c>
      <c r="C36" s="6" t="s">
        <v>230</v>
      </c>
      <c r="D36" s="6" t="s">
        <v>230</v>
      </c>
      <c r="E36" s="6" t="s">
        <v>230</v>
      </c>
      <c r="F36" s="6" t="s">
        <v>230</v>
      </c>
      <c r="G36" s="6" t="s">
        <v>230</v>
      </c>
      <c r="H36" s="6" t="s">
        <v>230</v>
      </c>
      <c r="I36" s="6" t="s">
        <v>230</v>
      </c>
      <c r="J36" s="6" t="s">
        <v>230</v>
      </c>
      <c r="K36" s="6" t="s">
        <v>230</v>
      </c>
      <c r="L36" s="6" t="s">
        <v>230</v>
      </c>
      <c r="M36" s="6" t="s">
        <v>230</v>
      </c>
      <c r="N36" s="6" t="s">
        <v>230</v>
      </c>
      <c r="O36" s="6" t="s">
        <v>230</v>
      </c>
      <c r="P36" s="6" t="s">
        <v>230</v>
      </c>
      <c r="Q36" s="6">
        <v>13.553999999999998</v>
      </c>
      <c r="R36" s="6" t="s">
        <v>230</v>
      </c>
      <c r="S36" s="6" t="s">
        <v>230</v>
      </c>
      <c r="T36" s="6" t="s">
        <v>230</v>
      </c>
      <c r="U36" s="6" t="s">
        <v>230</v>
      </c>
      <c r="V36" s="6" t="s">
        <v>230</v>
      </c>
      <c r="W36" s="6" t="s">
        <v>230</v>
      </c>
      <c r="X36" s="6" t="s">
        <v>230</v>
      </c>
      <c r="Y36" s="6" t="s">
        <v>230</v>
      </c>
      <c r="Z36" s="6" t="s">
        <v>230</v>
      </c>
      <c r="AA36" s="6" t="s">
        <v>230</v>
      </c>
      <c r="AB36" s="6" t="s">
        <v>230</v>
      </c>
      <c r="AC36" s="88">
        <v>7.1440000000000001</v>
      </c>
      <c r="AD36" s="6" t="s">
        <v>230</v>
      </c>
      <c r="AE36" s="6" t="s">
        <v>230</v>
      </c>
      <c r="AF36" s="88" t="s">
        <v>230</v>
      </c>
      <c r="AG36" s="6" t="s">
        <v>230</v>
      </c>
      <c r="AH36" s="88" t="s">
        <v>230</v>
      </c>
      <c r="AI36" s="6" t="s">
        <v>230</v>
      </c>
      <c r="AJ36" s="88"/>
      <c r="AK36" s="6" t="s">
        <v>230</v>
      </c>
      <c r="AL36" s="6" t="s">
        <v>230</v>
      </c>
      <c r="AM36" s="6" t="s">
        <v>230</v>
      </c>
      <c r="AN36" s="28" t="s">
        <v>230</v>
      </c>
    </row>
    <row r="37" spans="1:40" x14ac:dyDescent="0.3">
      <c r="A37" s="25" t="s">
        <v>136</v>
      </c>
      <c r="B37" s="6" t="s">
        <v>230</v>
      </c>
      <c r="C37" s="6" t="s">
        <v>230</v>
      </c>
      <c r="D37" s="6" t="s">
        <v>230</v>
      </c>
      <c r="E37" s="6" t="s">
        <v>230</v>
      </c>
      <c r="F37" s="6" t="s">
        <v>230</v>
      </c>
      <c r="G37" s="6" t="s">
        <v>230</v>
      </c>
      <c r="H37" s="6" t="s">
        <v>230</v>
      </c>
      <c r="I37" s="6" t="s">
        <v>230</v>
      </c>
      <c r="J37" s="6" t="s">
        <v>230</v>
      </c>
      <c r="K37" s="6" t="s">
        <v>230</v>
      </c>
      <c r="L37" s="6" t="s">
        <v>230</v>
      </c>
      <c r="M37" s="6" t="s">
        <v>230</v>
      </c>
      <c r="N37" s="6" t="s">
        <v>230</v>
      </c>
      <c r="O37" s="6" t="s">
        <v>230</v>
      </c>
      <c r="P37" s="6">
        <v>13.553999999999998</v>
      </c>
      <c r="Q37" s="6" t="s">
        <v>230</v>
      </c>
      <c r="R37" s="6">
        <v>32.003367068383</v>
      </c>
      <c r="S37" s="6" t="s">
        <v>230</v>
      </c>
      <c r="T37" s="6" t="s">
        <v>230</v>
      </c>
      <c r="U37" s="6" t="s">
        <v>230</v>
      </c>
      <c r="V37" s="6" t="s">
        <v>230</v>
      </c>
      <c r="W37" s="6" t="s">
        <v>230</v>
      </c>
      <c r="X37" s="6" t="s">
        <v>230</v>
      </c>
      <c r="Y37" s="6" t="s">
        <v>230</v>
      </c>
      <c r="Z37" s="6" t="s">
        <v>230</v>
      </c>
      <c r="AA37" s="6" t="s">
        <v>230</v>
      </c>
      <c r="AB37" s="6" t="s">
        <v>230</v>
      </c>
      <c r="AC37" s="88" t="s">
        <v>230</v>
      </c>
      <c r="AD37" s="6" t="s">
        <v>230</v>
      </c>
      <c r="AE37" s="6" t="s">
        <v>230</v>
      </c>
      <c r="AF37" s="88" t="s">
        <v>230</v>
      </c>
      <c r="AG37" s="6" t="s">
        <v>230</v>
      </c>
      <c r="AH37" s="88" t="s">
        <v>230</v>
      </c>
      <c r="AI37" s="6" t="s">
        <v>230</v>
      </c>
      <c r="AJ37" s="88"/>
      <c r="AK37" s="6" t="s">
        <v>230</v>
      </c>
      <c r="AL37" s="6" t="s">
        <v>230</v>
      </c>
      <c r="AM37" s="6" t="s">
        <v>230</v>
      </c>
      <c r="AN37" s="28" t="s">
        <v>230</v>
      </c>
    </row>
    <row r="38" spans="1:40" x14ac:dyDescent="0.3">
      <c r="A38" s="25" t="s">
        <v>137</v>
      </c>
      <c r="B38" s="6" t="s">
        <v>230</v>
      </c>
      <c r="C38" s="6" t="s">
        <v>230</v>
      </c>
      <c r="D38" s="6" t="s">
        <v>230</v>
      </c>
      <c r="E38" s="6" t="s">
        <v>230</v>
      </c>
      <c r="F38" s="6" t="s">
        <v>230</v>
      </c>
      <c r="G38" s="6" t="s">
        <v>230</v>
      </c>
      <c r="H38" s="6" t="s">
        <v>230</v>
      </c>
      <c r="I38" s="6" t="s">
        <v>230</v>
      </c>
      <c r="J38" s="6" t="s">
        <v>230</v>
      </c>
      <c r="K38" s="6" t="s">
        <v>230</v>
      </c>
      <c r="L38" s="6" t="s">
        <v>230</v>
      </c>
      <c r="M38" s="6" t="s">
        <v>230</v>
      </c>
      <c r="N38" s="6" t="s">
        <v>230</v>
      </c>
      <c r="O38" s="6" t="s">
        <v>230</v>
      </c>
      <c r="P38" s="6" t="s">
        <v>230</v>
      </c>
      <c r="Q38" s="6">
        <v>32.003367068383</v>
      </c>
      <c r="R38" s="6" t="s">
        <v>230</v>
      </c>
      <c r="S38" s="6" t="s">
        <v>230</v>
      </c>
      <c r="T38" s="6" t="s">
        <v>230</v>
      </c>
      <c r="U38" s="6" t="s">
        <v>230</v>
      </c>
      <c r="V38" s="6" t="s">
        <v>230</v>
      </c>
      <c r="W38" s="6" t="s">
        <v>230</v>
      </c>
      <c r="X38" s="6" t="s">
        <v>230</v>
      </c>
      <c r="Y38" s="6" t="s">
        <v>230</v>
      </c>
      <c r="Z38" s="6" t="s">
        <v>230</v>
      </c>
      <c r="AA38" s="6" t="s">
        <v>230</v>
      </c>
      <c r="AB38" s="6" t="s">
        <v>230</v>
      </c>
      <c r="AC38" s="88" t="s">
        <v>230</v>
      </c>
      <c r="AD38" s="6" t="s">
        <v>230</v>
      </c>
      <c r="AE38" s="6" t="s">
        <v>230</v>
      </c>
      <c r="AF38" s="88">
        <v>64.859913942891041</v>
      </c>
      <c r="AG38" s="6" t="s">
        <v>230</v>
      </c>
      <c r="AH38" s="88" t="s">
        <v>230</v>
      </c>
      <c r="AI38" s="6" t="s">
        <v>230</v>
      </c>
      <c r="AJ38" s="88"/>
      <c r="AK38" s="6" t="s">
        <v>230</v>
      </c>
      <c r="AL38" s="6" t="s">
        <v>230</v>
      </c>
      <c r="AM38" s="6">
        <v>20.696999999999999</v>
      </c>
      <c r="AN38" s="28" t="s">
        <v>230</v>
      </c>
    </row>
    <row r="39" spans="1:40" x14ac:dyDescent="0.3">
      <c r="A39" s="25" t="s">
        <v>138</v>
      </c>
      <c r="B39" s="6" t="s">
        <v>230</v>
      </c>
      <c r="C39" s="6" t="s">
        <v>230</v>
      </c>
      <c r="D39" s="6" t="s">
        <v>230</v>
      </c>
      <c r="E39" s="6" t="s">
        <v>230</v>
      </c>
      <c r="F39" s="6" t="s">
        <v>230</v>
      </c>
      <c r="G39" s="6" t="s">
        <v>230</v>
      </c>
      <c r="H39" s="6" t="s">
        <v>230</v>
      </c>
      <c r="I39" s="6" t="s">
        <v>230</v>
      </c>
      <c r="J39" s="6" t="s">
        <v>230</v>
      </c>
      <c r="K39" s="6" t="s">
        <v>230</v>
      </c>
      <c r="L39" s="6" t="s">
        <v>230</v>
      </c>
      <c r="M39" s="6" t="s">
        <v>230</v>
      </c>
      <c r="N39" s="6" t="s">
        <v>230</v>
      </c>
      <c r="O39" s="6" t="s">
        <v>230</v>
      </c>
      <c r="P39" s="6" t="s">
        <v>230</v>
      </c>
      <c r="Q39" s="6" t="s">
        <v>230</v>
      </c>
      <c r="R39" s="6" t="s">
        <v>230</v>
      </c>
      <c r="S39" s="6" t="s">
        <v>230</v>
      </c>
      <c r="T39" s="6">
        <v>9.0689999999999991</v>
      </c>
      <c r="U39" s="6" t="s">
        <v>230</v>
      </c>
      <c r="V39" s="6" t="s">
        <v>230</v>
      </c>
      <c r="W39" s="6" t="s">
        <v>230</v>
      </c>
      <c r="X39" s="6" t="s">
        <v>230</v>
      </c>
      <c r="Y39" s="6" t="s">
        <v>230</v>
      </c>
      <c r="Z39" s="6" t="s">
        <v>230</v>
      </c>
      <c r="AA39" s="6" t="s">
        <v>230</v>
      </c>
      <c r="AB39" s="6" t="s">
        <v>230</v>
      </c>
      <c r="AC39" s="88" t="s">
        <v>230</v>
      </c>
      <c r="AD39" s="6" t="s">
        <v>230</v>
      </c>
      <c r="AE39" s="6" t="s">
        <v>230</v>
      </c>
      <c r="AF39" s="88">
        <v>34.19</v>
      </c>
      <c r="AG39" s="6" t="s">
        <v>230</v>
      </c>
      <c r="AH39" s="88" t="s">
        <v>230</v>
      </c>
      <c r="AI39" s="6" t="s">
        <v>230</v>
      </c>
      <c r="AJ39" s="88"/>
      <c r="AK39" s="6" t="s">
        <v>230</v>
      </c>
      <c r="AL39" s="6" t="s">
        <v>230</v>
      </c>
      <c r="AM39" s="6" t="s">
        <v>230</v>
      </c>
      <c r="AN39" s="28" t="s">
        <v>230</v>
      </c>
    </row>
    <row r="40" spans="1:40" x14ac:dyDescent="0.3">
      <c r="A40" s="25" t="s">
        <v>139</v>
      </c>
      <c r="B40" s="6" t="s">
        <v>230</v>
      </c>
      <c r="C40" s="6" t="s">
        <v>230</v>
      </c>
      <c r="D40" s="6" t="s">
        <v>230</v>
      </c>
      <c r="E40" s="6" t="s">
        <v>230</v>
      </c>
      <c r="F40" s="6" t="s">
        <v>230</v>
      </c>
      <c r="G40" s="6" t="s">
        <v>230</v>
      </c>
      <c r="H40" s="6" t="s">
        <v>230</v>
      </c>
      <c r="I40" s="6" t="s">
        <v>230</v>
      </c>
      <c r="J40" s="6" t="s">
        <v>230</v>
      </c>
      <c r="K40" s="6" t="s">
        <v>230</v>
      </c>
      <c r="L40" s="6" t="s">
        <v>230</v>
      </c>
      <c r="M40" s="6" t="s">
        <v>230</v>
      </c>
      <c r="N40" s="6" t="s">
        <v>230</v>
      </c>
      <c r="O40" s="6" t="s">
        <v>230</v>
      </c>
      <c r="P40" s="6" t="s">
        <v>230</v>
      </c>
      <c r="Q40" s="6" t="s">
        <v>230</v>
      </c>
      <c r="R40" s="6" t="s">
        <v>230</v>
      </c>
      <c r="S40" s="6">
        <v>9.0689999999999991</v>
      </c>
      <c r="T40" s="6" t="s">
        <v>230</v>
      </c>
      <c r="U40" s="6" t="s">
        <v>230</v>
      </c>
      <c r="V40" s="6" t="s">
        <v>230</v>
      </c>
      <c r="W40" s="6">
        <v>54.977999999999994</v>
      </c>
      <c r="X40" s="6" t="s">
        <v>230</v>
      </c>
      <c r="Y40" s="6" t="s">
        <v>230</v>
      </c>
      <c r="Z40" s="6" t="s">
        <v>230</v>
      </c>
      <c r="AA40" s="6" t="s">
        <v>230</v>
      </c>
      <c r="AB40" s="6" t="s">
        <v>230</v>
      </c>
      <c r="AC40" s="88" t="s">
        <v>230</v>
      </c>
      <c r="AD40" s="6" t="s">
        <v>230</v>
      </c>
      <c r="AE40" s="6" t="s">
        <v>230</v>
      </c>
      <c r="AF40" s="88" t="s">
        <v>230</v>
      </c>
      <c r="AG40" s="6" t="s">
        <v>230</v>
      </c>
      <c r="AH40" s="88" t="s">
        <v>230</v>
      </c>
      <c r="AI40" s="6" t="s">
        <v>230</v>
      </c>
      <c r="AJ40" s="88"/>
      <c r="AK40" s="6" t="s">
        <v>230</v>
      </c>
      <c r="AL40" s="6" t="s">
        <v>230</v>
      </c>
      <c r="AM40" s="6" t="s">
        <v>230</v>
      </c>
      <c r="AN40" s="28" t="s">
        <v>230</v>
      </c>
    </row>
    <row r="41" spans="1:40" x14ac:dyDescent="0.3">
      <c r="A41" s="25" t="s">
        <v>140</v>
      </c>
      <c r="B41" s="6" t="s">
        <v>230</v>
      </c>
      <c r="C41" s="6" t="s">
        <v>230</v>
      </c>
      <c r="D41" s="6" t="s">
        <v>230</v>
      </c>
      <c r="E41" s="6" t="s">
        <v>230</v>
      </c>
      <c r="F41" s="6" t="s">
        <v>230</v>
      </c>
      <c r="G41" s="6" t="s">
        <v>230</v>
      </c>
      <c r="H41" s="6" t="s">
        <v>230</v>
      </c>
      <c r="I41" s="6" t="s">
        <v>230</v>
      </c>
      <c r="J41" s="6" t="s">
        <v>230</v>
      </c>
      <c r="K41" s="6" t="s">
        <v>230</v>
      </c>
      <c r="L41" s="6" t="s">
        <v>230</v>
      </c>
      <c r="M41" s="6" t="s">
        <v>230</v>
      </c>
      <c r="N41" s="6" t="s">
        <v>230</v>
      </c>
      <c r="O41" s="6" t="s">
        <v>230</v>
      </c>
      <c r="P41" s="6" t="s">
        <v>230</v>
      </c>
      <c r="Q41" s="6" t="s">
        <v>230</v>
      </c>
      <c r="R41" s="6" t="s">
        <v>230</v>
      </c>
      <c r="S41" s="6" t="s">
        <v>230</v>
      </c>
      <c r="T41" s="6" t="s">
        <v>230</v>
      </c>
      <c r="U41" s="6" t="s">
        <v>230</v>
      </c>
      <c r="V41" s="6">
        <v>7.4349999999999996</v>
      </c>
      <c r="W41" s="6" t="s">
        <v>230</v>
      </c>
      <c r="X41" s="6" t="s">
        <v>230</v>
      </c>
      <c r="Y41" s="6" t="s">
        <v>230</v>
      </c>
      <c r="Z41" s="6" t="s">
        <v>230</v>
      </c>
      <c r="AA41" s="6" t="s">
        <v>230</v>
      </c>
      <c r="AB41" s="6" t="s">
        <v>230</v>
      </c>
      <c r="AC41" s="88">
        <v>9.5470000000000006</v>
      </c>
      <c r="AD41" s="6" t="s">
        <v>230</v>
      </c>
      <c r="AE41" s="6" t="s">
        <v>230</v>
      </c>
      <c r="AF41" s="88" t="s">
        <v>230</v>
      </c>
      <c r="AG41" s="6" t="s">
        <v>230</v>
      </c>
      <c r="AH41" s="88">
        <v>22.666999999999998</v>
      </c>
      <c r="AI41" s="6" t="s">
        <v>230</v>
      </c>
      <c r="AJ41" s="88"/>
      <c r="AK41" s="6" t="s">
        <v>230</v>
      </c>
      <c r="AL41" s="6" t="s">
        <v>230</v>
      </c>
      <c r="AM41" s="6" t="s">
        <v>230</v>
      </c>
      <c r="AN41" s="28" t="s">
        <v>230</v>
      </c>
    </row>
    <row r="42" spans="1:40" x14ac:dyDescent="0.3">
      <c r="A42" s="25" t="s">
        <v>141</v>
      </c>
      <c r="B42" s="6" t="s">
        <v>230</v>
      </c>
      <c r="C42" s="6" t="s">
        <v>230</v>
      </c>
      <c r="D42" s="6" t="s">
        <v>230</v>
      </c>
      <c r="E42" s="6" t="s">
        <v>230</v>
      </c>
      <c r="F42" s="6" t="s">
        <v>230</v>
      </c>
      <c r="G42" s="6" t="s">
        <v>230</v>
      </c>
      <c r="H42" s="6" t="s">
        <v>230</v>
      </c>
      <c r="I42" s="6" t="s">
        <v>230</v>
      </c>
      <c r="J42" s="6" t="s">
        <v>230</v>
      </c>
      <c r="K42" s="6" t="s">
        <v>230</v>
      </c>
      <c r="L42" s="6" t="s">
        <v>230</v>
      </c>
      <c r="M42" s="6" t="s">
        <v>230</v>
      </c>
      <c r="N42" s="6" t="s">
        <v>230</v>
      </c>
      <c r="O42" s="6" t="s">
        <v>230</v>
      </c>
      <c r="P42" s="6" t="s">
        <v>230</v>
      </c>
      <c r="Q42" s="6" t="s">
        <v>230</v>
      </c>
      <c r="R42" s="6" t="s">
        <v>230</v>
      </c>
      <c r="S42" s="6" t="s">
        <v>230</v>
      </c>
      <c r="T42" s="6" t="s">
        <v>230</v>
      </c>
      <c r="U42" s="6">
        <v>7.4349999999999996</v>
      </c>
      <c r="V42" s="6" t="s">
        <v>230</v>
      </c>
      <c r="W42" s="6">
        <v>7.3900000000000006</v>
      </c>
      <c r="X42" s="6" t="s">
        <v>230</v>
      </c>
      <c r="Y42" s="6" t="s">
        <v>230</v>
      </c>
      <c r="Z42" s="6" t="s">
        <v>230</v>
      </c>
      <c r="AA42" s="6" t="s">
        <v>230</v>
      </c>
      <c r="AB42" s="6" t="s">
        <v>230</v>
      </c>
      <c r="AC42" s="88" t="s">
        <v>230</v>
      </c>
      <c r="AD42" s="6" t="s">
        <v>230</v>
      </c>
      <c r="AE42" s="6" t="s">
        <v>230</v>
      </c>
      <c r="AF42" s="88" t="s">
        <v>230</v>
      </c>
      <c r="AG42" s="6" t="s">
        <v>230</v>
      </c>
      <c r="AH42" s="88" t="s">
        <v>230</v>
      </c>
      <c r="AI42" s="6" t="s">
        <v>230</v>
      </c>
      <c r="AJ42" s="88"/>
      <c r="AK42" s="6" t="s">
        <v>230</v>
      </c>
      <c r="AL42" s="6" t="s">
        <v>230</v>
      </c>
      <c r="AM42" s="6" t="s">
        <v>230</v>
      </c>
      <c r="AN42" s="28" t="s">
        <v>230</v>
      </c>
    </row>
    <row r="43" spans="1:40" x14ac:dyDescent="0.3">
      <c r="A43" s="25" t="s">
        <v>142</v>
      </c>
      <c r="B43" s="6" t="s">
        <v>230</v>
      </c>
      <c r="C43" s="6" t="s">
        <v>230</v>
      </c>
      <c r="D43" s="6" t="s">
        <v>230</v>
      </c>
      <c r="E43" s="6" t="s">
        <v>230</v>
      </c>
      <c r="F43" s="6" t="s">
        <v>230</v>
      </c>
      <c r="G43" s="6" t="s">
        <v>230</v>
      </c>
      <c r="H43" s="6" t="s">
        <v>230</v>
      </c>
      <c r="I43" s="6" t="s">
        <v>230</v>
      </c>
      <c r="J43" s="6" t="s">
        <v>230</v>
      </c>
      <c r="K43" s="6" t="s">
        <v>230</v>
      </c>
      <c r="L43" s="6" t="s">
        <v>230</v>
      </c>
      <c r="M43" s="6" t="s">
        <v>230</v>
      </c>
      <c r="N43" s="6" t="s">
        <v>230</v>
      </c>
      <c r="O43" s="6" t="s">
        <v>230</v>
      </c>
      <c r="P43" s="6" t="s">
        <v>230</v>
      </c>
      <c r="Q43" s="6" t="s">
        <v>230</v>
      </c>
      <c r="R43" s="6" t="s">
        <v>230</v>
      </c>
      <c r="S43" s="6" t="s">
        <v>230</v>
      </c>
      <c r="T43" s="6">
        <v>54.977999999999994</v>
      </c>
      <c r="U43" s="6" t="s">
        <v>230</v>
      </c>
      <c r="V43" s="6">
        <v>7.3900000000000006</v>
      </c>
      <c r="W43" s="6" t="s">
        <v>230</v>
      </c>
      <c r="X43" s="6">
        <v>28.763999999999999</v>
      </c>
      <c r="Y43" s="6" t="s">
        <v>230</v>
      </c>
      <c r="Z43" s="6" t="s">
        <v>230</v>
      </c>
      <c r="AA43" s="6" t="s">
        <v>230</v>
      </c>
      <c r="AB43" s="6" t="s">
        <v>230</v>
      </c>
      <c r="AC43" s="88" t="s">
        <v>230</v>
      </c>
      <c r="AD43" s="6" t="s">
        <v>230</v>
      </c>
      <c r="AE43" s="6" t="s">
        <v>230</v>
      </c>
      <c r="AF43" s="88" t="s">
        <v>230</v>
      </c>
      <c r="AG43" s="6" t="s">
        <v>230</v>
      </c>
      <c r="AH43" s="88" t="s">
        <v>230</v>
      </c>
      <c r="AI43" s="6" t="s">
        <v>230</v>
      </c>
      <c r="AJ43" s="88"/>
      <c r="AK43" s="6" t="s">
        <v>230</v>
      </c>
      <c r="AL43" s="6" t="s">
        <v>230</v>
      </c>
      <c r="AM43" s="6" t="s">
        <v>230</v>
      </c>
      <c r="AN43" s="28" t="s">
        <v>230</v>
      </c>
    </row>
    <row r="44" spans="1:40" x14ac:dyDescent="0.3">
      <c r="A44" s="25" t="s">
        <v>143</v>
      </c>
      <c r="B44" s="6" t="s">
        <v>230</v>
      </c>
      <c r="C44" s="6" t="s">
        <v>230</v>
      </c>
      <c r="D44" s="6" t="s">
        <v>230</v>
      </c>
      <c r="E44" s="6" t="s">
        <v>230</v>
      </c>
      <c r="F44" s="6" t="s">
        <v>230</v>
      </c>
      <c r="G44" s="6" t="s">
        <v>230</v>
      </c>
      <c r="H44" s="6" t="s">
        <v>230</v>
      </c>
      <c r="I44" s="6" t="s">
        <v>230</v>
      </c>
      <c r="J44" s="6" t="s">
        <v>230</v>
      </c>
      <c r="K44" s="6" t="s">
        <v>230</v>
      </c>
      <c r="L44" s="6" t="s">
        <v>230</v>
      </c>
      <c r="M44" s="6" t="s">
        <v>230</v>
      </c>
      <c r="N44" s="6" t="s">
        <v>230</v>
      </c>
      <c r="O44" s="6" t="s">
        <v>230</v>
      </c>
      <c r="P44" s="6" t="s">
        <v>230</v>
      </c>
      <c r="Q44" s="6" t="s">
        <v>230</v>
      </c>
      <c r="R44" s="6" t="s">
        <v>230</v>
      </c>
      <c r="S44" s="6" t="s">
        <v>230</v>
      </c>
      <c r="T44" s="6" t="s">
        <v>230</v>
      </c>
      <c r="U44" s="6" t="s">
        <v>230</v>
      </c>
      <c r="V44" s="6" t="s">
        <v>230</v>
      </c>
      <c r="W44" s="6">
        <v>28.763999999999999</v>
      </c>
      <c r="X44" s="6" t="s">
        <v>230</v>
      </c>
      <c r="Y44" s="6">
        <v>28.606999999999999</v>
      </c>
      <c r="Z44" s="6" t="s">
        <v>230</v>
      </c>
      <c r="AA44" s="6" t="s">
        <v>230</v>
      </c>
      <c r="AB44" s="6" t="s">
        <v>230</v>
      </c>
      <c r="AC44" s="88" t="s">
        <v>230</v>
      </c>
      <c r="AD44" s="6" t="s">
        <v>230</v>
      </c>
      <c r="AE44" s="6" t="s">
        <v>230</v>
      </c>
      <c r="AF44" s="88" t="s">
        <v>230</v>
      </c>
      <c r="AG44" s="6" t="s">
        <v>230</v>
      </c>
      <c r="AH44" s="88" t="s">
        <v>230</v>
      </c>
      <c r="AI44" s="6" t="s">
        <v>230</v>
      </c>
      <c r="AJ44" s="88"/>
      <c r="AK44" s="6" t="s">
        <v>230</v>
      </c>
      <c r="AL44" s="6" t="s">
        <v>230</v>
      </c>
      <c r="AM44" s="6" t="s">
        <v>230</v>
      </c>
      <c r="AN44" s="28"/>
    </row>
    <row r="45" spans="1:40" x14ac:dyDescent="0.3">
      <c r="A45" s="25" t="s">
        <v>144</v>
      </c>
      <c r="B45" s="6" t="s">
        <v>230</v>
      </c>
      <c r="C45" s="6" t="s">
        <v>230</v>
      </c>
      <c r="D45" s="6" t="s">
        <v>230</v>
      </c>
      <c r="E45" s="6" t="s">
        <v>230</v>
      </c>
      <c r="F45" s="6" t="s">
        <v>230</v>
      </c>
      <c r="G45" s="6" t="s">
        <v>230</v>
      </c>
      <c r="H45" s="6" t="s">
        <v>230</v>
      </c>
      <c r="I45" s="6" t="s">
        <v>230</v>
      </c>
      <c r="J45" s="6" t="s">
        <v>230</v>
      </c>
      <c r="K45" s="6" t="s">
        <v>230</v>
      </c>
      <c r="L45" s="6" t="s">
        <v>230</v>
      </c>
      <c r="M45" s="6" t="s">
        <v>230</v>
      </c>
      <c r="N45" s="6" t="s">
        <v>230</v>
      </c>
      <c r="O45" s="6" t="s">
        <v>230</v>
      </c>
      <c r="P45" s="6" t="s">
        <v>230</v>
      </c>
      <c r="Q45" s="6" t="s">
        <v>230</v>
      </c>
      <c r="R45" s="6" t="s">
        <v>230</v>
      </c>
      <c r="S45" s="6" t="s">
        <v>230</v>
      </c>
      <c r="T45" s="6" t="s">
        <v>230</v>
      </c>
      <c r="U45" s="6" t="s">
        <v>230</v>
      </c>
      <c r="V45" s="6" t="s">
        <v>230</v>
      </c>
      <c r="W45" s="6" t="s">
        <v>230</v>
      </c>
      <c r="X45" s="6">
        <v>28.606999999999999</v>
      </c>
      <c r="Y45" s="6" t="s">
        <v>230</v>
      </c>
      <c r="Z45" s="6">
        <v>12.731</v>
      </c>
      <c r="AA45" s="6" t="s">
        <v>230</v>
      </c>
      <c r="AB45" s="6" t="s">
        <v>230</v>
      </c>
      <c r="AC45" s="88" t="s">
        <v>230</v>
      </c>
      <c r="AD45" s="6" t="s">
        <v>230</v>
      </c>
      <c r="AE45" s="6" t="s">
        <v>230</v>
      </c>
      <c r="AF45" s="88" t="s">
        <v>230</v>
      </c>
      <c r="AG45" s="6" t="s">
        <v>230</v>
      </c>
      <c r="AH45" s="88" t="s">
        <v>230</v>
      </c>
      <c r="AI45" s="6" t="s">
        <v>230</v>
      </c>
      <c r="AJ45" s="88"/>
      <c r="AK45" s="6" t="s">
        <v>230</v>
      </c>
      <c r="AL45" s="6" t="s">
        <v>230</v>
      </c>
      <c r="AM45" s="6" t="s">
        <v>230</v>
      </c>
      <c r="AN45" s="28" t="s">
        <v>230</v>
      </c>
    </row>
    <row r="46" spans="1:40" x14ac:dyDescent="0.3">
      <c r="A46" s="25" t="s">
        <v>145</v>
      </c>
      <c r="B46" s="6" t="s">
        <v>230</v>
      </c>
      <c r="C46" s="6" t="s">
        <v>230</v>
      </c>
      <c r="D46" s="6" t="s">
        <v>230</v>
      </c>
      <c r="E46" s="6" t="s">
        <v>230</v>
      </c>
      <c r="F46" s="6" t="s">
        <v>230</v>
      </c>
      <c r="G46" s="6" t="s">
        <v>230</v>
      </c>
      <c r="H46" s="6" t="s">
        <v>230</v>
      </c>
      <c r="I46" s="6" t="s">
        <v>230</v>
      </c>
      <c r="J46" s="6" t="s">
        <v>230</v>
      </c>
      <c r="K46" s="6" t="s">
        <v>230</v>
      </c>
      <c r="L46" s="6" t="s">
        <v>230</v>
      </c>
      <c r="M46" s="6" t="s">
        <v>230</v>
      </c>
      <c r="N46" s="6" t="s">
        <v>230</v>
      </c>
      <c r="O46" s="6" t="s">
        <v>230</v>
      </c>
      <c r="P46" s="6" t="s">
        <v>230</v>
      </c>
      <c r="Q46" s="6" t="s">
        <v>230</v>
      </c>
      <c r="R46" s="6" t="s">
        <v>230</v>
      </c>
      <c r="S46" s="6" t="s">
        <v>230</v>
      </c>
      <c r="T46" s="6" t="s">
        <v>230</v>
      </c>
      <c r="U46" s="6" t="s">
        <v>230</v>
      </c>
      <c r="V46" s="6" t="s">
        <v>230</v>
      </c>
      <c r="W46" s="6" t="s">
        <v>230</v>
      </c>
      <c r="X46" s="6" t="s">
        <v>230</v>
      </c>
      <c r="Y46" s="6">
        <v>12.731</v>
      </c>
      <c r="Z46" s="6" t="s">
        <v>230</v>
      </c>
      <c r="AA46" s="6">
        <v>15.840999999999999</v>
      </c>
      <c r="AB46" s="6" t="s">
        <v>230</v>
      </c>
      <c r="AC46" s="88" t="s">
        <v>230</v>
      </c>
      <c r="AD46" s="6" t="s">
        <v>230</v>
      </c>
      <c r="AE46" s="6" t="s">
        <v>230</v>
      </c>
      <c r="AF46" s="88" t="s">
        <v>230</v>
      </c>
      <c r="AG46" s="6" t="s">
        <v>230</v>
      </c>
      <c r="AH46" s="88" t="s">
        <v>230</v>
      </c>
      <c r="AI46" s="6" t="s">
        <v>230</v>
      </c>
      <c r="AJ46" s="88"/>
      <c r="AK46" s="6" t="s">
        <v>230</v>
      </c>
      <c r="AL46" s="6" t="s">
        <v>230</v>
      </c>
      <c r="AM46" s="6" t="s">
        <v>230</v>
      </c>
      <c r="AN46" s="28" t="s">
        <v>230</v>
      </c>
    </row>
    <row r="47" spans="1:40" x14ac:dyDescent="0.3">
      <c r="A47" s="25" t="s">
        <v>146</v>
      </c>
      <c r="B47" s="6" t="s">
        <v>230</v>
      </c>
      <c r="C47" s="6" t="s">
        <v>230</v>
      </c>
      <c r="D47" s="6" t="s">
        <v>230</v>
      </c>
      <c r="E47" s="6" t="s">
        <v>230</v>
      </c>
      <c r="F47" s="6" t="s">
        <v>230</v>
      </c>
      <c r="G47" s="6" t="s">
        <v>230</v>
      </c>
      <c r="H47" s="6" t="s">
        <v>230</v>
      </c>
      <c r="I47" s="6" t="s">
        <v>230</v>
      </c>
      <c r="J47" s="6" t="s">
        <v>230</v>
      </c>
      <c r="K47" s="6" t="s">
        <v>230</v>
      </c>
      <c r="L47" s="6" t="s">
        <v>230</v>
      </c>
      <c r="M47" s="6" t="s">
        <v>230</v>
      </c>
      <c r="N47" s="6" t="s">
        <v>230</v>
      </c>
      <c r="O47" s="6" t="s">
        <v>230</v>
      </c>
      <c r="P47" s="6" t="s">
        <v>230</v>
      </c>
      <c r="Q47" s="6" t="s">
        <v>230</v>
      </c>
      <c r="R47" s="6" t="s">
        <v>230</v>
      </c>
      <c r="S47" s="6" t="s">
        <v>230</v>
      </c>
      <c r="T47" s="6" t="s">
        <v>230</v>
      </c>
      <c r="U47" s="6" t="s">
        <v>230</v>
      </c>
      <c r="V47" s="6" t="s">
        <v>230</v>
      </c>
      <c r="W47" s="6" t="s">
        <v>230</v>
      </c>
      <c r="X47" s="6" t="s">
        <v>230</v>
      </c>
      <c r="Y47" s="6" t="s">
        <v>230</v>
      </c>
      <c r="Z47" s="6">
        <v>15.840999999999999</v>
      </c>
      <c r="AA47" s="6" t="s">
        <v>230</v>
      </c>
      <c r="AB47" s="6">
        <v>16.506</v>
      </c>
      <c r="AC47" s="88" t="s">
        <v>230</v>
      </c>
      <c r="AD47" s="6" t="s">
        <v>230</v>
      </c>
      <c r="AE47" s="6" t="s">
        <v>230</v>
      </c>
      <c r="AF47" s="88" t="s">
        <v>230</v>
      </c>
      <c r="AG47" s="6" t="s">
        <v>230</v>
      </c>
      <c r="AH47" s="88" t="s">
        <v>230</v>
      </c>
      <c r="AI47" s="6" t="s">
        <v>230</v>
      </c>
      <c r="AJ47" s="88"/>
      <c r="AK47" s="6" t="s">
        <v>230</v>
      </c>
      <c r="AL47" s="6" t="s">
        <v>230</v>
      </c>
      <c r="AM47" s="6" t="s">
        <v>230</v>
      </c>
      <c r="AN47" s="28" t="s">
        <v>230</v>
      </c>
    </row>
    <row r="48" spans="1:40" x14ac:dyDescent="0.3">
      <c r="A48" s="25" t="s">
        <v>147</v>
      </c>
      <c r="B48" s="6" t="s">
        <v>230</v>
      </c>
      <c r="C48" s="6" t="s">
        <v>230</v>
      </c>
      <c r="D48" s="6" t="s">
        <v>230</v>
      </c>
      <c r="E48" s="6" t="s">
        <v>230</v>
      </c>
      <c r="F48" s="6" t="s">
        <v>230</v>
      </c>
      <c r="G48" s="6" t="s">
        <v>230</v>
      </c>
      <c r="H48" s="6" t="s">
        <v>230</v>
      </c>
      <c r="I48" s="6" t="s">
        <v>230</v>
      </c>
      <c r="J48" s="6" t="s">
        <v>230</v>
      </c>
      <c r="K48" s="6" t="s">
        <v>230</v>
      </c>
      <c r="L48" s="6" t="s">
        <v>230</v>
      </c>
      <c r="M48" s="6" t="s">
        <v>230</v>
      </c>
      <c r="N48" s="6" t="s">
        <v>230</v>
      </c>
      <c r="O48" s="6" t="s">
        <v>230</v>
      </c>
      <c r="P48" s="6" t="s">
        <v>230</v>
      </c>
      <c r="Q48" s="6" t="s">
        <v>230</v>
      </c>
      <c r="R48" s="6" t="s">
        <v>230</v>
      </c>
      <c r="S48" s="6" t="s">
        <v>230</v>
      </c>
      <c r="T48" s="6" t="s">
        <v>230</v>
      </c>
      <c r="U48" s="6" t="s">
        <v>230</v>
      </c>
      <c r="V48" s="6" t="s">
        <v>230</v>
      </c>
      <c r="W48" s="6" t="s">
        <v>230</v>
      </c>
      <c r="X48" s="6" t="s">
        <v>230</v>
      </c>
      <c r="Y48" s="6" t="s">
        <v>230</v>
      </c>
      <c r="Z48" s="6" t="s">
        <v>230</v>
      </c>
      <c r="AA48" s="6">
        <v>16.506</v>
      </c>
      <c r="AB48" s="6" t="s">
        <v>230</v>
      </c>
      <c r="AC48" s="88" t="s">
        <v>230</v>
      </c>
      <c r="AD48" s="6" t="s">
        <v>230</v>
      </c>
      <c r="AE48" s="6" t="s">
        <v>230</v>
      </c>
      <c r="AF48" s="88" t="s">
        <v>230</v>
      </c>
      <c r="AG48" s="6" t="s">
        <v>230</v>
      </c>
      <c r="AH48" s="88" t="s">
        <v>230</v>
      </c>
      <c r="AI48" s="6" t="s">
        <v>230</v>
      </c>
      <c r="AJ48" s="88"/>
      <c r="AK48" s="6" t="s">
        <v>230</v>
      </c>
      <c r="AL48" s="6" t="s">
        <v>230</v>
      </c>
      <c r="AM48" s="6" t="s">
        <v>230</v>
      </c>
      <c r="AN48" s="28" t="s">
        <v>230</v>
      </c>
    </row>
    <row r="49" spans="1:40" x14ac:dyDescent="0.3">
      <c r="A49" s="41" t="s">
        <v>148</v>
      </c>
      <c r="B49" s="91" t="s">
        <v>230</v>
      </c>
      <c r="C49" s="91" t="s">
        <v>230</v>
      </c>
      <c r="D49" s="91" t="s">
        <v>230</v>
      </c>
      <c r="E49" s="91" t="s">
        <v>230</v>
      </c>
      <c r="F49" s="91" t="s">
        <v>230</v>
      </c>
      <c r="G49" s="91" t="s">
        <v>230</v>
      </c>
      <c r="H49" s="91" t="s">
        <v>230</v>
      </c>
      <c r="I49" s="91" t="s">
        <v>230</v>
      </c>
      <c r="J49" s="91" t="s">
        <v>230</v>
      </c>
      <c r="K49" s="91" t="s">
        <v>230</v>
      </c>
      <c r="L49" s="91" t="s">
        <v>230</v>
      </c>
      <c r="M49" s="91" t="s">
        <v>230</v>
      </c>
      <c r="N49" s="91" t="s">
        <v>230</v>
      </c>
      <c r="O49" s="91">
        <v>13.959</v>
      </c>
      <c r="P49" s="91">
        <v>7.1440000000000001</v>
      </c>
      <c r="Q49" s="91" t="s">
        <v>230</v>
      </c>
      <c r="R49" s="91" t="s">
        <v>230</v>
      </c>
      <c r="S49" s="91" t="s">
        <v>230</v>
      </c>
      <c r="T49" s="91" t="s">
        <v>230</v>
      </c>
      <c r="U49" s="91">
        <v>9.5470000000000006</v>
      </c>
      <c r="V49" s="91" t="s">
        <v>230</v>
      </c>
      <c r="W49" s="91" t="s">
        <v>230</v>
      </c>
      <c r="X49" s="91" t="s">
        <v>230</v>
      </c>
      <c r="Y49" s="91" t="s">
        <v>230</v>
      </c>
      <c r="Z49" s="91" t="s">
        <v>230</v>
      </c>
      <c r="AA49" s="91" t="s">
        <v>230</v>
      </c>
      <c r="AB49" s="91" t="s">
        <v>230</v>
      </c>
      <c r="AC49" s="99" t="s">
        <v>230</v>
      </c>
      <c r="AD49" s="91" t="s">
        <v>230</v>
      </c>
      <c r="AE49" s="91" t="s">
        <v>230</v>
      </c>
      <c r="AF49" s="99" t="s">
        <v>230</v>
      </c>
      <c r="AG49" s="91" t="s">
        <v>230</v>
      </c>
      <c r="AH49" s="99" t="s">
        <v>230</v>
      </c>
      <c r="AI49" s="91" t="s">
        <v>230</v>
      </c>
      <c r="AJ49" s="99"/>
      <c r="AK49" s="91" t="s">
        <v>230</v>
      </c>
      <c r="AL49" s="91" t="s">
        <v>230</v>
      </c>
      <c r="AM49" s="91" t="s">
        <v>230</v>
      </c>
      <c r="AN49" s="90" t="s">
        <v>230</v>
      </c>
    </row>
    <row r="50" spans="1:40" x14ac:dyDescent="0.3">
      <c r="A50" s="25" t="s">
        <v>78</v>
      </c>
      <c r="B50" s="6" t="s">
        <v>230</v>
      </c>
      <c r="C50" s="6" t="s">
        <v>230</v>
      </c>
      <c r="D50" s="6" t="s">
        <v>230</v>
      </c>
      <c r="E50" s="6" t="s">
        <v>230</v>
      </c>
      <c r="F50" s="6" t="s">
        <v>230</v>
      </c>
      <c r="G50" s="6" t="s">
        <v>230</v>
      </c>
      <c r="H50" s="6" t="s">
        <v>230</v>
      </c>
      <c r="I50" s="6" t="s">
        <v>230</v>
      </c>
      <c r="J50" s="6" t="s">
        <v>230</v>
      </c>
      <c r="K50" s="6" t="s">
        <v>230</v>
      </c>
      <c r="L50" s="6" t="s">
        <v>230</v>
      </c>
      <c r="M50" s="6"/>
      <c r="N50" s="6" t="s">
        <v>230</v>
      </c>
      <c r="O50" s="6" t="s">
        <v>230</v>
      </c>
      <c r="P50" s="6" t="s">
        <v>230</v>
      </c>
      <c r="Q50" s="6" t="s">
        <v>230</v>
      </c>
      <c r="R50" s="6" t="s">
        <v>230</v>
      </c>
      <c r="S50" s="6" t="s">
        <v>230</v>
      </c>
      <c r="T50" s="6" t="s">
        <v>230</v>
      </c>
      <c r="U50" s="6" t="s">
        <v>230</v>
      </c>
      <c r="V50" s="6" t="s">
        <v>230</v>
      </c>
      <c r="W50" s="6" t="s">
        <v>230</v>
      </c>
      <c r="X50" s="6" t="s">
        <v>230</v>
      </c>
      <c r="Y50" s="6" t="s">
        <v>230</v>
      </c>
      <c r="Z50" s="6" t="s">
        <v>230</v>
      </c>
      <c r="AA50" s="6" t="s">
        <v>230</v>
      </c>
      <c r="AB50" s="6" t="s">
        <v>230</v>
      </c>
      <c r="AC50" s="88" t="s">
        <v>230</v>
      </c>
      <c r="AD50" s="6" t="s">
        <v>230</v>
      </c>
      <c r="AE50" s="6" t="s">
        <v>230</v>
      </c>
      <c r="AF50" s="88" t="s">
        <v>230</v>
      </c>
      <c r="AG50" s="6">
        <v>0.1</v>
      </c>
      <c r="AH50" s="88" t="s">
        <v>230</v>
      </c>
      <c r="AI50" s="6" t="s">
        <v>230</v>
      </c>
      <c r="AJ50" s="88"/>
      <c r="AK50" s="6">
        <v>35.07985</v>
      </c>
      <c r="AL50" s="6">
        <v>30.886050000000001</v>
      </c>
      <c r="AM50" s="6" t="s">
        <v>230</v>
      </c>
      <c r="AN50" s="28" t="s">
        <v>230</v>
      </c>
    </row>
    <row r="51" spans="1:40" x14ac:dyDescent="0.3">
      <c r="A51" s="41" t="s">
        <v>281</v>
      </c>
      <c r="B51" s="91"/>
      <c r="C51" s="91"/>
      <c r="D51" s="91"/>
      <c r="E51" s="91"/>
      <c r="F51" s="91"/>
      <c r="G51" s="91"/>
      <c r="H51" s="91"/>
      <c r="I51" s="91"/>
      <c r="J51" s="91"/>
      <c r="K51" s="91"/>
      <c r="L51" s="91"/>
      <c r="M51" s="91"/>
      <c r="N51" s="91"/>
      <c r="O51" s="91"/>
      <c r="P51" s="91"/>
      <c r="Q51" s="91"/>
      <c r="R51" s="91"/>
      <c r="S51" s="91"/>
      <c r="T51" s="91"/>
      <c r="U51" s="91"/>
      <c r="V51" s="91"/>
      <c r="W51" s="91"/>
      <c r="X51" s="91"/>
      <c r="Y51" s="91"/>
      <c r="Z51" s="91"/>
      <c r="AA51" s="91"/>
      <c r="AB51" s="91"/>
      <c r="AC51" s="99"/>
      <c r="AD51" s="91"/>
      <c r="AE51" s="91"/>
      <c r="AF51" s="99"/>
      <c r="AG51" s="91"/>
      <c r="AH51" s="99">
        <v>0.1</v>
      </c>
      <c r="AI51" s="91"/>
      <c r="AJ51" s="99"/>
      <c r="AK51" s="91"/>
      <c r="AL51" s="91"/>
      <c r="AM51" s="91">
        <v>46.94885</v>
      </c>
      <c r="AN51" s="90">
        <v>46.479550000000003</v>
      </c>
    </row>
    <row r="52" spans="1:40" x14ac:dyDescent="0.3">
      <c r="A52" s="25" t="s">
        <v>66</v>
      </c>
      <c r="B52" s="6" t="s">
        <v>230</v>
      </c>
      <c r="C52" s="6" t="s">
        <v>230</v>
      </c>
      <c r="D52" s="6" t="s">
        <v>230</v>
      </c>
      <c r="E52" s="6" t="s">
        <v>230</v>
      </c>
      <c r="F52" s="6" t="s">
        <v>230</v>
      </c>
      <c r="G52" s="6" t="s">
        <v>230</v>
      </c>
      <c r="H52" s="6" t="s">
        <v>230</v>
      </c>
      <c r="I52" s="6" t="s">
        <v>230</v>
      </c>
      <c r="J52" s="6" t="s">
        <v>230</v>
      </c>
      <c r="K52" s="6" t="s">
        <v>230</v>
      </c>
      <c r="L52" s="6" t="s">
        <v>230</v>
      </c>
      <c r="M52" s="6" t="s">
        <v>230</v>
      </c>
      <c r="N52" s="6" t="s">
        <v>230</v>
      </c>
      <c r="O52" s="6" t="s">
        <v>230</v>
      </c>
      <c r="P52" s="6" t="s">
        <v>230</v>
      </c>
      <c r="Q52" s="6" t="s">
        <v>230</v>
      </c>
      <c r="R52" s="6" t="s">
        <v>230</v>
      </c>
      <c r="S52" s="6" t="s">
        <v>230</v>
      </c>
      <c r="T52" s="6" t="s">
        <v>230</v>
      </c>
      <c r="U52" s="6" t="s">
        <v>230</v>
      </c>
      <c r="V52" s="6" t="s">
        <v>230</v>
      </c>
      <c r="W52" s="6" t="s">
        <v>230</v>
      </c>
      <c r="X52" s="6" t="s">
        <v>230</v>
      </c>
      <c r="Y52" s="6" t="s">
        <v>230</v>
      </c>
      <c r="Z52" s="6" t="s">
        <v>230</v>
      </c>
      <c r="AA52" s="6" t="s">
        <v>230</v>
      </c>
      <c r="AB52" s="6" t="s">
        <v>230</v>
      </c>
      <c r="AC52" s="88" t="s">
        <v>230</v>
      </c>
      <c r="AD52" s="6" t="s">
        <v>230</v>
      </c>
      <c r="AE52" s="6" t="s">
        <v>230</v>
      </c>
      <c r="AF52" s="88" t="s">
        <v>230</v>
      </c>
      <c r="AG52" s="6" t="s">
        <v>230</v>
      </c>
      <c r="AH52" s="88" t="s">
        <v>230</v>
      </c>
      <c r="AI52" s="6" t="s">
        <v>230</v>
      </c>
      <c r="AJ52" s="88"/>
      <c r="AK52" s="6">
        <v>26</v>
      </c>
      <c r="AL52" s="6" t="s">
        <v>230</v>
      </c>
      <c r="AM52" s="6" t="s">
        <v>230</v>
      </c>
      <c r="AN52" s="28" t="s">
        <v>230</v>
      </c>
    </row>
    <row r="53" spans="1:40" x14ac:dyDescent="0.3">
      <c r="A53" s="25" t="s">
        <v>67</v>
      </c>
      <c r="B53" s="6" t="s">
        <v>230</v>
      </c>
      <c r="C53" s="6" t="s">
        <v>230</v>
      </c>
      <c r="D53" s="6" t="s">
        <v>230</v>
      </c>
      <c r="E53" s="6" t="s">
        <v>230</v>
      </c>
      <c r="F53" s="6" t="s">
        <v>230</v>
      </c>
      <c r="G53" s="6" t="s">
        <v>230</v>
      </c>
      <c r="H53" s="6" t="s">
        <v>230</v>
      </c>
      <c r="I53" s="6" t="s">
        <v>230</v>
      </c>
      <c r="J53" s="6" t="s">
        <v>230</v>
      </c>
      <c r="K53" s="6" t="s">
        <v>230</v>
      </c>
      <c r="L53" s="6" t="s">
        <v>230</v>
      </c>
      <c r="M53" s="6" t="s">
        <v>230</v>
      </c>
      <c r="N53" s="6" t="s">
        <v>230</v>
      </c>
      <c r="O53" s="6" t="s">
        <v>230</v>
      </c>
      <c r="P53" s="6" t="s">
        <v>230</v>
      </c>
      <c r="Q53" s="6" t="s">
        <v>230</v>
      </c>
      <c r="R53" s="6" t="s">
        <v>230</v>
      </c>
      <c r="S53" s="6" t="s">
        <v>230</v>
      </c>
      <c r="T53" s="6" t="s">
        <v>230</v>
      </c>
      <c r="U53" s="6" t="s">
        <v>230</v>
      </c>
      <c r="V53" s="6" t="s">
        <v>230</v>
      </c>
      <c r="W53" s="6" t="s">
        <v>230</v>
      </c>
      <c r="X53" s="6" t="s">
        <v>230</v>
      </c>
      <c r="Y53" s="6" t="s">
        <v>230</v>
      </c>
      <c r="Z53" s="6" t="s">
        <v>230</v>
      </c>
      <c r="AA53" s="6" t="s">
        <v>230</v>
      </c>
      <c r="AB53" s="6" t="s">
        <v>230</v>
      </c>
      <c r="AC53" s="88" t="s">
        <v>230</v>
      </c>
      <c r="AD53" s="6" t="s">
        <v>230</v>
      </c>
      <c r="AE53" s="6" t="s">
        <v>230</v>
      </c>
      <c r="AF53" s="88" t="s">
        <v>230</v>
      </c>
      <c r="AG53" s="6" t="s">
        <v>230</v>
      </c>
      <c r="AH53" s="88" t="s">
        <v>230</v>
      </c>
      <c r="AI53" s="6" t="s">
        <v>230</v>
      </c>
      <c r="AJ53" s="88"/>
      <c r="AK53" s="6">
        <v>27</v>
      </c>
      <c r="AL53" s="6" t="s">
        <v>230</v>
      </c>
      <c r="AM53" s="6" t="s">
        <v>230</v>
      </c>
      <c r="AN53" s="28" t="s">
        <v>230</v>
      </c>
    </row>
    <row r="54" spans="1:40" x14ac:dyDescent="0.3">
      <c r="A54" s="25" t="s">
        <v>121</v>
      </c>
      <c r="B54" s="6" t="s">
        <v>230</v>
      </c>
      <c r="C54" s="6" t="s">
        <v>230</v>
      </c>
      <c r="D54" s="6" t="s">
        <v>230</v>
      </c>
      <c r="E54" s="6" t="s">
        <v>230</v>
      </c>
      <c r="F54" s="6" t="s">
        <v>230</v>
      </c>
      <c r="G54" s="6" t="s">
        <v>230</v>
      </c>
      <c r="H54" s="6" t="s">
        <v>230</v>
      </c>
      <c r="I54" s="6" t="s">
        <v>230</v>
      </c>
      <c r="J54" s="6" t="s">
        <v>230</v>
      </c>
      <c r="K54" s="6" t="s">
        <v>230</v>
      </c>
      <c r="L54" s="6" t="s">
        <v>230</v>
      </c>
      <c r="M54" s="6" t="s">
        <v>230</v>
      </c>
      <c r="N54" s="6" t="s">
        <v>230</v>
      </c>
      <c r="O54" s="6" t="s">
        <v>230</v>
      </c>
      <c r="P54" s="6" t="s">
        <v>230</v>
      </c>
      <c r="Q54" s="6" t="s">
        <v>230</v>
      </c>
      <c r="R54" s="6" t="s">
        <v>230</v>
      </c>
      <c r="S54" s="6" t="s">
        <v>230</v>
      </c>
      <c r="T54" s="6" t="s">
        <v>230</v>
      </c>
      <c r="U54" s="6" t="s">
        <v>230</v>
      </c>
      <c r="V54" s="6" t="s">
        <v>230</v>
      </c>
      <c r="W54" s="6" t="s">
        <v>230</v>
      </c>
      <c r="X54" s="6" t="s">
        <v>230</v>
      </c>
      <c r="Y54" s="6" t="s">
        <v>230</v>
      </c>
      <c r="Z54" s="6" t="s">
        <v>230</v>
      </c>
      <c r="AA54" s="6" t="s">
        <v>230</v>
      </c>
      <c r="AB54" s="6" t="s">
        <v>230</v>
      </c>
      <c r="AC54" s="88" t="s">
        <v>230</v>
      </c>
      <c r="AD54" s="6" t="s">
        <v>230</v>
      </c>
      <c r="AE54" s="6" t="s">
        <v>230</v>
      </c>
      <c r="AF54" s="88" t="s">
        <v>230</v>
      </c>
      <c r="AG54" s="6" t="s">
        <v>230</v>
      </c>
      <c r="AH54" s="88" t="s">
        <v>230</v>
      </c>
      <c r="AI54" s="6" t="s">
        <v>230</v>
      </c>
      <c r="AJ54" s="88"/>
      <c r="AK54" s="6" t="s">
        <v>230</v>
      </c>
      <c r="AL54" s="6">
        <v>26</v>
      </c>
      <c r="AM54" s="6" t="s">
        <v>230</v>
      </c>
      <c r="AN54" s="28" t="s">
        <v>230</v>
      </c>
    </row>
    <row r="55" spans="1:40" x14ac:dyDescent="0.3">
      <c r="A55" s="25" t="s">
        <v>122</v>
      </c>
      <c r="B55" s="6" t="s">
        <v>230</v>
      </c>
      <c r="C55" s="6" t="s">
        <v>230</v>
      </c>
      <c r="D55" s="6" t="s">
        <v>230</v>
      </c>
      <c r="E55" s="6" t="s">
        <v>230</v>
      </c>
      <c r="F55" s="6" t="s">
        <v>230</v>
      </c>
      <c r="G55" s="6" t="s">
        <v>230</v>
      </c>
      <c r="H55" s="6" t="s">
        <v>230</v>
      </c>
      <c r="I55" s="6" t="s">
        <v>230</v>
      </c>
      <c r="J55" s="6" t="s">
        <v>230</v>
      </c>
      <c r="K55" s="6" t="s">
        <v>230</v>
      </c>
      <c r="L55" s="6" t="s">
        <v>230</v>
      </c>
      <c r="M55" s="6" t="s">
        <v>230</v>
      </c>
      <c r="N55" s="6" t="s">
        <v>230</v>
      </c>
      <c r="O55" s="6" t="s">
        <v>230</v>
      </c>
      <c r="P55" s="6" t="s">
        <v>230</v>
      </c>
      <c r="Q55" s="6" t="s">
        <v>230</v>
      </c>
      <c r="R55" s="6" t="s">
        <v>230</v>
      </c>
      <c r="S55" s="6" t="s">
        <v>230</v>
      </c>
      <c r="T55" s="6" t="s">
        <v>230</v>
      </c>
      <c r="U55" s="6" t="s">
        <v>230</v>
      </c>
      <c r="V55" s="6" t="s">
        <v>230</v>
      </c>
      <c r="W55" s="6" t="s">
        <v>230</v>
      </c>
      <c r="X55" s="6" t="s">
        <v>230</v>
      </c>
      <c r="Y55" s="6" t="s">
        <v>230</v>
      </c>
      <c r="Z55" s="6" t="s">
        <v>230</v>
      </c>
      <c r="AA55" s="6" t="s">
        <v>230</v>
      </c>
      <c r="AB55" s="6" t="s">
        <v>230</v>
      </c>
      <c r="AC55" s="88" t="s">
        <v>230</v>
      </c>
      <c r="AD55" s="6" t="s">
        <v>230</v>
      </c>
      <c r="AE55" s="6" t="s">
        <v>230</v>
      </c>
      <c r="AF55" s="88" t="s">
        <v>230</v>
      </c>
      <c r="AG55" s="6" t="s">
        <v>230</v>
      </c>
      <c r="AH55" s="88" t="s">
        <v>230</v>
      </c>
      <c r="AI55" s="6" t="s">
        <v>230</v>
      </c>
      <c r="AJ55" s="88"/>
      <c r="AK55" s="6" t="s">
        <v>230</v>
      </c>
      <c r="AL55" s="6">
        <v>27</v>
      </c>
      <c r="AM55" s="6" t="s">
        <v>230</v>
      </c>
      <c r="AN55" s="28" t="s">
        <v>230</v>
      </c>
    </row>
    <row r="56" spans="1:40" x14ac:dyDescent="0.3">
      <c r="A56" s="25" t="s">
        <v>123</v>
      </c>
      <c r="B56" s="6" t="s">
        <v>230</v>
      </c>
      <c r="C56" s="6" t="s">
        <v>230</v>
      </c>
      <c r="D56" s="6" t="s">
        <v>230</v>
      </c>
      <c r="E56" s="6" t="s">
        <v>230</v>
      </c>
      <c r="F56" s="6" t="s">
        <v>230</v>
      </c>
      <c r="G56" s="6" t="s">
        <v>230</v>
      </c>
      <c r="H56" s="6" t="s">
        <v>230</v>
      </c>
      <c r="I56" s="6" t="s">
        <v>230</v>
      </c>
      <c r="J56" s="6" t="s">
        <v>230</v>
      </c>
      <c r="K56" s="6" t="s">
        <v>230</v>
      </c>
      <c r="L56" s="6" t="s">
        <v>230</v>
      </c>
      <c r="M56" s="6" t="s">
        <v>230</v>
      </c>
      <c r="N56" s="6" t="s">
        <v>230</v>
      </c>
      <c r="O56" s="6" t="s">
        <v>230</v>
      </c>
      <c r="P56" s="6" t="s">
        <v>230</v>
      </c>
      <c r="Q56" s="6" t="s">
        <v>230</v>
      </c>
      <c r="R56" s="6" t="s">
        <v>230</v>
      </c>
      <c r="S56" s="6" t="s">
        <v>230</v>
      </c>
      <c r="T56" s="6" t="s">
        <v>230</v>
      </c>
      <c r="U56" s="6" t="s">
        <v>230</v>
      </c>
      <c r="V56" s="6" t="s">
        <v>230</v>
      </c>
      <c r="W56" s="6" t="s">
        <v>230</v>
      </c>
      <c r="X56" s="6" t="s">
        <v>230</v>
      </c>
      <c r="Y56" s="6" t="s">
        <v>230</v>
      </c>
      <c r="Z56" s="6" t="s">
        <v>230</v>
      </c>
      <c r="AA56" s="6" t="s">
        <v>230</v>
      </c>
      <c r="AB56" s="6" t="s">
        <v>230</v>
      </c>
      <c r="AC56" s="88" t="s">
        <v>230</v>
      </c>
      <c r="AD56" s="6" t="s">
        <v>230</v>
      </c>
      <c r="AE56" s="6" t="s">
        <v>230</v>
      </c>
      <c r="AF56" s="88" t="s">
        <v>230</v>
      </c>
      <c r="AG56" s="6" t="s">
        <v>230</v>
      </c>
      <c r="AH56" s="88" t="s">
        <v>230</v>
      </c>
      <c r="AI56" s="6" t="s">
        <v>230</v>
      </c>
      <c r="AJ56" s="88"/>
      <c r="AK56" s="6" t="s">
        <v>230</v>
      </c>
      <c r="AL56" s="6" t="s">
        <v>230</v>
      </c>
      <c r="AM56" s="6">
        <v>30</v>
      </c>
      <c r="AN56" s="28" t="s">
        <v>230</v>
      </c>
    </row>
    <row r="57" spans="1:40" x14ac:dyDescent="0.3">
      <c r="A57" s="25" t="s">
        <v>124</v>
      </c>
      <c r="B57" s="6" t="s">
        <v>230</v>
      </c>
      <c r="C57" s="6" t="s">
        <v>230</v>
      </c>
      <c r="D57" s="6" t="s">
        <v>230</v>
      </c>
      <c r="E57" s="6" t="s">
        <v>230</v>
      </c>
      <c r="F57" s="6" t="s">
        <v>230</v>
      </c>
      <c r="G57" s="6" t="s">
        <v>230</v>
      </c>
      <c r="H57" s="6" t="s">
        <v>230</v>
      </c>
      <c r="I57" s="6" t="s">
        <v>230</v>
      </c>
      <c r="J57" s="6" t="s">
        <v>230</v>
      </c>
      <c r="K57" s="6" t="s">
        <v>230</v>
      </c>
      <c r="L57" s="6" t="s">
        <v>230</v>
      </c>
      <c r="M57" s="6" t="s">
        <v>230</v>
      </c>
      <c r="N57" s="6" t="s">
        <v>230</v>
      </c>
      <c r="O57" s="6" t="s">
        <v>230</v>
      </c>
      <c r="P57" s="6" t="s">
        <v>230</v>
      </c>
      <c r="Q57" s="6" t="s">
        <v>230</v>
      </c>
      <c r="R57" s="6" t="s">
        <v>230</v>
      </c>
      <c r="S57" s="6" t="s">
        <v>230</v>
      </c>
      <c r="T57" s="6" t="s">
        <v>230</v>
      </c>
      <c r="U57" s="6" t="s">
        <v>230</v>
      </c>
      <c r="V57" s="6" t="s">
        <v>230</v>
      </c>
      <c r="W57" s="6" t="s">
        <v>230</v>
      </c>
      <c r="X57" s="6" t="s">
        <v>230</v>
      </c>
      <c r="Y57" s="6" t="s">
        <v>230</v>
      </c>
      <c r="Z57" s="6" t="s">
        <v>230</v>
      </c>
      <c r="AA57" s="6" t="s">
        <v>230</v>
      </c>
      <c r="AB57" s="6" t="s">
        <v>230</v>
      </c>
      <c r="AC57" s="88" t="s">
        <v>230</v>
      </c>
      <c r="AD57" s="6" t="s">
        <v>230</v>
      </c>
      <c r="AE57" s="6" t="s">
        <v>230</v>
      </c>
      <c r="AF57" s="88" t="s">
        <v>230</v>
      </c>
      <c r="AG57" s="6" t="s">
        <v>230</v>
      </c>
      <c r="AH57" s="88" t="s">
        <v>230</v>
      </c>
      <c r="AI57" s="6" t="s">
        <v>230</v>
      </c>
      <c r="AJ57" s="88"/>
      <c r="AK57" s="6" t="s">
        <v>230</v>
      </c>
      <c r="AL57" s="6" t="s">
        <v>230</v>
      </c>
      <c r="AM57" s="6">
        <v>28</v>
      </c>
      <c r="AN57" s="28" t="s">
        <v>230</v>
      </c>
    </row>
    <row r="58" spans="1:40" x14ac:dyDescent="0.3">
      <c r="A58" s="25" t="s">
        <v>125</v>
      </c>
      <c r="B58" s="6" t="s">
        <v>230</v>
      </c>
      <c r="C58" s="6" t="s">
        <v>230</v>
      </c>
      <c r="D58" s="6" t="s">
        <v>230</v>
      </c>
      <c r="E58" s="6" t="s">
        <v>230</v>
      </c>
      <c r="F58" s="6" t="s">
        <v>230</v>
      </c>
      <c r="G58" s="6" t="s">
        <v>230</v>
      </c>
      <c r="H58" s="6" t="s">
        <v>230</v>
      </c>
      <c r="I58" s="6" t="s">
        <v>230</v>
      </c>
      <c r="J58" s="6" t="s">
        <v>230</v>
      </c>
      <c r="K58" s="6" t="s">
        <v>230</v>
      </c>
      <c r="L58" s="6" t="s">
        <v>230</v>
      </c>
      <c r="M58" s="6" t="s">
        <v>230</v>
      </c>
      <c r="N58" s="6" t="s">
        <v>230</v>
      </c>
      <c r="O58" s="6" t="s">
        <v>230</v>
      </c>
      <c r="P58" s="6" t="s">
        <v>230</v>
      </c>
      <c r="Q58" s="6" t="s">
        <v>230</v>
      </c>
      <c r="R58" s="6" t="s">
        <v>230</v>
      </c>
      <c r="S58" s="6" t="s">
        <v>230</v>
      </c>
      <c r="T58" s="6" t="s">
        <v>230</v>
      </c>
      <c r="U58" s="6" t="s">
        <v>230</v>
      </c>
      <c r="V58" s="6" t="s">
        <v>230</v>
      </c>
      <c r="W58" s="6" t="s">
        <v>230</v>
      </c>
      <c r="X58" s="6" t="s">
        <v>230</v>
      </c>
      <c r="Y58" s="6" t="s">
        <v>230</v>
      </c>
      <c r="Z58" s="6" t="s">
        <v>230</v>
      </c>
      <c r="AA58" s="6" t="s">
        <v>230</v>
      </c>
      <c r="AB58" s="6" t="s">
        <v>230</v>
      </c>
      <c r="AC58" s="88" t="s">
        <v>230</v>
      </c>
      <c r="AD58" s="6" t="s">
        <v>230</v>
      </c>
      <c r="AE58" s="6" t="s">
        <v>230</v>
      </c>
      <c r="AF58" s="88" t="s">
        <v>230</v>
      </c>
      <c r="AG58" s="6" t="s">
        <v>230</v>
      </c>
      <c r="AH58" s="88" t="s">
        <v>230</v>
      </c>
      <c r="AI58" s="6" t="s">
        <v>230</v>
      </c>
      <c r="AJ58" s="88"/>
      <c r="AK58" s="6" t="s">
        <v>230</v>
      </c>
      <c r="AL58" s="6" t="s">
        <v>230</v>
      </c>
      <c r="AM58" s="6" t="s">
        <v>230</v>
      </c>
      <c r="AN58" s="28">
        <v>22</v>
      </c>
    </row>
    <row r="59" spans="1:40" x14ac:dyDescent="0.3">
      <c r="A59" s="41" t="s">
        <v>126</v>
      </c>
      <c r="B59" s="91" t="s">
        <v>230</v>
      </c>
      <c r="C59" s="91" t="s">
        <v>230</v>
      </c>
      <c r="D59" s="91" t="s">
        <v>230</v>
      </c>
      <c r="E59" s="91" t="s">
        <v>230</v>
      </c>
      <c r="F59" s="91" t="s">
        <v>230</v>
      </c>
      <c r="G59" s="91" t="s">
        <v>230</v>
      </c>
      <c r="H59" s="91" t="s">
        <v>230</v>
      </c>
      <c r="I59" s="91" t="s">
        <v>230</v>
      </c>
      <c r="J59" s="91" t="s">
        <v>230</v>
      </c>
      <c r="K59" s="91" t="s">
        <v>230</v>
      </c>
      <c r="L59" s="91" t="s">
        <v>230</v>
      </c>
      <c r="M59" s="91" t="s">
        <v>230</v>
      </c>
      <c r="N59" s="91" t="s">
        <v>230</v>
      </c>
      <c r="O59" s="91" t="s">
        <v>230</v>
      </c>
      <c r="P59" s="91" t="s">
        <v>230</v>
      </c>
      <c r="Q59" s="91" t="s">
        <v>230</v>
      </c>
      <c r="R59" s="91" t="s">
        <v>230</v>
      </c>
      <c r="S59" s="91" t="s">
        <v>230</v>
      </c>
      <c r="T59" s="91" t="s">
        <v>230</v>
      </c>
      <c r="U59" s="91" t="s">
        <v>230</v>
      </c>
      <c r="V59" s="91" t="s">
        <v>230</v>
      </c>
      <c r="W59" s="91" t="s">
        <v>230</v>
      </c>
      <c r="X59" s="91" t="s">
        <v>230</v>
      </c>
      <c r="Y59" s="91" t="s">
        <v>230</v>
      </c>
      <c r="Z59" s="91" t="s">
        <v>230</v>
      </c>
      <c r="AA59" s="91" t="s">
        <v>230</v>
      </c>
      <c r="AB59" s="91" t="s">
        <v>230</v>
      </c>
      <c r="AC59" s="99" t="s">
        <v>230</v>
      </c>
      <c r="AD59" s="91" t="s">
        <v>230</v>
      </c>
      <c r="AE59" s="91" t="s">
        <v>230</v>
      </c>
      <c r="AF59" s="99" t="s">
        <v>230</v>
      </c>
      <c r="AG59" s="91" t="s">
        <v>230</v>
      </c>
      <c r="AH59" s="99" t="s">
        <v>230</v>
      </c>
      <c r="AI59" s="91" t="s">
        <v>230</v>
      </c>
      <c r="AJ59" s="99"/>
      <c r="AK59" s="91" t="s">
        <v>230</v>
      </c>
      <c r="AL59" s="91" t="s">
        <v>230</v>
      </c>
      <c r="AM59" s="91" t="s">
        <v>230</v>
      </c>
      <c r="AN59" s="90">
        <v>21</v>
      </c>
    </row>
    <row r="60" spans="1:40" x14ac:dyDescent="0.3">
      <c r="A60" s="25" t="s">
        <v>79</v>
      </c>
      <c r="B60" s="6" t="s">
        <v>230</v>
      </c>
      <c r="C60" s="6" t="s">
        <v>230</v>
      </c>
      <c r="D60" s="6" t="s">
        <v>230</v>
      </c>
      <c r="E60" s="6" t="s">
        <v>230</v>
      </c>
      <c r="F60" s="6" t="s">
        <v>230</v>
      </c>
      <c r="G60" s="6" t="s">
        <v>230</v>
      </c>
      <c r="H60" s="6" t="s">
        <v>230</v>
      </c>
      <c r="I60" s="6">
        <v>17.599</v>
      </c>
      <c r="J60" s="6" t="s">
        <v>230</v>
      </c>
      <c r="K60" s="6" t="s">
        <v>230</v>
      </c>
      <c r="L60" s="6" t="s">
        <v>230</v>
      </c>
      <c r="M60" s="6" t="s">
        <v>230</v>
      </c>
      <c r="N60" s="6" t="s">
        <v>230</v>
      </c>
      <c r="O60" s="6" t="s">
        <v>230</v>
      </c>
      <c r="P60" s="6" t="s">
        <v>230</v>
      </c>
      <c r="Q60" s="6" t="s">
        <v>230</v>
      </c>
      <c r="R60" s="6" t="s">
        <v>230</v>
      </c>
      <c r="S60" s="6" t="s">
        <v>230</v>
      </c>
      <c r="T60" s="6" t="s">
        <v>230</v>
      </c>
      <c r="U60" s="6" t="s">
        <v>230</v>
      </c>
      <c r="V60" s="6" t="s">
        <v>230</v>
      </c>
      <c r="W60" s="6" t="s">
        <v>230</v>
      </c>
      <c r="X60" s="6" t="s">
        <v>230</v>
      </c>
      <c r="Y60" s="6" t="s">
        <v>230</v>
      </c>
      <c r="Z60" s="6" t="s">
        <v>230</v>
      </c>
      <c r="AA60" s="6" t="s">
        <v>230</v>
      </c>
      <c r="AB60" s="6" t="s">
        <v>230</v>
      </c>
      <c r="AC60" s="88" t="s">
        <v>230</v>
      </c>
      <c r="AD60" s="6" t="s">
        <v>230</v>
      </c>
      <c r="AE60" s="6" t="s">
        <v>230</v>
      </c>
      <c r="AF60" s="88" t="s">
        <v>230</v>
      </c>
      <c r="AG60" s="6" t="s">
        <v>230</v>
      </c>
      <c r="AH60" s="88" t="s">
        <v>230</v>
      </c>
      <c r="AI60" s="6">
        <v>0.1</v>
      </c>
      <c r="AJ60" s="88"/>
      <c r="AK60" s="6"/>
      <c r="AL60" s="6"/>
      <c r="AM60" s="6"/>
      <c r="AN60" s="28"/>
    </row>
    <row r="61" spans="1:40" ht="16.2" thickBot="1" x14ac:dyDescent="0.35">
      <c r="A61" s="26" t="s">
        <v>127</v>
      </c>
      <c r="B61" s="7" t="s">
        <v>230</v>
      </c>
      <c r="C61" s="7" t="s">
        <v>230</v>
      </c>
      <c r="D61" s="7"/>
      <c r="E61" s="7" t="s">
        <v>230</v>
      </c>
      <c r="F61" s="7" t="s">
        <v>230</v>
      </c>
      <c r="G61" s="7" t="s">
        <v>230</v>
      </c>
      <c r="H61" s="7" t="s">
        <v>230</v>
      </c>
      <c r="I61" s="7" t="s">
        <v>230</v>
      </c>
      <c r="J61" s="7" t="s">
        <v>230</v>
      </c>
      <c r="K61" s="7" t="s">
        <v>230</v>
      </c>
      <c r="L61" s="7" t="s">
        <v>230</v>
      </c>
      <c r="M61" s="7" t="s">
        <v>230</v>
      </c>
      <c r="N61" s="7" t="s">
        <v>230</v>
      </c>
      <c r="O61" s="7" t="s">
        <v>230</v>
      </c>
      <c r="P61" s="7" t="s">
        <v>230</v>
      </c>
      <c r="Q61" s="7" t="s">
        <v>230</v>
      </c>
      <c r="R61" s="7" t="s">
        <v>230</v>
      </c>
      <c r="S61" s="7" t="s">
        <v>230</v>
      </c>
      <c r="T61" s="7" t="s">
        <v>230</v>
      </c>
      <c r="U61" s="7">
        <v>22.666999999999998</v>
      </c>
      <c r="V61" s="7" t="s">
        <v>230</v>
      </c>
      <c r="W61" s="7" t="s">
        <v>230</v>
      </c>
      <c r="X61" s="7" t="s">
        <v>230</v>
      </c>
      <c r="Y61" s="7" t="s">
        <v>230</v>
      </c>
      <c r="Z61" s="7" t="s">
        <v>230</v>
      </c>
      <c r="AA61" s="7" t="s">
        <v>230</v>
      </c>
      <c r="AB61" s="7" t="s">
        <v>230</v>
      </c>
      <c r="AC61" s="89" t="s">
        <v>230</v>
      </c>
      <c r="AD61" s="7" t="s">
        <v>230</v>
      </c>
      <c r="AE61" s="7" t="s">
        <v>230</v>
      </c>
      <c r="AF61" s="89" t="s">
        <v>230</v>
      </c>
      <c r="AG61" s="7" t="s">
        <v>230</v>
      </c>
      <c r="AH61" s="89" t="s">
        <v>230</v>
      </c>
      <c r="AI61" s="7" t="s">
        <v>230</v>
      </c>
      <c r="AJ61" s="89">
        <v>0.1</v>
      </c>
      <c r="AK61" s="7"/>
      <c r="AL61" s="7"/>
      <c r="AM61" s="7"/>
      <c r="AN61" s="8"/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63F82-A1C0-450F-A6BA-E327D67D2CCA}">
  <sheetPr>
    <tabColor theme="5" tint="0.79998168889431442"/>
  </sheetPr>
  <dimension ref="A1:C4"/>
  <sheetViews>
    <sheetView workbookViewId="0">
      <selection activeCell="A8" sqref="A8"/>
    </sheetView>
  </sheetViews>
  <sheetFormatPr defaultColWidth="9.109375" defaultRowHeight="15.6" x14ac:dyDescent="0.3"/>
  <cols>
    <col min="1" max="16384" width="9.109375" style="1"/>
  </cols>
  <sheetData>
    <row r="1" spans="1:3" ht="16.2" thickBot="1" x14ac:dyDescent="0.35">
      <c r="A1" s="1" t="str">
        <f>_xlfn.CONCAT( "Table of Pipeline Capacity Expansion Costs [",VLOOKUP("currency", Units!$A$2:$B$11, 2, FALSE),"/(", VLOOKUP("volume", Units!$A$2:$B$11, 2, FALSE),"/", VLOOKUP("time", Units!$A$2:$B$11, 2, FALSE),")]")</f>
        <v>Table of Pipeline Capacity Expansion Costs [USD/(bbl/week)]</v>
      </c>
    </row>
    <row r="2" spans="1:3" x14ac:dyDescent="0.3">
      <c r="A2" s="3" t="s">
        <v>205</v>
      </c>
      <c r="B2" s="77" t="s">
        <v>205</v>
      </c>
      <c r="C2" s="24" t="s">
        <v>87</v>
      </c>
    </row>
    <row r="3" spans="1:3" x14ac:dyDescent="0.3">
      <c r="A3" s="25" t="s">
        <v>128</v>
      </c>
      <c r="B3" s="104" t="s">
        <v>80</v>
      </c>
      <c r="C3" s="28">
        <v>30</v>
      </c>
    </row>
    <row r="4" spans="1:3" ht="16.2" thickBot="1" x14ac:dyDescent="0.35">
      <c r="A4" s="26" t="s">
        <v>80</v>
      </c>
      <c r="B4" s="105" t="s">
        <v>128</v>
      </c>
      <c r="C4" s="8">
        <v>30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E49D4-5953-41A3-9445-43C5CEE52016}">
  <sheetPr>
    <tabColor theme="5" tint="0.79998168889431442"/>
  </sheetPr>
  <dimension ref="A1:B3"/>
  <sheetViews>
    <sheetView workbookViewId="0">
      <selection activeCell="A8" sqref="A8"/>
    </sheetView>
  </sheetViews>
  <sheetFormatPr defaultColWidth="9.33203125" defaultRowHeight="15.6" x14ac:dyDescent="0.3"/>
  <cols>
    <col min="1" max="1" width="20.44140625" style="1" customWidth="1"/>
    <col min="2" max="16384" width="9.33203125" style="1"/>
  </cols>
  <sheetData>
    <row r="1" spans="1:2" ht="16.2" thickBot="1" x14ac:dyDescent="0.35">
      <c r="A1" s="1" t="str">
        <f>_xlfn.CONCAT( "Table of Pipeline Capacity Expansion Increments [",VLOOKUP("volume", Units!$A$2:$B$11, 2, FALSE),"/", VLOOKUP("time", Units!$A$2:$B$11, 2, FALSE),"]")</f>
        <v>Table of Pipeline Capacity Expansion Increments [bbl/week]</v>
      </c>
    </row>
    <row r="2" spans="1:2" x14ac:dyDescent="0.3">
      <c r="A2" s="3" t="s">
        <v>214</v>
      </c>
      <c r="B2" s="24" t="s">
        <v>207</v>
      </c>
    </row>
    <row r="3" spans="1:2" ht="16.2" thickBot="1" x14ac:dyDescent="0.35">
      <c r="A3" s="26" t="s">
        <v>87</v>
      </c>
      <c r="B3" s="3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B8273-C388-463D-8494-0D66D9ED9BA0}">
  <sheetPr>
    <tabColor theme="5" tint="0.79998168889431442"/>
  </sheetPr>
  <dimension ref="A1:B3"/>
  <sheetViews>
    <sheetView workbookViewId="0">
      <selection activeCell="A8" sqref="A8"/>
    </sheetView>
  </sheetViews>
  <sheetFormatPr defaultColWidth="9.33203125" defaultRowHeight="15.6" x14ac:dyDescent="0.3"/>
  <cols>
    <col min="1" max="1" width="20.88671875" style="1" customWidth="1"/>
    <col min="2" max="16384" width="9.33203125" style="1"/>
  </cols>
  <sheetData>
    <row r="1" spans="1:2" ht="16.2" thickBot="1" x14ac:dyDescent="0.35">
      <c r="A1" s="1" t="str">
        <f>_xlfn.CONCAT( "Table of Pipeline Diameters [",VLOOKUP("diameter", Units!$A$2:$B$11, 2, FALSE),"]")</f>
        <v>Table of Pipeline Diameters [inch]</v>
      </c>
    </row>
    <row r="2" spans="1:2" x14ac:dyDescent="0.3">
      <c r="A2" s="3" t="s">
        <v>214</v>
      </c>
      <c r="B2" s="24" t="s">
        <v>207</v>
      </c>
    </row>
    <row r="3" spans="1:2" ht="16.2" thickBot="1" x14ac:dyDescent="0.35">
      <c r="A3" s="26" t="s">
        <v>87</v>
      </c>
      <c r="B3" s="3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45C9D-7A15-425D-8487-B88B27280274}">
  <sheetPr>
    <tabColor rgb="FFAFF3DE"/>
  </sheetPr>
  <dimension ref="A1:C10"/>
  <sheetViews>
    <sheetView workbookViewId="0">
      <selection activeCell="A8" sqref="A8"/>
    </sheetView>
  </sheetViews>
  <sheetFormatPr defaultColWidth="9.33203125" defaultRowHeight="15.6" x14ac:dyDescent="0.3"/>
  <cols>
    <col min="1" max="1" width="16.5546875" style="1" customWidth="1"/>
    <col min="2" max="2" width="24" style="1" bestFit="1" customWidth="1"/>
    <col min="3" max="16384" width="9.33203125" style="1"/>
  </cols>
  <sheetData>
    <row r="1" spans="1:3" ht="16.2" thickBot="1" x14ac:dyDescent="0.35">
      <c r="A1" s="1" t="s">
        <v>173</v>
      </c>
    </row>
    <row r="2" spans="1:3" s="5" customFormat="1" x14ac:dyDescent="0.3">
      <c r="A2" s="3" t="s">
        <v>212</v>
      </c>
      <c r="B2" s="77" t="s">
        <v>276</v>
      </c>
      <c r="C2" s="24" t="s">
        <v>207</v>
      </c>
    </row>
    <row r="3" spans="1:3" s="5" customFormat="1" x14ac:dyDescent="0.3">
      <c r="A3" s="25" t="s">
        <v>79</v>
      </c>
      <c r="B3" s="78" t="s">
        <v>273</v>
      </c>
      <c r="C3" s="28">
        <v>0.95</v>
      </c>
    </row>
    <row r="4" spans="1:3" x14ac:dyDescent="0.3">
      <c r="A4" s="25" t="s">
        <v>127</v>
      </c>
      <c r="B4" s="78" t="s">
        <v>273</v>
      </c>
      <c r="C4" s="28">
        <v>0.95</v>
      </c>
    </row>
    <row r="5" spans="1:3" x14ac:dyDescent="0.3">
      <c r="A5" s="25" t="s">
        <v>79</v>
      </c>
      <c r="B5" s="78" t="s">
        <v>274</v>
      </c>
      <c r="C5" s="28">
        <v>0.95</v>
      </c>
    </row>
    <row r="6" spans="1:3" ht="16.2" thickBot="1" x14ac:dyDescent="0.35">
      <c r="A6" s="26" t="s">
        <v>127</v>
      </c>
      <c r="B6" s="79" t="s">
        <v>274</v>
      </c>
      <c r="C6" s="8">
        <v>0.95</v>
      </c>
    </row>
    <row r="7" spans="1:3" x14ac:dyDescent="0.3">
      <c r="A7" s="10"/>
      <c r="B7" s="10"/>
      <c r="C7" s="10"/>
    </row>
    <row r="8" spans="1:3" x14ac:dyDescent="0.3">
      <c r="A8" s="10"/>
      <c r="B8" s="10"/>
      <c r="C8" s="10"/>
    </row>
    <row r="9" spans="1:3" x14ac:dyDescent="0.3">
      <c r="A9" s="10"/>
      <c r="B9" s="10"/>
      <c r="C9" s="10"/>
    </row>
    <row r="10" spans="1:3" x14ac:dyDescent="0.3">
      <c r="A10" s="10"/>
      <c r="B10" s="10"/>
      <c r="C10" s="10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FF4F0-1521-4984-985F-ECB7FE3DE71E}">
  <sheetPr>
    <tabColor theme="9" tint="0.79998168889431442"/>
  </sheetPr>
  <dimension ref="A1:P9"/>
  <sheetViews>
    <sheetView workbookViewId="0">
      <selection activeCell="A11" sqref="A11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16" x14ac:dyDescent="0.3">
      <c r="A1" s="1" t="s">
        <v>69</v>
      </c>
    </row>
    <row r="2" spans="1:16" x14ac:dyDescent="0.3">
      <c r="A2" s="2" t="s">
        <v>66</v>
      </c>
    </row>
    <row r="3" spans="1:16" x14ac:dyDescent="0.3">
      <c r="A3" s="2" t="s">
        <v>67</v>
      </c>
      <c r="N3" s="10"/>
      <c r="O3" s="10"/>
      <c r="P3" s="10"/>
    </row>
    <row r="4" spans="1:16" x14ac:dyDescent="0.3">
      <c r="A4" s="2" t="s">
        <v>121</v>
      </c>
    </row>
    <row r="5" spans="1:16" x14ac:dyDescent="0.3">
      <c r="A5" s="2" t="s">
        <v>122</v>
      </c>
    </row>
    <row r="6" spans="1:16" x14ac:dyDescent="0.3">
      <c r="A6" s="2" t="s">
        <v>123</v>
      </c>
    </row>
    <row r="7" spans="1:16" x14ac:dyDescent="0.3">
      <c r="A7" s="2" t="s">
        <v>124</v>
      </c>
    </row>
    <row r="8" spans="1:16" x14ac:dyDescent="0.3">
      <c r="A8" s="2" t="s">
        <v>125</v>
      </c>
    </row>
    <row r="9" spans="1:16" x14ac:dyDescent="0.3">
      <c r="A9" s="2" t="s">
        <v>126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2EEB0-CDB8-48FA-AC3A-32F164C0112D}">
  <sheetPr>
    <tabColor rgb="FFAFF3DE"/>
  </sheetPr>
  <dimension ref="A1:D6"/>
  <sheetViews>
    <sheetView workbookViewId="0">
      <selection activeCell="A8" sqref="A8"/>
    </sheetView>
  </sheetViews>
  <sheetFormatPr defaultColWidth="9.109375" defaultRowHeight="15.6" x14ac:dyDescent="0.3"/>
  <cols>
    <col min="1" max="1" width="17.33203125" style="1" customWidth="1"/>
    <col min="2" max="2" width="26" style="1" customWidth="1"/>
    <col min="3" max="16384" width="9.109375" style="1"/>
  </cols>
  <sheetData>
    <row r="1" spans="1:4" ht="16.2" thickBot="1" x14ac:dyDescent="0.35">
      <c r="A1" s="1" t="s">
        <v>284</v>
      </c>
    </row>
    <row r="2" spans="1:4" x14ac:dyDescent="0.3">
      <c r="A2" s="3" t="s">
        <v>212</v>
      </c>
      <c r="B2" s="77" t="s">
        <v>276</v>
      </c>
      <c r="C2" s="77" t="s">
        <v>229</v>
      </c>
      <c r="D2" s="24" t="s">
        <v>283</v>
      </c>
    </row>
    <row r="3" spans="1:4" x14ac:dyDescent="0.3">
      <c r="A3" s="25" t="s">
        <v>79</v>
      </c>
      <c r="B3" s="78" t="s">
        <v>273</v>
      </c>
      <c r="C3" s="118">
        <v>0</v>
      </c>
      <c r="D3" s="28">
        <v>0.9</v>
      </c>
    </row>
    <row r="4" spans="1:4" x14ac:dyDescent="0.3">
      <c r="A4" s="25" t="s">
        <v>127</v>
      </c>
      <c r="B4" s="78" t="s">
        <v>273</v>
      </c>
      <c r="C4" s="118">
        <v>0</v>
      </c>
      <c r="D4" s="28">
        <v>0.9</v>
      </c>
    </row>
    <row r="5" spans="1:4" x14ac:dyDescent="0.3">
      <c r="A5" s="25" t="s">
        <v>79</v>
      </c>
      <c r="B5" s="78" t="s">
        <v>274</v>
      </c>
      <c r="C5" s="118">
        <v>0</v>
      </c>
      <c r="D5" s="28">
        <v>0.9</v>
      </c>
    </row>
    <row r="6" spans="1:4" ht="16.2" thickBot="1" x14ac:dyDescent="0.35">
      <c r="A6" s="26" t="s">
        <v>127</v>
      </c>
      <c r="B6" s="79" t="s">
        <v>274</v>
      </c>
      <c r="C6" s="119">
        <v>0</v>
      </c>
      <c r="D6" s="8">
        <v>0.9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CDB1D-7C9B-45C0-BC80-50ECEB2FE439}">
  <sheetPr>
    <tabColor rgb="FFAFF3DE"/>
  </sheetPr>
  <dimension ref="A1:B4"/>
  <sheetViews>
    <sheetView workbookViewId="0">
      <selection activeCell="A8" sqref="A8"/>
    </sheetView>
  </sheetViews>
  <sheetFormatPr defaultColWidth="9.109375" defaultRowHeight="15.6" x14ac:dyDescent="0.3"/>
  <cols>
    <col min="1" max="1" width="25.109375" style="1" customWidth="1"/>
    <col min="2" max="16384" width="9.109375" style="1"/>
  </cols>
  <sheetData>
    <row r="1" spans="1:2" ht="16.2" thickBot="1" x14ac:dyDescent="0.35">
      <c r="A1" s="1" t="s">
        <v>282</v>
      </c>
    </row>
    <row r="2" spans="1:2" x14ac:dyDescent="0.3">
      <c r="A2" s="80" t="s">
        <v>276</v>
      </c>
      <c r="B2" s="24" t="s">
        <v>207</v>
      </c>
    </row>
    <row r="3" spans="1:2" x14ac:dyDescent="0.3">
      <c r="A3" s="81" t="s">
        <v>273</v>
      </c>
      <c r="B3" s="34">
        <v>0</v>
      </c>
    </row>
    <row r="4" spans="1:2" ht="16.2" thickBot="1" x14ac:dyDescent="0.35">
      <c r="A4" s="82" t="s">
        <v>274</v>
      </c>
      <c r="B4" s="36">
        <v>0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001D5-70DF-464C-8122-7D31EBC77774}">
  <sheetPr>
    <tabColor rgb="FFAFF3DE"/>
  </sheetPr>
  <dimension ref="A1:B8"/>
  <sheetViews>
    <sheetView workbookViewId="0">
      <selection activeCell="A8" sqref="A8"/>
    </sheetView>
  </sheetViews>
  <sheetFormatPr defaultColWidth="9.109375" defaultRowHeight="15.6" x14ac:dyDescent="0.3"/>
  <cols>
    <col min="1" max="1" width="20.5546875" style="1" customWidth="1"/>
    <col min="2" max="16384" width="9.109375" style="1"/>
  </cols>
  <sheetData>
    <row r="1" spans="1:2" ht="16.2" thickBot="1" x14ac:dyDescent="0.35">
      <c r="A1" s="1" t="s">
        <v>278</v>
      </c>
    </row>
    <row r="2" spans="1:2" x14ac:dyDescent="0.3">
      <c r="A2" s="3" t="s">
        <v>212</v>
      </c>
      <c r="B2" s="24" t="s">
        <v>207</v>
      </c>
    </row>
    <row r="3" spans="1:2" x14ac:dyDescent="0.3">
      <c r="A3" s="25" t="s">
        <v>79</v>
      </c>
      <c r="B3" s="28">
        <v>0</v>
      </c>
    </row>
    <row r="4" spans="1:2" ht="16.2" thickBot="1" x14ac:dyDescent="0.35">
      <c r="A4" s="26" t="s">
        <v>127</v>
      </c>
      <c r="B4" s="8">
        <v>0</v>
      </c>
    </row>
    <row r="5" spans="1:2" x14ac:dyDescent="0.3">
      <c r="A5" s="10"/>
      <c r="B5" s="10"/>
    </row>
    <row r="6" spans="1:2" x14ac:dyDescent="0.3">
      <c r="A6" s="10"/>
      <c r="B6" s="10"/>
    </row>
    <row r="7" spans="1:2" x14ac:dyDescent="0.3">
      <c r="A7" s="10"/>
      <c r="B7" s="10"/>
    </row>
    <row r="8" spans="1:2" x14ac:dyDescent="0.3">
      <c r="A8" s="10"/>
      <c r="B8" s="10"/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1595C-A60B-44E7-B403-F81EBA7A1A29}">
  <sheetPr>
    <tabColor rgb="FFAFF3DE"/>
  </sheetPr>
  <dimension ref="A1"/>
  <sheetViews>
    <sheetView workbookViewId="0">
      <selection activeCell="A8" sqref="A8"/>
    </sheetView>
  </sheetViews>
  <sheetFormatPr defaultColWidth="9.109375" defaultRowHeight="15.6" x14ac:dyDescent="0.3"/>
  <cols>
    <col min="1" max="16384" width="9.109375" style="1"/>
  </cols>
  <sheetData>
    <row r="1" spans="1:1" x14ac:dyDescent="0.3">
      <c r="A1" s="1" t="str">
        <f>_xlfn.CONCAT( "Table with credit received for sending water to beneficial reuse [",VLOOKUP("currency", Units!$A$2:$B$11, 2, FALSE),"/", VLOOKUP("volume", Units!$A$2:$B$11, 2, FALSE),"]")</f>
        <v>Table with credit received for sending water to beneficial reuse [USD/bbl]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5E840-A652-4014-8BA7-131503FECE29}">
  <sheetPr>
    <tabColor rgb="FFAFF3DE"/>
  </sheetPr>
  <dimension ref="A1:B6"/>
  <sheetViews>
    <sheetView workbookViewId="0">
      <selection activeCell="A8" sqref="A8"/>
    </sheetView>
  </sheetViews>
  <sheetFormatPr defaultColWidth="9.109375" defaultRowHeight="15.6" x14ac:dyDescent="0.3"/>
  <cols>
    <col min="1" max="1" width="20.109375" style="1" customWidth="1"/>
    <col min="2" max="16384" width="9.109375" style="1"/>
  </cols>
  <sheetData>
    <row r="1" spans="1:2" ht="16.2" thickBot="1" x14ac:dyDescent="0.35">
      <c r="A1" s="1" t="s">
        <v>277</v>
      </c>
    </row>
    <row r="2" spans="1:2" x14ac:dyDescent="0.3">
      <c r="A2" s="3" t="s">
        <v>208</v>
      </c>
      <c r="B2" s="24" t="s">
        <v>207</v>
      </c>
    </row>
    <row r="3" spans="1:2" x14ac:dyDescent="0.3">
      <c r="A3" s="25" t="s">
        <v>5</v>
      </c>
      <c r="B3" s="34">
        <v>0</v>
      </c>
    </row>
    <row r="4" spans="1:2" x14ac:dyDescent="0.3">
      <c r="A4" s="25" t="s">
        <v>116</v>
      </c>
      <c r="B4" s="34">
        <v>0</v>
      </c>
    </row>
    <row r="5" spans="1:2" x14ac:dyDescent="0.3">
      <c r="A5" s="25" t="s">
        <v>117</v>
      </c>
      <c r="B5" s="34">
        <v>0</v>
      </c>
    </row>
    <row r="6" spans="1:2" ht="16.2" thickBot="1" x14ac:dyDescent="0.35">
      <c r="A6" s="26" t="s">
        <v>118</v>
      </c>
      <c r="B6" s="36">
        <v>0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A568C-E2FB-4ADF-84D0-ABF3E0446F9A}">
  <sheetPr>
    <tabColor rgb="FFAFF3DE"/>
  </sheetPr>
  <dimension ref="A1:C6"/>
  <sheetViews>
    <sheetView workbookViewId="0">
      <selection activeCell="A8" sqref="A8"/>
    </sheetView>
  </sheetViews>
  <sheetFormatPr defaultColWidth="9.109375" defaultRowHeight="15.6" x14ac:dyDescent="0.3"/>
  <cols>
    <col min="1" max="1" width="22.109375" style="1" bestFit="1" customWidth="1"/>
    <col min="2" max="16384" width="9.109375" style="1"/>
  </cols>
  <sheetData>
    <row r="1" spans="1:3" ht="16.2" thickBot="1" x14ac:dyDescent="0.35">
      <c r="A1" s="27" t="s">
        <v>218</v>
      </c>
    </row>
    <row r="2" spans="1:3" x14ac:dyDescent="0.3">
      <c r="A2" s="3" t="s">
        <v>219</v>
      </c>
      <c r="B2" s="24" t="s">
        <v>220</v>
      </c>
    </row>
    <row r="3" spans="1:3" x14ac:dyDescent="0.3">
      <c r="A3" s="25" t="s">
        <v>221</v>
      </c>
      <c r="B3" s="34">
        <v>110</v>
      </c>
    </row>
    <row r="4" spans="1:3" x14ac:dyDescent="0.3">
      <c r="A4" s="25" t="s">
        <v>222</v>
      </c>
      <c r="B4" s="43">
        <v>0.03</v>
      </c>
    </row>
    <row r="5" spans="1:3" x14ac:dyDescent="0.3">
      <c r="A5" s="25" t="s">
        <v>299</v>
      </c>
      <c r="B5" s="34">
        <v>10</v>
      </c>
      <c r="C5" s="1" t="s">
        <v>291</v>
      </c>
    </row>
    <row r="6" spans="1:3" ht="16.2" thickBot="1" x14ac:dyDescent="0.35">
      <c r="A6" s="26" t="s">
        <v>300</v>
      </c>
      <c r="B6" s="36">
        <v>150</v>
      </c>
      <c r="C6" s="1" t="s">
        <v>291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07E06-ED03-4572-9B3E-05DAA3F2CF42}">
  <sheetPr>
    <tabColor rgb="FFAFF3DE"/>
  </sheetPr>
  <dimension ref="A1:B4"/>
  <sheetViews>
    <sheetView workbookViewId="0">
      <selection activeCell="A8" sqref="A8"/>
    </sheetView>
  </sheetViews>
  <sheetFormatPr defaultColWidth="9.109375" defaultRowHeight="15.6" x14ac:dyDescent="0.3"/>
  <cols>
    <col min="1" max="1" width="20" style="1" customWidth="1"/>
    <col min="2" max="16384" width="9.109375" style="1"/>
  </cols>
  <sheetData>
    <row r="1" spans="1:2" ht="16.2" thickBot="1" x14ac:dyDescent="0.35">
      <c r="A1" s="27" t="s">
        <v>225</v>
      </c>
    </row>
    <row r="2" spans="1:2" x14ac:dyDescent="0.3">
      <c r="A2" s="3" t="s">
        <v>219</v>
      </c>
      <c r="B2" s="24" t="s">
        <v>220</v>
      </c>
    </row>
    <row r="3" spans="1:2" x14ac:dyDescent="0.3">
      <c r="A3" s="25" t="s">
        <v>226</v>
      </c>
      <c r="B3" s="43">
        <v>0.08</v>
      </c>
    </row>
    <row r="4" spans="1:2" ht="16.2" thickBot="1" x14ac:dyDescent="0.35">
      <c r="A4" s="26" t="s">
        <v>227</v>
      </c>
      <c r="B4" s="36">
        <v>20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C97C0-70AD-4A71-BE9C-0931EDC97CA5}">
  <sheetPr>
    <tabColor theme="8" tint="0.79998168889431442"/>
  </sheetPr>
  <dimension ref="A1:C21"/>
  <sheetViews>
    <sheetView workbookViewId="0">
      <selection activeCell="A23" sqref="A23"/>
    </sheetView>
  </sheetViews>
  <sheetFormatPr defaultColWidth="9.109375" defaultRowHeight="15.6" x14ac:dyDescent="0.3"/>
  <cols>
    <col min="1" max="1" width="9.109375" style="1"/>
    <col min="2" max="2" width="12.6640625" style="1" bestFit="1" customWidth="1"/>
    <col min="3" max="16384" width="9.109375" style="1"/>
  </cols>
  <sheetData>
    <row r="1" spans="1:3" ht="16.2" thickBot="1" x14ac:dyDescent="0.35">
      <c r="A1" s="1" t="str">
        <f>_xlfn.CONCAT( "Table of Water Quality of Produced Water and Flowback Water [",VLOOKUP("concentration", Units!$A$2:$B$11, 2, FALSE),"]")</f>
        <v>Table of Water Quality of Produced Water and Flowback Water [mg/liter]</v>
      </c>
    </row>
    <row r="2" spans="1:3" x14ac:dyDescent="0.3">
      <c r="A2" s="3" t="s">
        <v>228</v>
      </c>
      <c r="B2" s="44" t="s">
        <v>229</v>
      </c>
      <c r="C2" s="44" t="s">
        <v>283</v>
      </c>
    </row>
    <row r="3" spans="1:3" x14ac:dyDescent="0.3">
      <c r="A3" s="45" t="s">
        <v>111</v>
      </c>
      <c r="B3" s="46">
        <v>142277</v>
      </c>
      <c r="C3" s="46">
        <v>92</v>
      </c>
    </row>
    <row r="4" spans="1:3" x14ac:dyDescent="0.3">
      <c r="A4" s="25" t="s">
        <v>3</v>
      </c>
      <c r="B4" s="47">
        <v>140998</v>
      </c>
      <c r="C4" s="47">
        <v>60</v>
      </c>
    </row>
    <row r="5" spans="1:3" x14ac:dyDescent="0.3">
      <c r="A5" s="25" t="s">
        <v>4</v>
      </c>
      <c r="B5" s="47">
        <v>172490.2</v>
      </c>
      <c r="C5" s="47">
        <v>105</v>
      </c>
    </row>
    <row r="6" spans="1:3" x14ac:dyDescent="0.3">
      <c r="A6" s="25" t="s">
        <v>103</v>
      </c>
      <c r="B6" s="47">
        <v>257547</v>
      </c>
      <c r="C6" s="120">
        <v>40</v>
      </c>
    </row>
    <row r="7" spans="1:3" x14ac:dyDescent="0.3">
      <c r="A7" s="25" t="s">
        <v>104</v>
      </c>
      <c r="B7" s="47">
        <v>241833.8</v>
      </c>
      <c r="C7" s="47">
        <v>92</v>
      </c>
    </row>
    <row r="8" spans="1:3" x14ac:dyDescent="0.3">
      <c r="A8" s="25" t="s">
        <v>105</v>
      </c>
      <c r="B8" s="47">
        <v>188503.7</v>
      </c>
      <c r="C8" s="47">
        <v>60</v>
      </c>
    </row>
    <row r="9" spans="1:3" x14ac:dyDescent="0.3">
      <c r="A9" s="25" t="s">
        <v>106</v>
      </c>
      <c r="B9" s="47">
        <v>146716</v>
      </c>
      <c r="C9" s="47">
        <v>105</v>
      </c>
    </row>
    <row r="10" spans="1:3" x14ac:dyDescent="0.3">
      <c r="A10" s="25" t="s">
        <v>107</v>
      </c>
      <c r="B10" s="47">
        <v>216563</v>
      </c>
      <c r="C10" s="120">
        <v>40</v>
      </c>
    </row>
    <row r="11" spans="1:3" x14ac:dyDescent="0.3">
      <c r="A11" s="25" t="s">
        <v>108</v>
      </c>
      <c r="B11" s="47">
        <v>150626</v>
      </c>
      <c r="C11" s="47">
        <v>92</v>
      </c>
    </row>
    <row r="12" spans="1:3" x14ac:dyDescent="0.3">
      <c r="A12" s="25" t="s">
        <v>109</v>
      </c>
      <c r="B12" s="47">
        <v>247061</v>
      </c>
      <c r="C12" s="47">
        <v>60</v>
      </c>
    </row>
    <row r="13" spans="1:3" x14ac:dyDescent="0.3">
      <c r="A13" s="25" t="s">
        <v>110</v>
      </c>
      <c r="B13" s="47">
        <v>180968</v>
      </c>
      <c r="C13" s="47">
        <v>105</v>
      </c>
    </row>
    <row r="14" spans="1:3" x14ac:dyDescent="0.3">
      <c r="A14" s="25" t="s">
        <v>112</v>
      </c>
      <c r="B14" s="47">
        <v>195584</v>
      </c>
      <c r="C14" s="47">
        <v>40</v>
      </c>
    </row>
    <row r="15" spans="1:3" x14ac:dyDescent="0.3">
      <c r="A15" s="25" t="s">
        <v>113</v>
      </c>
      <c r="B15" s="47">
        <v>148655</v>
      </c>
      <c r="C15" s="47">
        <v>60</v>
      </c>
    </row>
    <row r="16" spans="1:3" x14ac:dyDescent="0.3">
      <c r="A16" s="25" t="s">
        <v>114</v>
      </c>
      <c r="B16" s="47">
        <v>185369</v>
      </c>
      <c r="C16" s="47">
        <v>105</v>
      </c>
    </row>
    <row r="17" spans="1:3" x14ac:dyDescent="0.3">
      <c r="A17" s="41" t="s">
        <v>115</v>
      </c>
      <c r="B17" s="106">
        <v>222724</v>
      </c>
      <c r="C17" s="47">
        <v>40</v>
      </c>
    </row>
    <row r="18" spans="1:3" x14ac:dyDescent="0.3">
      <c r="A18" s="25" t="s">
        <v>5</v>
      </c>
      <c r="B18" s="47">
        <v>165376</v>
      </c>
      <c r="C18" s="46">
        <v>92</v>
      </c>
    </row>
    <row r="19" spans="1:3" x14ac:dyDescent="0.3">
      <c r="A19" s="25" t="s">
        <v>116</v>
      </c>
      <c r="B19" s="47">
        <v>240977</v>
      </c>
      <c r="C19" s="47">
        <v>60</v>
      </c>
    </row>
    <row r="20" spans="1:3" x14ac:dyDescent="0.3">
      <c r="A20" s="25" t="s">
        <v>117</v>
      </c>
      <c r="B20" s="47">
        <v>192794</v>
      </c>
      <c r="C20" s="47">
        <v>105</v>
      </c>
    </row>
    <row r="21" spans="1:3" ht="16.2" thickBot="1" x14ac:dyDescent="0.35">
      <c r="A21" s="26" t="s">
        <v>118</v>
      </c>
      <c r="B21" s="48">
        <v>216769</v>
      </c>
      <c r="C21" s="48">
        <v>40</v>
      </c>
    </row>
  </sheetData>
  <pageMargins left="0.7" right="0.7" top="0.75" bottom="0.75" header="0.3" footer="0.3"/>
  <pageSetup orientation="portrait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5401B3-8B00-41A4-BDC3-322B62874F13}">
  <sheetPr>
    <tabColor theme="8" tint="0.79998168889431442"/>
  </sheetPr>
  <dimension ref="A1:C4"/>
  <sheetViews>
    <sheetView workbookViewId="0">
      <selection activeCell="A8" sqref="A8"/>
    </sheetView>
  </sheetViews>
  <sheetFormatPr defaultColWidth="9.109375" defaultRowHeight="15.6" x14ac:dyDescent="0.3"/>
  <cols>
    <col min="1" max="1" width="9.109375" style="1"/>
    <col min="2" max="2" width="12.6640625" style="1" bestFit="1" customWidth="1"/>
    <col min="3" max="16384" width="9.109375" style="1"/>
  </cols>
  <sheetData>
    <row r="1" spans="1:3" ht="16.2" thickBot="1" x14ac:dyDescent="0.35">
      <c r="A1" s="1" t="str">
        <f>_xlfn.CONCAT( "Table of Initial Water Quality at Storage [",VLOOKUP("concentration", Units!$A$2:$B$11, 2, FALSE),"]")</f>
        <v>Table of Initial Water Quality at Storage [mg/liter]</v>
      </c>
    </row>
    <row r="2" spans="1:3" x14ac:dyDescent="0.3">
      <c r="A2" s="3" t="s">
        <v>228</v>
      </c>
      <c r="B2" s="77" t="s">
        <v>229</v>
      </c>
      <c r="C2" s="24" t="s">
        <v>283</v>
      </c>
    </row>
    <row r="3" spans="1:3" x14ac:dyDescent="0.3">
      <c r="A3" s="45" t="s">
        <v>78</v>
      </c>
      <c r="B3" s="123">
        <v>150000</v>
      </c>
      <c r="C3" s="121">
        <v>92</v>
      </c>
    </row>
    <row r="4" spans="1:3" ht="16.2" thickBot="1" x14ac:dyDescent="0.35">
      <c r="A4" s="26" t="s">
        <v>281</v>
      </c>
      <c r="B4" s="124">
        <v>150000</v>
      </c>
      <c r="C4" s="122">
        <v>100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5F8D1-3580-447F-A30D-0D2BFC2160E3}">
  <sheetPr>
    <tabColor theme="8" tint="0.79998168889431442"/>
  </sheetPr>
  <dimension ref="A1:C6"/>
  <sheetViews>
    <sheetView workbookViewId="0">
      <selection activeCell="A8" sqref="A8"/>
    </sheetView>
  </sheetViews>
  <sheetFormatPr defaultColWidth="9.109375" defaultRowHeight="15.6" x14ac:dyDescent="0.3"/>
  <cols>
    <col min="1" max="1" width="19.6640625" style="1" customWidth="1"/>
    <col min="2" max="2" width="12.5546875" style="1" bestFit="1" customWidth="1"/>
    <col min="3" max="16384" width="9.109375" style="1"/>
  </cols>
  <sheetData>
    <row r="1" spans="1:3" ht="16.2" thickBot="1" x14ac:dyDescent="0.35">
      <c r="A1" s="1" t="str">
        <f>_xlfn.CONCAT( "Table of Initial Water Quality at Completions Pad Storage [",VLOOKUP("concentration", Units!$A$2:$B$11, 2, FALSE),"]")</f>
        <v>Table of Initial Water Quality at Completions Pad Storage [mg/liter]</v>
      </c>
    </row>
    <row r="2" spans="1:3" x14ac:dyDescent="0.3">
      <c r="A2" s="3" t="s">
        <v>208</v>
      </c>
      <c r="B2" s="77" t="s">
        <v>229</v>
      </c>
      <c r="C2" s="24" t="s">
        <v>283</v>
      </c>
    </row>
    <row r="3" spans="1:3" x14ac:dyDescent="0.3">
      <c r="A3" s="25" t="s">
        <v>5</v>
      </c>
      <c r="B3" s="126">
        <v>150000</v>
      </c>
      <c r="C3" s="125">
        <v>30</v>
      </c>
    </row>
    <row r="4" spans="1:3" x14ac:dyDescent="0.3">
      <c r="A4" s="25" t="s">
        <v>116</v>
      </c>
      <c r="B4" s="126">
        <v>150000</v>
      </c>
      <c r="C4" s="125">
        <v>30</v>
      </c>
    </row>
    <row r="5" spans="1:3" x14ac:dyDescent="0.3">
      <c r="A5" s="25" t="s">
        <v>117</v>
      </c>
      <c r="B5" s="126">
        <v>150000</v>
      </c>
      <c r="C5" s="125">
        <v>20</v>
      </c>
    </row>
    <row r="6" spans="1:3" ht="16.2" thickBot="1" x14ac:dyDescent="0.35">
      <c r="A6" s="26" t="s">
        <v>118</v>
      </c>
      <c r="B6" s="124">
        <v>150000</v>
      </c>
      <c r="C6" s="122">
        <v>20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D7E5C-CD82-4DB8-A226-3E1C788BA0DC}">
  <sheetPr>
    <tabColor theme="9" tint="0.79998168889431442"/>
  </sheetPr>
  <dimension ref="A1:P3"/>
  <sheetViews>
    <sheetView workbookViewId="0">
      <selection activeCell="A8" sqref="A8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16" x14ac:dyDescent="0.3">
      <c r="A1" s="1" t="s">
        <v>70</v>
      </c>
    </row>
    <row r="2" spans="1:16" x14ac:dyDescent="0.3">
      <c r="A2" s="2" t="s">
        <v>78</v>
      </c>
    </row>
    <row r="3" spans="1:16" x14ac:dyDescent="0.3">
      <c r="A3" s="2" t="s">
        <v>281</v>
      </c>
      <c r="N3" s="10"/>
      <c r="O3" s="10"/>
      <c r="P3" s="10"/>
    </row>
  </sheetData>
  <pageMargins left="0.7" right="0.7" top="0.75" bottom="0.75" header="0.3" footer="0.3"/>
  <pageSetup orientation="portrait" r:id="rId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4FF4F-BE77-4B2B-AA15-8C256894B560}">
  <sheetPr>
    <tabColor theme="8" tint="0.79998168889431442"/>
  </sheetPr>
  <dimension ref="A1:F23"/>
  <sheetViews>
    <sheetView workbookViewId="0">
      <selection activeCell="E12" sqref="E12"/>
    </sheetView>
  </sheetViews>
  <sheetFormatPr defaultRowHeight="14.4" x14ac:dyDescent="0.3"/>
  <cols>
    <col min="1" max="1" width="62.44140625" bestFit="1" customWidth="1"/>
    <col min="2" max="2" width="16.6640625" bestFit="1" customWidth="1"/>
    <col min="3" max="3" width="9.88671875" bestFit="1" customWidth="1"/>
    <col min="4" max="4" width="13.88671875" bestFit="1" customWidth="1"/>
    <col min="5" max="7" width="9" bestFit="1" customWidth="1"/>
    <col min="8" max="8" width="10" bestFit="1" customWidth="1"/>
  </cols>
  <sheetData>
    <row r="1" spans="1:6" ht="16.2" thickBot="1" x14ac:dyDescent="0.35">
      <c r="A1" s="1" t="str">
        <f>_xlfn.CONCAT( "Table of Air Emissions Coefficients ")</f>
        <v xml:space="preserve">Table of Air Emissions Coefficients </v>
      </c>
      <c r="B1" s="1"/>
    </row>
    <row r="2" spans="1:6" ht="15.6" x14ac:dyDescent="0.3">
      <c r="A2" s="3" t="s">
        <v>219</v>
      </c>
      <c r="B2" s="4" t="s">
        <v>311</v>
      </c>
      <c r="C2" s="77" t="s">
        <v>312</v>
      </c>
      <c r="D2" s="77" t="s">
        <v>313</v>
      </c>
      <c r="E2" s="77" t="s">
        <v>314</v>
      </c>
      <c r="F2" s="44" t="s">
        <v>315</v>
      </c>
    </row>
    <row r="3" spans="1:6" ht="15.6" x14ac:dyDescent="0.3">
      <c r="A3" s="25" t="s">
        <v>316</v>
      </c>
      <c r="B3" s="118">
        <v>2035000</v>
      </c>
      <c r="C3" s="118">
        <v>35.75</v>
      </c>
      <c r="D3" s="118">
        <v>12649.999999999998</v>
      </c>
      <c r="E3" s="118">
        <v>770.00000000000011</v>
      </c>
      <c r="F3" s="118">
        <v>120.99999999999999</v>
      </c>
    </row>
    <row r="4" spans="1:6" ht="15.6" x14ac:dyDescent="0.3">
      <c r="A4" s="25" t="s">
        <v>317</v>
      </c>
      <c r="B4" s="118">
        <v>22</v>
      </c>
      <c r="C4" s="118">
        <v>2.0000000000000001E-4</v>
      </c>
      <c r="D4" s="118">
        <v>1.4E-2</v>
      </c>
      <c r="E4" s="118">
        <v>7.1000000000000004E-3</v>
      </c>
      <c r="F4" s="132">
        <v>8.5999999999999998E-4</v>
      </c>
    </row>
    <row r="5" spans="1:6" ht="15.6" x14ac:dyDescent="0.3">
      <c r="A5" s="25" t="s">
        <v>318</v>
      </c>
      <c r="B5" s="118">
        <v>310000000</v>
      </c>
      <c r="C5" s="118">
        <v>2800</v>
      </c>
      <c r="D5" s="118">
        <v>190000</v>
      </c>
      <c r="E5" s="118">
        <v>100000</v>
      </c>
      <c r="F5" s="132">
        <v>12000</v>
      </c>
    </row>
    <row r="6" spans="1:6" ht="15.6" x14ac:dyDescent="0.3">
      <c r="A6" s="25" t="s">
        <v>319</v>
      </c>
      <c r="B6" s="118">
        <v>970</v>
      </c>
      <c r="C6" s="118">
        <v>0.13</v>
      </c>
      <c r="D6" s="118">
        <v>9.5</v>
      </c>
      <c r="E6" s="118">
        <v>2.8</v>
      </c>
      <c r="F6" s="132">
        <v>0.87</v>
      </c>
    </row>
    <row r="7" spans="1:6" ht="16.2" thickBot="1" x14ac:dyDescent="0.35">
      <c r="A7" s="26" t="s">
        <v>320</v>
      </c>
      <c r="B7" s="119">
        <v>1000</v>
      </c>
      <c r="C7" s="119">
        <v>1.2E-2</v>
      </c>
      <c r="D7" s="119">
        <v>2</v>
      </c>
      <c r="E7" s="119">
        <v>0.65</v>
      </c>
      <c r="F7" s="133">
        <v>7.5999999999999998E-2</v>
      </c>
    </row>
    <row r="23" spans="3:3" x14ac:dyDescent="0.3">
      <c r="C23" t="s">
        <v>275</v>
      </c>
    </row>
  </sheetData>
  <pageMargins left="0.7" right="0.7" top="0.75" bottom="0.75" header="0.3" footer="0.3"/>
  <pageSetup orientation="portrait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30EC3B-F87A-4798-8467-7DBD495FEB3F}">
  <sheetPr>
    <tabColor theme="8" tint="0.79998168889431442"/>
  </sheetPr>
  <dimension ref="A1:F8"/>
  <sheetViews>
    <sheetView tabSelected="1" workbookViewId="0">
      <selection activeCell="B2" sqref="B2:F2"/>
    </sheetView>
  </sheetViews>
  <sheetFormatPr defaultRowHeight="14.4" x14ac:dyDescent="0.3"/>
  <cols>
    <col min="1" max="1" width="26.44140625" customWidth="1"/>
  </cols>
  <sheetData>
    <row r="1" spans="1:6" ht="16.2" thickBot="1" x14ac:dyDescent="0.35">
      <c r="A1" s="1" t="str">
        <f>_xlfn.CONCAT( "Table of Air Emissions Coefficients  for Treatment Technologies [emissions/volume time]")</f>
        <v>Table of Air Emissions Coefficients  for Treatment Technologies [emissions/volume time]</v>
      </c>
      <c r="B1" s="1"/>
    </row>
    <row r="2" spans="1:6" ht="15.6" x14ac:dyDescent="0.3">
      <c r="A2" s="134" t="s">
        <v>276</v>
      </c>
      <c r="B2" s="77" t="s">
        <v>311</v>
      </c>
      <c r="C2" s="77" t="s">
        <v>312</v>
      </c>
      <c r="D2" s="77" t="s">
        <v>313</v>
      </c>
      <c r="E2" s="77" t="s">
        <v>314</v>
      </c>
      <c r="F2" s="44" t="s">
        <v>315</v>
      </c>
    </row>
    <row r="3" spans="1:6" ht="15.6" x14ac:dyDescent="0.3">
      <c r="A3" s="135" t="s">
        <v>273</v>
      </c>
      <c r="B3" s="118">
        <v>9600</v>
      </c>
      <c r="C3" s="118">
        <v>1.45</v>
      </c>
      <c r="D3" s="118">
        <v>12.8</v>
      </c>
      <c r="E3" s="118">
        <v>13.5</v>
      </c>
      <c r="F3" s="132">
        <v>1.5</v>
      </c>
    </row>
    <row r="4" spans="1:6" ht="21" customHeight="1" thickBot="1" x14ac:dyDescent="0.35">
      <c r="A4" s="136" t="s">
        <v>274</v>
      </c>
      <c r="B4" s="119">
        <v>9600</v>
      </c>
      <c r="C4" s="119">
        <v>1.45</v>
      </c>
      <c r="D4" s="119">
        <v>12.8</v>
      </c>
      <c r="E4" s="119">
        <v>13.5</v>
      </c>
      <c r="F4" s="133">
        <v>1.5</v>
      </c>
    </row>
    <row r="8" spans="1:6" ht="21" customHeight="1" x14ac:dyDescent="0.3"/>
  </sheetData>
  <pageMargins left="0.7" right="0.7" top="0.75" bottom="0.75" header="0.3" footer="0.3"/>
  <pageSetup orientation="portrait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FBCBB-D890-4E0B-8B55-2105D6D6F963}">
  <sheetPr>
    <tabColor theme="0"/>
  </sheetPr>
  <dimension ref="A1:D6"/>
  <sheetViews>
    <sheetView workbookViewId="0">
      <selection activeCell="H4" sqref="H4"/>
    </sheetView>
  </sheetViews>
  <sheetFormatPr defaultRowHeight="14.4" x14ac:dyDescent="0.3"/>
  <sheetData>
    <row r="1" spans="1:4" ht="16.2" thickBot="1" x14ac:dyDescent="0.35">
      <c r="A1" s="1" t="str">
        <f>_xlfn.CONCAT( "Table of Treatment Expansion Lead Time [",VLOOKUP("decision period", Units!$A$2:$B$11, 2, FALSE),"s]")</f>
        <v>Table of Treatment Expansion Lead Time [weeks]</v>
      </c>
      <c r="B1" s="1"/>
      <c r="C1" s="1"/>
      <c r="D1" s="1"/>
    </row>
    <row r="2" spans="1:4" ht="15.6" x14ac:dyDescent="0.3">
      <c r="A2" s="3" t="s">
        <v>212</v>
      </c>
      <c r="B2" s="74" t="s">
        <v>276</v>
      </c>
      <c r="C2" s="4" t="s">
        <v>279</v>
      </c>
      <c r="D2" s="24" t="s">
        <v>280</v>
      </c>
    </row>
    <row r="3" spans="1:4" ht="15.6" x14ac:dyDescent="0.3">
      <c r="A3" s="25" t="s">
        <v>79</v>
      </c>
      <c r="B3" s="75" t="s">
        <v>273</v>
      </c>
      <c r="C3" s="33">
        <v>0</v>
      </c>
      <c r="D3" s="34">
        <v>68</v>
      </c>
    </row>
    <row r="4" spans="1:4" ht="15.6" x14ac:dyDescent="0.3">
      <c r="A4" s="41" t="s">
        <v>127</v>
      </c>
      <c r="B4" s="102" t="s">
        <v>273</v>
      </c>
      <c r="C4" s="95">
        <v>0</v>
      </c>
      <c r="D4" s="42">
        <v>68</v>
      </c>
    </row>
    <row r="5" spans="1:4" ht="15.6" x14ac:dyDescent="0.3">
      <c r="A5" s="25" t="s">
        <v>79</v>
      </c>
      <c r="B5" s="75" t="s">
        <v>274</v>
      </c>
      <c r="C5" s="33">
        <v>0</v>
      </c>
      <c r="D5" s="34">
        <v>68</v>
      </c>
    </row>
    <row r="6" spans="1:4" ht="16.2" thickBot="1" x14ac:dyDescent="0.35">
      <c r="A6" s="26" t="s">
        <v>127</v>
      </c>
      <c r="B6" s="76" t="s">
        <v>274</v>
      </c>
      <c r="C6" s="35">
        <v>0</v>
      </c>
      <c r="D6" s="36">
        <v>68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7DDE5-FDC2-4C70-890C-06DC683CFAEE}">
  <sheetPr>
    <tabColor theme="0"/>
  </sheetPr>
  <dimension ref="A1:B5"/>
  <sheetViews>
    <sheetView workbookViewId="0">
      <selection activeCell="A2" sqref="A2"/>
    </sheetView>
  </sheetViews>
  <sheetFormatPr defaultRowHeight="14.4" x14ac:dyDescent="0.3"/>
  <sheetData>
    <row r="1" spans="1:2" ht="16.2" thickBot="1" x14ac:dyDescent="0.35">
      <c r="A1" s="1" t="str">
        <f>_xlfn.CONCAT( "Table of Disposal Expansion Lead Time [",VLOOKUP("decision period", Units!$A$2:$B$11, 2, FALSE),"s]")</f>
        <v>Table of Disposal Expansion Lead Time [weeks]</v>
      </c>
      <c r="B1" s="1"/>
    </row>
    <row r="2" spans="1:2" ht="15.6" x14ac:dyDescent="0.3">
      <c r="A2" s="3" t="s">
        <v>209</v>
      </c>
      <c r="B2" s="24" t="s">
        <v>92</v>
      </c>
    </row>
    <row r="3" spans="1:2" ht="15.6" x14ac:dyDescent="0.3">
      <c r="A3" s="25" t="s">
        <v>120</v>
      </c>
      <c r="B3" s="34">
        <v>0</v>
      </c>
    </row>
    <row r="4" spans="1:2" ht="15.6" x14ac:dyDescent="0.3">
      <c r="A4" s="25" t="s">
        <v>51</v>
      </c>
      <c r="B4" s="34">
        <v>0</v>
      </c>
    </row>
    <row r="5" spans="1:2" ht="18" customHeight="1" thickBot="1" x14ac:dyDescent="0.35">
      <c r="A5" s="26" t="s">
        <v>119</v>
      </c>
      <c r="B5" s="36">
        <v>0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41EC2-F090-42D1-AFF8-3056037AC65C}">
  <sheetPr>
    <tabColor theme="0"/>
  </sheetPr>
  <dimension ref="A1:B4"/>
  <sheetViews>
    <sheetView workbookViewId="0">
      <selection activeCell="A2" sqref="A2"/>
    </sheetView>
  </sheetViews>
  <sheetFormatPr defaultRowHeight="14.4" x14ac:dyDescent="0.3"/>
  <sheetData>
    <row r="1" spans="1:2" ht="16.2" thickBot="1" x14ac:dyDescent="0.35">
      <c r="A1" s="1" t="str">
        <f>_xlfn.CONCAT( "Table of Storage Expansion Lead Time [",VLOOKUP("decision period", Units!$A$2:$B$11, 2, FALSE),"s]")</f>
        <v>Table of Storage Expansion Lead Time [weeks]</v>
      </c>
      <c r="B1" s="1"/>
    </row>
    <row r="2" spans="1:2" ht="15.6" x14ac:dyDescent="0.3">
      <c r="A2" s="3" t="s">
        <v>211</v>
      </c>
      <c r="B2" s="44" t="s">
        <v>89</v>
      </c>
    </row>
    <row r="3" spans="1:2" ht="15.6" x14ac:dyDescent="0.3">
      <c r="A3" s="25" t="s">
        <v>78</v>
      </c>
      <c r="B3" s="34">
        <v>0</v>
      </c>
    </row>
    <row r="4" spans="1:2" ht="16.2" thickBot="1" x14ac:dyDescent="0.35">
      <c r="A4" s="26" t="s">
        <v>281</v>
      </c>
      <c r="B4" s="36">
        <v>0</v>
      </c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8FE1C-5222-430C-A488-5C062B27C71E}">
  <sheetPr>
    <tabColor theme="0"/>
  </sheetPr>
  <dimension ref="A1:B3"/>
  <sheetViews>
    <sheetView workbookViewId="0">
      <selection activeCell="A2" sqref="A2"/>
    </sheetView>
  </sheetViews>
  <sheetFormatPr defaultRowHeight="14.4" x14ac:dyDescent="0.3"/>
  <cols>
    <col min="1" max="1" width="32.6640625" customWidth="1"/>
  </cols>
  <sheetData>
    <row r="1" spans="1:2" ht="16.2" thickBot="1" x14ac:dyDescent="0.35">
      <c r="A1" s="1" t="str">
        <f>_xlfn.CONCAT( "Table of Pipeline Expansion Lead Time - Distance Based [",VLOOKUP("decision period", Units!$A$2:$B$11, 2, FALSE),"s/",VLOOKUP("distance", Units!$A$2:$B$11, 2, FALSE),"]")</f>
        <v>Table of Pipeline Expansion Lead Time - Distance Based [weeks/mile]</v>
      </c>
    </row>
    <row r="2" spans="1:2" ht="15.6" x14ac:dyDescent="0.3">
      <c r="A2" s="3" t="s">
        <v>219</v>
      </c>
      <c r="B2" s="24" t="s">
        <v>220</v>
      </c>
    </row>
    <row r="3" spans="1:2" ht="16.2" thickBot="1" x14ac:dyDescent="0.35">
      <c r="A3" s="26" t="s">
        <v>310</v>
      </c>
      <c r="B3" s="127">
        <v>0.2</v>
      </c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C55AF-2723-4AFC-8D30-4EEF7BD23296}">
  <sheetPr>
    <tabColor theme="0"/>
  </sheetPr>
  <dimension ref="A1:C6"/>
  <sheetViews>
    <sheetView workbookViewId="0"/>
  </sheetViews>
  <sheetFormatPr defaultRowHeight="14.4" x14ac:dyDescent="0.3"/>
  <sheetData>
    <row r="1" spans="1:3" ht="16.2" thickBot="1" x14ac:dyDescent="0.35">
      <c r="A1" s="1" t="str">
        <f>_xlfn.CONCAT( "Table of Pipeline Expansion Lead Time - Capacity Based [",VLOOKUP("decision period", Units!$A$2:$B$11, 2, FALSE),"s]")</f>
        <v>Table of Pipeline Expansion Lead Time - Capacity Based [weeks]</v>
      </c>
      <c r="B1" s="1"/>
      <c r="C1" s="1"/>
    </row>
    <row r="2" spans="1:3" ht="15.6" x14ac:dyDescent="0.3">
      <c r="A2" s="3" t="s">
        <v>205</v>
      </c>
      <c r="B2" s="77" t="s">
        <v>205</v>
      </c>
      <c r="C2" s="24" t="s">
        <v>87</v>
      </c>
    </row>
    <row r="3" spans="1:3" ht="15.6" x14ac:dyDescent="0.3">
      <c r="A3" s="25" t="s">
        <v>130</v>
      </c>
      <c r="B3" s="128" t="s">
        <v>132</v>
      </c>
      <c r="C3" s="129">
        <v>0</v>
      </c>
    </row>
    <row r="4" spans="1:3" ht="15.6" x14ac:dyDescent="0.3">
      <c r="A4" s="25" t="s">
        <v>132</v>
      </c>
      <c r="B4" s="128" t="s">
        <v>130</v>
      </c>
      <c r="C4" s="129">
        <v>0</v>
      </c>
    </row>
    <row r="5" spans="1:3" ht="15.6" x14ac:dyDescent="0.3">
      <c r="A5" s="25" t="s">
        <v>129</v>
      </c>
      <c r="B5" s="128" t="s">
        <v>131</v>
      </c>
      <c r="C5" s="129">
        <v>0</v>
      </c>
    </row>
    <row r="6" spans="1:3" ht="16.2" thickBot="1" x14ac:dyDescent="0.35">
      <c r="A6" s="26" t="s">
        <v>131</v>
      </c>
      <c r="B6" s="130" t="s">
        <v>129</v>
      </c>
      <c r="C6" s="13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96</vt:i4>
      </vt:variant>
      <vt:variant>
        <vt:lpstr>Named Ranges</vt:lpstr>
      </vt:variant>
      <vt:variant>
        <vt:i4>1</vt:i4>
      </vt:variant>
    </vt:vector>
  </HeadingPairs>
  <TitlesOfParts>
    <vt:vector size="97" baseType="lpstr">
      <vt:lpstr>Overview</vt:lpstr>
      <vt:lpstr>Schematic</vt:lpstr>
      <vt:lpstr>Units</vt:lpstr>
      <vt:lpstr>ProductionPads</vt:lpstr>
      <vt:lpstr>ProductionTanks</vt:lpstr>
      <vt:lpstr>CompletionsPads</vt:lpstr>
      <vt:lpstr>SWDSites</vt:lpstr>
      <vt:lpstr>FreshwaterSources</vt:lpstr>
      <vt:lpstr>StorageSites</vt:lpstr>
      <vt:lpstr>TreatmentSites</vt:lpstr>
      <vt:lpstr>TreatmentTechnologies</vt:lpstr>
      <vt:lpstr>ReuseOptions</vt:lpstr>
      <vt:lpstr>NetworkNodes</vt:lpstr>
      <vt:lpstr>PipelineDiameters</vt:lpstr>
      <vt:lpstr>StorageCapacities</vt:lpstr>
      <vt:lpstr>TreatmentCapacities</vt:lpstr>
      <vt:lpstr>InjectionCapacities</vt:lpstr>
      <vt:lpstr>PNA</vt:lpstr>
      <vt:lpstr>CNA</vt:lpstr>
      <vt:lpstr>CCA</vt:lpstr>
      <vt:lpstr>NNA</vt:lpstr>
      <vt:lpstr>NCA</vt:lpstr>
      <vt:lpstr>NKA</vt:lpstr>
      <vt:lpstr>NRA</vt:lpstr>
      <vt:lpstr>NSA</vt:lpstr>
      <vt:lpstr>NOA</vt:lpstr>
      <vt:lpstr>SNA</vt:lpstr>
      <vt:lpstr>SOA</vt:lpstr>
      <vt:lpstr>FCA</vt:lpstr>
      <vt:lpstr>RCA</vt:lpstr>
      <vt:lpstr>RSA</vt:lpstr>
      <vt:lpstr>SCA</vt:lpstr>
      <vt:lpstr>RNA</vt:lpstr>
      <vt:lpstr>ROA</vt:lpstr>
      <vt:lpstr>PCT</vt:lpstr>
      <vt:lpstr>FCT</vt:lpstr>
      <vt:lpstr>PKT</vt:lpstr>
      <vt:lpstr>CKT</vt:lpstr>
      <vt:lpstr>CCT</vt:lpstr>
      <vt:lpstr>CST</vt:lpstr>
      <vt:lpstr>RST</vt:lpstr>
      <vt:lpstr>ROT</vt:lpstr>
      <vt:lpstr>SOT</vt:lpstr>
      <vt:lpstr>Elevation</vt:lpstr>
      <vt:lpstr>CompletionsDemand</vt:lpstr>
      <vt:lpstr>PadRates</vt:lpstr>
      <vt:lpstr>FlowbackRates</vt:lpstr>
      <vt:lpstr>WellPressure</vt:lpstr>
      <vt:lpstr>InitialPipelineCapacity</vt:lpstr>
      <vt:lpstr>InitialPipelineDiameters</vt:lpstr>
      <vt:lpstr>InitialDisposalCapacity</vt:lpstr>
      <vt:lpstr>InitialStorageCapacity</vt:lpstr>
      <vt:lpstr>InitialTreatmentCapacity</vt:lpstr>
      <vt:lpstr>ReuseMinimum</vt:lpstr>
      <vt:lpstr>ReuseCapacity</vt:lpstr>
      <vt:lpstr>FreshwaterSourcingAvailability</vt:lpstr>
      <vt:lpstr>CompletionsPadStorage</vt:lpstr>
      <vt:lpstr>PadOffloadingCapacity</vt:lpstr>
      <vt:lpstr>NodeCapacities</vt:lpstr>
      <vt:lpstr>DisposalOperatingCapacity</vt:lpstr>
      <vt:lpstr>DisposalOperationalCost</vt:lpstr>
      <vt:lpstr>TreatmentOperationalCost</vt:lpstr>
      <vt:lpstr>ReuseOperationalCost</vt:lpstr>
      <vt:lpstr>PipelineOperationalCost</vt:lpstr>
      <vt:lpstr>FreshSourcingCost</vt:lpstr>
      <vt:lpstr>TruckingHourlyCost</vt:lpstr>
      <vt:lpstr>TruckingTime</vt:lpstr>
      <vt:lpstr>DisposalExpansionCost</vt:lpstr>
      <vt:lpstr>DisposalCapacityIncrements</vt:lpstr>
      <vt:lpstr>StorageExpansionCost</vt:lpstr>
      <vt:lpstr>StorageCapacityIncrements</vt:lpstr>
      <vt:lpstr>TreatmentExpansionCost</vt:lpstr>
      <vt:lpstr>TreatmentCapacityIncrements</vt:lpstr>
      <vt:lpstr>PipelineCapexDistanceBased</vt:lpstr>
      <vt:lpstr>PipelineExpansionDistance</vt:lpstr>
      <vt:lpstr>PipelineCapexCapacityBased</vt:lpstr>
      <vt:lpstr>PipelineCapacityIncrements</vt:lpstr>
      <vt:lpstr>PipelineDiameterValues</vt:lpstr>
      <vt:lpstr>TreatmentEfficiency</vt:lpstr>
      <vt:lpstr>RemovalEfficiency</vt:lpstr>
      <vt:lpstr>DesalinationTechnologies</vt:lpstr>
      <vt:lpstr>DesalinationSites</vt:lpstr>
      <vt:lpstr>BeneficialReuseCredit</vt:lpstr>
      <vt:lpstr>CompletionsPadOutsideSystem</vt:lpstr>
      <vt:lpstr>Hydraulics</vt:lpstr>
      <vt:lpstr>Economics</vt:lpstr>
      <vt:lpstr>PadWaterQuality</vt:lpstr>
      <vt:lpstr>StorageInitialWaterQuality</vt:lpstr>
      <vt:lpstr>PadStorageInitialWaterQuality</vt:lpstr>
      <vt:lpstr>AirEmissionCoefficients</vt:lpstr>
      <vt:lpstr>TreatmentEmissionCoefficients</vt:lpstr>
      <vt:lpstr>TreatmentExpansionLeadTime</vt:lpstr>
      <vt:lpstr>DisposalExpansionLeadTime</vt:lpstr>
      <vt:lpstr>StorageExpansionLeadTime</vt:lpstr>
      <vt:lpstr>PipelineExpansionLeadTime_Dist</vt:lpstr>
      <vt:lpstr>PipelineExpansionLeadTime_Capac</vt:lpstr>
      <vt:lpstr>PipelineExpansionDistance!Extract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Drouven, Markus G.</dc:creator>
  <cp:lastModifiedBy>Melody Shellman</cp:lastModifiedBy>
  <dcterms:created xsi:type="dcterms:W3CDTF">2021-03-26T14:51:49Z</dcterms:created>
  <dcterms:modified xsi:type="dcterms:W3CDTF">2023-11-05T16:05:00Z</dcterms:modified>
</cp:coreProperties>
</file>