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 activeTab="1"/>
  </bookViews>
  <sheets>
    <sheet name="Setembro" sheetId="1" r:id="rId1"/>
    <sheet name="Outubro" sheetId="4" r:id="rId2"/>
    <sheet name="Novembro" sheetId="3" r:id="rId3"/>
    <sheet name="Dezembro" sheetId="5" r:id="rId4"/>
  </sheets>
  <calcPr calcId="144525"/>
</workbook>
</file>

<file path=xl/calcChain.xml><?xml version="1.0" encoding="utf-8"?>
<calcChain xmlns="http://schemas.openxmlformats.org/spreadsheetml/2006/main">
  <c r="K23" i="1" l="1"/>
  <c r="L18" i="5"/>
  <c r="L19" i="5" s="1"/>
  <c r="K24" i="5" s="1"/>
  <c r="L3" i="5"/>
  <c r="L4" i="5"/>
  <c r="D28" i="5"/>
  <c r="E28" i="5" s="1"/>
  <c r="H28" i="5" s="1"/>
  <c r="E27" i="5"/>
  <c r="H27" i="5" s="1"/>
  <c r="D27" i="5"/>
  <c r="F27" i="5" s="1"/>
  <c r="G27" i="5" s="1"/>
  <c r="D26" i="5"/>
  <c r="E26" i="5" s="1"/>
  <c r="F26" i="5" s="1"/>
  <c r="G26" i="5" s="1"/>
  <c r="D25" i="5"/>
  <c r="E25" i="5" s="1"/>
  <c r="H25" i="5" s="1"/>
  <c r="D24" i="5"/>
  <c r="E24" i="5" s="1"/>
  <c r="F24" i="5" s="1"/>
  <c r="G24" i="5" s="1"/>
  <c r="D23" i="5"/>
  <c r="E23" i="5" s="1"/>
  <c r="H23" i="5" s="1"/>
  <c r="E22" i="5"/>
  <c r="F22" i="5" s="1"/>
  <c r="G22" i="5" s="1"/>
  <c r="D22" i="5"/>
  <c r="D21" i="5"/>
  <c r="E21" i="5" s="1"/>
  <c r="D20" i="5"/>
  <c r="E20" i="5" s="1"/>
  <c r="H20" i="5" s="1"/>
  <c r="D19" i="5"/>
  <c r="E19" i="5" s="1"/>
  <c r="D18" i="5"/>
  <c r="D29" i="5" s="1"/>
  <c r="D12" i="5"/>
  <c r="E12" i="5" s="1"/>
  <c r="H12" i="5" s="1"/>
  <c r="N11" i="5"/>
  <c r="D11" i="5"/>
  <c r="E11" i="5" s="1"/>
  <c r="D10" i="5"/>
  <c r="D9" i="5"/>
  <c r="E9" i="5" s="1"/>
  <c r="D8" i="5"/>
  <c r="D7" i="5"/>
  <c r="E7" i="5" s="1"/>
  <c r="F7" i="5" s="1"/>
  <c r="G7" i="5" s="1"/>
  <c r="D6" i="5"/>
  <c r="E6" i="5" s="1"/>
  <c r="M5" i="5"/>
  <c r="K10" i="5" s="1"/>
  <c r="D5" i="5"/>
  <c r="D4" i="5"/>
  <c r="D3" i="5"/>
  <c r="D13" i="5" s="1"/>
  <c r="L18" i="3"/>
  <c r="L19" i="3" s="1"/>
  <c r="K24" i="3" s="1"/>
  <c r="L3" i="3"/>
  <c r="L4" i="3"/>
  <c r="D28" i="3"/>
  <c r="E28" i="3" s="1"/>
  <c r="H28" i="3" s="1"/>
  <c r="E27" i="3"/>
  <c r="H27" i="3" s="1"/>
  <c r="D27" i="3"/>
  <c r="F27" i="3" s="1"/>
  <c r="G27" i="3" s="1"/>
  <c r="D26" i="3"/>
  <c r="E26" i="3" s="1"/>
  <c r="F26" i="3" s="1"/>
  <c r="G26" i="3" s="1"/>
  <c r="D25" i="3"/>
  <c r="E25" i="3" s="1"/>
  <c r="H25" i="3" s="1"/>
  <c r="D24" i="3"/>
  <c r="E24" i="3" s="1"/>
  <c r="F24" i="3" s="1"/>
  <c r="G24" i="3" s="1"/>
  <c r="D23" i="3"/>
  <c r="E23" i="3" s="1"/>
  <c r="H23" i="3" s="1"/>
  <c r="E22" i="3"/>
  <c r="F22" i="3" s="1"/>
  <c r="G22" i="3" s="1"/>
  <c r="D22" i="3"/>
  <c r="D21" i="3"/>
  <c r="D20" i="3"/>
  <c r="E20" i="3" s="1"/>
  <c r="H20" i="3" s="1"/>
  <c r="D19" i="3"/>
  <c r="E18" i="3"/>
  <c r="D18" i="3"/>
  <c r="D12" i="3"/>
  <c r="E12" i="3" s="1"/>
  <c r="H12" i="3" s="1"/>
  <c r="N11" i="3"/>
  <c r="D11" i="3"/>
  <c r="D10" i="3"/>
  <c r="D9" i="3"/>
  <c r="D8" i="3"/>
  <c r="D7" i="3"/>
  <c r="E6" i="3"/>
  <c r="H6" i="3" s="1"/>
  <c r="D6" i="3"/>
  <c r="D5" i="3"/>
  <c r="D4" i="3"/>
  <c r="E4" i="3" s="1"/>
  <c r="M5" i="3"/>
  <c r="K10" i="3" s="1"/>
  <c r="E3" i="3"/>
  <c r="H3" i="3" s="1"/>
  <c r="D3" i="3"/>
  <c r="L18" i="4"/>
  <c r="L3" i="4"/>
  <c r="L4" i="4"/>
  <c r="M5" i="4"/>
  <c r="K10" i="4" s="1"/>
  <c r="D28" i="4"/>
  <c r="E28" i="4" s="1"/>
  <c r="H28" i="4" s="1"/>
  <c r="E27" i="4"/>
  <c r="H27" i="4" s="1"/>
  <c r="D27" i="4"/>
  <c r="F27" i="4" s="1"/>
  <c r="G27" i="4" s="1"/>
  <c r="D26" i="4"/>
  <c r="E26" i="4" s="1"/>
  <c r="F26" i="4" s="1"/>
  <c r="G26" i="4" s="1"/>
  <c r="D25" i="4"/>
  <c r="E25" i="4" s="1"/>
  <c r="H25" i="4" s="1"/>
  <c r="D24" i="4"/>
  <c r="E24" i="4" s="1"/>
  <c r="F24" i="4" s="1"/>
  <c r="G24" i="4" s="1"/>
  <c r="D23" i="4"/>
  <c r="E23" i="4" s="1"/>
  <c r="H23" i="4" s="1"/>
  <c r="E22" i="4"/>
  <c r="F22" i="4" s="1"/>
  <c r="G22" i="4" s="1"/>
  <c r="D22" i="4"/>
  <c r="D21" i="4"/>
  <c r="E21" i="4" s="1"/>
  <c r="D20" i="4"/>
  <c r="E20" i="4" s="1"/>
  <c r="H20" i="4" s="1"/>
  <c r="R19" i="4"/>
  <c r="K23" i="4" s="1"/>
  <c r="D19" i="4"/>
  <c r="E19" i="4" s="1"/>
  <c r="L19" i="4"/>
  <c r="K24" i="4" s="1"/>
  <c r="D18" i="4"/>
  <c r="D29" i="4" s="1"/>
  <c r="D12" i="4"/>
  <c r="E12" i="4" s="1"/>
  <c r="H12" i="4" s="1"/>
  <c r="N11" i="4"/>
  <c r="D11" i="4"/>
  <c r="E11" i="4" s="1"/>
  <c r="D10" i="4"/>
  <c r="E10" i="4" s="1"/>
  <c r="H10" i="4" s="1"/>
  <c r="D9" i="4"/>
  <c r="E9" i="4" s="1"/>
  <c r="D8" i="4"/>
  <c r="E7" i="4"/>
  <c r="F7" i="4" s="1"/>
  <c r="G7" i="4" s="1"/>
  <c r="D7" i="4"/>
  <c r="D6" i="4"/>
  <c r="E6" i="4" s="1"/>
  <c r="D5" i="4"/>
  <c r="E5" i="4" s="1"/>
  <c r="H5" i="4" s="1"/>
  <c r="D4" i="4"/>
  <c r="E4" i="4" s="1"/>
  <c r="D3" i="4"/>
  <c r="D13" i="4" s="1"/>
  <c r="K10" i="1"/>
  <c r="K24" i="1"/>
  <c r="R4" i="1"/>
  <c r="R19" i="1"/>
  <c r="L19" i="1"/>
  <c r="M5" i="1"/>
  <c r="L18" i="1"/>
  <c r="K9" i="1"/>
  <c r="D28" i="1"/>
  <c r="E28" i="1" s="1"/>
  <c r="H28" i="1" s="1"/>
  <c r="D27" i="1"/>
  <c r="D26" i="1"/>
  <c r="E26" i="1" s="1"/>
  <c r="F26" i="1" s="1"/>
  <c r="G26" i="1" s="1"/>
  <c r="D25" i="1"/>
  <c r="E25" i="1" s="1"/>
  <c r="H25" i="1" s="1"/>
  <c r="D24" i="1"/>
  <c r="E24" i="1" s="1"/>
  <c r="F24" i="1" s="1"/>
  <c r="G24" i="1" s="1"/>
  <c r="D23" i="1"/>
  <c r="E23" i="1" s="1"/>
  <c r="H23" i="1" s="1"/>
  <c r="D22" i="1"/>
  <c r="E22" i="1" s="1"/>
  <c r="F22" i="1" s="1"/>
  <c r="G22" i="1" s="1"/>
  <c r="D21" i="1"/>
  <c r="D20" i="1"/>
  <c r="E20" i="1" s="1"/>
  <c r="H20" i="1" s="1"/>
  <c r="D19" i="1"/>
  <c r="E19" i="1" s="1"/>
  <c r="H19" i="1" s="1"/>
  <c r="D18" i="1"/>
  <c r="D12" i="1"/>
  <c r="E12" i="1" s="1"/>
  <c r="H12" i="1" s="1"/>
  <c r="N11" i="1"/>
  <c r="D11" i="1"/>
  <c r="E11" i="1" s="1"/>
  <c r="H11" i="1" s="1"/>
  <c r="D10" i="1"/>
  <c r="E10" i="1" s="1"/>
  <c r="D9" i="1"/>
  <c r="E9" i="1" s="1"/>
  <c r="H9" i="1" s="1"/>
  <c r="D8" i="1"/>
  <c r="E8" i="1" s="1"/>
  <c r="D7" i="1"/>
  <c r="D6" i="1"/>
  <c r="E6" i="1" s="1"/>
  <c r="H6" i="1" s="1"/>
  <c r="D5" i="1"/>
  <c r="E5" i="1" s="1"/>
  <c r="H5" i="1" s="1"/>
  <c r="D4" i="1"/>
  <c r="D3" i="1"/>
  <c r="E18" i="4" l="1"/>
  <c r="F18" i="4" s="1"/>
  <c r="G18" i="4" s="1"/>
  <c r="F6" i="3"/>
  <c r="G6" i="3" s="1"/>
  <c r="D13" i="3"/>
  <c r="E9" i="3"/>
  <c r="H9" i="3" s="1"/>
  <c r="E11" i="3"/>
  <c r="H11" i="3" s="1"/>
  <c r="E7" i="3"/>
  <c r="H7" i="3" s="1"/>
  <c r="F21" i="3"/>
  <c r="G21" i="3" s="1"/>
  <c r="F19" i="3"/>
  <c r="G19" i="3" s="1"/>
  <c r="E19" i="3"/>
  <c r="H19" i="3" s="1"/>
  <c r="E21" i="3"/>
  <c r="H21" i="3" s="1"/>
  <c r="D29" i="3"/>
  <c r="E18" i="5"/>
  <c r="F18" i="5" s="1"/>
  <c r="G18" i="5" s="1"/>
  <c r="H6" i="5"/>
  <c r="F6" i="5"/>
  <c r="G6" i="5" s="1"/>
  <c r="H9" i="5"/>
  <c r="F9" i="5"/>
  <c r="G9" i="5" s="1"/>
  <c r="H11" i="5"/>
  <c r="F11" i="5"/>
  <c r="G11" i="5" s="1"/>
  <c r="H21" i="5"/>
  <c r="F21" i="5"/>
  <c r="G21" i="5" s="1"/>
  <c r="H19" i="5"/>
  <c r="F19" i="5"/>
  <c r="G19" i="5" s="1"/>
  <c r="E4" i="5"/>
  <c r="H4" i="5" s="1"/>
  <c r="E3" i="5"/>
  <c r="H7" i="5"/>
  <c r="F12" i="5"/>
  <c r="G12" i="5" s="1"/>
  <c r="H18" i="5"/>
  <c r="F20" i="5"/>
  <c r="G20" i="5" s="1"/>
  <c r="H22" i="5"/>
  <c r="F23" i="5"/>
  <c r="G23" i="5" s="1"/>
  <c r="H24" i="5"/>
  <c r="F25" i="5"/>
  <c r="G25" i="5" s="1"/>
  <c r="H26" i="5"/>
  <c r="F28" i="5"/>
  <c r="G28" i="5" s="1"/>
  <c r="E29" i="5"/>
  <c r="E5" i="5"/>
  <c r="H5" i="5" s="1"/>
  <c r="E8" i="5"/>
  <c r="H8" i="5" s="1"/>
  <c r="E10" i="5"/>
  <c r="H10" i="5" s="1"/>
  <c r="E29" i="3"/>
  <c r="H4" i="3"/>
  <c r="F4" i="3"/>
  <c r="G4" i="3" s="1"/>
  <c r="F12" i="3"/>
  <c r="G12" i="3" s="1"/>
  <c r="H18" i="3"/>
  <c r="H29" i="3" s="1"/>
  <c r="F20" i="3"/>
  <c r="G20" i="3" s="1"/>
  <c r="H22" i="3"/>
  <c r="F23" i="3"/>
  <c r="G23" i="3" s="1"/>
  <c r="H24" i="3"/>
  <c r="F25" i="3"/>
  <c r="G25" i="3" s="1"/>
  <c r="H26" i="3"/>
  <c r="F28" i="3"/>
  <c r="G28" i="3" s="1"/>
  <c r="F3" i="3"/>
  <c r="E5" i="3"/>
  <c r="H5" i="3" s="1"/>
  <c r="E8" i="3"/>
  <c r="H8" i="3" s="1"/>
  <c r="E10" i="3"/>
  <c r="H10" i="3" s="1"/>
  <c r="F18" i="3"/>
  <c r="F4" i="4"/>
  <c r="G4" i="4" s="1"/>
  <c r="H4" i="4"/>
  <c r="H6" i="4"/>
  <c r="F6" i="4"/>
  <c r="G6" i="4" s="1"/>
  <c r="H9" i="4"/>
  <c r="F9" i="4"/>
  <c r="G9" i="4" s="1"/>
  <c r="H11" i="4"/>
  <c r="F11" i="4"/>
  <c r="G11" i="4" s="1"/>
  <c r="H21" i="4"/>
  <c r="F21" i="4"/>
  <c r="G21" i="4" s="1"/>
  <c r="H19" i="4"/>
  <c r="F19" i="4"/>
  <c r="G19" i="4" s="1"/>
  <c r="F5" i="4"/>
  <c r="G5" i="4" s="1"/>
  <c r="F10" i="4"/>
  <c r="G10" i="4" s="1"/>
  <c r="H7" i="4"/>
  <c r="F12" i="4"/>
  <c r="G12" i="4" s="1"/>
  <c r="H18" i="4"/>
  <c r="F20" i="4"/>
  <c r="G20" i="4" s="1"/>
  <c r="H22" i="4"/>
  <c r="F23" i="4"/>
  <c r="G23" i="4" s="1"/>
  <c r="H24" i="4"/>
  <c r="F25" i="4"/>
  <c r="G25" i="4" s="1"/>
  <c r="H26" i="4"/>
  <c r="F28" i="4"/>
  <c r="G28" i="4" s="1"/>
  <c r="E29" i="4"/>
  <c r="E8" i="4"/>
  <c r="H8" i="4" s="1"/>
  <c r="E3" i="4"/>
  <c r="D13" i="1"/>
  <c r="E3" i="1"/>
  <c r="H3" i="1" s="1"/>
  <c r="F9" i="1"/>
  <c r="G9" i="1" s="1"/>
  <c r="F12" i="1"/>
  <c r="G12" i="1" s="1"/>
  <c r="F11" i="1"/>
  <c r="G11" i="1" s="1"/>
  <c r="F19" i="1"/>
  <c r="G19" i="1" s="1"/>
  <c r="E21" i="1"/>
  <c r="H21" i="1" s="1"/>
  <c r="D29" i="1"/>
  <c r="H8" i="1"/>
  <c r="F8" i="1"/>
  <c r="G8" i="1" s="1"/>
  <c r="H10" i="1"/>
  <c r="F10" i="1"/>
  <c r="G10" i="1" s="1"/>
  <c r="F20" i="1"/>
  <c r="G20" i="1" s="1"/>
  <c r="H22" i="1"/>
  <c r="F23" i="1"/>
  <c r="G23" i="1" s="1"/>
  <c r="H24" i="1"/>
  <c r="F25" i="1"/>
  <c r="G25" i="1" s="1"/>
  <c r="H26" i="1"/>
  <c r="F28" i="1"/>
  <c r="G28" i="1" s="1"/>
  <c r="F6" i="1"/>
  <c r="G6" i="1" s="1"/>
  <c r="E7" i="1"/>
  <c r="H7" i="1" s="1"/>
  <c r="E18" i="1"/>
  <c r="E27" i="1"/>
  <c r="H27" i="1" s="1"/>
  <c r="E4" i="1"/>
  <c r="H4" i="1" s="1"/>
  <c r="F5" i="1"/>
  <c r="G5" i="1" s="1"/>
  <c r="F8" i="4" l="1"/>
  <c r="G8" i="4" s="1"/>
  <c r="H13" i="3"/>
  <c r="F11" i="3"/>
  <c r="G11" i="3" s="1"/>
  <c r="F7" i="3"/>
  <c r="G7" i="3" s="1"/>
  <c r="F9" i="3"/>
  <c r="G9" i="3" s="1"/>
  <c r="F4" i="5"/>
  <c r="G4" i="5" s="1"/>
  <c r="F3" i="5"/>
  <c r="E13" i="5"/>
  <c r="H3" i="5"/>
  <c r="H13" i="5" s="1"/>
  <c r="F8" i="5"/>
  <c r="G8" i="5" s="1"/>
  <c r="H29" i="5"/>
  <c r="F29" i="5"/>
  <c r="F5" i="5"/>
  <c r="G5" i="5" s="1"/>
  <c r="F10" i="5"/>
  <c r="G10" i="5" s="1"/>
  <c r="G29" i="5"/>
  <c r="K22" i="5" s="1"/>
  <c r="G18" i="3"/>
  <c r="G29" i="3" s="1"/>
  <c r="F29" i="3"/>
  <c r="G3" i="3"/>
  <c r="E13" i="3"/>
  <c r="F10" i="3"/>
  <c r="G10" i="3" s="1"/>
  <c r="F8" i="3"/>
  <c r="G8" i="3" s="1"/>
  <c r="F5" i="3"/>
  <c r="G5" i="3" s="1"/>
  <c r="H3" i="4"/>
  <c r="H13" i="4" s="1"/>
  <c r="E13" i="4"/>
  <c r="F3" i="4"/>
  <c r="F29" i="4"/>
  <c r="H29" i="4"/>
  <c r="G29" i="4"/>
  <c r="H13" i="1"/>
  <c r="F3" i="1"/>
  <c r="G3" i="1" s="1"/>
  <c r="F21" i="1"/>
  <c r="G21" i="1" s="1"/>
  <c r="H18" i="1"/>
  <c r="H29" i="1" s="1"/>
  <c r="E29" i="1"/>
  <c r="F7" i="1"/>
  <c r="G7" i="1" s="1"/>
  <c r="F18" i="1"/>
  <c r="F4" i="1"/>
  <c r="G4" i="1" s="1"/>
  <c r="E13" i="1"/>
  <c r="F27" i="1"/>
  <c r="G27" i="1" s="1"/>
  <c r="K22" i="4" l="1"/>
  <c r="K25" i="4" s="1"/>
  <c r="K22" i="3"/>
  <c r="F13" i="5"/>
  <c r="G3" i="5"/>
  <c r="G13" i="5" s="1"/>
  <c r="K8" i="5" s="1"/>
  <c r="G13" i="3"/>
  <c r="K8" i="3" s="1"/>
  <c r="F13" i="3"/>
  <c r="F13" i="4"/>
  <c r="G3" i="4"/>
  <c r="G13" i="4" s="1"/>
  <c r="K8" i="4" s="1"/>
  <c r="F13" i="1"/>
  <c r="G13" i="1"/>
  <c r="K8" i="1" s="1"/>
  <c r="K11" i="1" s="1"/>
  <c r="F29" i="1"/>
  <c r="G18" i="1"/>
  <c r="G29" i="1" s="1"/>
  <c r="K22" i="1" s="1"/>
  <c r="Q18" i="1" l="1"/>
  <c r="K25" i="1" l="1"/>
  <c r="Q3" i="4" s="1"/>
  <c r="R4" i="4" s="1"/>
  <c r="K9" i="4" s="1"/>
  <c r="K11" i="4" s="1"/>
  <c r="Q18" i="4" s="1"/>
  <c r="Q3" i="3" s="1"/>
  <c r="R4" i="3" s="1"/>
  <c r="K9" i="3" s="1"/>
  <c r="K11" i="3" s="1"/>
  <c r="Q18" i="3" s="1"/>
  <c r="R19" i="3" s="1"/>
  <c r="K23" i="3" s="1"/>
  <c r="K25" i="3" s="1"/>
  <c r="Q3" i="5" s="1"/>
  <c r="R4" i="5" s="1"/>
  <c r="K9" i="5" s="1"/>
  <c r="K11" i="5" s="1"/>
  <c r="Q18" i="5" s="1"/>
  <c r="R19" i="5" s="1"/>
  <c r="K23" i="5" s="1"/>
  <c r="K25" i="5" s="1"/>
</calcChain>
</file>

<file path=xl/sharedStrings.xml><?xml version="1.0" encoding="utf-8"?>
<sst xmlns="http://schemas.openxmlformats.org/spreadsheetml/2006/main" count="298" uniqueCount="36">
  <si>
    <t>Entrada</t>
  </si>
  <si>
    <t>Saida</t>
  </si>
  <si>
    <t>Trabalhada-almoço</t>
  </si>
  <si>
    <t>Extra</t>
  </si>
  <si>
    <t>Trabalhada-Extra</t>
  </si>
  <si>
    <t>$ Trabalhado - Extra</t>
  </si>
  <si>
    <t>$ Extra</t>
  </si>
  <si>
    <t>A receber</t>
  </si>
  <si>
    <t>P/ Dia</t>
  </si>
  <si>
    <t>Data</t>
  </si>
  <si>
    <t>Descrição</t>
  </si>
  <si>
    <t>Valor</t>
  </si>
  <si>
    <t>Vale</t>
  </si>
  <si>
    <t>Total</t>
  </si>
  <si>
    <t>Salario</t>
  </si>
  <si>
    <t>almoço</t>
  </si>
  <si>
    <t>R$</t>
  </si>
  <si>
    <t xml:space="preserve"> </t>
  </si>
  <si>
    <t>P/Hora</t>
  </si>
  <si>
    <t>P/Extra</t>
  </si>
  <si>
    <t>Descontar</t>
  </si>
  <si>
    <t>S</t>
  </si>
  <si>
    <t>N</t>
  </si>
  <si>
    <t>Primeira quinzena</t>
  </si>
  <si>
    <t>Segunda quinzena</t>
  </si>
  <si>
    <t>Proventos</t>
  </si>
  <si>
    <t>Incluir</t>
  </si>
  <si>
    <t>Salário</t>
  </si>
  <si>
    <t>Descontos</t>
  </si>
  <si>
    <t>Pago</t>
  </si>
  <si>
    <t>2 - Quinz/Set</t>
  </si>
  <si>
    <t>1 - Quinz/Set</t>
  </si>
  <si>
    <t>divida</t>
  </si>
  <si>
    <t>1 - Quinz/Out</t>
  </si>
  <si>
    <t>2 - Quinz/Out</t>
  </si>
  <si>
    <t>1 - Quinz/Nov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</si>
</sst>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6" formatCode="d/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3" fillId="0" borderId="0" xfId="0" applyFont="1" applyAlignment="1">
      <alignment horizontal="center"/>
    </xf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4" fontId="6" fillId="0" borderId="0" xfId="0" applyNumberFormat="1" applyFont="1" applyFill="1" applyAlignment="1">
      <alignment horizontal="left"/>
    </xf>
    <xf numFmtId="44" fontId="4" fillId="0" borderId="0" xfId="1" applyFont="1" applyAlignment="1">
      <alignment horizontal="center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left"/>
    </xf>
    <xf numFmtId="44" fontId="7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4" fontId="1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317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6" formatCode="d/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2" name="Tabela312143233" displayName="Tabela312143233" ref="O17:R19" totalsRowCount="1" headerRowDxfId="316" dataDxfId="315">
  <tableColumns count="4">
    <tableColumn id="1" name="Data" totalsRowLabel="Total" dataDxfId="314" totalsRowDxfId="11"/>
    <tableColumn id="2" name="Descrição" dataDxfId="313" totalsRowDxfId="10"/>
    <tableColumn id="3" name="Valor" dataDxfId="312" totalsRowDxfId="9" dataCellStyle="Moeda"/>
    <tableColumn id="4" name="Incluir" totalsRowFunction="custom" dataDxfId="311" totalsRowDxfId="8">
      <totalsRowFormula>SUMIF(Tabela312143233[Incluir],"S",Tabela312143233[Valor])</totalsRow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86" name="Tabela31214323387" displayName="Tabela31214323387" ref="O17:R19" totalsRowCount="1" headerRowDxfId="240" dataDxfId="239">
  <tableColumns count="4">
    <tableColumn id="1" name="Data" totalsRowLabel="Total" dataDxfId="128" totalsRowDxfId="3"/>
    <tableColumn id="2" name="Descrição" dataDxfId="238" totalsRowDxfId="2"/>
    <tableColumn id="3" name="Valor" dataDxfId="237" totalsRowDxfId="1" dataCellStyle="Moeda">
      <calculatedColumnFormula>(K11-K12)+ SUMIF(Tabela312303589[Incluir],"N",Tabela312303589[Valor])*-1</calculatedColumnFormula>
    </tableColumn>
    <tableColumn id="4" name="Incluir" totalsRowFunction="custom" dataDxfId="236" totalsRowDxfId="0">
      <totalsRowFormula>SUMIF(Tabela31214323387[Incluir],"S",Tabela31214323387[Valor])</totalsRow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87" name="Tabela613313488" displayName="Tabela613313488" ref="J21:K26" totalsRowShown="0">
  <tableColumns count="2">
    <tableColumn id="1" name=" " dataDxfId="149"/>
    <tableColumn id="2" name="R$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88" name="Tabela312303589" displayName="Tabela312303589" ref="O2:R4" totalsRowCount="1" headerRowDxfId="235">
  <tableColumns count="4">
    <tableColumn id="1" name="Data" totalsRowLabel="Total" dataDxfId="199" totalsRowDxfId="136"/>
    <tableColumn id="2" name="Descrição" dataDxfId="198" totalsRowDxfId="135"/>
    <tableColumn id="3" name="Valor" dataDxfId="197" totalsRowDxfId="134" dataCellStyle="Moeda">
      <calculatedColumnFormula>(Setembro!K25-Setembro!K26)+ SUMIF(Tabela312143233[Incluir],"N",Tabela312143233[Valor])</calculatedColumnFormula>
    </tableColumn>
    <tableColumn id="4" name="Incluir" totalsRowFunction="custom" dataDxfId="196" totalsRowDxfId="133">
      <totalsRowFormula>SUMIF(Tabela312303589[Incluir],"S",Tabela312303589[Valor])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9" name="Tabela311293690" displayName="Tabela311293690" ref="J17:M19" totalsRowCount="1" headerRowDxfId="234" dataDxfId="233">
  <tableColumns count="4">
    <tableColumn id="1" name="Data" totalsRowLabel="Total" dataDxfId="232" totalsRowDxfId="132"/>
    <tableColumn id="2" name="Descrição" dataDxfId="231" totalsRowDxfId="131"/>
    <tableColumn id="3" name="Valor" totalsRowFunction="sum" dataDxfId="230" totalsRowDxfId="130" dataCellStyle="Moeda">
      <calculatedColumnFormula>SUMIF(Tabela3244195[Descontar],"N",Tabela3244195[Valor])</calculatedColumnFormula>
    </tableColumn>
    <tableColumn id="4" name="Descontar" dataDxfId="229" totalsRowDxfId="129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90" name="Tabela410283791" displayName="Tabela410283791" ref="A17:H29" totalsRowCount="1" headerRowDxfId="228" dataDxfId="227">
  <tableColumns count="8">
    <tableColumn id="8" name="Data" totalsRowLabel="Total" dataDxfId="226" totalsRowDxfId="27"/>
    <tableColumn id="1" name="Entrada" dataDxfId="225" totalsRowDxfId="26"/>
    <tableColumn id="2" name="Saida" dataDxfId="224" totalsRowDxfId="25"/>
    <tableColumn id="3" name="Trabalhada-almoço" totalsRowFunction="sum" dataDxfId="223" totalsRowDxfId="24">
      <calculatedColumnFormula>IF(C18-B18-"1:00"&lt;0,0,(C18-B18-"1:00"))</calculatedColumnFormula>
    </tableColumn>
    <tableColumn id="4" name="Extra" totalsRowFunction="sum" dataDxfId="222" totalsRowDxfId="23">
      <calculatedColumnFormula>IF(D18-"8:00" &lt; 0,0,D18-"8:00")</calculatedColumnFormula>
    </tableColumn>
    <tableColumn id="5" name="Trabalhada-Extra" totalsRowFunction="sum" dataDxfId="221" totalsRowDxfId="22">
      <calculatedColumnFormula>IFERROR(D18-E18,0)</calculatedColumnFormula>
    </tableColumn>
    <tableColumn id="6" name="$ Trabalhado - Extra" totalsRowFunction="sum" dataDxfId="220" totalsRowDxfId="21" dataCellStyle="Moeda">
      <calculatedColumnFormula>(F18*24)*$N$9</calculatedColumnFormula>
    </tableColumn>
    <tableColumn id="7" name="$ Extra" totalsRowFunction="sum" dataDxfId="219" totalsRowDxfId="20" dataCellStyle="Moeda">
      <calculatedColumnFormula>IFERROR((E18*24)*$N$10,0)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91" name="Tabela7273892" displayName="Tabela7273892" ref="M8:N11" totalsRowShown="0">
  <tableColumns count="2">
    <tableColumn id="1" name=" " dataDxfId="218"/>
    <tableColumn id="2" name="R$" dataDxfId="217" dataCellStyle="Moed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2" name="Tabela6263993" displayName="Tabela6263993" ref="J7:K12" totalsRowShown="0">
  <tableColumns count="2">
    <tableColumn id="1" name=" " dataDxfId="216"/>
    <tableColumn id="2" name="R$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93" name="Tabela4254094" displayName="Tabela4254094" ref="A2:H13" totalsRowCount="1" headerRowDxfId="215" dataDxfId="214">
  <tableColumns count="8">
    <tableColumn id="8" name="Data" totalsRowLabel="Total" dataDxfId="213" totalsRowDxfId="19"/>
    <tableColumn id="1" name="Entrada" dataDxfId="212" totalsRowDxfId="18"/>
    <tableColumn id="2" name="Saida" dataDxfId="211" totalsRowDxfId="17"/>
    <tableColumn id="3" name="Trabalhada-almoço" totalsRowFunction="sum" dataDxfId="210" totalsRowDxfId="16">
      <calculatedColumnFormula>IF(C3-B3-"1:00"&lt;0,0,(C3-B3-"1:00"))</calculatedColumnFormula>
    </tableColumn>
    <tableColumn id="4" name="Extra" totalsRowFunction="sum" dataDxfId="209" totalsRowDxfId="15">
      <calculatedColumnFormula>IF(D3-"8:00" &lt; 0,0,D3-"8:00")</calculatedColumnFormula>
    </tableColumn>
    <tableColumn id="5" name="Trabalhada-Extra" totalsRowFunction="sum" dataDxfId="208" totalsRowDxfId="14">
      <calculatedColumnFormula>IFERROR(D3-E3,0)</calculatedColumnFormula>
    </tableColumn>
    <tableColumn id="6" name="$ Trabalhado - Extra" totalsRowFunction="sum" dataDxfId="207" totalsRowDxfId="13" dataCellStyle="Moeda">
      <calculatedColumnFormula>(F3*24)*$N$9</calculatedColumnFormula>
    </tableColumn>
    <tableColumn id="7" name="$ Extra" totalsRowFunction="sum" dataDxfId="206" totalsRowDxfId="12" dataCellStyle="Moeda">
      <calculatedColumnFormula>IFERROR((E3*24)*$N$10,0)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4" name="Tabela3244195" displayName="Tabela3244195" ref="J2:M5" totalsRowCount="1" headerRowDxfId="205" dataDxfId="204">
  <tableColumns count="4">
    <tableColumn id="1" name="Data" totalsRowLabel="Total" dataDxfId="203" totalsRowDxfId="140"/>
    <tableColumn id="2" name="Descrição" dataDxfId="202" totalsRowDxfId="139"/>
    <tableColumn id="3" name="Valor" dataDxfId="200" totalsRowDxfId="138">
      <calculatedColumnFormula>SUMIF(Tabela3112936[Descontar],"N",Tabela3112936[Valor])</calculatedColumnFormula>
    </tableColumn>
    <tableColumn id="4" name="Descontar" totalsRowFunction="custom" dataDxfId="201" totalsRowDxfId="137">
      <totalsRowFormula>SUMIF(Tabela3244195[Descontar],"S",Tabela3244195[Valor])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95" name="Tabela3121432338796" displayName="Tabela3121432338796" ref="O17:R19" totalsRowCount="1" headerRowDxfId="195" dataDxfId="194">
  <tableColumns count="4">
    <tableColumn id="1" name="Data" totalsRowLabel="Total" dataDxfId="127" totalsRowDxfId="67"/>
    <tableColumn id="2" name="Descrição" dataDxfId="193" totalsRowDxfId="66"/>
    <tableColumn id="3" name="Valor" dataDxfId="192" totalsRowDxfId="65" dataCellStyle="Moeda">
      <calculatedColumnFormula>(K11-K12)+ SUMIF(Tabela31230358998[Incluir],"N",Tabela31230358998[Valor])</calculatedColumnFormula>
    </tableColumn>
    <tableColumn id="4" name="Incluir" totalsRowFunction="custom" dataDxfId="191" totalsRowDxfId="64">
      <totalsRowFormula>SUMIF(Tabela3121432338796[Incluir],"S",Tabela3121432338796[Valor])</totalsRow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3" name="Tabela6133134" displayName="Tabela6133134" ref="J21:K26" totalsRowShown="0">
  <tableColumns count="2">
    <tableColumn id="1" name=" " dataDxfId="310"/>
    <tableColumn id="2" name="R$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96" name="Tabela61331348897" displayName="Tabela61331348897" ref="J21:K26" totalsRowShown="0">
  <tableColumns count="2">
    <tableColumn id="1" name=" " dataDxfId="190"/>
    <tableColumn id="2" name="R$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id="97" name="Tabela31230358998" displayName="Tabela31230358998" ref="O2:R4" totalsRowCount="1" headerRowDxfId="189">
  <tableColumns count="4">
    <tableColumn id="1" name="Data" totalsRowLabel="Total" dataDxfId="188" totalsRowDxfId="148"/>
    <tableColumn id="2" name="Descrição" dataDxfId="187" totalsRowDxfId="147"/>
    <tableColumn id="3" name="Valor" dataDxfId="186" totalsRowDxfId="146" dataCellStyle="Moeda">
      <calculatedColumnFormula>(Outubro!K25-Outubro!K26)+ SUMIF(Tabela31214323387[Incluir],"N",Tabela31214323387[Valor])</calculatedColumnFormula>
    </tableColumn>
    <tableColumn id="4" name="Incluir" totalsRowFunction="custom" dataDxfId="185" totalsRowDxfId="145">
      <totalsRowFormula>SUMIF(Tabela31230358998[Incluir],"S",Tabela31230358998[Valor])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98" name="Tabela31129369099" displayName="Tabela31129369099" ref="J17:M19" totalsRowCount="1" headerRowDxfId="184" dataDxfId="183">
  <tableColumns count="4">
    <tableColumn id="1" name="Data" totalsRowLabel="Total" dataDxfId="182" totalsRowDxfId="126"/>
    <tableColumn id="2" name="Descrição" dataDxfId="181" totalsRowDxfId="125"/>
    <tableColumn id="3" name="Valor" totalsRowFunction="sum" dataDxfId="180" totalsRowDxfId="124" dataCellStyle="Moeda">
      <calculatedColumnFormula>SUMIF(Tabela3244195104[Descontar],"N",Tabela3244195104[Valor])</calculatedColumnFormula>
    </tableColumn>
    <tableColumn id="4" name="Descontar" dataDxfId="179" totalsRowDxfId="123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99" name="Tabela410283791100" displayName="Tabela410283791100" ref="A17:H29" totalsRowCount="1" headerRowDxfId="178" dataDxfId="177">
  <tableColumns count="8">
    <tableColumn id="8" name="Data" totalsRowLabel="Total" dataDxfId="176" totalsRowDxfId="43"/>
    <tableColumn id="1" name="Entrada" dataDxfId="175" totalsRowDxfId="42"/>
    <tableColumn id="2" name="Saida" dataDxfId="174" totalsRowDxfId="41"/>
    <tableColumn id="3" name="Trabalhada-almoço" totalsRowFunction="sum" dataDxfId="173" totalsRowDxfId="40">
      <calculatedColumnFormula>IF(C18-B18-"1:00"&lt;0,0,(C18-B18-"1:00"))</calculatedColumnFormula>
    </tableColumn>
    <tableColumn id="4" name="Extra" totalsRowFunction="sum" dataDxfId="172" totalsRowDxfId="39">
      <calculatedColumnFormula>IF(D18-"8:00" &lt; 0,0,D18-"8:00")</calculatedColumnFormula>
    </tableColumn>
    <tableColumn id="5" name="Trabalhada-Extra" totalsRowFunction="sum" dataDxfId="171" totalsRowDxfId="38">
      <calculatedColumnFormula>IFERROR(D18-E18,0)</calculatedColumnFormula>
    </tableColumn>
    <tableColumn id="6" name="$ Trabalhado - Extra" totalsRowFunction="sum" dataDxfId="170" totalsRowDxfId="37" dataCellStyle="Moeda">
      <calculatedColumnFormula>(F18*24)*$N$9</calculatedColumnFormula>
    </tableColumn>
    <tableColumn id="7" name="$ Extra" totalsRowFunction="sum" dataDxfId="169" totalsRowDxfId="36" dataCellStyle="Moeda">
      <calculatedColumnFormula>IFERROR((E18*24)*$N$10,0)</calculatedColumnFormula>
    </tableColumn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id="100" name="Tabela7273892101" displayName="Tabela7273892101" ref="M8:N11" totalsRowShown="0">
  <tableColumns count="2">
    <tableColumn id="1" name=" " dataDxfId="168"/>
    <tableColumn id="2" name="R$" dataDxfId="167" dataCellStyle="Moed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01" name="Tabela6263993102" displayName="Tabela6263993102" ref="J7:K12" totalsRowShown="0">
  <tableColumns count="2">
    <tableColumn id="1" name=" " dataDxfId="166"/>
    <tableColumn id="2" name="R$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02" name="Tabela4254094103" displayName="Tabela4254094103" ref="A2:H13" totalsRowCount="1" headerRowDxfId="165" dataDxfId="164">
  <tableColumns count="8">
    <tableColumn id="8" name="Data" totalsRowLabel="Total" dataDxfId="163" totalsRowDxfId="35"/>
    <tableColumn id="1" name="Entrada" dataDxfId="162" totalsRowDxfId="34"/>
    <tableColumn id="2" name="Saida" dataDxfId="161" totalsRowDxfId="33"/>
    <tableColumn id="3" name="Trabalhada-almoço" totalsRowFunction="sum" dataDxfId="160" totalsRowDxfId="32">
      <calculatedColumnFormula>IF(C3-B3-"1:00"&lt;0,0,(C3-B3-"1:00"))</calculatedColumnFormula>
    </tableColumn>
    <tableColumn id="4" name="Extra" totalsRowFunction="sum" dataDxfId="159" totalsRowDxfId="31">
      <calculatedColumnFormula>IF(D3-"8:00" &lt; 0,0,D3-"8:00")</calculatedColumnFormula>
    </tableColumn>
    <tableColumn id="5" name="Trabalhada-Extra" totalsRowFunction="sum" dataDxfId="158" totalsRowDxfId="30">
      <calculatedColumnFormula>IFERROR(D3-E3,0)</calculatedColumnFormula>
    </tableColumn>
    <tableColumn id="6" name="$ Trabalhado - Extra" totalsRowFunction="sum" dataDxfId="157" totalsRowDxfId="29" dataCellStyle="Moeda">
      <calculatedColumnFormula>(F3*24)*$N$9</calculatedColumnFormula>
    </tableColumn>
    <tableColumn id="7" name="$ Extra" totalsRowFunction="sum" dataDxfId="156" totalsRowDxfId="28" dataCellStyle="Moeda">
      <calculatedColumnFormula>IFERROR((E3*24)*$N$10,0)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03" name="Tabela3244195104" displayName="Tabela3244195104" ref="J2:M5" totalsRowCount="1" headerRowDxfId="155" dataDxfId="154">
  <tableColumns count="4">
    <tableColumn id="1" name="Data" totalsRowLabel="Total" dataDxfId="153" totalsRowDxfId="144"/>
    <tableColumn id="2" name="Descrição" dataDxfId="152" totalsRowDxfId="143"/>
    <tableColumn id="3" name="Valor" dataDxfId="150" totalsRowDxfId="142">
      <calculatedColumnFormula>SUMIF(Tabela311293690[Descontar],"N",Tabela311293690[Valor])</calculatedColumnFormula>
    </tableColumn>
    <tableColumn id="4" name="Descontar" totalsRowFunction="custom" dataDxfId="151" totalsRowDxfId="141">
      <totalsRowFormula>SUMIF(Tabela3244195104[Descontar],"S",Tabela3244195104[Valor])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104" name="Tabela3121432338796105" displayName="Tabela3121432338796105" ref="O17:R19" totalsRowCount="1" headerRowDxfId="122" dataDxfId="121">
  <tableColumns count="4">
    <tableColumn id="1" name="Data" totalsRowLabel="Total" dataDxfId="120" totalsRowDxfId="7"/>
    <tableColumn id="2" name="Descrição" dataDxfId="119" totalsRowDxfId="6"/>
    <tableColumn id="3" name="Valor" dataDxfId="118" totalsRowDxfId="5" dataCellStyle="Moeda">
      <calculatedColumnFormula>(K11-K12)+ SUMIF(Tabela31230358998107[Incluir],"N",Tabela31230358998107[Valor])</calculatedColumnFormula>
    </tableColumn>
    <tableColumn id="4" name="Incluir" totalsRowFunction="custom" dataDxfId="117" totalsRowDxfId="4">
      <totalsRowFormula>SUMIF(Tabela3121432338796105[Incluir],"S",Tabela3121432338796105[Valor])</totalsRowFormula>
    </tableColumn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id="105" name="Tabela61331348897106" displayName="Tabela61331348897106" ref="J21:K26" totalsRowShown="0">
  <tableColumns count="2">
    <tableColumn id="1" name=" " dataDxfId="116"/>
    <tableColumn id="2" name="R$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4" name="Tabela3123035" displayName="Tabela3123035" ref="O2:R4" totalsRowCount="1" headerRowDxfId="309" dataDxfId="308">
  <tableColumns count="4">
    <tableColumn id="1" name="Data" totalsRowLabel="Total" dataDxfId="307" totalsRowDxfId="244"/>
    <tableColumn id="2" name="Descrição" dataDxfId="306" totalsRowDxfId="243"/>
    <tableColumn id="3" name="Valor" dataDxfId="305" totalsRowDxfId="242" dataCellStyle="Moeda"/>
    <tableColumn id="4" name="Incluir" totalsRowFunction="custom" dataDxfId="304" totalsRowDxfId="241" dataCellStyle="Moeda">
      <totalsRowFormula>SUMIF(Tabela3123035[Incluir],"S",Tabela3123035[Valor])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06" name="Tabela31230358998107" displayName="Tabela31230358998107" ref="O2:R4" totalsRowCount="1" headerRowDxfId="115">
  <tableColumns count="4">
    <tableColumn id="1" name="Data" totalsRowLabel="Total" dataDxfId="114" totalsRowDxfId="71"/>
    <tableColumn id="2" name="Descrição" dataDxfId="113" totalsRowDxfId="70"/>
    <tableColumn id="3" name="Valor" dataDxfId="112" totalsRowDxfId="69" dataCellStyle="Moeda">
      <calculatedColumnFormula>(Novembro!K25-Novembro!K26)+ SUMIF(Tabela3121432338796[Incluir],"N",Tabela3121432338796[Valor])</calculatedColumnFormula>
    </tableColumn>
    <tableColumn id="4" name="Incluir" totalsRowFunction="custom" dataDxfId="111" totalsRowDxfId="68">
      <totalsRowFormula>SUMIF(Tabela31230358998107[Incluir],"S",Tabela31230358998107[Valor])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07" name="Tabela31129369099108" displayName="Tabela31129369099108" ref="J17:M19" totalsRowCount="1" headerRowDxfId="110" dataDxfId="109">
  <tableColumns count="4">
    <tableColumn id="1" name="Data" totalsRowLabel="Total" dataDxfId="108" totalsRowDxfId="63"/>
    <tableColumn id="2" name="Descrição" dataDxfId="107" totalsRowDxfId="62"/>
    <tableColumn id="3" name="Valor" totalsRowFunction="sum" dataDxfId="106" totalsRowDxfId="61" dataCellStyle="Moeda">
      <calculatedColumnFormula>SUMIF(Tabela3244195104113[Descontar],"N",Tabela3244195104113[Valor])</calculatedColumnFormula>
    </tableColumn>
    <tableColumn id="4" name="Descontar" dataDxfId="105" totalsRowDxfId="60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id="108" name="Tabela410283791100109" displayName="Tabela410283791100109" ref="A17:H29" totalsRowCount="1" headerRowDxfId="104" dataDxfId="103">
  <tableColumns count="8">
    <tableColumn id="8" name="Data" totalsRowLabel="Total" dataDxfId="102" totalsRowDxfId="51"/>
    <tableColumn id="1" name="Entrada" dataDxfId="101" totalsRowDxfId="50"/>
    <tableColumn id="2" name="Saida" dataDxfId="100" totalsRowDxfId="49"/>
    <tableColumn id="3" name="Trabalhada-almoço" totalsRowFunction="sum" dataDxfId="99" totalsRowDxfId="48">
      <calculatedColumnFormula>IF(C18-B18-"1:00"&lt;0,0,(C18-B18-"1:00"))</calculatedColumnFormula>
    </tableColumn>
    <tableColumn id="4" name="Extra" totalsRowFunction="sum" dataDxfId="98" totalsRowDxfId="47">
      <calculatedColumnFormula>IF(D18-"8:00" &lt; 0,0,D18-"8:00")</calculatedColumnFormula>
    </tableColumn>
    <tableColumn id="5" name="Trabalhada-Extra" totalsRowFunction="sum" dataDxfId="97" totalsRowDxfId="46">
      <calculatedColumnFormula>IFERROR(D18-E18,0)</calculatedColumnFormula>
    </tableColumn>
    <tableColumn id="6" name="$ Trabalhado - Extra" totalsRowFunction="sum" dataDxfId="96" totalsRowDxfId="45" dataCellStyle="Moeda">
      <calculatedColumnFormula>(F18*24)*$N$9</calculatedColumnFormula>
    </tableColumn>
    <tableColumn id="7" name="$ Extra" totalsRowFunction="sum" dataDxfId="95" totalsRowDxfId="44" dataCellStyle="Moeda">
      <calculatedColumnFormula>IFERROR((E18*24)*$N$10,0)</calculatedColumnFormula>
    </tableColumn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id="109" name="Tabela7273892101110" displayName="Tabela7273892101110" ref="M8:N11" totalsRowShown="0">
  <tableColumns count="2">
    <tableColumn id="1" name=" " dataDxfId="94"/>
    <tableColumn id="2" name="R$" dataDxfId="93" dataCellStyle="Moeda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110" name="Tabela6263993102111" displayName="Tabela6263993102111" ref="J7:K12" totalsRowShown="0">
  <tableColumns count="2">
    <tableColumn id="1" name=" " dataDxfId="92"/>
    <tableColumn id="2" name="R$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111" name="Tabela4254094103112" displayName="Tabela4254094103112" ref="A2:H13" totalsRowCount="1" headerRowDxfId="91" dataDxfId="90">
  <tableColumns count="8">
    <tableColumn id="8" name="Data" totalsRowLabel="Total" dataDxfId="89" totalsRowDxfId="59"/>
    <tableColumn id="1" name="Entrada" dataDxfId="88" totalsRowDxfId="58"/>
    <tableColumn id="2" name="Saida" dataDxfId="87" totalsRowDxfId="57"/>
    <tableColumn id="3" name="Trabalhada-almoço" totalsRowFunction="sum" dataDxfId="86" totalsRowDxfId="56">
      <calculatedColumnFormula>IF(C3-B3-"1:00"&lt;0,0,(C3-B3-"1:00"))</calculatedColumnFormula>
    </tableColumn>
    <tableColumn id="4" name="Extra" totalsRowFunction="sum" dataDxfId="85" totalsRowDxfId="55">
      <calculatedColumnFormula>IF(D3-"8:00" &lt; 0,0,D3-"8:00")</calculatedColumnFormula>
    </tableColumn>
    <tableColumn id="5" name="Trabalhada-Extra" totalsRowFunction="sum" dataDxfId="84" totalsRowDxfId="54">
      <calculatedColumnFormula>IFERROR(D3-E3,0)</calculatedColumnFormula>
    </tableColumn>
    <tableColumn id="6" name="$ Trabalhado - Extra" totalsRowFunction="sum" dataDxfId="83" totalsRowDxfId="53" dataCellStyle="Moeda">
      <calculatedColumnFormula>(F3*24)*$N$9</calculatedColumnFormula>
    </tableColumn>
    <tableColumn id="7" name="$ Extra" totalsRowFunction="sum" dataDxfId="82" totalsRowDxfId="52" dataCellStyle="Moeda">
      <calculatedColumnFormula>IFERROR((E3*24)*$N$10,0)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112" name="Tabela3244195104113" displayName="Tabela3244195104113" ref="J2:M5" totalsRowCount="1" headerRowDxfId="81" dataDxfId="80">
  <tableColumns count="4">
    <tableColumn id="1" name="Data" totalsRowLabel="Total" dataDxfId="79" totalsRowDxfId="76"/>
    <tableColumn id="2" name="Descrição" dataDxfId="78" totalsRowDxfId="75"/>
    <tableColumn id="3" name="Valor" dataDxfId="72" totalsRowDxfId="74">
      <calculatedColumnFormula>SUMIF(Tabela31129369099[Descontar],"N",Tabela31129369099[Valor])</calculatedColumnFormula>
    </tableColumn>
    <tableColumn id="4" name="Descontar" totalsRowFunction="custom" dataDxfId="77" totalsRowDxfId="73">
      <totalsRowFormula>SUMIF(Tabela3244195104113[Descontar],"S",Tabela3244195104113[Valor])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5" name="Tabela3112936" displayName="Tabela3112936" ref="J17:M19" totalsRowCount="1" headerRowDxfId="303" dataDxfId="302">
  <tableColumns count="4">
    <tableColumn id="1" name="Data" totalsRowLabel="Total" dataDxfId="301" totalsRowDxfId="252"/>
    <tableColumn id="2" name="Descrição" dataDxfId="300" totalsRowDxfId="251"/>
    <tableColumn id="3" name="Valor" totalsRowFunction="sum" dataDxfId="253" totalsRowDxfId="245" dataCellStyle="Moeda">
      <calculatedColumnFormula>SUMIF(Tabela32441[Descontar],"N",Tabela32441[Valor])</calculatedColumnFormula>
    </tableColumn>
    <tableColumn id="4" name="Descontar" dataDxfId="254" totalsRowDxfId="25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36" name="Tabela4102837" displayName="Tabela4102837" ref="A17:H29" totalsRowCount="1" headerRowDxfId="299" dataDxfId="298">
  <tableColumns count="8">
    <tableColumn id="8" name="Data" totalsRowLabel="Total" dataDxfId="297" totalsRowDxfId="262"/>
    <tableColumn id="1" name="Entrada" dataDxfId="296" totalsRowDxfId="261"/>
    <tableColumn id="2" name="Saida" dataDxfId="295" totalsRowDxfId="260"/>
    <tableColumn id="3" name="Trabalhada-almoço" totalsRowFunction="sum" dataDxfId="294" totalsRowDxfId="259">
      <calculatedColumnFormula>IF(C18-B18-"1:00"&lt;0,0,(C18-B18-"1:00"))</calculatedColumnFormula>
    </tableColumn>
    <tableColumn id="4" name="Extra" totalsRowFunction="sum" dataDxfId="293" totalsRowDxfId="258">
      <calculatedColumnFormula>IF(D18-"8:00" &lt; 0,0,D18-"8:00")</calculatedColumnFormula>
    </tableColumn>
    <tableColumn id="5" name="Trabalhada-Extra" totalsRowFunction="sum" dataDxfId="292" totalsRowDxfId="257">
      <calculatedColumnFormula>IFERROR(D18-E18,0)</calculatedColumnFormula>
    </tableColumn>
    <tableColumn id="6" name="$ Trabalhado - Extra" totalsRowFunction="sum" dataDxfId="291" totalsRowDxfId="256" dataCellStyle="Moeda">
      <calculatedColumnFormula>(F18*24)*$N$9</calculatedColumnFormula>
    </tableColumn>
    <tableColumn id="7" name="$ Extra" totalsRowFunction="sum" dataDxfId="290" totalsRowDxfId="255" dataCellStyle="Moeda">
      <calculatedColumnFormula>IFERROR((E18*24)*$N$10,0)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37" name="Tabela72738" displayName="Tabela72738" ref="M8:N11" totalsRowShown="0">
  <tableColumns count="2">
    <tableColumn id="1" name=" " dataDxfId="289"/>
    <tableColumn id="2" name="R$" dataDxfId="288" dataCellStyle="Moed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8" name="Tabela62639" displayName="Tabela62639" ref="J7:K12" totalsRowShown="0">
  <tableColumns count="2">
    <tableColumn id="1" name=" " dataDxfId="287"/>
    <tableColumn id="2" name="R$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9" name="Tabela42540" displayName="Tabela42540" ref="A2:H13" totalsRowCount="1" headerRowDxfId="286" dataDxfId="285">
  <tableColumns count="8">
    <tableColumn id="8" name="Data" totalsRowLabel="Total" dataDxfId="283" totalsRowDxfId="284"/>
    <tableColumn id="1" name="Entrada" dataDxfId="281" totalsRowDxfId="282"/>
    <tableColumn id="2" name="Saida" dataDxfId="279" totalsRowDxfId="280"/>
    <tableColumn id="3" name="Trabalhada-almoço" totalsRowFunction="sum" dataDxfId="277" totalsRowDxfId="278">
      <calculatedColumnFormula>IF(C3-B3-"1:00"&lt;0,0,(C3-B3-"1:00"))</calculatedColumnFormula>
    </tableColumn>
    <tableColumn id="4" name="Extra" totalsRowFunction="sum" dataDxfId="275" totalsRowDxfId="276">
      <calculatedColumnFormula>IF(D3-"8:00" &lt; 0,0,D3-"8:00")</calculatedColumnFormula>
    </tableColumn>
    <tableColumn id="5" name="Trabalhada-Extra" totalsRowFunction="sum" dataDxfId="273" totalsRowDxfId="274">
      <calculatedColumnFormula>IFERROR(D3-E3,0)</calculatedColumnFormula>
    </tableColumn>
    <tableColumn id="6" name="$ Trabalhado - Extra" totalsRowFunction="sum" dataDxfId="271" totalsRowDxfId="272" dataCellStyle="Moeda">
      <calculatedColumnFormula>(F3*24)*$N$9</calculatedColumnFormula>
    </tableColumn>
    <tableColumn id="7" name="$ Extra" totalsRowFunction="sum" dataDxfId="269" totalsRowDxfId="270" dataCellStyle="Moeda">
      <calculatedColumnFormula>IFERROR((E3*24)*$N$10,0)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0" name="Tabela32441" displayName="Tabela32441" ref="J2:M5" totalsRowCount="1" headerRowDxfId="268" dataDxfId="267">
  <tableColumns count="4">
    <tableColumn id="1" name="Data" totalsRowLabel="Total" dataDxfId="266" totalsRowDxfId="249"/>
    <tableColumn id="2" name="Descrição" dataDxfId="265" totalsRowDxfId="248"/>
    <tableColumn id="3" name="Valor" dataDxfId="264" totalsRowDxfId="247"/>
    <tableColumn id="4" name="Descontar" totalsRowFunction="custom" dataDxfId="263" totalsRowDxfId="246">
      <totalsRowFormula>SUMIF(Tabela32441[Descontar],"S",Tabela32441[Valor])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zoomScale="80" zoomScaleNormal="80" workbookViewId="0">
      <selection activeCell="L24" sqref="L24"/>
    </sheetView>
  </sheetViews>
  <sheetFormatPr defaultRowHeight="15" x14ac:dyDescent="0.25"/>
  <cols>
    <col min="1" max="1" width="8.140625" style="2" customWidth="1"/>
    <col min="2" max="2" width="9.140625" style="2"/>
    <col min="3" max="3" width="5.7109375" style="2" bestFit="1" customWidth="1"/>
    <col min="4" max="4" width="18.140625" style="2" bestFit="1" customWidth="1"/>
    <col min="5" max="5" width="6.140625" style="2" bestFit="1" customWidth="1"/>
    <col min="6" max="6" width="20.42578125" style="2" customWidth="1"/>
    <col min="7" max="7" width="18.5703125" style="2" bestFit="1" customWidth="1"/>
    <col min="8" max="8" width="10" bestFit="1" customWidth="1"/>
    <col min="9" max="9" width="2.7109375" customWidth="1"/>
    <col min="10" max="10" width="12.42578125" bestFit="1" customWidth="1"/>
    <col min="11" max="11" width="18.140625" customWidth="1"/>
    <col min="12" max="12" width="10" bestFit="1" customWidth="1"/>
    <col min="14" max="14" width="10" bestFit="1" customWidth="1"/>
    <col min="15" max="15" width="12.42578125" style="2" bestFit="1" customWidth="1"/>
    <col min="16" max="16" width="12" style="2" customWidth="1"/>
    <col min="17" max="18" width="11.140625" style="2" bestFit="1" customWidth="1"/>
    <col min="19" max="16384" width="9.140625" style="2"/>
  </cols>
  <sheetData>
    <row r="1" spans="1:18" x14ac:dyDescent="0.25">
      <c r="A1" s="13" t="s">
        <v>23</v>
      </c>
      <c r="B1" s="14"/>
      <c r="C1" s="14"/>
      <c r="D1" s="14"/>
      <c r="E1" s="14"/>
      <c r="F1" s="14"/>
      <c r="G1" s="14"/>
      <c r="H1" s="14"/>
      <c r="I1" s="2"/>
      <c r="J1" s="13" t="s">
        <v>28</v>
      </c>
      <c r="K1" s="14"/>
      <c r="L1" s="14"/>
      <c r="M1" s="14"/>
      <c r="N1" s="2"/>
      <c r="O1" s="13" t="s">
        <v>25</v>
      </c>
      <c r="P1" s="14"/>
      <c r="Q1" s="14"/>
      <c r="R1" s="14"/>
    </row>
    <row r="2" spans="1:18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9</v>
      </c>
      <c r="K2" s="2" t="s">
        <v>10</v>
      </c>
      <c r="L2" s="2" t="s">
        <v>11</v>
      </c>
      <c r="M2" s="2" t="s">
        <v>20</v>
      </c>
      <c r="N2" s="2"/>
      <c r="O2" s="2" t="s">
        <v>9</v>
      </c>
      <c r="P2" s="2" t="s">
        <v>10</v>
      </c>
      <c r="Q2" s="2" t="s">
        <v>11</v>
      </c>
      <c r="R2" s="2" t="s">
        <v>26</v>
      </c>
    </row>
    <row r="3" spans="1:18" x14ac:dyDescent="0.25">
      <c r="A3" s="12">
        <v>42259</v>
      </c>
      <c r="B3" s="1">
        <v>0.34027777777777773</v>
      </c>
      <c r="C3" s="1">
        <v>0.73611111111111116</v>
      </c>
      <c r="D3" s="1">
        <f t="shared" ref="D3:D12" si="0">IF(C3-B3-"1:00"&lt;0,0,(C3-B3-"1:00"))</f>
        <v>0.35416666666666674</v>
      </c>
      <c r="E3" s="1">
        <f t="shared" ref="E3:E12" si="1">IF(D3-"8:00" &lt; 0,0,D3-"8:00")</f>
        <v>2.0833333333333426E-2</v>
      </c>
      <c r="F3" s="1">
        <f t="shared" ref="F3:F12" si="2">IFERROR(D3-E3,0)</f>
        <v>0.33333333333333331</v>
      </c>
      <c r="G3" s="3">
        <f t="shared" ref="G3:G12" si="3">(F3*24)*$N$9</f>
        <v>50</v>
      </c>
      <c r="H3" s="3">
        <f t="shared" ref="H3:H12" si="4">IFERROR((E3*24)*$N$10,0)</f>
        <v>2.1250000000000093</v>
      </c>
      <c r="I3" s="2"/>
      <c r="J3" s="10">
        <v>42231</v>
      </c>
      <c r="K3" s="2" t="s">
        <v>15</v>
      </c>
      <c r="L3" s="3">
        <v>50</v>
      </c>
      <c r="M3" s="2" t="s">
        <v>21</v>
      </c>
      <c r="N3" s="2"/>
      <c r="O3" s="10">
        <v>42259</v>
      </c>
      <c r="P3" s="2" t="s">
        <v>32</v>
      </c>
      <c r="Q3" s="3">
        <v>100</v>
      </c>
      <c r="R3" s="2" t="s">
        <v>22</v>
      </c>
    </row>
    <row r="4" spans="1:18" x14ac:dyDescent="0.25">
      <c r="A4" s="12">
        <v>42260</v>
      </c>
      <c r="B4" s="1">
        <v>0.54166666666666663</v>
      </c>
      <c r="C4" s="1">
        <v>0.75</v>
      </c>
      <c r="D4" s="1">
        <f t="shared" si="0"/>
        <v>0.16666666666666671</v>
      </c>
      <c r="E4" s="1">
        <f t="shared" si="1"/>
        <v>0</v>
      </c>
      <c r="F4" s="1">
        <f t="shared" si="2"/>
        <v>0.16666666666666671</v>
      </c>
      <c r="G4" s="3">
        <f t="shared" si="3"/>
        <v>25.000000000000007</v>
      </c>
      <c r="H4" s="3">
        <f t="shared" si="4"/>
        <v>0</v>
      </c>
      <c r="I4" s="2"/>
      <c r="J4" s="6"/>
      <c r="K4" s="6"/>
      <c r="L4" s="15"/>
      <c r="M4" s="6"/>
      <c r="N4" s="2"/>
      <c r="O4" s="2" t="s">
        <v>13</v>
      </c>
      <c r="Q4" s="24"/>
      <c r="R4" s="25">
        <f>SUMIF(Tabela3123035[Incluir],"S",Tabela3123035[Valor])</f>
        <v>0</v>
      </c>
    </row>
    <row r="5" spans="1:18" x14ac:dyDescent="0.25">
      <c r="A5" s="12">
        <v>42261</v>
      </c>
      <c r="B5" s="1">
        <v>0.3576388888888889</v>
      </c>
      <c r="C5" s="1">
        <v>0.75</v>
      </c>
      <c r="D5" s="1">
        <f t="shared" si="0"/>
        <v>0.35069444444444442</v>
      </c>
      <c r="E5" s="1">
        <f t="shared" si="1"/>
        <v>1.7361111111111105E-2</v>
      </c>
      <c r="F5" s="1">
        <f t="shared" si="2"/>
        <v>0.33333333333333331</v>
      </c>
      <c r="G5" s="3">
        <f t="shared" si="3"/>
        <v>50</v>
      </c>
      <c r="H5" s="3">
        <f t="shared" si="4"/>
        <v>1.7708333333333326</v>
      </c>
      <c r="I5" s="2"/>
      <c r="J5" s="2" t="s">
        <v>13</v>
      </c>
      <c r="K5" s="2"/>
      <c r="L5" s="2"/>
      <c r="M5" s="2">
        <f>SUMIF(Tabela32441[Descontar],"S",Tabela32441[Valor])</f>
        <v>50</v>
      </c>
      <c r="N5" s="2"/>
    </row>
    <row r="6" spans="1:18" x14ac:dyDescent="0.25">
      <c r="A6" s="12">
        <v>42262</v>
      </c>
      <c r="B6" s="1">
        <v>0.35416666666666669</v>
      </c>
      <c r="C6" s="1">
        <v>0.75</v>
      </c>
      <c r="D6" s="1">
        <f t="shared" si="0"/>
        <v>0.35416666666666663</v>
      </c>
      <c r="E6" s="1">
        <f t="shared" si="1"/>
        <v>2.0833333333333315E-2</v>
      </c>
      <c r="F6" s="1">
        <f t="shared" si="2"/>
        <v>0.33333333333333331</v>
      </c>
      <c r="G6" s="3">
        <f t="shared" si="3"/>
        <v>50</v>
      </c>
      <c r="H6" s="3">
        <f t="shared" si="4"/>
        <v>2.1249999999999982</v>
      </c>
      <c r="I6" s="2"/>
      <c r="J6" s="2"/>
      <c r="K6" s="2"/>
      <c r="L6" s="2"/>
      <c r="M6" s="2"/>
      <c r="N6" s="2"/>
    </row>
    <row r="7" spans="1:18" x14ac:dyDescent="0.25">
      <c r="A7" s="12">
        <v>42263</v>
      </c>
      <c r="B7" s="1">
        <v>0.33333333333333331</v>
      </c>
      <c r="C7" s="1">
        <v>0.66666666666666663</v>
      </c>
      <c r="D7" s="1">
        <f t="shared" si="0"/>
        <v>0.29166666666666663</v>
      </c>
      <c r="E7" s="1">
        <f t="shared" si="1"/>
        <v>0</v>
      </c>
      <c r="F7" s="1">
        <f t="shared" si="2"/>
        <v>0.29166666666666663</v>
      </c>
      <c r="G7" s="3">
        <f t="shared" si="3"/>
        <v>43.749999999999993</v>
      </c>
      <c r="H7" s="3">
        <f t="shared" si="4"/>
        <v>0</v>
      </c>
      <c r="I7" s="2"/>
      <c r="J7" s="4" t="s">
        <v>17</v>
      </c>
      <c r="K7" s="5" t="s">
        <v>16</v>
      </c>
      <c r="L7" s="2"/>
      <c r="M7" s="2"/>
      <c r="N7" s="2"/>
    </row>
    <row r="8" spans="1:18" x14ac:dyDescent="0.25">
      <c r="A8" s="12">
        <v>42264</v>
      </c>
      <c r="B8" s="1">
        <v>0.33333333333333331</v>
      </c>
      <c r="C8" s="1">
        <v>0.75</v>
      </c>
      <c r="D8" s="1">
        <f t="shared" si="0"/>
        <v>0.375</v>
      </c>
      <c r="E8" s="1">
        <f t="shared" si="1"/>
        <v>4.1666666666666685E-2</v>
      </c>
      <c r="F8" s="1">
        <f t="shared" si="2"/>
        <v>0.33333333333333331</v>
      </c>
      <c r="G8" s="3">
        <f t="shared" si="3"/>
        <v>50</v>
      </c>
      <c r="H8" s="3">
        <f t="shared" si="4"/>
        <v>4.2500000000000018</v>
      </c>
      <c r="I8" s="2"/>
      <c r="J8" s="11" t="s">
        <v>14</v>
      </c>
      <c r="K8" s="21">
        <f>Tabela42540[[#Totals],[$ Trabalhado - Extra]]+Tabela42540[[#Totals],[$ Extra]]</f>
        <v>422.89583333333337</v>
      </c>
      <c r="L8" s="2"/>
      <c r="M8" s="4" t="s">
        <v>17</v>
      </c>
      <c r="N8" s="5" t="s">
        <v>16</v>
      </c>
    </row>
    <row r="9" spans="1:18" x14ac:dyDescent="0.25">
      <c r="A9" s="12">
        <v>42265</v>
      </c>
      <c r="B9" s="1">
        <v>0.35416666666666669</v>
      </c>
      <c r="C9" s="1">
        <v>0.75</v>
      </c>
      <c r="D9" s="1">
        <f t="shared" si="0"/>
        <v>0.35416666666666663</v>
      </c>
      <c r="E9" s="1">
        <f t="shared" si="1"/>
        <v>2.0833333333333315E-2</v>
      </c>
      <c r="F9" s="1">
        <f t="shared" si="2"/>
        <v>0.33333333333333331</v>
      </c>
      <c r="G9" s="3">
        <f t="shared" si="3"/>
        <v>50</v>
      </c>
      <c r="H9" s="3">
        <f t="shared" si="4"/>
        <v>2.1249999999999982</v>
      </c>
      <c r="I9" s="2"/>
      <c r="J9" s="11" t="s">
        <v>25</v>
      </c>
      <c r="K9" s="19">
        <f>Tabela3123035[[#Totals],[Incluir]]</f>
        <v>0</v>
      </c>
      <c r="M9" s="11" t="s">
        <v>18</v>
      </c>
      <c r="N9" s="5">
        <v>6.25</v>
      </c>
    </row>
    <row r="10" spans="1:18" x14ac:dyDescent="0.25">
      <c r="A10" s="12">
        <v>42266</v>
      </c>
      <c r="B10" s="1">
        <v>0.45833333333333331</v>
      </c>
      <c r="C10" s="1">
        <v>0.75</v>
      </c>
      <c r="D10" s="1">
        <f t="shared" si="0"/>
        <v>0.25</v>
      </c>
      <c r="E10" s="1">
        <f t="shared" si="1"/>
        <v>0</v>
      </c>
      <c r="F10" s="1">
        <f t="shared" si="2"/>
        <v>0.25</v>
      </c>
      <c r="G10" s="3">
        <f t="shared" si="3"/>
        <v>37.5</v>
      </c>
      <c r="H10" s="3">
        <f t="shared" si="4"/>
        <v>0</v>
      </c>
      <c r="I10" s="2"/>
      <c r="J10" s="11" t="s">
        <v>12</v>
      </c>
      <c r="K10" s="20">
        <f>Tabela32441[[#Totals],[Descontar]]</f>
        <v>50</v>
      </c>
      <c r="L10" s="2"/>
      <c r="M10" s="11" t="s">
        <v>19</v>
      </c>
      <c r="N10" s="5">
        <v>4.25</v>
      </c>
    </row>
    <row r="11" spans="1:18" x14ac:dyDescent="0.25">
      <c r="A11" s="12">
        <v>42267</v>
      </c>
      <c r="B11" s="1">
        <v>0.33333333333333331</v>
      </c>
      <c r="C11" s="1">
        <v>0.75</v>
      </c>
      <c r="D11" s="1">
        <f t="shared" si="0"/>
        <v>0.375</v>
      </c>
      <c r="E11" s="1">
        <f t="shared" si="1"/>
        <v>4.1666666666666685E-2</v>
      </c>
      <c r="F11" s="1">
        <f t="shared" si="2"/>
        <v>0.33333333333333331</v>
      </c>
      <c r="G11" s="3">
        <f t="shared" si="3"/>
        <v>50</v>
      </c>
      <c r="H11" s="3">
        <f t="shared" si="4"/>
        <v>4.2500000000000018</v>
      </c>
      <c r="I11" s="2"/>
      <c r="J11" s="11" t="s">
        <v>7</v>
      </c>
      <c r="K11" s="18">
        <f>K8+K9-K10</f>
        <v>372.89583333333337</v>
      </c>
      <c r="L11" s="2"/>
      <c r="M11" s="11" t="s">
        <v>8</v>
      </c>
      <c r="N11" s="5">
        <f>N9*8</f>
        <v>50</v>
      </c>
    </row>
    <row r="12" spans="1:18" x14ac:dyDescent="0.25">
      <c r="A12" s="12"/>
      <c r="B12" s="1"/>
      <c r="C12" s="1"/>
      <c r="D12" s="1">
        <f t="shared" si="0"/>
        <v>0</v>
      </c>
      <c r="E12" s="1">
        <f t="shared" si="1"/>
        <v>0</v>
      </c>
      <c r="F12" s="1">
        <f t="shared" si="2"/>
        <v>0</v>
      </c>
      <c r="G12" s="3">
        <f t="shared" si="3"/>
        <v>0</v>
      </c>
      <c r="H12" s="3">
        <f t="shared" si="4"/>
        <v>0</v>
      </c>
      <c r="J12" s="11" t="s">
        <v>29</v>
      </c>
      <c r="K12" s="22">
        <v>372.9</v>
      </c>
    </row>
    <row r="13" spans="1:18" x14ac:dyDescent="0.25">
      <c r="A13" s="2" t="s">
        <v>13</v>
      </c>
      <c r="D13" s="1">
        <f>SUBTOTAL(109,Tabela42540[Trabalhada-almoço])</f>
        <v>2.8715277777777777</v>
      </c>
      <c r="E13" s="1">
        <f>SUBTOTAL(109,Tabela42540[Extra])</f>
        <v>0.16319444444444453</v>
      </c>
      <c r="F13" s="1">
        <f>SUBTOTAL(109,Tabela42540[Trabalhada-Extra])</f>
        <v>2.708333333333333</v>
      </c>
      <c r="G13" s="9">
        <f>SUBTOTAL(109,Tabela42540[$ Trabalhado - Extra])</f>
        <v>406.25</v>
      </c>
      <c r="H13" s="9">
        <f>SUBTOTAL(109,Tabela42540[$ Extra])</f>
        <v>16.645833333333343</v>
      </c>
      <c r="I13" s="2"/>
      <c r="J13" s="2"/>
      <c r="K13" s="2"/>
      <c r="L13" s="2"/>
      <c r="M13" s="2"/>
      <c r="N13" s="2"/>
    </row>
    <row r="14" spans="1:18" x14ac:dyDescent="0.25">
      <c r="A14" s="12"/>
      <c r="C14" s="1"/>
      <c r="H14" s="2"/>
      <c r="I14" s="2"/>
      <c r="J14" s="2"/>
      <c r="K14" s="2"/>
      <c r="L14" s="2"/>
      <c r="M14" s="2"/>
      <c r="N14" s="2"/>
    </row>
    <row r="15" spans="1:18" x14ac:dyDescent="0.25">
      <c r="A15" s="12"/>
      <c r="C15" s="1"/>
      <c r="H15" s="2"/>
      <c r="I15" s="2"/>
      <c r="J15" s="2"/>
      <c r="K15" s="2"/>
      <c r="L15" s="2"/>
      <c r="M15" s="2"/>
      <c r="N15" s="2"/>
    </row>
    <row r="16" spans="1:18" x14ac:dyDescent="0.25">
      <c r="A16" s="16" t="s">
        <v>24</v>
      </c>
      <c r="B16" s="17"/>
      <c r="C16" s="17"/>
      <c r="D16" s="17"/>
      <c r="E16" s="17"/>
      <c r="F16" s="17"/>
      <c r="G16" s="17"/>
      <c r="H16" s="17"/>
      <c r="J16" s="16" t="s">
        <v>28</v>
      </c>
      <c r="K16" s="17"/>
      <c r="L16" s="17"/>
      <c r="M16" s="17"/>
      <c r="O16" s="16" t="s">
        <v>25</v>
      </c>
      <c r="P16" s="17"/>
      <c r="Q16" s="17"/>
      <c r="R16" s="17"/>
    </row>
    <row r="17" spans="1:18" x14ac:dyDescent="0.25">
      <c r="A17" s="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/>
      <c r="J17" s="2" t="s">
        <v>9</v>
      </c>
      <c r="K17" s="2" t="s">
        <v>10</v>
      </c>
      <c r="L17" s="2" t="s">
        <v>11</v>
      </c>
      <c r="M17" s="2" t="s">
        <v>20</v>
      </c>
      <c r="N17" s="2"/>
      <c r="O17" s="2" t="s">
        <v>9</v>
      </c>
      <c r="P17" s="2" t="s">
        <v>10</v>
      </c>
      <c r="Q17" s="2" t="s">
        <v>11</v>
      </c>
      <c r="R17" s="2" t="s">
        <v>26</v>
      </c>
    </row>
    <row r="18" spans="1:18" x14ac:dyDescent="0.25">
      <c r="A18" s="12">
        <v>42259</v>
      </c>
      <c r="B18" s="1">
        <v>0.34027777777777773</v>
      </c>
      <c r="C18" s="1">
        <v>0.73611111111111116</v>
      </c>
      <c r="D18" s="1">
        <f t="shared" ref="D18:D28" si="5">IF(C18-B18-"1:00"&lt;0,0,(C18-B18-"1:00"))</f>
        <v>0.35416666666666674</v>
      </c>
      <c r="E18" s="1">
        <f t="shared" ref="E18:E28" si="6">IF(D18-"8:00" &lt; 0,0,D18-"8:00")</f>
        <v>2.0833333333333426E-2</v>
      </c>
      <c r="F18" s="1">
        <f t="shared" ref="F18:F28" si="7">IFERROR(D18-E18,0)</f>
        <v>0.33333333333333331</v>
      </c>
      <c r="G18" s="3">
        <f t="shared" ref="G18" si="8">(F18*24)*$N$9</f>
        <v>50</v>
      </c>
      <c r="H18" s="3">
        <f t="shared" ref="H18:H28" si="9">IFERROR((E18*24)*$N$10,0)</f>
        <v>2.1250000000000093</v>
      </c>
      <c r="I18" s="2"/>
      <c r="J18" s="10" t="s">
        <v>31</v>
      </c>
      <c r="K18" s="2" t="s">
        <v>28</v>
      </c>
      <c r="L18" s="3">
        <f>SUMIF(Tabela32441[Descontar],"N",Tabela32441[Valor])</f>
        <v>0</v>
      </c>
      <c r="M18" s="2" t="s">
        <v>21</v>
      </c>
      <c r="N18" s="2"/>
      <c r="O18" s="10" t="s">
        <v>31</v>
      </c>
      <c r="P18" s="2" t="s">
        <v>27</v>
      </c>
      <c r="Q18" s="3">
        <f>(K11-K12)+ SUMIF(Tabela3123035[Incluir],"N",Tabela3123035[Valor])</f>
        <v>99.995833333333394</v>
      </c>
      <c r="R18" s="2" t="s">
        <v>21</v>
      </c>
    </row>
    <row r="19" spans="1:18" x14ac:dyDescent="0.25">
      <c r="A19" s="12">
        <v>42260</v>
      </c>
      <c r="B19" s="1">
        <v>0.54166666666666663</v>
      </c>
      <c r="C19" s="1">
        <v>0.75</v>
      </c>
      <c r="D19" s="1">
        <f t="shared" si="5"/>
        <v>0.16666666666666671</v>
      </c>
      <c r="E19" s="1">
        <f t="shared" si="6"/>
        <v>0</v>
      </c>
      <c r="F19" s="1">
        <f t="shared" si="7"/>
        <v>0.16666666666666671</v>
      </c>
      <c r="G19" s="3">
        <f>(F19*24)*$N$9</f>
        <v>25.000000000000007</v>
      </c>
      <c r="H19" s="3">
        <f t="shared" si="9"/>
        <v>0</v>
      </c>
      <c r="J19" s="2" t="s">
        <v>13</v>
      </c>
      <c r="K19" s="2"/>
      <c r="L19" s="9">
        <f>SUBTOTAL(109,Tabela3112936[Valor])</f>
        <v>0</v>
      </c>
      <c r="M19" s="2"/>
      <c r="O19" s="2" t="s">
        <v>13</v>
      </c>
      <c r="Q19" s="24"/>
      <c r="R19" s="2">
        <f>SUMIF(Tabela312143233[Incluir],"S",Tabela312143233[Valor])</f>
        <v>99.995833333333394</v>
      </c>
    </row>
    <row r="20" spans="1:18" x14ac:dyDescent="0.25">
      <c r="A20" s="12">
        <v>42261</v>
      </c>
      <c r="B20" s="1">
        <v>0.3576388888888889</v>
      </c>
      <c r="C20" s="1">
        <v>0.75</v>
      </c>
      <c r="D20" s="1">
        <f t="shared" si="5"/>
        <v>0.35069444444444442</v>
      </c>
      <c r="E20" s="1">
        <f t="shared" si="6"/>
        <v>1.7361111111111105E-2</v>
      </c>
      <c r="F20" s="1">
        <f t="shared" si="7"/>
        <v>0.33333333333333331</v>
      </c>
      <c r="G20" s="3">
        <f>(F20*24)*$N$9</f>
        <v>50</v>
      </c>
      <c r="H20" s="3">
        <f t="shared" si="9"/>
        <v>1.7708333333333326</v>
      </c>
    </row>
    <row r="21" spans="1:18" x14ac:dyDescent="0.25">
      <c r="A21" s="12">
        <v>42262</v>
      </c>
      <c r="B21" s="1">
        <v>0.35416666666666669</v>
      </c>
      <c r="C21" s="1">
        <v>0.75</v>
      </c>
      <c r="D21" s="1">
        <f t="shared" si="5"/>
        <v>0.35416666666666663</v>
      </c>
      <c r="E21" s="1">
        <f t="shared" si="6"/>
        <v>2.0833333333333315E-2</v>
      </c>
      <c r="F21" s="1">
        <f t="shared" si="7"/>
        <v>0.33333333333333331</v>
      </c>
      <c r="G21" s="3">
        <f>(F21*24)*$N$9</f>
        <v>50</v>
      </c>
      <c r="H21" s="3">
        <f t="shared" si="9"/>
        <v>2.1249999999999982</v>
      </c>
      <c r="J21" s="4" t="s">
        <v>17</v>
      </c>
      <c r="K21" s="5" t="s">
        <v>16</v>
      </c>
    </row>
    <row r="22" spans="1:18" x14ac:dyDescent="0.25">
      <c r="A22" s="12">
        <v>42263</v>
      </c>
      <c r="B22" s="1">
        <v>0.33333333333333331</v>
      </c>
      <c r="C22" s="1">
        <v>0.66666666666666663</v>
      </c>
      <c r="D22" s="1">
        <f t="shared" si="5"/>
        <v>0.29166666666666663</v>
      </c>
      <c r="E22" s="1">
        <f t="shared" si="6"/>
        <v>0</v>
      </c>
      <c r="F22" s="1">
        <f t="shared" si="7"/>
        <v>0.29166666666666663</v>
      </c>
      <c r="G22" s="3">
        <f>(F22*24)*$N$9</f>
        <v>43.749999999999993</v>
      </c>
      <c r="H22" s="3">
        <f t="shared" si="9"/>
        <v>0</v>
      </c>
      <c r="J22" s="11" t="s">
        <v>14</v>
      </c>
      <c r="K22" s="21">
        <f>Tabela4102837[[#Totals],[$ Trabalhado - Extra]]+Tabela4102837[[#Totals],[$ Extra]]</f>
        <v>422.89583333333337</v>
      </c>
      <c r="P22" s="3"/>
    </row>
    <row r="23" spans="1:18" x14ac:dyDescent="0.25">
      <c r="A23" s="12">
        <v>42264</v>
      </c>
      <c r="B23" s="1">
        <v>0.33333333333333331</v>
      </c>
      <c r="C23" s="1">
        <v>0.75</v>
      </c>
      <c r="D23" s="1">
        <f t="shared" si="5"/>
        <v>0.375</v>
      </c>
      <c r="E23" s="1">
        <f t="shared" si="6"/>
        <v>4.1666666666666685E-2</v>
      </c>
      <c r="F23" s="1">
        <f t="shared" si="7"/>
        <v>0.33333333333333331</v>
      </c>
      <c r="G23" s="3">
        <f>(F23*24)*$N$9</f>
        <v>50</v>
      </c>
      <c r="H23" s="3">
        <f t="shared" si="9"/>
        <v>4.2500000000000018</v>
      </c>
      <c r="J23" s="11" t="s">
        <v>25</v>
      </c>
      <c r="K23" s="19">
        <f>Tabela312143233[[#Totals],[Incluir]]</f>
        <v>99.995833333333394</v>
      </c>
      <c r="P23" s="23"/>
    </row>
    <row r="24" spans="1:18" x14ac:dyDescent="0.25">
      <c r="A24" s="12">
        <v>42265</v>
      </c>
      <c r="B24" s="1">
        <v>0.35416666666666669</v>
      </c>
      <c r="C24" s="1">
        <v>0.75</v>
      </c>
      <c r="D24" s="1">
        <f t="shared" si="5"/>
        <v>0.35416666666666663</v>
      </c>
      <c r="E24" s="1">
        <f t="shared" si="6"/>
        <v>2.0833333333333315E-2</v>
      </c>
      <c r="F24" s="1">
        <f t="shared" si="7"/>
        <v>0.33333333333333331</v>
      </c>
      <c r="G24" s="3">
        <f>(F24*24)*$N$9</f>
        <v>50</v>
      </c>
      <c r="H24" s="3">
        <f t="shared" si="9"/>
        <v>2.1249999999999982</v>
      </c>
      <c r="J24" s="11" t="s">
        <v>12</v>
      </c>
      <c r="K24" s="20">
        <f>Tabela3112936[[#Totals],[Valor]]</f>
        <v>0</v>
      </c>
    </row>
    <row r="25" spans="1:18" x14ac:dyDescent="0.25">
      <c r="A25" s="12">
        <v>42266</v>
      </c>
      <c r="B25" s="1">
        <v>0.45833333333333331</v>
      </c>
      <c r="C25" s="1">
        <v>0.75</v>
      </c>
      <c r="D25" s="1">
        <f t="shared" si="5"/>
        <v>0.25</v>
      </c>
      <c r="E25" s="1">
        <f t="shared" si="6"/>
        <v>0</v>
      </c>
      <c r="F25" s="1">
        <f t="shared" si="7"/>
        <v>0.25</v>
      </c>
      <c r="G25" s="3">
        <f>(F25*24)*$N$9</f>
        <v>37.5</v>
      </c>
      <c r="H25" s="3">
        <f t="shared" si="9"/>
        <v>0</v>
      </c>
      <c r="J25" s="11" t="s">
        <v>7</v>
      </c>
      <c r="K25" s="18">
        <f>K22+K23-K24</f>
        <v>522.89166666666677</v>
      </c>
    </row>
    <row r="26" spans="1:18" x14ac:dyDescent="0.25">
      <c r="A26" s="12">
        <v>42267</v>
      </c>
      <c r="B26" s="1">
        <v>0.33333333333333331</v>
      </c>
      <c r="C26" s="1">
        <v>0.75</v>
      </c>
      <c r="D26" s="1">
        <f t="shared" si="5"/>
        <v>0.375</v>
      </c>
      <c r="E26" s="1">
        <f t="shared" si="6"/>
        <v>4.1666666666666685E-2</v>
      </c>
      <c r="F26" s="1">
        <f t="shared" si="7"/>
        <v>0.33333333333333331</v>
      </c>
      <c r="G26" s="3">
        <f>(F26*24)*$N$9</f>
        <v>50</v>
      </c>
      <c r="H26" s="3">
        <f t="shared" si="9"/>
        <v>4.2500000000000018</v>
      </c>
      <c r="J26" s="11" t="s">
        <v>29</v>
      </c>
      <c r="K26" s="22">
        <v>522.89166666666677</v>
      </c>
    </row>
    <row r="27" spans="1:18" x14ac:dyDescent="0.25">
      <c r="A27" s="12"/>
      <c r="B27" s="1"/>
      <c r="C27" s="1"/>
      <c r="D27" s="1">
        <f t="shared" si="5"/>
        <v>0</v>
      </c>
      <c r="E27" s="1">
        <f t="shared" si="6"/>
        <v>0</v>
      </c>
      <c r="F27" s="1">
        <f t="shared" si="7"/>
        <v>0</v>
      </c>
      <c r="G27" s="3">
        <f>(F27*24)*$N$9</f>
        <v>0</v>
      </c>
      <c r="H27" s="3">
        <f t="shared" si="9"/>
        <v>0</v>
      </c>
    </row>
    <row r="28" spans="1:18" x14ac:dyDescent="0.25">
      <c r="A28" s="12"/>
      <c r="B28" s="1"/>
      <c r="C28" s="1"/>
      <c r="D28" s="1">
        <f t="shared" si="5"/>
        <v>0</v>
      </c>
      <c r="E28" s="1">
        <f t="shared" si="6"/>
        <v>0</v>
      </c>
      <c r="F28" s="1">
        <f t="shared" si="7"/>
        <v>0</v>
      </c>
      <c r="G28" s="3">
        <f>(F28*24)*$N$9</f>
        <v>0</v>
      </c>
      <c r="H28" s="3">
        <f t="shared" si="9"/>
        <v>0</v>
      </c>
    </row>
    <row r="29" spans="1:18" x14ac:dyDescent="0.25">
      <c r="A29" s="2" t="s">
        <v>13</v>
      </c>
      <c r="D29" s="1">
        <f>SUBTOTAL(109,Tabela4102837[Trabalhada-almoço])</f>
        <v>2.8715277777777777</v>
      </c>
      <c r="E29" s="1">
        <f>SUBTOTAL(109,Tabela4102837[Extra])</f>
        <v>0.16319444444444453</v>
      </c>
      <c r="F29" s="1">
        <f>SUBTOTAL(109,Tabela4102837[Trabalhada-Extra])</f>
        <v>2.708333333333333</v>
      </c>
      <c r="G29" s="9">
        <f>SUBTOTAL(109,Tabela4102837[$ Trabalhado - Extra])</f>
        <v>406.25</v>
      </c>
      <c r="H29" s="9">
        <f>SUBTOTAL(109,Tabela4102837[$ Extra])</f>
        <v>16.645833333333343</v>
      </c>
    </row>
    <row r="30" spans="1:18" x14ac:dyDescent="0.25">
      <c r="H30" s="2"/>
    </row>
    <row r="31" spans="1:18" x14ac:dyDescent="0.25">
      <c r="A31" s="12"/>
    </row>
    <row r="32" spans="1:18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</sheetData>
  <mergeCells count="6">
    <mergeCell ref="A16:H16"/>
    <mergeCell ref="J16:M16"/>
    <mergeCell ref="O16:R16"/>
    <mergeCell ref="O1:R1"/>
    <mergeCell ref="J1:M1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abSelected="1" zoomScale="80" zoomScaleNormal="80" workbookViewId="0">
      <selection activeCell="E13" sqref="E13"/>
    </sheetView>
  </sheetViews>
  <sheetFormatPr defaultRowHeight="15" x14ac:dyDescent="0.25"/>
  <cols>
    <col min="1" max="1" width="8.140625" style="2" customWidth="1"/>
    <col min="2" max="2" width="9.140625" style="2"/>
    <col min="3" max="3" width="5.7109375" style="2" bestFit="1" customWidth="1"/>
    <col min="4" max="4" width="18.140625" style="2" bestFit="1" customWidth="1"/>
    <col min="5" max="5" width="6.140625" style="2" bestFit="1" customWidth="1"/>
    <col min="6" max="6" width="20.42578125" style="2" customWidth="1"/>
    <col min="7" max="7" width="18.5703125" style="2" bestFit="1" customWidth="1"/>
    <col min="8" max="8" width="10" bestFit="1" customWidth="1"/>
    <col min="9" max="9" width="2.7109375" customWidth="1"/>
    <col min="10" max="10" width="12.42578125" bestFit="1" customWidth="1"/>
    <col min="11" max="11" width="18.140625" customWidth="1"/>
    <col min="12" max="12" width="10" bestFit="1" customWidth="1"/>
    <col min="14" max="14" width="10" bestFit="1" customWidth="1"/>
    <col min="15" max="15" width="12.42578125" style="2" bestFit="1" customWidth="1"/>
    <col min="16" max="16" width="12" style="2" customWidth="1"/>
    <col min="17" max="18" width="11.140625" style="2" bestFit="1" customWidth="1"/>
    <col min="19" max="16384" width="9.140625" style="2"/>
  </cols>
  <sheetData>
    <row r="1" spans="1:18" x14ac:dyDescent="0.25">
      <c r="A1" s="13" t="s">
        <v>23</v>
      </c>
      <c r="B1" s="14"/>
      <c r="C1" s="14"/>
      <c r="D1" s="14"/>
      <c r="E1" s="14"/>
      <c r="F1" s="14"/>
      <c r="G1" s="14"/>
      <c r="H1" s="14"/>
      <c r="I1" s="2"/>
      <c r="J1" s="13" t="s">
        <v>28</v>
      </c>
      <c r="K1" s="14"/>
      <c r="L1" s="14"/>
      <c r="M1" s="14"/>
      <c r="N1" s="2"/>
      <c r="O1" s="13" t="s">
        <v>25</v>
      </c>
      <c r="P1" s="14"/>
      <c r="Q1" s="14"/>
      <c r="R1" s="14"/>
    </row>
    <row r="2" spans="1:18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9</v>
      </c>
      <c r="K2" s="2" t="s">
        <v>10</v>
      </c>
      <c r="L2" s="2" t="s">
        <v>11</v>
      </c>
      <c r="M2" s="2" t="s">
        <v>20</v>
      </c>
      <c r="N2" s="2"/>
      <c r="O2" s="2" t="s">
        <v>9</v>
      </c>
      <c r="P2" s="2" t="s">
        <v>10</v>
      </c>
      <c r="Q2" s="2" t="s">
        <v>11</v>
      </c>
      <c r="R2" s="2" t="s">
        <v>26</v>
      </c>
    </row>
    <row r="3" spans="1:18" x14ac:dyDescent="0.25">
      <c r="A3" s="12"/>
      <c r="B3" s="1"/>
      <c r="C3" s="1"/>
      <c r="D3" s="1">
        <f t="shared" ref="D3:D12" si="0">IF(C3-B3-"1:00"&lt;0,0,(C3-B3-"1:00"))</f>
        <v>0</v>
      </c>
      <c r="E3" s="1">
        <f t="shared" ref="E3:E12" si="1">IF(D3-"8:00" &lt; 0,0,D3-"8:00")</f>
        <v>0</v>
      </c>
      <c r="F3" s="1">
        <f t="shared" ref="F3:F12" si="2">IFERROR(D3-E3,0)</f>
        <v>0</v>
      </c>
      <c r="G3" s="3">
        <f t="shared" ref="G3:G12" si="3">(F3*24)*$N$9</f>
        <v>0</v>
      </c>
      <c r="H3" s="3">
        <f t="shared" ref="H3:H12" si="4">IFERROR((E3*24)*$N$10,0)</f>
        <v>0</v>
      </c>
      <c r="I3" s="2"/>
      <c r="J3" s="10" t="s">
        <v>30</v>
      </c>
      <c r="K3" s="2" t="s">
        <v>28</v>
      </c>
      <c r="L3" s="3">
        <f>SUMIF(Tabela3112936[Descontar],"N",Tabela3112936[Valor])</f>
        <v>0</v>
      </c>
      <c r="M3" s="2" t="s">
        <v>21</v>
      </c>
      <c r="N3" s="2"/>
      <c r="O3" s="10" t="s">
        <v>30</v>
      </c>
      <c r="P3" s="2" t="s">
        <v>27</v>
      </c>
      <c r="Q3" s="3">
        <f>(Setembro!K25-Setembro!K26)+ SUMIF(Tabela312143233[Incluir],"N",Tabela312143233[Valor])</f>
        <v>0</v>
      </c>
      <c r="R3" s="2" t="s">
        <v>21</v>
      </c>
    </row>
    <row r="4" spans="1:18" x14ac:dyDescent="0.25">
      <c r="A4" s="12"/>
      <c r="B4" s="1"/>
      <c r="C4" s="1"/>
      <c r="D4" s="1">
        <f t="shared" si="0"/>
        <v>0</v>
      </c>
      <c r="E4" s="1">
        <f t="shared" si="1"/>
        <v>0</v>
      </c>
      <c r="F4" s="1">
        <f t="shared" si="2"/>
        <v>0</v>
      </c>
      <c r="G4" s="3">
        <f t="shared" si="3"/>
        <v>0</v>
      </c>
      <c r="H4" s="3">
        <f t="shared" si="4"/>
        <v>0</v>
      </c>
      <c r="I4" s="2"/>
      <c r="J4" s="6"/>
      <c r="K4" s="6"/>
      <c r="L4" s="15">
        <f>SUMIF(Tabela3112936[Descontar],"N",Tabela3112936[Valor])</f>
        <v>0</v>
      </c>
      <c r="M4" s="6"/>
      <c r="N4" s="2"/>
      <c r="O4" s="2" t="s">
        <v>13</v>
      </c>
      <c r="Q4" s="24"/>
      <c r="R4" s="8">
        <f>SUMIF(Tabela312303589[Incluir],"S",Tabela312303589[Valor])</f>
        <v>0</v>
      </c>
    </row>
    <row r="5" spans="1:18" x14ac:dyDescent="0.25">
      <c r="A5" s="12"/>
      <c r="B5" s="1"/>
      <c r="C5" s="1"/>
      <c r="D5" s="1">
        <f t="shared" si="0"/>
        <v>0</v>
      </c>
      <c r="E5" s="1">
        <f t="shared" si="1"/>
        <v>0</v>
      </c>
      <c r="F5" s="1">
        <f t="shared" si="2"/>
        <v>0</v>
      </c>
      <c r="G5" s="3">
        <f t="shared" si="3"/>
        <v>0</v>
      </c>
      <c r="H5" s="3">
        <f t="shared" si="4"/>
        <v>0</v>
      </c>
      <c r="I5" s="2"/>
      <c r="J5" s="2" t="s">
        <v>13</v>
      </c>
      <c r="K5" s="2"/>
      <c r="L5" s="2"/>
      <c r="M5" s="2">
        <f>SUMIF(Tabela3244195[Descontar],"S",Tabela3244195[Valor])</f>
        <v>0</v>
      </c>
      <c r="N5" s="2"/>
    </row>
    <row r="6" spans="1:18" x14ac:dyDescent="0.25">
      <c r="A6" s="12"/>
      <c r="B6" s="1"/>
      <c r="C6" s="1"/>
      <c r="D6" s="1">
        <f t="shared" si="0"/>
        <v>0</v>
      </c>
      <c r="E6" s="1">
        <f t="shared" si="1"/>
        <v>0</v>
      </c>
      <c r="F6" s="1">
        <f t="shared" si="2"/>
        <v>0</v>
      </c>
      <c r="G6" s="3">
        <f t="shared" si="3"/>
        <v>0</v>
      </c>
      <c r="H6" s="3">
        <f t="shared" si="4"/>
        <v>0</v>
      </c>
      <c r="I6" s="2"/>
      <c r="J6" s="2"/>
      <c r="K6" s="2"/>
      <c r="L6" s="2"/>
      <c r="M6" s="2"/>
      <c r="N6" s="2"/>
    </row>
    <row r="7" spans="1:18" x14ac:dyDescent="0.25">
      <c r="A7" s="12"/>
      <c r="B7" s="1"/>
      <c r="C7" s="1"/>
      <c r="D7" s="1">
        <f t="shared" si="0"/>
        <v>0</v>
      </c>
      <c r="E7" s="1">
        <f t="shared" si="1"/>
        <v>0</v>
      </c>
      <c r="F7" s="1">
        <f t="shared" si="2"/>
        <v>0</v>
      </c>
      <c r="G7" s="3">
        <f t="shared" si="3"/>
        <v>0</v>
      </c>
      <c r="H7" s="3">
        <f t="shared" si="4"/>
        <v>0</v>
      </c>
      <c r="I7" s="2"/>
      <c r="J7" s="4" t="s">
        <v>17</v>
      </c>
      <c r="K7" s="5" t="s">
        <v>16</v>
      </c>
      <c r="L7" s="2"/>
      <c r="M7" s="2"/>
      <c r="N7" s="2"/>
    </row>
    <row r="8" spans="1:18" x14ac:dyDescent="0.25">
      <c r="A8" s="12"/>
      <c r="B8" s="1"/>
      <c r="C8" s="1"/>
      <c r="D8" s="1">
        <f t="shared" si="0"/>
        <v>0</v>
      </c>
      <c r="E8" s="1">
        <f t="shared" si="1"/>
        <v>0</v>
      </c>
      <c r="F8" s="1">
        <f t="shared" si="2"/>
        <v>0</v>
      </c>
      <c r="G8" s="3">
        <f t="shared" si="3"/>
        <v>0</v>
      </c>
      <c r="H8" s="3">
        <f t="shared" si="4"/>
        <v>0</v>
      </c>
      <c r="I8" s="2"/>
      <c r="J8" s="11" t="s">
        <v>14</v>
      </c>
      <c r="K8" s="21">
        <f>Tabela4254094[[#Totals],[$ Trabalhado - Extra]]+Tabela4254094[[#Totals],[$ Extra]]</f>
        <v>0</v>
      </c>
      <c r="L8" s="2"/>
      <c r="M8" s="4" t="s">
        <v>17</v>
      </c>
      <c r="N8" s="5" t="s">
        <v>16</v>
      </c>
    </row>
    <row r="9" spans="1:18" x14ac:dyDescent="0.25">
      <c r="A9" s="12"/>
      <c r="B9" s="1"/>
      <c r="C9" s="1"/>
      <c r="D9" s="1">
        <f t="shared" si="0"/>
        <v>0</v>
      </c>
      <c r="E9" s="1">
        <f t="shared" si="1"/>
        <v>0</v>
      </c>
      <c r="F9" s="1">
        <f t="shared" si="2"/>
        <v>0</v>
      </c>
      <c r="G9" s="3">
        <f t="shared" si="3"/>
        <v>0</v>
      </c>
      <c r="H9" s="3">
        <f t="shared" si="4"/>
        <v>0</v>
      </c>
      <c r="I9" s="2"/>
      <c r="J9" s="11" t="s">
        <v>25</v>
      </c>
      <c r="K9" s="19">
        <f>Tabela312303589[[#Totals],[Incluir]]</f>
        <v>0</v>
      </c>
      <c r="M9" s="11" t="s">
        <v>18</v>
      </c>
      <c r="N9" s="5">
        <v>6.25</v>
      </c>
    </row>
    <row r="10" spans="1:18" x14ac:dyDescent="0.25">
      <c r="A10" s="12"/>
      <c r="B10" s="1"/>
      <c r="C10" s="1"/>
      <c r="D10" s="1">
        <f t="shared" si="0"/>
        <v>0</v>
      </c>
      <c r="E10" s="1">
        <f t="shared" si="1"/>
        <v>0</v>
      </c>
      <c r="F10" s="1">
        <f t="shared" si="2"/>
        <v>0</v>
      </c>
      <c r="G10" s="3">
        <f t="shared" si="3"/>
        <v>0</v>
      </c>
      <c r="H10" s="3">
        <f t="shared" si="4"/>
        <v>0</v>
      </c>
      <c r="I10" s="2"/>
      <c r="J10" s="11" t="s">
        <v>12</v>
      </c>
      <c r="K10" s="20">
        <f>Tabela3244195[[#Totals],[Descontar]]</f>
        <v>0</v>
      </c>
      <c r="L10" s="2"/>
      <c r="M10" s="11" t="s">
        <v>19</v>
      </c>
      <c r="N10" s="5">
        <v>4.25</v>
      </c>
    </row>
    <row r="11" spans="1:18" x14ac:dyDescent="0.25">
      <c r="A11" s="12"/>
      <c r="B11" s="1"/>
      <c r="C11" s="1"/>
      <c r="D11" s="1">
        <f t="shared" si="0"/>
        <v>0</v>
      </c>
      <c r="E11" s="1">
        <f t="shared" si="1"/>
        <v>0</v>
      </c>
      <c r="F11" s="1">
        <f t="shared" si="2"/>
        <v>0</v>
      </c>
      <c r="G11" s="3">
        <f t="shared" si="3"/>
        <v>0</v>
      </c>
      <c r="H11" s="3">
        <f t="shared" si="4"/>
        <v>0</v>
      </c>
      <c r="I11" s="2"/>
      <c r="J11" s="11" t="s">
        <v>7</v>
      </c>
      <c r="K11" s="18">
        <f>K8+K9-K10</f>
        <v>0</v>
      </c>
      <c r="L11" s="2"/>
      <c r="M11" s="11" t="s">
        <v>8</v>
      </c>
      <c r="N11" s="5">
        <f>N9*8</f>
        <v>50</v>
      </c>
    </row>
    <row r="12" spans="1:18" x14ac:dyDescent="0.25">
      <c r="A12" s="12"/>
      <c r="B12" s="1"/>
      <c r="C12" s="1"/>
      <c r="D12" s="1">
        <f t="shared" si="0"/>
        <v>0</v>
      </c>
      <c r="E12" s="1">
        <f t="shared" si="1"/>
        <v>0</v>
      </c>
      <c r="F12" s="1">
        <f t="shared" si="2"/>
        <v>0</v>
      </c>
      <c r="G12" s="3">
        <f t="shared" si="3"/>
        <v>0</v>
      </c>
      <c r="H12" s="3">
        <f t="shared" si="4"/>
        <v>0</v>
      </c>
      <c r="J12" s="11" t="s">
        <v>29</v>
      </c>
      <c r="K12" s="22"/>
    </row>
    <row r="13" spans="1:18" x14ac:dyDescent="0.25">
      <c r="A13" s="2" t="s">
        <v>13</v>
      </c>
      <c r="D13" s="1">
        <f>SUBTOTAL(109,Tabela4254094[Trabalhada-almoço])</f>
        <v>0</v>
      </c>
      <c r="E13" s="1">
        <f>SUBTOTAL(109,Tabela4254094[Extra])</f>
        <v>0</v>
      </c>
      <c r="F13" s="1">
        <f>SUBTOTAL(109,Tabela4254094[Trabalhada-Extra])</f>
        <v>0</v>
      </c>
      <c r="G13" s="9">
        <f>SUBTOTAL(109,Tabela4254094[$ Trabalhado - Extra])</f>
        <v>0</v>
      </c>
      <c r="H13" s="9">
        <f>SUBTOTAL(109,Tabela4254094[$ Extra])</f>
        <v>0</v>
      </c>
      <c r="I13" s="2"/>
      <c r="J13" s="2"/>
      <c r="K13" s="2"/>
      <c r="L13" s="2"/>
      <c r="M13" s="2"/>
      <c r="N13" s="2"/>
    </row>
    <row r="14" spans="1:18" x14ac:dyDescent="0.25">
      <c r="A14" s="12"/>
      <c r="C14" s="1"/>
      <c r="H14" s="2"/>
      <c r="I14" s="2"/>
      <c r="J14" s="2"/>
      <c r="K14" s="2"/>
      <c r="L14" s="2"/>
      <c r="M14" s="2"/>
      <c r="N14" s="2"/>
    </row>
    <row r="15" spans="1:18" x14ac:dyDescent="0.25">
      <c r="A15" s="12"/>
      <c r="C15" s="1"/>
      <c r="H15" s="2"/>
      <c r="I15" s="2"/>
      <c r="J15" s="2"/>
      <c r="K15" s="2"/>
      <c r="L15" s="2"/>
      <c r="M15" s="2"/>
      <c r="N15" s="2"/>
    </row>
    <row r="16" spans="1:18" x14ac:dyDescent="0.25">
      <c r="A16" s="16" t="s">
        <v>24</v>
      </c>
      <c r="B16" s="17"/>
      <c r="C16" s="17"/>
      <c r="D16" s="17"/>
      <c r="E16" s="17"/>
      <c r="F16" s="17"/>
      <c r="G16" s="17"/>
      <c r="H16" s="17"/>
      <c r="J16" s="16" t="s">
        <v>28</v>
      </c>
      <c r="K16" s="17"/>
      <c r="L16" s="17"/>
      <c r="M16" s="17"/>
      <c r="O16" s="16" t="s">
        <v>25</v>
      </c>
      <c r="P16" s="17"/>
      <c r="Q16" s="17"/>
      <c r="R16" s="17"/>
    </row>
    <row r="17" spans="1:18" x14ac:dyDescent="0.25">
      <c r="A17" s="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/>
      <c r="J17" s="2" t="s">
        <v>9</v>
      </c>
      <c r="K17" s="2" t="s">
        <v>10</v>
      </c>
      <c r="L17" s="2" t="s">
        <v>11</v>
      </c>
      <c r="M17" s="2" t="s">
        <v>20</v>
      </c>
      <c r="N17" s="2"/>
      <c r="O17" s="2" t="s">
        <v>9</v>
      </c>
      <c r="P17" s="2" t="s">
        <v>10</v>
      </c>
      <c r="Q17" s="2" t="s">
        <v>11</v>
      </c>
      <c r="R17" s="2" t="s">
        <v>26</v>
      </c>
    </row>
    <row r="18" spans="1:18" x14ac:dyDescent="0.25">
      <c r="A18" s="12"/>
      <c r="B18" s="1"/>
      <c r="C18" s="1"/>
      <c r="D18" s="1">
        <f t="shared" ref="D18:D28" si="5">IF(C18-B18-"1:00"&lt;0,0,(C18-B18-"1:00"))</f>
        <v>0</v>
      </c>
      <c r="E18" s="1">
        <f t="shared" ref="E18:E28" si="6">IF(D18-"8:00" &lt; 0,0,D18-"8:00")</f>
        <v>0</v>
      </c>
      <c r="F18" s="1">
        <f t="shared" ref="F18:F28" si="7">IFERROR(D18-E18,0)</f>
        <v>0</v>
      </c>
      <c r="G18" s="3">
        <f t="shared" ref="G18" si="8">(F18*24)*$N$9</f>
        <v>0</v>
      </c>
      <c r="H18" s="3">
        <f t="shared" ref="H18:H28" si="9">IFERROR((E18*24)*$N$10,0)</f>
        <v>0</v>
      </c>
      <c r="I18" s="2"/>
      <c r="J18" s="10" t="s">
        <v>33</v>
      </c>
      <c r="K18" s="2" t="s">
        <v>28</v>
      </c>
      <c r="L18" s="3">
        <f>SUMIF(Tabela3244195[Descontar],"N",Tabela3244195[Valor])</f>
        <v>0</v>
      </c>
      <c r="M18" s="2" t="s">
        <v>21</v>
      </c>
      <c r="N18" s="2"/>
      <c r="O18" s="10" t="s">
        <v>33</v>
      </c>
      <c r="P18" s="2" t="s">
        <v>27</v>
      </c>
      <c r="Q18" s="3">
        <f>(K11-K12)+ SUMIF(Tabela312303589[Incluir],"N",Tabela312303589[Valor])*-1</f>
        <v>0</v>
      </c>
      <c r="R18" s="2" t="s">
        <v>21</v>
      </c>
    </row>
    <row r="19" spans="1:18" x14ac:dyDescent="0.25">
      <c r="A19" s="12"/>
      <c r="B19" s="1"/>
      <c r="C19" s="1"/>
      <c r="D19" s="1">
        <f t="shared" si="5"/>
        <v>0</v>
      </c>
      <c r="E19" s="1">
        <f t="shared" si="6"/>
        <v>0</v>
      </c>
      <c r="F19" s="1">
        <f t="shared" si="7"/>
        <v>0</v>
      </c>
      <c r="G19" s="3">
        <f>(F19*24)*$N$9</f>
        <v>0</v>
      </c>
      <c r="H19" s="3">
        <f t="shared" si="9"/>
        <v>0</v>
      </c>
      <c r="J19" s="2" t="s">
        <v>13</v>
      </c>
      <c r="K19" s="2"/>
      <c r="L19" s="9">
        <f>SUBTOTAL(109,Tabela311293690[Valor])</f>
        <v>0</v>
      </c>
      <c r="M19" s="2"/>
      <c r="O19" s="2" t="s">
        <v>13</v>
      </c>
      <c r="Q19" s="24"/>
      <c r="R19" s="2">
        <f>SUMIF(Tabela31214323387[Incluir],"S",Tabela31214323387[Valor])</f>
        <v>0</v>
      </c>
    </row>
    <row r="20" spans="1:18" x14ac:dyDescent="0.25">
      <c r="A20" s="12"/>
      <c r="B20" s="1"/>
      <c r="C20" s="1"/>
      <c r="D20" s="1">
        <f t="shared" si="5"/>
        <v>0</v>
      </c>
      <c r="E20" s="1">
        <f t="shared" si="6"/>
        <v>0</v>
      </c>
      <c r="F20" s="1">
        <f t="shared" si="7"/>
        <v>0</v>
      </c>
      <c r="G20" s="3">
        <f>(F20*24)*$N$9</f>
        <v>0</v>
      </c>
      <c r="H20" s="3">
        <f t="shared" si="9"/>
        <v>0</v>
      </c>
    </row>
    <row r="21" spans="1:18" x14ac:dyDescent="0.25">
      <c r="A21" s="12"/>
      <c r="B21" s="1"/>
      <c r="C21" s="1"/>
      <c r="D21" s="1">
        <f t="shared" si="5"/>
        <v>0</v>
      </c>
      <c r="E21" s="1">
        <f t="shared" si="6"/>
        <v>0</v>
      </c>
      <c r="F21" s="1">
        <f t="shared" si="7"/>
        <v>0</v>
      </c>
      <c r="G21" s="3">
        <f>(F21*24)*$N$9</f>
        <v>0</v>
      </c>
      <c r="H21" s="3">
        <f t="shared" si="9"/>
        <v>0</v>
      </c>
      <c r="J21" s="4" t="s">
        <v>17</v>
      </c>
      <c r="K21" s="5" t="s">
        <v>16</v>
      </c>
    </row>
    <row r="22" spans="1:18" x14ac:dyDescent="0.25">
      <c r="A22" s="12"/>
      <c r="B22" s="1"/>
      <c r="C22" s="1"/>
      <c r="D22" s="1">
        <f t="shared" si="5"/>
        <v>0</v>
      </c>
      <c r="E22" s="1">
        <f t="shared" si="6"/>
        <v>0</v>
      </c>
      <c r="F22" s="1">
        <f t="shared" si="7"/>
        <v>0</v>
      </c>
      <c r="G22" s="3">
        <f>(F22*24)*$N$9</f>
        <v>0</v>
      </c>
      <c r="H22" s="3">
        <f t="shared" si="9"/>
        <v>0</v>
      </c>
      <c r="J22" s="11" t="s">
        <v>14</v>
      </c>
      <c r="K22" s="21">
        <f>Tabela410283791[[#Totals],[$ Trabalhado - Extra]]+Tabela410283791[[#Totals],[$ Extra]]</f>
        <v>0</v>
      </c>
      <c r="P22" s="3"/>
    </row>
    <row r="23" spans="1:18" x14ac:dyDescent="0.25">
      <c r="A23" s="12"/>
      <c r="B23" s="1"/>
      <c r="C23" s="1"/>
      <c r="D23" s="1">
        <f t="shared" si="5"/>
        <v>0</v>
      </c>
      <c r="E23" s="1">
        <f t="shared" si="6"/>
        <v>0</v>
      </c>
      <c r="F23" s="1">
        <f t="shared" si="7"/>
        <v>0</v>
      </c>
      <c r="G23" s="3">
        <f>(F23*24)*$N$9</f>
        <v>0</v>
      </c>
      <c r="H23" s="3">
        <f t="shared" si="9"/>
        <v>0</v>
      </c>
      <c r="J23" s="11" t="s">
        <v>25</v>
      </c>
      <c r="K23" s="19">
        <f>Tabela31214323387[[#Totals],[Incluir]]</f>
        <v>0</v>
      </c>
      <c r="P23" s="23"/>
    </row>
    <row r="24" spans="1:18" x14ac:dyDescent="0.25">
      <c r="A24" s="12"/>
      <c r="B24" s="1"/>
      <c r="C24" s="1"/>
      <c r="D24" s="1">
        <f t="shared" si="5"/>
        <v>0</v>
      </c>
      <c r="E24" s="1">
        <f t="shared" si="6"/>
        <v>0</v>
      </c>
      <c r="F24" s="1">
        <f t="shared" si="7"/>
        <v>0</v>
      </c>
      <c r="G24" s="3">
        <f>(F24*24)*$N$9</f>
        <v>0</v>
      </c>
      <c r="H24" s="3">
        <f t="shared" si="9"/>
        <v>0</v>
      </c>
      <c r="J24" s="11" t="s">
        <v>12</v>
      </c>
      <c r="K24" s="20">
        <f>Tabela311293690[[#Totals],[Valor]]</f>
        <v>0</v>
      </c>
    </row>
    <row r="25" spans="1:18" x14ac:dyDescent="0.25">
      <c r="A25" s="12"/>
      <c r="B25" s="1"/>
      <c r="C25" s="1"/>
      <c r="D25" s="1">
        <f t="shared" si="5"/>
        <v>0</v>
      </c>
      <c r="E25" s="1">
        <f t="shared" si="6"/>
        <v>0</v>
      </c>
      <c r="F25" s="1">
        <f t="shared" si="7"/>
        <v>0</v>
      </c>
      <c r="G25" s="3">
        <f>(F25*24)*$N$9</f>
        <v>0</v>
      </c>
      <c r="H25" s="3">
        <f t="shared" si="9"/>
        <v>0</v>
      </c>
      <c r="J25" s="11" t="s">
        <v>7</v>
      </c>
      <c r="K25" s="18">
        <f>K22+K23-K24</f>
        <v>0</v>
      </c>
    </row>
    <row r="26" spans="1:18" x14ac:dyDescent="0.25">
      <c r="A26" s="12"/>
      <c r="B26" s="1"/>
      <c r="C26" s="1"/>
      <c r="D26" s="1">
        <f t="shared" si="5"/>
        <v>0</v>
      </c>
      <c r="E26" s="1">
        <f t="shared" si="6"/>
        <v>0</v>
      </c>
      <c r="F26" s="1">
        <f t="shared" si="7"/>
        <v>0</v>
      </c>
      <c r="G26" s="3">
        <f>(F26*24)*$N$9</f>
        <v>0</v>
      </c>
      <c r="H26" s="3">
        <f t="shared" si="9"/>
        <v>0</v>
      </c>
      <c r="J26" s="11" t="s">
        <v>29</v>
      </c>
      <c r="K26" s="22"/>
    </row>
    <row r="27" spans="1:18" x14ac:dyDescent="0.25">
      <c r="A27" s="12"/>
      <c r="B27" s="1"/>
      <c r="C27" s="1"/>
      <c r="D27" s="1">
        <f t="shared" si="5"/>
        <v>0</v>
      </c>
      <c r="E27" s="1">
        <f t="shared" si="6"/>
        <v>0</v>
      </c>
      <c r="F27" s="1">
        <f t="shared" si="7"/>
        <v>0</v>
      </c>
      <c r="G27" s="3">
        <f>(F27*24)*$N$9</f>
        <v>0</v>
      </c>
      <c r="H27" s="3">
        <f t="shared" si="9"/>
        <v>0</v>
      </c>
      <c r="K27" s="7"/>
    </row>
    <row r="28" spans="1:18" x14ac:dyDescent="0.25">
      <c r="A28" s="12"/>
      <c r="B28" s="1"/>
      <c r="C28" s="1"/>
      <c r="D28" s="1">
        <f t="shared" si="5"/>
        <v>0</v>
      </c>
      <c r="E28" s="1">
        <f t="shared" si="6"/>
        <v>0</v>
      </c>
      <c r="F28" s="1">
        <f t="shared" si="7"/>
        <v>0</v>
      </c>
      <c r="G28" s="3">
        <f>(F28*24)*$N$9</f>
        <v>0</v>
      </c>
      <c r="H28" s="3">
        <f t="shared" si="9"/>
        <v>0</v>
      </c>
    </row>
    <row r="29" spans="1:18" x14ac:dyDescent="0.25">
      <c r="A29" s="2" t="s">
        <v>13</v>
      </c>
      <c r="D29" s="1">
        <f>SUBTOTAL(109,Tabela410283791[Trabalhada-almoço])</f>
        <v>0</v>
      </c>
      <c r="E29" s="1">
        <f>SUBTOTAL(109,Tabela410283791[Extra])</f>
        <v>0</v>
      </c>
      <c r="F29" s="1">
        <f>SUBTOTAL(109,Tabela410283791[Trabalhada-Extra])</f>
        <v>0</v>
      </c>
      <c r="G29" s="9">
        <f>SUBTOTAL(109,Tabela410283791[$ Trabalhado - Extra])</f>
        <v>0</v>
      </c>
      <c r="H29" s="9">
        <f>SUBTOTAL(109,Tabela410283791[$ Extra])</f>
        <v>0</v>
      </c>
    </row>
    <row r="30" spans="1:18" x14ac:dyDescent="0.25">
      <c r="H30" s="2"/>
    </row>
    <row r="31" spans="1:18" x14ac:dyDescent="0.25">
      <c r="A31" s="12"/>
    </row>
    <row r="32" spans="1:18" x14ac:dyDescent="0.25">
      <c r="A32" s="12"/>
    </row>
    <row r="33" spans="1:1" s="2" customFormat="1" x14ac:dyDescent="0.25">
      <c r="A33" s="12"/>
    </row>
    <row r="34" spans="1:1" s="2" customFormat="1" x14ac:dyDescent="0.25">
      <c r="A34" s="12"/>
    </row>
    <row r="35" spans="1:1" s="2" customFormat="1" x14ac:dyDescent="0.25">
      <c r="A35" s="12"/>
    </row>
    <row r="36" spans="1:1" s="2" customFormat="1" x14ac:dyDescent="0.25">
      <c r="A36" s="12"/>
    </row>
    <row r="37" spans="1:1" s="2" customFormat="1" x14ac:dyDescent="0.25">
      <c r="A37" s="12"/>
    </row>
    <row r="38" spans="1:1" s="2" customFormat="1" x14ac:dyDescent="0.25">
      <c r="A38" s="12"/>
    </row>
    <row r="39" spans="1:1" s="2" customFormat="1" x14ac:dyDescent="0.25">
      <c r="A39" s="12"/>
    </row>
    <row r="40" spans="1:1" s="2" customFormat="1" x14ac:dyDescent="0.25">
      <c r="A40" s="12"/>
    </row>
    <row r="41" spans="1:1" s="2" customFormat="1" x14ac:dyDescent="0.25">
      <c r="A41" s="12"/>
    </row>
    <row r="42" spans="1:1" s="2" customFormat="1" x14ac:dyDescent="0.25">
      <c r="A42" s="12"/>
    </row>
    <row r="43" spans="1:1" s="2" customFormat="1" x14ac:dyDescent="0.25">
      <c r="A43" s="12"/>
    </row>
    <row r="44" spans="1:1" s="2" customFormat="1" x14ac:dyDescent="0.25">
      <c r="A44" s="12"/>
    </row>
    <row r="45" spans="1:1" s="2" customFormat="1" x14ac:dyDescent="0.25">
      <c r="A45" s="12"/>
    </row>
    <row r="46" spans="1:1" s="2" customFormat="1" x14ac:dyDescent="0.25">
      <c r="A46" s="12"/>
    </row>
    <row r="47" spans="1:1" s="2" customFormat="1" x14ac:dyDescent="0.25">
      <c r="A47" s="12"/>
    </row>
    <row r="48" spans="1:1" s="2" customFormat="1" x14ac:dyDescent="0.25">
      <c r="A48" s="12"/>
    </row>
    <row r="49" spans="1:1" s="2" customFormat="1" x14ac:dyDescent="0.25">
      <c r="A49" s="12"/>
    </row>
    <row r="50" spans="1:1" s="2" customFormat="1" x14ac:dyDescent="0.25">
      <c r="A50" s="12"/>
    </row>
    <row r="51" spans="1:1" s="2" customFormat="1" x14ac:dyDescent="0.25">
      <c r="A51" s="12"/>
    </row>
    <row r="52" spans="1:1" s="2" customFormat="1" x14ac:dyDescent="0.25">
      <c r="A52" s="12"/>
    </row>
    <row r="53" spans="1:1" s="2" customFormat="1" x14ac:dyDescent="0.25">
      <c r="A53" s="12"/>
    </row>
    <row r="54" spans="1:1" s="2" customFormat="1" x14ac:dyDescent="0.25">
      <c r="A54" s="12"/>
    </row>
    <row r="55" spans="1:1" s="2" customFormat="1" x14ac:dyDescent="0.25">
      <c r="A55" s="12"/>
    </row>
    <row r="56" spans="1:1" s="2" customFormat="1" x14ac:dyDescent="0.25">
      <c r="A56" s="12"/>
    </row>
    <row r="57" spans="1:1" s="2" customFormat="1" x14ac:dyDescent="0.25">
      <c r="A57" s="12"/>
    </row>
    <row r="58" spans="1:1" s="2" customFormat="1" x14ac:dyDescent="0.25">
      <c r="A58" s="12"/>
    </row>
    <row r="59" spans="1:1" s="2" customFormat="1" x14ac:dyDescent="0.25">
      <c r="A59" s="12"/>
    </row>
    <row r="60" spans="1:1" s="2" customFormat="1" x14ac:dyDescent="0.25">
      <c r="A60" s="12"/>
    </row>
    <row r="61" spans="1:1" s="2" customFormat="1" x14ac:dyDescent="0.25">
      <c r="A61" s="12"/>
    </row>
    <row r="62" spans="1:1" s="2" customFormat="1" x14ac:dyDescent="0.25">
      <c r="A62" s="12"/>
    </row>
    <row r="63" spans="1:1" s="2" customFormat="1" x14ac:dyDescent="0.25">
      <c r="A63" s="12"/>
    </row>
    <row r="64" spans="1:1" s="2" customFormat="1" x14ac:dyDescent="0.25">
      <c r="A64" s="12"/>
    </row>
    <row r="65" spans="1:1" s="2" customFormat="1" x14ac:dyDescent="0.25">
      <c r="A65" s="12"/>
    </row>
    <row r="66" spans="1:1" s="2" customFormat="1" x14ac:dyDescent="0.25">
      <c r="A66" s="12"/>
    </row>
    <row r="67" spans="1:1" s="2" customFormat="1" x14ac:dyDescent="0.25">
      <c r="A67" s="12"/>
    </row>
    <row r="68" spans="1:1" s="2" customFormat="1" x14ac:dyDescent="0.25">
      <c r="A68" s="12"/>
    </row>
    <row r="69" spans="1:1" s="2" customFormat="1" x14ac:dyDescent="0.25">
      <c r="A69" s="12"/>
    </row>
    <row r="70" spans="1:1" s="2" customFormat="1" x14ac:dyDescent="0.25">
      <c r="A70" s="12"/>
    </row>
    <row r="71" spans="1:1" s="2" customFormat="1" x14ac:dyDescent="0.25">
      <c r="A71" s="12"/>
    </row>
    <row r="72" spans="1:1" s="2" customFormat="1" x14ac:dyDescent="0.25">
      <c r="A72" s="12"/>
    </row>
    <row r="73" spans="1:1" s="2" customFormat="1" x14ac:dyDescent="0.25">
      <c r="A73" s="12"/>
    </row>
    <row r="74" spans="1:1" s="2" customFormat="1" x14ac:dyDescent="0.25">
      <c r="A74" s="12"/>
    </row>
    <row r="75" spans="1:1" s="2" customFormat="1" x14ac:dyDescent="0.25">
      <c r="A75" s="12"/>
    </row>
    <row r="76" spans="1:1" s="2" customFormat="1" x14ac:dyDescent="0.25">
      <c r="A76" s="12"/>
    </row>
    <row r="77" spans="1:1" s="2" customFormat="1" x14ac:dyDescent="0.25">
      <c r="A77" s="12"/>
    </row>
    <row r="78" spans="1:1" s="2" customFormat="1" x14ac:dyDescent="0.25">
      <c r="A78" s="12"/>
    </row>
    <row r="79" spans="1:1" s="2" customFormat="1" x14ac:dyDescent="0.25">
      <c r="A79" s="12"/>
    </row>
    <row r="80" spans="1:1" s="2" customFormat="1" x14ac:dyDescent="0.25">
      <c r="A80" s="12"/>
    </row>
    <row r="81" spans="1:1" s="2" customFormat="1" x14ac:dyDescent="0.25">
      <c r="A81" s="12"/>
    </row>
    <row r="82" spans="1:1" s="2" customFormat="1" x14ac:dyDescent="0.25">
      <c r="A82" s="12"/>
    </row>
    <row r="83" spans="1:1" s="2" customFormat="1" x14ac:dyDescent="0.25">
      <c r="A83" s="12"/>
    </row>
    <row r="84" spans="1:1" s="2" customFormat="1" x14ac:dyDescent="0.25">
      <c r="A84" s="12"/>
    </row>
    <row r="85" spans="1:1" s="2" customFormat="1" x14ac:dyDescent="0.25">
      <c r="A85" s="12"/>
    </row>
    <row r="86" spans="1:1" s="2" customFormat="1" x14ac:dyDescent="0.25">
      <c r="A86" s="12"/>
    </row>
    <row r="87" spans="1:1" s="2" customFormat="1" x14ac:dyDescent="0.25">
      <c r="A87" s="12"/>
    </row>
    <row r="88" spans="1:1" s="2" customFormat="1" x14ac:dyDescent="0.25">
      <c r="A88" s="12"/>
    </row>
    <row r="89" spans="1:1" s="2" customFormat="1" x14ac:dyDescent="0.25">
      <c r="A89" s="12"/>
    </row>
    <row r="90" spans="1:1" s="2" customFormat="1" x14ac:dyDescent="0.25">
      <c r="A90" s="12"/>
    </row>
    <row r="91" spans="1:1" s="2" customFormat="1" x14ac:dyDescent="0.25">
      <c r="A91" s="12"/>
    </row>
    <row r="92" spans="1:1" s="2" customFormat="1" x14ac:dyDescent="0.25">
      <c r="A92" s="12"/>
    </row>
    <row r="93" spans="1:1" s="2" customFormat="1" x14ac:dyDescent="0.25">
      <c r="A93" s="12"/>
    </row>
    <row r="94" spans="1:1" s="2" customFormat="1" x14ac:dyDescent="0.25">
      <c r="A94" s="12"/>
    </row>
    <row r="95" spans="1:1" s="2" customFormat="1" x14ac:dyDescent="0.25">
      <c r="A95" s="12"/>
    </row>
    <row r="96" spans="1:1" s="2" customFormat="1" x14ac:dyDescent="0.25">
      <c r="A96" s="12"/>
    </row>
    <row r="97" spans="1:1" s="2" customFormat="1" x14ac:dyDescent="0.25">
      <c r="A97" s="12"/>
    </row>
    <row r="98" spans="1:1" s="2" customFormat="1" x14ac:dyDescent="0.25">
      <c r="A98" s="12"/>
    </row>
    <row r="99" spans="1:1" s="2" customFormat="1" x14ac:dyDescent="0.25">
      <c r="A99" s="12"/>
    </row>
    <row r="100" spans="1:1" s="2" customFormat="1" x14ac:dyDescent="0.25">
      <c r="A100" s="12"/>
    </row>
    <row r="101" spans="1:1" s="2" customFormat="1" x14ac:dyDescent="0.25">
      <c r="A101" s="12"/>
    </row>
    <row r="102" spans="1:1" s="2" customFormat="1" x14ac:dyDescent="0.25">
      <c r="A102" s="12"/>
    </row>
    <row r="103" spans="1:1" s="2" customFormat="1" x14ac:dyDescent="0.25">
      <c r="A103" s="12"/>
    </row>
    <row r="104" spans="1:1" s="2" customFormat="1" x14ac:dyDescent="0.25">
      <c r="A104" s="12"/>
    </row>
    <row r="105" spans="1:1" s="2" customFormat="1" x14ac:dyDescent="0.25">
      <c r="A105" s="12"/>
    </row>
    <row r="106" spans="1:1" s="2" customFormat="1" x14ac:dyDescent="0.25">
      <c r="A106" s="12"/>
    </row>
    <row r="107" spans="1:1" s="2" customFormat="1" x14ac:dyDescent="0.25">
      <c r="A107" s="12"/>
    </row>
    <row r="108" spans="1:1" s="2" customFormat="1" x14ac:dyDescent="0.25">
      <c r="A108" s="12"/>
    </row>
    <row r="109" spans="1:1" s="2" customFormat="1" x14ac:dyDescent="0.25">
      <c r="A109" s="12"/>
    </row>
    <row r="110" spans="1:1" s="2" customFormat="1" x14ac:dyDescent="0.25">
      <c r="A110" s="12"/>
    </row>
    <row r="111" spans="1:1" s="2" customFormat="1" x14ac:dyDescent="0.25">
      <c r="A111" s="12"/>
    </row>
    <row r="112" spans="1:1" s="2" customFormat="1" x14ac:dyDescent="0.25">
      <c r="A112" s="12"/>
    </row>
    <row r="113" spans="1:1" s="2" customFormat="1" x14ac:dyDescent="0.25">
      <c r="A113" s="12"/>
    </row>
    <row r="114" spans="1:1" s="2" customFormat="1" x14ac:dyDescent="0.25">
      <c r="A114" s="12"/>
    </row>
    <row r="115" spans="1:1" s="2" customFormat="1" x14ac:dyDescent="0.25">
      <c r="A115" s="12"/>
    </row>
    <row r="116" spans="1:1" s="2" customFormat="1" x14ac:dyDescent="0.25">
      <c r="A116" s="12"/>
    </row>
    <row r="117" spans="1:1" s="2" customFormat="1" x14ac:dyDescent="0.25">
      <c r="A117" s="12"/>
    </row>
    <row r="118" spans="1:1" s="2" customFormat="1" x14ac:dyDescent="0.25">
      <c r="A118" s="12"/>
    </row>
    <row r="119" spans="1:1" s="2" customFormat="1" x14ac:dyDescent="0.25">
      <c r="A119" s="12"/>
    </row>
    <row r="120" spans="1:1" s="2" customFormat="1" x14ac:dyDescent="0.25">
      <c r="A120" s="12"/>
    </row>
    <row r="121" spans="1:1" s="2" customFormat="1" x14ac:dyDescent="0.25">
      <c r="A121" s="12"/>
    </row>
    <row r="122" spans="1:1" s="2" customFormat="1" x14ac:dyDescent="0.25">
      <c r="A122" s="12"/>
    </row>
    <row r="123" spans="1:1" s="2" customFormat="1" x14ac:dyDescent="0.25">
      <c r="A123" s="12"/>
    </row>
    <row r="124" spans="1:1" s="2" customFormat="1" x14ac:dyDescent="0.25">
      <c r="A124" s="12"/>
    </row>
    <row r="125" spans="1:1" s="2" customFormat="1" x14ac:dyDescent="0.25">
      <c r="A125" s="12"/>
    </row>
    <row r="126" spans="1:1" s="2" customFormat="1" x14ac:dyDescent="0.25">
      <c r="A126" s="12"/>
    </row>
    <row r="127" spans="1:1" s="2" customFormat="1" x14ac:dyDescent="0.25">
      <c r="A127" s="12"/>
    </row>
    <row r="128" spans="1:1" s="2" customFormat="1" x14ac:dyDescent="0.25">
      <c r="A128" s="12"/>
    </row>
    <row r="129" spans="1:1" s="2" customFormat="1" x14ac:dyDescent="0.25">
      <c r="A129" s="12"/>
    </row>
    <row r="130" spans="1:1" s="2" customFormat="1" x14ac:dyDescent="0.25">
      <c r="A130" s="12"/>
    </row>
    <row r="131" spans="1:1" s="2" customFormat="1" x14ac:dyDescent="0.25">
      <c r="A131" s="12"/>
    </row>
    <row r="132" spans="1:1" s="2" customFormat="1" x14ac:dyDescent="0.25">
      <c r="A132" s="12"/>
    </row>
    <row r="133" spans="1:1" s="2" customFormat="1" x14ac:dyDescent="0.25">
      <c r="A133" s="12"/>
    </row>
    <row r="134" spans="1:1" s="2" customFormat="1" x14ac:dyDescent="0.25">
      <c r="A134" s="12"/>
    </row>
    <row r="135" spans="1:1" s="2" customFormat="1" x14ac:dyDescent="0.25">
      <c r="A135" s="12"/>
    </row>
    <row r="136" spans="1:1" s="2" customFormat="1" x14ac:dyDescent="0.25">
      <c r="A136" s="12"/>
    </row>
    <row r="137" spans="1:1" s="2" customFormat="1" x14ac:dyDescent="0.25">
      <c r="A137" s="12"/>
    </row>
    <row r="138" spans="1:1" s="2" customFormat="1" x14ac:dyDescent="0.25">
      <c r="A138" s="12"/>
    </row>
    <row r="139" spans="1:1" s="2" customFormat="1" x14ac:dyDescent="0.25">
      <c r="A139" s="12"/>
    </row>
    <row r="140" spans="1:1" s="2" customFormat="1" x14ac:dyDescent="0.25">
      <c r="A140" s="12"/>
    </row>
    <row r="141" spans="1:1" s="2" customFormat="1" x14ac:dyDescent="0.25">
      <c r="A141" s="12"/>
    </row>
    <row r="142" spans="1:1" s="2" customFormat="1" x14ac:dyDescent="0.25">
      <c r="A142" s="12"/>
    </row>
    <row r="143" spans="1:1" s="2" customFormat="1" x14ac:dyDescent="0.25">
      <c r="A143" s="12"/>
    </row>
    <row r="144" spans="1:1" s="2" customFormat="1" x14ac:dyDescent="0.25">
      <c r="A144" s="12"/>
    </row>
    <row r="145" spans="1:1" s="2" customFormat="1" x14ac:dyDescent="0.25">
      <c r="A145" s="12"/>
    </row>
    <row r="146" spans="1:1" s="2" customFormat="1" x14ac:dyDescent="0.25">
      <c r="A146" s="12"/>
    </row>
    <row r="147" spans="1:1" s="2" customFormat="1" x14ac:dyDescent="0.25">
      <c r="A147" s="12"/>
    </row>
    <row r="148" spans="1:1" s="2" customFormat="1" x14ac:dyDescent="0.25">
      <c r="A148" s="12"/>
    </row>
    <row r="149" spans="1:1" s="2" customFormat="1" x14ac:dyDescent="0.25">
      <c r="A149" s="12"/>
    </row>
    <row r="150" spans="1:1" s="2" customFormat="1" x14ac:dyDescent="0.25">
      <c r="A150" s="12"/>
    </row>
    <row r="151" spans="1:1" s="2" customFormat="1" x14ac:dyDescent="0.25">
      <c r="A151" s="12"/>
    </row>
    <row r="152" spans="1:1" s="2" customFormat="1" x14ac:dyDescent="0.25">
      <c r="A152" s="12"/>
    </row>
    <row r="153" spans="1:1" s="2" customFormat="1" x14ac:dyDescent="0.25">
      <c r="A153" s="12"/>
    </row>
    <row r="154" spans="1:1" s="2" customFormat="1" x14ac:dyDescent="0.25">
      <c r="A154" s="12"/>
    </row>
  </sheetData>
  <mergeCells count="6">
    <mergeCell ref="A16:H16"/>
    <mergeCell ref="J16:M16"/>
    <mergeCell ref="O16:R16"/>
    <mergeCell ref="A1:H1"/>
    <mergeCell ref="J1:M1"/>
    <mergeCell ref="O1:R1"/>
  </mergeCells>
  <pageMargins left="0.511811024" right="0.511811024" top="0.78740157499999996" bottom="0.78740157499999996" header="0.31496062000000002" footer="0.31496062000000002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zoomScale="80" zoomScaleNormal="80" workbookViewId="0">
      <selection activeCell="L24" sqref="L24"/>
    </sheetView>
  </sheetViews>
  <sheetFormatPr defaultRowHeight="15" x14ac:dyDescent="0.25"/>
  <cols>
    <col min="1" max="1" width="8.140625" style="2" customWidth="1"/>
    <col min="2" max="2" width="9.140625" style="2"/>
    <col min="3" max="3" width="5.7109375" style="2" bestFit="1" customWidth="1"/>
    <col min="4" max="4" width="18.140625" style="2" bestFit="1" customWidth="1"/>
    <col min="5" max="5" width="6.140625" style="2" bestFit="1" customWidth="1"/>
    <col min="6" max="6" width="20.42578125" style="2" customWidth="1"/>
    <col min="7" max="7" width="18.5703125" style="2" bestFit="1" customWidth="1"/>
    <col min="8" max="8" width="10" bestFit="1" customWidth="1"/>
    <col min="9" max="9" width="2.7109375" customWidth="1"/>
    <col min="10" max="10" width="12.42578125" bestFit="1" customWidth="1"/>
    <col min="11" max="11" width="18.140625" customWidth="1"/>
    <col min="12" max="12" width="10" bestFit="1" customWidth="1"/>
    <col min="14" max="14" width="10" bestFit="1" customWidth="1"/>
    <col min="15" max="15" width="12.42578125" style="2" bestFit="1" customWidth="1"/>
    <col min="16" max="16" width="12" style="2" customWidth="1"/>
    <col min="17" max="18" width="11.140625" style="2" bestFit="1" customWidth="1"/>
    <col min="19" max="16384" width="9.140625" style="2"/>
  </cols>
  <sheetData>
    <row r="1" spans="1:18" x14ac:dyDescent="0.25">
      <c r="A1" s="13" t="s">
        <v>23</v>
      </c>
      <c r="B1" s="14"/>
      <c r="C1" s="14"/>
      <c r="D1" s="14"/>
      <c r="E1" s="14"/>
      <c r="F1" s="14"/>
      <c r="G1" s="14"/>
      <c r="H1" s="14"/>
      <c r="I1" s="2"/>
      <c r="J1" s="13" t="s">
        <v>28</v>
      </c>
      <c r="K1" s="14"/>
      <c r="L1" s="14"/>
      <c r="M1" s="14"/>
      <c r="N1" s="2"/>
      <c r="O1" s="13" t="s">
        <v>25</v>
      </c>
      <c r="P1" s="14"/>
      <c r="Q1" s="14"/>
      <c r="R1" s="14"/>
    </row>
    <row r="2" spans="1:18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9</v>
      </c>
      <c r="K2" s="2" t="s">
        <v>10</v>
      </c>
      <c r="L2" s="2" t="s">
        <v>11</v>
      </c>
      <c r="M2" s="2" t="s">
        <v>20</v>
      </c>
      <c r="N2" s="2"/>
      <c r="O2" s="2" t="s">
        <v>9</v>
      </c>
      <c r="P2" s="2" t="s">
        <v>10</v>
      </c>
      <c r="Q2" s="2" t="s">
        <v>11</v>
      </c>
      <c r="R2" s="2" t="s">
        <v>26</v>
      </c>
    </row>
    <row r="3" spans="1:18" x14ac:dyDescent="0.25">
      <c r="A3" s="12"/>
      <c r="B3" s="1"/>
      <c r="C3" s="1"/>
      <c r="D3" s="1">
        <f t="shared" ref="D3:D12" si="0">IF(C3-B3-"1:00"&lt;0,0,(C3-B3-"1:00"))</f>
        <v>0</v>
      </c>
      <c r="E3" s="1">
        <f t="shared" ref="E3:E12" si="1">IF(D3-"8:00" &lt; 0,0,D3-"8:00")</f>
        <v>0</v>
      </c>
      <c r="F3" s="1">
        <f t="shared" ref="F3:F12" si="2">IFERROR(D3-E3,0)</f>
        <v>0</v>
      </c>
      <c r="G3" s="3">
        <f t="shared" ref="G3:G12" si="3">(F3*24)*$N$9</f>
        <v>0</v>
      </c>
      <c r="H3" s="3">
        <f t="shared" ref="H3:H12" si="4">IFERROR((E3*24)*$N$10,0)</f>
        <v>0</v>
      </c>
      <c r="I3" s="2"/>
      <c r="J3" s="10" t="s">
        <v>34</v>
      </c>
      <c r="K3" s="2" t="s">
        <v>28</v>
      </c>
      <c r="L3" s="3">
        <f>SUMIF(Tabela311293690[Descontar],"N",Tabela311293690[Valor])</f>
        <v>0</v>
      </c>
      <c r="M3" s="2" t="s">
        <v>21</v>
      </c>
      <c r="N3" s="2"/>
      <c r="O3" s="10" t="s">
        <v>34</v>
      </c>
      <c r="P3" s="2" t="s">
        <v>27</v>
      </c>
      <c r="Q3" s="3">
        <f>(Outubro!K25-Outubro!K26)+ SUMIF(Tabela31214323387[Incluir],"N",Tabela31214323387[Valor])</f>
        <v>0</v>
      </c>
      <c r="R3" s="2" t="s">
        <v>21</v>
      </c>
    </row>
    <row r="4" spans="1:18" x14ac:dyDescent="0.25">
      <c r="A4" s="12"/>
      <c r="B4" s="1"/>
      <c r="C4" s="1"/>
      <c r="D4" s="1">
        <f t="shared" si="0"/>
        <v>0</v>
      </c>
      <c r="E4" s="1">
        <f t="shared" si="1"/>
        <v>0</v>
      </c>
      <c r="F4" s="1">
        <f t="shared" si="2"/>
        <v>0</v>
      </c>
      <c r="G4" s="3">
        <f t="shared" si="3"/>
        <v>0</v>
      </c>
      <c r="H4" s="3">
        <f t="shared" si="4"/>
        <v>0</v>
      </c>
      <c r="I4" s="2"/>
      <c r="J4" s="6"/>
      <c r="K4" s="6"/>
      <c r="L4" s="15">
        <f>SUMIF(Tabela311293690[Descontar],"N",Tabela311293690[Valor])</f>
        <v>0</v>
      </c>
      <c r="M4" s="6"/>
      <c r="N4" s="2"/>
      <c r="O4" s="2" t="s">
        <v>13</v>
      </c>
      <c r="Q4" s="24"/>
      <c r="R4" s="8">
        <f>SUMIF(Tabela31230358998[Incluir],"S",Tabela31230358998[Valor])</f>
        <v>0</v>
      </c>
    </row>
    <row r="5" spans="1:18" x14ac:dyDescent="0.25">
      <c r="A5" s="12"/>
      <c r="B5" s="1"/>
      <c r="C5" s="1"/>
      <c r="D5" s="1">
        <f t="shared" si="0"/>
        <v>0</v>
      </c>
      <c r="E5" s="1">
        <f t="shared" si="1"/>
        <v>0</v>
      </c>
      <c r="F5" s="1">
        <f t="shared" si="2"/>
        <v>0</v>
      </c>
      <c r="G5" s="3">
        <f t="shared" si="3"/>
        <v>0</v>
      </c>
      <c r="H5" s="3">
        <f t="shared" si="4"/>
        <v>0</v>
      </c>
      <c r="I5" s="2"/>
      <c r="J5" s="2" t="s">
        <v>13</v>
      </c>
      <c r="K5" s="2"/>
      <c r="L5" s="2"/>
      <c r="M5" s="2">
        <f>SUMIF(Tabela3244195104[Descontar],"S",Tabela3244195104[Valor])</f>
        <v>0</v>
      </c>
      <c r="N5" s="2"/>
    </row>
    <row r="6" spans="1:18" x14ac:dyDescent="0.25">
      <c r="A6" s="12"/>
      <c r="B6" s="1"/>
      <c r="C6" s="1"/>
      <c r="D6" s="1">
        <f t="shared" si="0"/>
        <v>0</v>
      </c>
      <c r="E6" s="1">
        <f t="shared" si="1"/>
        <v>0</v>
      </c>
      <c r="F6" s="1">
        <f t="shared" si="2"/>
        <v>0</v>
      </c>
      <c r="G6" s="3">
        <f t="shared" si="3"/>
        <v>0</v>
      </c>
      <c r="H6" s="3">
        <f t="shared" si="4"/>
        <v>0</v>
      </c>
      <c r="I6" s="2"/>
      <c r="J6" s="2"/>
      <c r="K6" s="2"/>
      <c r="L6" s="2"/>
      <c r="M6" s="2"/>
      <c r="N6" s="2"/>
    </row>
    <row r="7" spans="1:18" x14ac:dyDescent="0.25">
      <c r="A7" s="12"/>
      <c r="B7" s="1"/>
      <c r="C7" s="1"/>
      <c r="D7" s="1">
        <f t="shared" si="0"/>
        <v>0</v>
      </c>
      <c r="E7" s="1">
        <f t="shared" si="1"/>
        <v>0</v>
      </c>
      <c r="F7" s="1">
        <f t="shared" si="2"/>
        <v>0</v>
      </c>
      <c r="G7" s="3">
        <f t="shared" si="3"/>
        <v>0</v>
      </c>
      <c r="H7" s="3">
        <f t="shared" si="4"/>
        <v>0</v>
      </c>
      <c r="I7" s="2"/>
      <c r="J7" s="4" t="s">
        <v>17</v>
      </c>
      <c r="K7" s="5" t="s">
        <v>16</v>
      </c>
      <c r="L7" s="2"/>
      <c r="M7" s="2"/>
      <c r="N7" s="2"/>
    </row>
    <row r="8" spans="1:18" x14ac:dyDescent="0.25">
      <c r="A8" s="12"/>
      <c r="B8" s="1"/>
      <c r="C8" s="1"/>
      <c r="D8" s="1">
        <f t="shared" si="0"/>
        <v>0</v>
      </c>
      <c r="E8" s="1">
        <f t="shared" si="1"/>
        <v>0</v>
      </c>
      <c r="F8" s="1">
        <f t="shared" si="2"/>
        <v>0</v>
      </c>
      <c r="G8" s="3">
        <f t="shared" si="3"/>
        <v>0</v>
      </c>
      <c r="H8" s="3">
        <f t="shared" si="4"/>
        <v>0</v>
      </c>
      <c r="I8" s="2"/>
      <c r="J8" s="11" t="s">
        <v>14</v>
      </c>
      <c r="K8" s="21">
        <f>Tabela4254094103[[#Totals],[$ Trabalhado - Extra]]+Tabela4254094103[[#Totals],[$ Extra]]</f>
        <v>0</v>
      </c>
      <c r="L8" s="2"/>
      <c r="M8" s="4" t="s">
        <v>17</v>
      </c>
      <c r="N8" s="5" t="s">
        <v>16</v>
      </c>
    </row>
    <row r="9" spans="1:18" x14ac:dyDescent="0.25">
      <c r="A9" s="12"/>
      <c r="B9" s="1"/>
      <c r="C9" s="1"/>
      <c r="D9" s="1">
        <f t="shared" si="0"/>
        <v>0</v>
      </c>
      <c r="E9" s="1">
        <f t="shared" si="1"/>
        <v>0</v>
      </c>
      <c r="F9" s="1">
        <f t="shared" si="2"/>
        <v>0</v>
      </c>
      <c r="G9" s="3">
        <f t="shared" si="3"/>
        <v>0</v>
      </c>
      <c r="H9" s="3">
        <f t="shared" si="4"/>
        <v>0</v>
      </c>
      <c r="I9" s="2"/>
      <c r="J9" s="11" t="s">
        <v>25</v>
      </c>
      <c r="K9" s="19">
        <f>Tabela31230358998[[#Totals],[Incluir]]</f>
        <v>0</v>
      </c>
      <c r="M9" s="11" t="s">
        <v>18</v>
      </c>
      <c r="N9" s="5">
        <v>6.25</v>
      </c>
    </row>
    <row r="10" spans="1:18" x14ac:dyDescent="0.25">
      <c r="A10" s="12"/>
      <c r="B10" s="1"/>
      <c r="C10" s="1"/>
      <c r="D10" s="1">
        <f t="shared" si="0"/>
        <v>0</v>
      </c>
      <c r="E10" s="1">
        <f t="shared" si="1"/>
        <v>0</v>
      </c>
      <c r="F10" s="1">
        <f t="shared" si="2"/>
        <v>0</v>
      </c>
      <c r="G10" s="3">
        <f t="shared" si="3"/>
        <v>0</v>
      </c>
      <c r="H10" s="3">
        <f t="shared" si="4"/>
        <v>0</v>
      </c>
      <c r="I10" s="2"/>
      <c r="J10" s="11" t="s">
        <v>12</v>
      </c>
      <c r="K10" s="20">
        <f>Tabela3244195104[[#Totals],[Descontar]]</f>
        <v>0</v>
      </c>
      <c r="L10" s="2"/>
      <c r="M10" s="11" t="s">
        <v>19</v>
      </c>
      <c r="N10" s="5">
        <v>4.25</v>
      </c>
    </row>
    <row r="11" spans="1:18" x14ac:dyDescent="0.25">
      <c r="A11" s="12"/>
      <c r="B11" s="1"/>
      <c r="C11" s="1"/>
      <c r="D11" s="1">
        <f t="shared" si="0"/>
        <v>0</v>
      </c>
      <c r="E11" s="1">
        <f t="shared" si="1"/>
        <v>0</v>
      </c>
      <c r="F11" s="1">
        <f t="shared" si="2"/>
        <v>0</v>
      </c>
      <c r="G11" s="3">
        <f t="shared" si="3"/>
        <v>0</v>
      </c>
      <c r="H11" s="3">
        <f t="shared" si="4"/>
        <v>0</v>
      </c>
      <c r="I11" s="2"/>
      <c r="J11" s="11" t="s">
        <v>7</v>
      </c>
      <c r="K11" s="18">
        <f>K8+K9-K10</f>
        <v>0</v>
      </c>
      <c r="L11" s="2"/>
      <c r="M11" s="11" t="s">
        <v>8</v>
      </c>
      <c r="N11" s="5">
        <f>N9*8</f>
        <v>50</v>
      </c>
    </row>
    <row r="12" spans="1:18" x14ac:dyDescent="0.25">
      <c r="A12" s="12"/>
      <c r="B12" s="1"/>
      <c r="C12" s="1"/>
      <c r="D12" s="1">
        <f t="shared" si="0"/>
        <v>0</v>
      </c>
      <c r="E12" s="1">
        <f t="shared" si="1"/>
        <v>0</v>
      </c>
      <c r="F12" s="1">
        <f t="shared" si="2"/>
        <v>0</v>
      </c>
      <c r="G12" s="3">
        <f t="shared" si="3"/>
        <v>0</v>
      </c>
      <c r="H12" s="3">
        <f t="shared" si="4"/>
        <v>0</v>
      </c>
      <c r="J12" s="11" t="s">
        <v>29</v>
      </c>
      <c r="K12" s="22"/>
    </row>
    <row r="13" spans="1:18" x14ac:dyDescent="0.25">
      <c r="A13" s="2" t="s">
        <v>13</v>
      </c>
      <c r="D13" s="1">
        <f>SUBTOTAL(109,Tabela4254094103[Trabalhada-almoço])</f>
        <v>0</v>
      </c>
      <c r="E13" s="1">
        <f>SUBTOTAL(109,Tabela4254094103[Extra])</f>
        <v>0</v>
      </c>
      <c r="F13" s="1">
        <f>SUBTOTAL(109,Tabela4254094103[Trabalhada-Extra])</f>
        <v>0</v>
      </c>
      <c r="G13" s="9">
        <f>SUBTOTAL(109,Tabela4254094103[$ Trabalhado - Extra])</f>
        <v>0</v>
      </c>
      <c r="H13" s="9">
        <f>SUBTOTAL(109,Tabela4254094103[$ Extra])</f>
        <v>0</v>
      </c>
      <c r="I13" s="2"/>
      <c r="J13" s="2"/>
      <c r="K13" s="2"/>
      <c r="L13" s="2"/>
      <c r="M13" s="2"/>
      <c r="N13" s="2"/>
    </row>
    <row r="14" spans="1:18" x14ac:dyDescent="0.25">
      <c r="A14" s="12"/>
      <c r="C14" s="1"/>
      <c r="H14" s="2"/>
      <c r="I14" s="2"/>
      <c r="J14" s="2"/>
      <c r="K14" s="2"/>
      <c r="L14" s="2"/>
      <c r="M14" s="2"/>
      <c r="N14" s="2"/>
    </row>
    <row r="15" spans="1:18" x14ac:dyDescent="0.25">
      <c r="A15" s="12"/>
      <c r="C15" s="1"/>
      <c r="H15" s="2"/>
      <c r="I15" s="2"/>
      <c r="J15" s="2"/>
      <c r="K15" s="2"/>
      <c r="L15" s="2"/>
      <c r="M15" s="2"/>
      <c r="N15" s="2"/>
    </row>
    <row r="16" spans="1:18" x14ac:dyDescent="0.25">
      <c r="A16" s="16" t="s">
        <v>24</v>
      </c>
      <c r="B16" s="17"/>
      <c r="C16" s="17"/>
      <c r="D16" s="17"/>
      <c r="E16" s="17"/>
      <c r="F16" s="17"/>
      <c r="G16" s="17"/>
      <c r="H16" s="17"/>
      <c r="J16" s="16" t="s">
        <v>28</v>
      </c>
      <c r="K16" s="17"/>
      <c r="L16" s="17"/>
      <c r="M16" s="17"/>
      <c r="O16" s="16" t="s">
        <v>25</v>
      </c>
      <c r="P16" s="17"/>
      <c r="Q16" s="17"/>
      <c r="R16" s="17"/>
    </row>
    <row r="17" spans="1:18" x14ac:dyDescent="0.25">
      <c r="A17" s="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/>
      <c r="J17" s="2" t="s">
        <v>9</v>
      </c>
      <c r="K17" s="2" t="s">
        <v>10</v>
      </c>
      <c r="L17" s="2" t="s">
        <v>11</v>
      </c>
      <c r="M17" s="2" t="s">
        <v>20</v>
      </c>
      <c r="N17" s="2"/>
      <c r="O17" s="2" t="s">
        <v>9</v>
      </c>
      <c r="P17" s="2" t="s">
        <v>10</v>
      </c>
      <c r="Q17" s="2" t="s">
        <v>11</v>
      </c>
      <c r="R17" s="2" t="s">
        <v>26</v>
      </c>
    </row>
    <row r="18" spans="1:18" x14ac:dyDescent="0.25">
      <c r="A18" s="12"/>
      <c r="B18" s="1"/>
      <c r="C18" s="1"/>
      <c r="D18" s="1">
        <f t="shared" ref="D18:D28" si="5">IF(C18-B18-"1:00"&lt;0,0,(C18-B18-"1:00"))</f>
        <v>0</v>
      </c>
      <c r="E18" s="1">
        <f t="shared" ref="E18:E28" si="6">IF(D18-"8:00" &lt; 0,0,D18-"8:00")</f>
        <v>0</v>
      </c>
      <c r="F18" s="1">
        <f t="shared" ref="F18:F28" si="7">IFERROR(D18-E18,0)</f>
        <v>0</v>
      </c>
      <c r="G18" s="3">
        <f t="shared" ref="G18" si="8">(F18*24)*$N$9</f>
        <v>0</v>
      </c>
      <c r="H18" s="3">
        <f t="shared" ref="H18:H28" si="9">IFERROR((E18*24)*$N$10,0)</f>
        <v>0</v>
      </c>
      <c r="I18" s="2"/>
      <c r="J18" s="10" t="s">
        <v>35</v>
      </c>
      <c r="K18" s="2" t="s">
        <v>28</v>
      </c>
      <c r="L18" s="3">
        <f>SUMIF(Tabela3244195104[Descontar],"N",Tabela3244195104[Valor])</f>
        <v>0</v>
      </c>
      <c r="M18" s="2" t="s">
        <v>21</v>
      </c>
      <c r="N18" s="2"/>
      <c r="O18" s="10" t="s">
        <v>35</v>
      </c>
      <c r="P18" s="2" t="s">
        <v>27</v>
      </c>
      <c r="Q18" s="3">
        <f>(K11-K12)+ SUMIF(Tabela31230358998[Incluir],"N",Tabela31230358998[Valor])</f>
        <v>0</v>
      </c>
      <c r="R18" s="2" t="s">
        <v>21</v>
      </c>
    </row>
    <row r="19" spans="1:18" x14ac:dyDescent="0.25">
      <c r="A19" s="12"/>
      <c r="B19" s="1"/>
      <c r="C19" s="1"/>
      <c r="D19" s="1">
        <f t="shared" si="5"/>
        <v>0</v>
      </c>
      <c r="E19" s="1">
        <f t="shared" si="6"/>
        <v>0</v>
      </c>
      <c r="F19" s="1">
        <f t="shared" si="7"/>
        <v>0</v>
      </c>
      <c r="G19" s="3">
        <f>(F19*24)*$N$9</f>
        <v>0</v>
      </c>
      <c r="H19" s="3">
        <f t="shared" si="9"/>
        <v>0</v>
      </c>
      <c r="J19" s="2" t="s">
        <v>13</v>
      </c>
      <c r="K19" s="2"/>
      <c r="L19" s="9">
        <f>SUBTOTAL(109,Tabela31129369099[Valor])</f>
        <v>0</v>
      </c>
      <c r="M19" s="2"/>
      <c r="O19" s="2" t="s">
        <v>13</v>
      </c>
      <c r="Q19" s="24"/>
      <c r="R19" s="2">
        <f>SUMIF(Tabela3121432338796[Incluir],"S",Tabela3121432338796[Valor])</f>
        <v>0</v>
      </c>
    </row>
    <row r="20" spans="1:18" x14ac:dyDescent="0.25">
      <c r="A20" s="12"/>
      <c r="B20" s="1"/>
      <c r="C20" s="1"/>
      <c r="D20" s="1">
        <f t="shared" si="5"/>
        <v>0</v>
      </c>
      <c r="E20" s="1">
        <f t="shared" si="6"/>
        <v>0</v>
      </c>
      <c r="F20" s="1">
        <f t="shared" si="7"/>
        <v>0</v>
      </c>
      <c r="G20" s="3">
        <f>(F20*24)*$N$9</f>
        <v>0</v>
      </c>
      <c r="H20" s="3">
        <f t="shared" si="9"/>
        <v>0</v>
      </c>
    </row>
    <row r="21" spans="1:18" x14ac:dyDescent="0.25">
      <c r="A21" s="12"/>
      <c r="B21" s="1"/>
      <c r="C21" s="1"/>
      <c r="D21" s="1">
        <f t="shared" si="5"/>
        <v>0</v>
      </c>
      <c r="E21" s="1">
        <f t="shared" si="6"/>
        <v>0</v>
      </c>
      <c r="F21" s="1">
        <f t="shared" si="7"/>
        <v>0</v>
      </c>
      <c r="G21" s="3">
        <f>(F21*24)*$N$9</f>
        <v>0</v>
      </c>
      <c r="H21" s="3">
        <f t="shared" si="9"/>
        <v>0</v>
      </c>
      <c r="J21" s="4" t="s">
        <v>17</v>
      </c>
      <c r="K21" s="5" t="s">
        <v>16</v>
      </c>
    </row>
    <row r="22" spans="1:18" x14ac:dyDescent="0.25">
      <c r="A22" s="12"/>
      <c r="B22" s="1"/>
      <c r="C22" s="1"/>
      <c r="D22" s="1">
        <f t="shared" si="5"/>
        <v>0</v>
      </c>
      <c r="E22" s="1">
        <f t="shared" si="6"/>
        <v>0</v>
      </c>
      <c r="F22" s="1">
        <f t="shared" si="7"/>
        <v>0</v>
      </c>
      <c r="G22" s="3">
        <f>(F22*24)*$N$9</f>
        <v>0</v>
      </c>
      <c r="H22" s="3">
        <f t="shared" si="9"/>
        <v>0</v>
      </c>
      <c r="J22" s="11" t="s">
        <v>14</v>
      </c>
      <c r="K22" s="21">
        <f>Tabela410283791100[[#Totals],[$ Trabalhado - Extra]]+Tabela410283791100[[#Totals],[$ Extra]]</f>
        <v>0</v>
      </c>
      <c r="P22" s="3"/>
    </row>
    <row r="23" spans="1:18" x14ac:dyDescent="0.25">
      <c r="A23" s="12"/>
      <c r="B23" s="1"/>
      <c r="C23" s="1"/>
      <c r="D23" s="1">
        <f t="shared" si="5"/>
        <v>0</v>
      </c>
      <c r="E23" s="1">
        <f t="shared" si="6"/>
        <v>0</v>
      </c>
      <c r="F23" s="1">
        <f t="shared" si="7"/>
        <v>0</v>
      </c>
      <c r="G23" s="3">
        <f>(F23*24)*$N$9</f>
        <v>0</v>
      </c>
      <c r="H23" s="3">
        <f t="shared" si="9"/>
        <v>0</v>
      </c>
      <c r="J23" s="11" t="s">
        <v>25</v>
      </c>
      <c r="K23" s="19">
        <f>Tabela3121432338796[[#Totals],[Incluir]]</f>
        <v>0</v>
      </c>
      <c r="P23" s="23"/>
    </row>
    <row r="24" spans="1:18" x14ac:dyDescent="0.25">
      <c r="A24" s="12"/>
      <c r="B24" s="1"/>
      <c r="C24" s="1"/>
      <c r="D24" s="1">
        <f t="shared" si="5"/>
        <v>0</v>
      </c>
      <c r="E24" s="1">
        <f t="shared" si="6"/>
        <v>0</v>
      </c>
      <c r="F24" s="1">
        <f t="shared" si="7"/>
        <v>0</v>
      </c>
      <c r="G24" s="3">
        <f>(F24*24)*$N$9</f>
        <v>0</v>
      </c>
      <c r="H24" s="3">
        <f t="shared" si="9"/>
        <v>0</v>
      </c>
      <c r="J24" s="11" t="s">
        <v>12</v>
      </c>
      <c r="K24" s="20">
        <f>Tabela31129369099[[#Totals],[Valor]]</f>
        <v>0</v>
      </c>
    </row>
    <row r="25" spans="1:18" x14ac:dyDescent="0.25">
      <c r="A25" s="12"/>
      <c r="B25" s="1"/>
      <c r="C25" s="1"/>
      <c r="D25" s="1">
        <f t="shared" si="5"/>
        <v>0</v>
      </c>
      <c r="E25" s="1">
        <f t="shared" si="6"/>
        <v>0</v>
      </c>
      <c r="F25" s="1">
        <f t="shared" si="7"/>
        <v>0</v>
      </c>
      <c r="G25" s="3">
        <f>(F25*24)*$N$9</f>
        <v>0</v>
      </c>
      <c r="H25" s="3">
        <f t="shared" si="9"/>
        <v>0</v>
      </c>
      <c r="J25" s="11" t="s">
        <v>7</v>
      </c>
      <c r="K25" s="18">
        <f>K22+K23-K24</f>
        <v>0</v>
      </c>
    </row>
    <row r="26" spans="1:18" x14ac:dyDescent="0.25">
      <c r="A26" s="12"/>
      <c r="B26" s="1"/>
      <c r="C26" s="1"/>
      <c r="D26" s="1">
        <f t="shared" si="5"/>
        <v>0</v>
      </c>
      <c r="E26" s="1">
        <f t="shared" si="6"/>
        <v>0</v>
      </c>
      <c r="F26" s="1">
        <f t="shared" si="7"/>
        <v>0</v>
      </c>
      <c r="G26" s="3">
        <f>(F26*24)*$N$9</f>
        <v>0</v>
      </c>
      <c r="H26" s="3">
        <f t="shared" si="9"/>
        <v>0</v>
      </c>
      <c r="J26" s="11" t="s">
        <v>29</v>
      </c>
      <c r="K26" s="22"/>
    </row>
    <row r="27" spans="1:18" x14ac:dyDescent="0.25">
      <c r="A27" s="12"/>
      <c r="B27" s="1"/>
      <c r="C27" s="1"/>
      <c r="D27" s="1">
        <f t="shared" si="5"/>
        <v>0</v>
      </c>
      <c r="E27" s="1">
        <f t="shared" si="6"/>
        <v>0</v>
      </c>
      <c r="F27" s="1">
        <f t="shared" si="7"/>
        <v>0</v>
      </c>
      <c r="G27" s="3">
        <f>(F27*24)*$N$9</f>
        <v>0</v>
      </c>
      <c r="H27" s="3">
        <f t="shared" si="9"/>
        <v>0</v>
      </c>
    </row>
    <row r="28" spans="1:18" x14ac:dyDescent="0.25">
      <c r="A28" s="12"/>
      <c r="B28" s="1"/>
      <c r="C28" s="1"/>
      <c r="D28" s="1">
        <f t="shared" si="5"/>
        <v>0</v>
      </c>
      <c r="E28" s="1">
        <f t="shared" si="6"/>
        <v>0</v>
      </c>
      <c r="F28" s="1">
        <f t="shared" si="7"/>
        <v>0</v>
      </c>
      <c r="G28" s="3">
        <f>(F28*24)*$N$9</f>
        <v>0</v>
      </c>
      <c r="H28" s="3">
        <f t="shared" si="9"/>
        <v>0</v>
      </c>
    </row>
    <row r="29" spans="1:18" x14ac:dyDescent="0.25">
      <c r="A29" s="2" t="s">
        <v>13</v>
      </c>
      <c r="D29" s="1">
        <f>SUBTOTAL(109,Tabela410283791100[Trabalhada-almoço])</f>
        <v>0</v>
      </c>
      <c r="E29" s="1">
        <f>SUBTOTAL(109,Tabela410283791100[Extra])</f>
        <v>0</v>
      </c>
      <c r="F29" s="1">
        <f>SUBTOTAL(109,Tabela410283791100[Trabalhada-Extra])</f>
        <v>0</v>
      </c>
      <c r="G29" s="9">
        <f>SUBTOTAL(109,Tabela410283791100[$ Trabalhado - Extra])</f>
        <v>0</v>
      </c>
      <c r="H29" s="9">
        <f>SUBTOTAL(109,Tabela410283791100[$ Extra])</f>
        <v>0</v>
      </c>
    </row>
    <row r="30" spans="1:18" x14ac:dyDescent="0.25">
      <c r="H30" s="2"/>
    </row>
    <row r="31" spans="1:18" x14ac:dyDescent="0.25">
      <c r="A31" s="12"/>
    </row>
    <row r="32" spans="1:18" x14ac:dyDescent="0.25">
      <c r="A32" s="12"/>
    </row>
    <row r="33" spans="1:1" s="2" customFormat="1" x14ac:dyDescent="0.25">
      <c r="A33" s="12"/>
    </row>
    <row r="34" spans="1:1" s="2" customFormat="1" x14ac:dyDescent="0.25">
      <c r="A34" s="12"/>
    </row>
    <row r="35" spans="1:1" s="2" customFormat="1" x14ac:dyDescent="0.25">
      <c r="A35" s="12"/>
    </row>
    <row r="36" spans="1:1" s="2" customFormat="1" x14ac:dyDescent="0.25">
      <c r="A36" s="12"/>
    </row>
    <row r="37" spans="1:1" s="2" customFormat="1" x14ac:dyDescent="0.25">
      <c r="A37" s="12"/>
    </row>
    <row r="38" spans="1:1" s="2" customFormat="1" x14ac:dyDescent="0.25">
      <c r="A38" s="12"/>
    </row>
    <row r="39" spans="1:1" s="2" customFormat="1" x14ac:dyDescent="0.25">
      <c r="A39" s="12"/>
    </row>
    <row r="40" spans="1:1" s="2" customFormat="1" x14ac:dyDescent="0.25">
      <c r="A40" s="12"/>
    </row>
    <row r="41" spans="1:1" s="2" customFormat="1" x14ac:dyDescent="0.25">
      <c r="A41" s="12"/>
    </row>
    <row r="42" spans="1:1" s="2" customFormat="1" x14ac:dyDescent="0.25">
      <c r="A42" s="12"/>
    </row>
    <row r="43" spans="1:1" s="2" customFormat="1" x14ac:dyDescent="0.25">
      <c r="A43" s="12"/>
    </row>
    <row r="44" spans="1:1" s="2" customFormat="1" x14ac:dyDescent="0.25">
      <c r="A44" s="12"/>
    </row>
    <row r="45" spans="1:1" s="2" customFormat="1" x14ac:dyDescent="0.25">
      <c r="A45" s="12"/>
    </row>
    <row r="46" spans="1:1" s="2" customFormat="1" x14ac:dyDescent="0.25">
      <c r="A46" s="12"/>
    </row>
    <row r="47" spans="1:1" s="2" customFormat="1" x14ac:dyDescent="0.25">
      <c r="A47" s="12"/>
    </row>
    <row r="48" spans="1:1" s="2" customFormat="1" x14ac:dyDescent="0.25">
      <c r="A48" s="12"/>
    </row>
    <row r="49" spans="1:1" s="2" customFormat="1" x14ac:dyDescent="0.25">
      <c r="A49" s="12"/>
    </row>
    <row r="50" spans="1:1" s="2" customFormat="1" x14ac:dyDescent="0.25">
      <c r="A50" s="12"/>
    </row>
    <row r="51" spans="1:1" s="2" customFormat="1" x14ac:dyDescent="0.25">
      <c r="A51" s="12"/>
    </row>
    <row r="52" spans="1:1" s="2" customFormat="1" x14ac:dyDescent="0.25">
      <c r="A52" s="12"/>
    </row>
    <row r="53" spans="1:1" s="2" customFormat="1" x14ac:dyDescent="0.25">
      <c r="A53" s="12"/>
    </row>
    <row r="54" spans="1:1" s="2" customFormat="1" x14ac:dyDescent="0.25">
      <c r="A54" s="12"/>
    </row>
    <row r="55" spans="1:1" s="2" customFormat="1" x14ac:dyDescent="0.25">
      <c r="A55" s="12"/>
    </row>
    <row r="56" spans="1:1" s="2" customFormat="1" x14ac:dyDescent="0.25">
      <c r="A56" s="12"/>
    </row>
    <row r="57" spans="1:1" s="2" customFormat="1" x14ac:dyDescent="0.25">
      <c r="A57" s="12"/>
    </row>
    <row r="58" spans="1:1" s="2" customFormat="1" x14ac:dyDescent="0.25">
      <c r="A58" s="12"/>
    </row>
    <row r="59" spans="1:1" s="2" customFormat="1" x14ac:dyDescent="0.25">
      <c r="A59" s="12"/>
    </row>
    <row r="60" spans="1:1" s="2" customFormat="1" x14ac:dyDescent="0.25">
      <c r="A60" s="12"/>
    </row>
    <row r="61" spans="1:1" s="2" customFormat="1" x14ac:dyDescent="0.25">
      <c r="A61" s="12"/>
    </row>
    <row r="62" spans="1:1" s="2" customFormat="1" x14ac:dyDescent="0.25">
      <c r="A62" s="12"/>
    </row>
    <row r="63" spans="1:1" s="2" customFormat="1" x14ac:dyDescent="0.25">
      <c r="A63" s="12"/>
    </row>
    <row r="64" spans="1:1" s="2" customFormat="1" x14ac:dyDescent="0.25">
      <c r="A64" s="12"/>
    </row>
    <row r="65" spans="1:1" s="2" customFormat="1" x14ac:dyDescent="0.25">
      <c r="A65" s="12"/>
    </row>
    <row r="66" spans="1:1" s="2" customFormat="1" x14ac:dyDescent="0.25">
      <c r="A66" s="12"/>
    </row>
    <row r="67" spans="1:1" s="2" customFormat="1" x14ac:dyDescent="0.25">
      <c r="A67" s="12"/>
    </row>
    <row r="68" spans="1:1" s="2" customFormat="1" x14ac:dyDescent="0.25">
      <c r="A68" s="12"/>
    </row>
    <row r="69" spans="1:1" s="2" customFormat="1" x14ac:dyDescent="0.25">
      <c r="A69" s="12"/>
    </row>
    <row r="70" spans="1:1" s="2" customFormat="1" x14ac:dyDescent="0.25">
      <c r="A70" s="12"/>
    </row>
    <row r="71" spans="1:1" s="2" customFormat="1" x14ac:dyDescent="0.25">
      <c r="A71" s="12"/>
    </row>
    <row r="72" spans="1:1" s="2" customFormat="1" x14ac:dyDescent="0.25">
      <c r="A72" s="12"/>
    </row>
    <row r="73" spans="1:1" s="2" customFormat="1" x14ac:dyDescent="0.25">
      <c r="A73" s="12"/>
    </row>
    <row r="74" spans="1:1" s="2" customFormat="1" x14ac:dyDescent="0.25">
      <c r="A74" s="12"/>
    </row>
    <row r="75" spans="1:1" s="2" customFormat="1" x14ac:dyDescent="0.25">
      <c r="A75" s="12"/>
    </row>
    <row r="76" spans="1:1" s="2" customFormat="1" x14ac:dyDescent="0.25">
      <c r="A76" s="12"/>
    </row>
    <row r="77" spans="1:1" s="2" customFormat="1" x14ac:dyDescent="0.25">
      <c r="A77" s="12"/>
    </row>
    <row r="78" spans="1:1" s="2" customFormat="1" x14ac:dyDescent="0.25">
      <c r="A78" s="12"/>
    </row>
    <row r="79" spans="1:1" s="2" customFormat="1" x14ac:dyDescent="0.25">
      <c r="A79" s="12"/>
    </row>
    <row r="80" spans="1:1" s="2" customFormat="1" x14ac:dyDescent="0.25">
      <c r="A80" s="12"/>
    </row>
    <row r="81" spans="1:1" s="2" customFormat="1" x14ac:dyDescent="0.25">
      <c r="A81" s="12"/>
    </row>
    <row r="82" spans="1:1" s="2" customFormat="1" x14ac:dyDescent="0.25">
      <c r="A82" s="12"/>
    </row>
    <row r="83" spans="1:1" s="2" customFormat="1" x14ac:dyDescent="0.25">
      <c r="A83" s="12"/>
    </row>
    <row r="84" spans="1:1" s="2" customFormat="1" x14ac:dyDescent="0.25">
      <c r="A84" s="12"/>
    </row>
    <row r="85" spans="1:1" s="2" customFormat="1" x14ac:dyDescent="0.25">
      <c r="A85" s="12"/>
    </row>
    <row r="86" spans="1:1" s="2" customFormat="1" x14ac:dyDescent="0.25">
      <c r="A86" s="12"/>
    </row>
    <row r="87" spans="1:1" s="2" customFormat="1" x14ac:dyDescent="0.25">
      <c r="A87" s="12"/>
    </row>
    <row r="88" spans="1:1" s="2" customFormat="1" x14ac:dyDescent="0.25">
      <c r="A88" s="12"/>
    </row>
    <row r="89" spans="1:1" s="2" customFormat="1" x14ac:dyDescent="0.25">
      <c r="A89" s="12"/>
    </row>
    <row r="90" spans="1:1" s="2" customFormat="1" x14ac:dyDescent="0.25">
      <c r="A90" s="12"/>
    </row>
    <row r="91" spans="1:1" s="2" customFormat="1" x14ac:dyDescent="0.25">
      <c r="A91" s="12"/>
    </row>
    <row r="92" spans="1:1" s="2" customFormat="1" x14ac:dyDescent="0.25">
      <c r="A92" s="12"/>
    </row>
    <row r="93" spans="1:1" s="2" customFormat="1" x14ac:dyDescent="0.25">
      <c r="A93" s="12"/>
    </row>
    <row r="94" spans="1:1" s="2" customFormat="1" x14ac:dyDescent="0.25">
      <c r="A94" s="12"/>
    </row>
    <row r="95" spans="1:1" s="2" customFormat="1" x14ac:dyDescent="0.25">
      <c r="A95" s="12"/>
    </row>
    <row r="96" spans="1:1" s="2" customFormat="1" x14ac:dyDescent="0.25">
      <c r="A96" s="12"/>
    </row>
    <row r="97" spans="1:1" s="2" customFormat="1" x14ac:dyDescent="0.25">
      <c r="A97" s="12"/>
    </row>
    <row r="98" spans="1:1" s="2" customFormat="1" x14ac:dyDescent="0.25">
      <c r="A98" s="12"/>
    </row>
    <row r="99" spans="1:1" s="2" customFormat="1" x14ac:dyDescent="0.25">
      <c r="A99" s="12"/>
    </row>
    <row r="100" spans="1:1" s="2" customFormat="1" x14ac:dyDescent="0.25">
      <c r="A100" s="12"/>
    </row>
    <row r="101" spans="1:1" s="2" customFormat="1" x14ac:dyDescent="0.25">
      <c r="A101" s="12"/>
    </row>
    <row r="102" spans="1:1" s="2" customFormat="1" x14ac:dyDescent="0.25">
      <c r="A102" s="12"/>
    </row>
    <row r="103" spans="1:1" s="2" customFormat="1" x14ac:dyDescent="0.25">
      <c r="A103" s="12"/>
    </row>
    <row r="104" spans="1:1" s="2" customFormat="1" x14ac:dyDescent="0.25">
      <c r="A104" s="12"/>
    </row>
    <row r="105" spans="1:1" s="2" customFormat="1" x14ac:dyDescent="0.25">
      <c r="A105" s="12"/>
    </row>
    <row r="106" spans="1:1" s="2" customFormat="1" x14ac:dyDescent="0.25">
      <c r="A106" s="12"/>
    </row>
    <row r="107" spans="1:1" s="2" customFormat="1" x14ac:dyDescent="0.25">
      <c r="A107" s="12"/>
    </row>
    <row r="108" spans="1:1" s="2" customFormat="1" x14ac:dyDescent="0.25">
      <c r="A108" s="12"/>
    </row>
    <row r="109" spans="1:1" s="2" customFormat="1" x14ac:dyDescent="0.25">
      <c r="A109" s="12"/>
    </row>
    <row r="110" spans="1:1" s="2" customFormat="1" x14ac:dyDescent="0.25">
      <c r="A110" s="12"/>
    </row>
    <row r="111" spans="1:1" s="2" customFormat="1" x14ac:dyDescent="0.25">
      <c r="A111" s="12"/>
    </row>
    <row r="112" spans="1:1" s="2" customFormat="1" x14ac:dyDescent="0.25">
      <c r="A112" s="12"/>
    </row>
    <row r="113" spans="1:1" s="2" customFormat="1" x14ac:dyDescent="0.25">
      <c r="A113" s="12"/>
    </row>
    <row r="114" spans="1:1" s="2" customFormat="1" x14ac:dyDescent="0.25">
      <c r="A114" s="12"/>
    </row>
    <row r="115" spans="1:1" s="2" customFormat="1" x14ac:dyDescent="0.25">
      <c r="A115" s="12"/>
    </row>
    <row r="116" spans="1:1" s="2" customFormat="1" x14ac:dyDescent="0.25">
      <c r="A116" s="12"/>
    </row>
    <row r="117" spans="1:1" s="2" customFormat="1" x14ac:dyDescent="0.25">
      <c r="A117" s="12"/>
    </row>
    <row r="118" spans="1:1" s="2" customFormat="1" x14ac:dyDescent="0.25">
      <c r="A118" s="12"/>
    </row>
    <row r="119" spans="1:1" s="2" customFormat="1" x14ac:dyDescent="0.25">
      <c r="A119" s="12"/>
    </row>
    <row r="120" spans="1:1" s="2" customFormat="1" x14ac:dyDescent="0.25">
      <c r="A120" s="12"/>
    </row>
    <row r="121" spans="1:1" s="2" customFormat="1" x14ac:dyDescent="0.25">
      <c r="A121" s="12"/>
    </row>
    <row r="122" spans="1:1" s="2" customFormat="1" x14ac:dyDescent="0.25">
      <c r="A122" s="12"/>
    </row>
    <row r="123" spans="1:1" s="2" customFormat="1" x14ac:dyDescent="0.25">
      <c r="A123" s="12"/>
    </row>
    <row r="124" spans="1:1" s="2" customFormat="1" x14ac:dyDescent="0.25">
      <c r="A124" s="12"/>
    </row>
    <row r="125" spans="1:1" s="2" customFormat="1" x14ac:dyDescent="0.25">
      <c r="A125" s="12"/>
    </row>
    <row r="126" spans="1:1" s="2" customFormat="1" x14ac:dyDescent="0.25">
      <c r="A126" s="12"/>
    </row>
    <row r="127" spans="1:1" s="2" customFormat="1" x14ac:dyDescent="0.25">
      <c r="A127" s="12"/>
    </row>
    <row r="128" spans="1:1" s="2" customFormat="1" x14ac:dyDescent="0.25">
      <c r="A128" s="12"/>
    </row>
    <row r="129" spans="1:1" s="2" customFormat="1" x14ac:dyDescent="0.25">
      <c r="A129" s="12"/>
    </row>
    <row r="130" spans="1:1" s="2" customFormat="1" x14ac:dyDescent="0.25">
      <c r="A130" s="12"/>
    </row>
    <row r="131" spans="1:1" s="2" customFormat="1" x14ac:dyDescent="0.25">
      <c r="A131" s="12"/>
    </row>
    <row r="132" spans="1:1" s="2" customFormat="1" x14ac:dyDescent="0.25">
      <c r="A132" s="12"/>
    </row>
    <row r="133" spans="1:1" s="2" customFormat="1" x14ac:dyDescent="0.25">
      <c r="A133" s="12"/>
    </row>
    <row r="134" spans="1:1" s="2" customFormat="1" x14ac:dyDescent="0.25">
      <c r="A134" s="12"/>
    </row>
    <row r="135" spans="1:1" s="2" customFormat="1" x14ac:dyDescent="0.25">
      <c r="A135" s="12"/>
    </row>
    <row r="136" spans="1:1" s="2" customFormat="1" x14ac:dyDescent="0.25">
      <c r="A136" s="12"/>
    </row>
    <row r="137" spans="1:1" s="2" customFormat="1" x14ac:dyDescent="0.25">
      <c r="A137" s="12"/>
    </row>
    <row r="138" spans="1:1" s="2" customFormat="1" x14ac:dyDescent="0.25">
      <c r="A138" s="12"/>
    </row>
    <row r="139" spans="1:1" s="2" customFormat="1" x14ac:dyDescent="0.25">
      <c r="A139" s="12"/>
    </row>
    <row r="140" spans="1:1" s="2" customFormat="1" x14ac:dyDescent="0.25">
      <c r="A140" s="12"/>
    </row>
    <row r="141" spans="1:1" s="2" customFormat="1" x14ac:dyDescent="0.25">
      <c r="A141" s="12"/>
    </row>
    <row r="142" spans="1:1" s="2" customFormat="1" x14ac:dyDescent="0.25">
      <c r="A142" s="12"/>
    </row>
    <row r="143" spans="1:1" s="2" customFormat="1" x14ac:dyDescent="0.25">
      <c r="A143" s="12"/>
    </row>
    <row r="144" spans="1:1" s="2" customFormat="1" x14ac:dyDescent="0.25">
      <c r="A144" s="12"/>
    </row>
    <row r="145" spans="1:1" s="2" customFormat="1" x14ac:dyDescent="0.25">
      <c r="A145" s="12"/>
    </row>
    <row r="146" spans="1:1" s="2" customFormat="1" x14ac:dyDescent="0.25">
      <c r="A146" s="12"/>
    </row>
    <row r="147" spans="1:1" s="2" customFormat="1" x14ac:dyDescent="0.25">
      <c r="A147" s="12"/>
    </row>
    <row r="148" spans="1:1" s="2" customFormat="1" x14ac:dyDescent="0.25">
      <c r="A148" s="12"/>
    </row>
    <row r="149" spans="1:1" s="2" customFormat="1" x14ac:dyDescent="0.25">
      <c r="A149" s="12"/>
    </row>
    <row r="150" spans="1:1" s="2" customFormat="1" x14ac:dyDescent="0.25">
      <c r="A150" s="12"/>
    </row>
    <row r="151" spans="1:1" s="2" customFormat="1" x14ac:dyDescent="0.25">
      <c r="A151" s="12"/>
    </row>
    <row r="152" spans="1:1" s="2" customFormat="1" x14ac:dyDescent="0.25">
      <c r="A152" s="12"/>
    </row>
    <row r="153" spans="1:1" s="2" customFormat="1" x14ac:dyDescent="0.25">
      <c r="A153" s="12"/>
    </row>
    <row r="154" spans="1:1" s="2" customFormat="1" x14ac:dyDescent="0.25">
      <c r="A154" s="12"/>
    </row>
  </sheetData>
  <mergeCells count="6">
    <mergeCell ref="A1:H1"/>
    <mergeCell ref="J1:M1"/>
    <mergeCell ref="O1:R1"/>
    <mergeCell ref="J16:M16"/>
    <mergeCell ref="O16:R16"/>
    <mergeCell ref="A16:H16"/>
  </mergeCells>
  <pageMargins left="0.511811024" right="0.511811024" top="0.78740157499999996" bottom="0.78740157499999996" header="0.31496062000000002" footer="0.3149606200000000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zoomScale="80" zoomScaleNormal="80" workbookViewId="0">
      <selection activeCell="R19" sqref="R19"/>
    </sheetView>
  </sheetViews>
  <sheetFormatPr defaultRowHeight="15" x14ac:dyDescent="0.25"/>
  <cols>
    <col min="1" max="1" width="8.140625" style="2" customWidth="1"/>
    <col min="2" max="2" width="9.140625" style="2"/>
    <col min="3" max="3" width="5.7109375" style="2" bestFit="1" customWidth="1"/>
    <col min="4" max="4" width="18.140625" style="2" bestFit="1" customWidth="1"/>
    <col min="5" max="5" width="6.140625" style="2" bestFit="1" customWidth="1"/>
    <col min="6" max="6" width="20.42578125" style="2" customWidth="1"/>
    <col min="7" max="7" width="18.5703125" style="2" bestFit="1" customWidth="1"/>
    <col min="8" max="8" width="10" bestFit="1" customWidth="1"/>
    <col min="9" max="9" width="2.7109375" customWidth="1"/>
    <col min="10" max="10" width="12.42578125" bestFit="1" customWidth="1"/>
    <col min="11" max="11" width="18.140625" customWidth="1"/>
    <col min="12" max="12" width="11.42578125" bestFit="1" customWidth="1"/>
    <col min="14" max="14" width="10" bestFit="1" customWidth="1"/>
    <col min="15" max="15" width="14.28515625" style="2" bestFit="1" customWidth="1"/>
    <col min="16" max="16" width="12" style="2" customWidth="1"/>
    <col min="17" max="18" width="11.140625" style="2" bestFit="1" customWidth="1"/>
    <col min="19" max="16384" width="9.140625" style="2"/>
  </cols>
  <sheetData>
    <row r="1" spans="1:18" x14ac:dyDescent="0.25">
      <c r="A1" s="13" t="s">
        <v>23</v>
      </c>
      <c r="B1" s="14"/>
      <c r="C1" s="14"/>
      <c r="D1" s="14"/>
      <c r="E1" s="14"/>
      <c r="F1" s="14"/>
      <c r="G1" s="14"/>
      <c r="H1" s="14"/>
      <c r="I1" s="2"/>
      <c r="J1" s="13" t="s">
        <v>28</v>
      </c>
      <c r="K1" s="14"/>
      <c r="L1" s="14"/>
      <c r="M1" s="14"/>
      <c r="N1" s="2"/>
      <c r="O1" s="13" t="s">
        <v>25</v>
      </c>
      <c r="P1" s="14"/>
      <c r="Q1" s="14"/>
      <c r="R1" s="14"/>
    </row>
    <row r="2" spans="1:18" x14ac:dyDescent="0.2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9</v>
      </c>
      <c r="K2" s="2" t="s">
        <v>10</v>
      </c>
      <c r="L2" s="2" t="s">
        <v>11</v>
      </c>
      <c r="M2" s="2" t="s">
        <v>20</v>
      </c>
      <c r="N2" s="2"/>
      <c r="O2" s="2" t="s">
        <v>9</v>
      </c>
      <c r="P2" s="2" t="s">
        <v>10</v>
      </c>
      <c r="Q2" s="2" t="s">
        <v>11</v>
      </c>
      <c r="R2" s="2" t="s">
        <v>26</v>
      </c>
    </row>
    <row r="3" spans="1:18" x14ac:dyDescent="0.25">
      <c r="A3" s="12"/>
      <c r="B3" s="1"/>
      <c r="C3" s="1"/>
      <c r="D3" s="1">
        <f t="shared" ref="D3:D12" si="0">IF(C3-B3-"1:00"&lt;0,0,(C3-B3-"1:00"))</f>
        <v>0</v>
      </c>
      <c r="E3" s="1">
        <f t="shared" ref="E3:E12" si="1">IF(D3-"8:00" &lt; 0,0,D3-"8:00")</f>
        <v>0</v>
      </c>
      <c r="F3" s="1">
        <f t="shared" ref="F3:F12" si="2">IFERROR(D3-E3,0)</f>
        <v>0</v>
      </c>
      <c r="G3" s="3">
        <f t="shared" ref="G3:G12" si="3">(F3*24)*$N$9</f>
        <v>0</v>
      </c>
      <c r="H3" s="3">
        <f t="shared" ref="H3:H12" si="4">IFERROR((E3*24)*$N$10,0)</f>
        <v>0</v>
      </c>
      <c r="I3" s="2"/>
      <c r="J3" s="10" t="s">
        <v>34</v>
      </c>
      <c r="K3" s="2" t="s">
        <v>28</v>
      </c>
      <c r="L3" s="3">
        <f>SUMIF(Tabela31129369099[Descontar],"N",Tabela31129369099[Valor])</f>
        <v>0</v>
      </c>
      <c r="M3" s="2" t="s">
        <v>21</v>
      </c>
      <c r="N3" s="2"/>
      <c r="O3" s="10" t="s">
        <v>34</v>
      </c>
      <c r="P3" s="2" t="s">
        <v>27</v>
      </c>
      <c r="Q3" s="3">
        <f>(Novembro!K25-Novembro!K26)+ SUMIF(Tabela3121432338796[Incluir],"N",Tabela3121432338796[Valor])</f>
        <v>0</v>
      </c>
      <c r="R3" s="2" t="s">
        <v>21</v>
      </c>
    </row>
    <row r="4" spans="1:18" x14ac:dyDescent="0.25">
      <c r="A4" s="12"/>
      <c r="B4" s="1"/>
      <c r="C4" s="1"/>
      <c r="D4" s="1">
        <f t="shared" si="0"/>
        <v>0</v>
      </c>
      <c r="E4" s="1">
        <f t="shared" si="1"/>
        <v>0</v>
      </c>
      <c r="F4" s="1">
        <f t="shared" si="2"/>
        <v>0</v>
      </c>
      <c r="G4" s="3">
        <f t="shared" si="3"/>
        <v>0</v>
      </c>
      <c r="H4" s="3">
        <f t="shared" si="4"/>
        <v>0</v>
      </c>
      <c r="I4" s="2"/>
      <c r="J4" s="6"/>
      <c r="K4" s="6"/>
      <c r="L4" s="15">
        <f>SUMIF(Tabela31129369099[Descontar],"N",Tabela31129369099[Valor])</f>
        <v>0</v>
      </c>
      <c r="M4" s="6"/>
      <c r="N4" s="2"/>
      <c r="O4" s="2" t="s">
        <v>13</v>
      </c>
      <c r="Q4" s="24"/>
      <c r="R4" s="8">
        <f>SUMIF(Tabela31230358998107[Incluir],"S",Tabela31230358998107[Valor])</f>
        <v>0</v>
      </c>
    </row>
    <row r="5" spans="1:18" x14ac:dyDescent="0.25">
      <c r="A5" s="12"/>
      <c r="B5" s="1"/>
      <c r="C5" s="1"/>
      <c r="D5" s="1">
        <f t="shared" si="0"/>
        <v>0</v>
      </c>
      <c r="E5" s="1">
        <f t="shared" si="1"/>
        <v>0</v>
      </c>
      <c r="F5" s="1">
        <f t="shared" si="2"/>
        <v>0</v>
      </c>
      <c r="G5" s="3">
        <f t="shared" si="3"/>
        <v>0</v>
      </c>
      <c r="H5" s="3">
        <f t="shared" si="4"/>
        <v>0</v>
      </c>
      <c r="I5" s="2"/>
      <c r="J5" s="2" t="s">
        <v>13</v>
      </c>
      <c r="K5" s="2"/>
      <c r="L5" s="2"/>
      <c r="M5" s="2">
        <f>SUMIF(Tabela3244195104113[Descontar],"S",Tabela3244195104113[Valor])</f>
        <v>0</v>
      </c>
      <c r="N5" s="2"/>
    </row>
    <row r="6" spans="1:18" x14ac:dyDescent="0.25">
      <c r="A6" s="12"/>
      <c r="B6" s="1"/>
      <c r="C6" s="1"/>
      <c r="D6" s="1">
        <f t="shared" si="0"/>
        <v>0</v>
      </c>
      <c r="E6" s="1">
        <f t="shared" si="1"/>
        <v>0</v>
      </c>
      <c r="F6" s="1">
        <f t="shared" si="2"/>
        <v>0</v>
      </c>
      <c r="G6" s="3">
        <f t="shared" si="3"/>
        <v>0</v>
      </c>
      <c r="H6" s="3">
        <f t="shared" si="4"/>
        <v>0</v>
      </c>
      <c r="I6" s="2"/>
      <c r="J6" s="2"/>
      <c r="K6" s="2"/>
      <c r="L6" s="2"/>
      <c r="M6" s="2"/>
      <c r="N6" s="2"/>
    </row>
    <row r="7" spans="1:18" x14ac:dyDescent="0.25">
      <c r="A7" s="12"/>
      <c r="B7" s="1"/>
      <c r="C7" s="1"/>
      <c r="D7" s="1">
        <f t="shared" si="0"/>
        <v>0</v>
      </c>
      <c r="E7" s="1">
        <f t="shared" si="1"/>
        <v>0</v>
      </c>
      <c r="F7" s="1">
        <f t="shared" si="2"/>
        <v>0</v>
      </c>
      <c r="G7" s="3">
        <f t="shared" si="3"/>
        <v>0</v>
      </c>
      <c r="H7" s="3">
        <f t="shared" si="4"/>
        <v>0</v>
      </c>
      <c r="I7" s="2"/>
      <c r="J7" s="4" t="s">
        <v>17</v>
      </c>
      <c r="K7" s="5" t="s">
        <v>16</v>
      </c>
      <c r="L7" s="2"/>
      <c r="M7" s="2"/>
      <c r="N7" s="2"/>
    </row>
    <row r="8" spans="1:18" x14ac:dyDescent="0.25">
      <c r="A8" s="12"/>
      <c r="B8" s="1"/>
      <c r="C8" s="1"/>
      <c r="D8" s="1">
        <f t="shared" si="0"/>
        <v>0</v>
      </c>
      <c r="E8" s="1">
        <f t="shared" si="1"/>
        <v>0</v>
      </c>
      <c r="F8" s="1">
        <f t="shared" si="2"/>
        <v>0</v>
      </c>
      <c r="G8" s="3">
        <f t="shared" si="3"/>
        <v>0</v>
      </c>
      <c r="H8" s="3">
        <f t="shared" si="4"/>
        <v>0</v>
      </c>
      <c r="I8" s="2"/>
      <c r="J8" s="11" t="s">
        <v>14</v>
      </c>
      <c r="K8" s="21">
        <f>Tabela4254094103112[[#Totals],[$ Trabalhado - Extra]]+Tabela4254094103112[[#Totals],[$ Extra]]</f>
        <v>0</v>
      </c>
      <c r="L8" s="2"/>
      <c r="M8" s="4" t="s">
        <v>17</v>
      </c>
      <c r="N8" s="5" t="s">
        <v>16</v>
      </c>
    </row>
    <row r="9" spans="1:18" x14ac:dyDescent="0.25">
      <c r="A9" s="12"/>
      <c r="B9" s="1"/>
      <c r="C9" s="1"/>
      <c r="D9" s="1">
        <f t="shared" si="0"/>
        <v>0</v>
      </c>
      <c r="E9" s="1">
        <f t="shared" si="1"/>
        <v>0</v>
      </c>
      <c r="F9" s="1">
        <f t="shared" si="2"/>
        <v>0</v>
      </c>
      <c r="G9" s="3">
        <f t="shared" si="3"/>
        <v>0</v>
      </c>
      <c r="H9" s="3">
        <f t="shared" si="4"/>
        <v>0</v>
      </c>
      <c r="I9" s="2"/>
      <c r="J9" s="11" t="s">
        <v>25</v>
      </c>
      <c r="K9" s="19">
        <f>Tabela31230358998107[[#Totals],[Incluir]]</f>
        <v>0</v>
      </c>
      <c r="M9" s="11" t="s">
        <v>18</v>
      </c>
      <c r="N9" s="5">
        <v>6.25</v>
      </c>
    </row>
    <row r="10" spans="1:18" x14ac:dyDescent="0.25">
      <c r="A10" s="12"/>
      <c r="B10" s="1"/>
      <c r="C10" s="1"/>
      <c r="D10" s="1">
        <f t="shared" si="0"/>
        <v>0</v>
      </c>
      <c r="E10" s="1">
        <f t="shared" si="1"/>
        <v>0</v>
      </c>
      <c r="F10" s="1">
        <f t="shared" si="2"/>
        <v>0</v>
      </c>
      <c r="G10" s="3">
        <f t="shared" si="3"/>
        <v>0</v>
      </c>
      <c r="H10" s="3">
        <f t="shared" si="4"/>
        <v>0</v>
      </c>
      <c r="I10" s="2"/>
      <c r="J10" s="11" t="s">
        <v>12</v>
      </c>
      <c r="K10" s="20">
        <f>Tabela3244195104113[[#Totals],[Descontar]]</f>
        <v>0</v>
      </c>
      <c r="L10" s="2"/>
      <c r="M10" s="11" t="s">
        <v>19</v>
      </c>
      <c r="N10" s="5">
        <v>4.25</v>
      </c>
    </row>
    <row r="11" spans="1:18" x14ac:dyDescent="0.25">
      <c r="A11" s="12"/>
      <c r="B11" s="1"/>
      <c r="C11" s="1"/>
      <c r="D11" s="1">
        <f t="shared" si="0"/>
        <v>0</v>
      </c>
      <c r="E11" s="1">
        <f t="shared" si="1"/>
        <v>0</v>
      </c>
      <c r="F11" s="1">
        <f t="shared" si="2"/>
        <v>0</v>
      </c>
      <c r="G11" s="3">
        <f t="shared" si="3"/>
        <v>0</v>
      </c>
      <c r="H11" s="3">
        <f t="shared" si="4"/>
        <v>0</v>
      </c>
      <c r="I11" s="2"/>
      <c r="J11" s="11" t="s">
        <v>7</v>
      </c>
      <c r="K11" s="18">
        <f>K8+K9-K10</f>
        <v>0</v>
      </c>
      <c r="L11" s="2"/>
      <c r="M11" s="11" t="s">
        <v>8</v>
      </c>
      <c r="N11" s="5">
        <f>N9*8</f>
        <v>50</v>
      </c>
    </row>
    <row r="12" spans="1:18" x14ac:dyDescent="0.25">
      <c r="A12" s="12"/>
      <c r="B12" s="1"/>
      <c r="C12" s="1"/>
      <c r="D12" s="1">
        <f t="shared" si="0"/>
        <v>0</v>
      </c>
      <c r="E12" s="1">
        <f t="shared" si="1"/>
        <v>0</v>
      </c>
      <c r="F12" s="1">
        <f t="shared" si="2"/>
        <v>0</v>
      </c>
      <c r="G12" s="3">
        <f t="shared" si="3"/>
        <v>0</v>
      </c>
      <c r="H12" s="3">
        <f t="shared" si="4"/>
        <v>0</v>
      </c>
      <c r="J12" s="11" t="s">
        <v>29</v>
      </c>
      <c r="K12" s="22"/>
    </row>
    <row r="13" spans="1:18" x14ac:dyDescent="0.25">
      <c r="A13" s="2" t="s">
        <v>13</v>
      </c>
      <c r="D13" s="1">
        <f>SUBTOTAL(109,Tabela4254094103112[Trabalhada-almoço])</f>
        <v>0</v>
      </c>
      <c r="E13" s="1">
        <f>SUBTOTAL(109,Tabela4254094103112[Extra])</f>
        <v>0</v>
      </c>
      <c r="F13" s="1">
        <f>SUBTOTAL(109,Tabela4254094103112[Trabalhada-Extra])</f>
        <v>0</v>
      </c>
      <c r="G13" s="9">
        <f>SUBTOTAL(109,Tabela4254094103112[$ Trabalhado - Extra])</f>
        <v>0</v>
      </c>
      <c r="H13" s="9">
        <f>SUBTOTAL(109,Tabela4254094103112[$ Extra])</f>
        <v>0</v>
      </c>
      <c r="I13" s="2"/>
      <c r="J13" s="2"/>
      <c r="K13" s="2"/>
      <c r="L13" s="23"/>
      <c r="M13" s="2"/>
      <c r="N13" s="2"/>
    </row>
    <row r="14" spans="1:18" x14ac:dyDescent="0.25">
      <c r="A14" s="12"/>
      <c r="C14" s="1"/>
      <c r="H14" s="2"/>
      <c r="I14" s="2"/>
      <c r="J14" s="2"/>
      <c r="K14" s="2"/>
      <c r="L14" s="2"/>
      <c r="M14" s="2"/>
      <c r="N14" s="2"/>
    </row>
    <row r="15" spans="1:18" x14ac:dyDescent="0.25">
      <c r="A15" s="12"/>
      <c r="C15" s="1"/>
      <c r="H15" s="2"/>
      <c r="I15" s="2"/>
      <c r="J15" s="2"/>
      <c r="K15" s="2"/>
      <c r="L15" s="2"/>
      <c r="M15" s="2"/>
      <c r="N15" s="2"/>
    </row>
    <row r="16" spans="1:18" x14ac:dyDescent="0.25">
      <c r="A16" s="16" t="s">
        <v>24</v>
      </c>
      <c r="B16" s="17"/>
      <c r="C16" s="17"/>
      <c r="D16" s="17"/>
      <c r="E16" s="17"/>
      <c r="F16" s="17"/>
      <c r="G16" s="17"/>
      <c r="H16" s="17"/>
      <c r="J16" s="16" t="s">
        <v>28</v>
      </c>
      <c r="K16" s="17"/>
      <c r="L16" s="17"/>
      <c r="M16" s="17"/>
      <c r="O16" s="16" t="s">
        <v>25</v>
      </c>
      <c r="P16" s="17"/>
      <c r="Q16" s="17"/>
      <c r="R16" s="17"/>
    </row>
    <row r="17" spans="1:18" x14ac:dyDescent="0.25">
      <c r="A17" s="2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/>
      <c r="J17" s="2" t="s">
        <v>9</v>
      </c>
      <c r="K17" s="2" t="s">
        <v>10</v>
      </c>
      <c r="L17" s="2" t="s">
        <v>11</v>
      </c>
      <c r="M17" s="2" t="s">
        <v>20</v>
      </c>
      <c r="N17" s="2"/>
      <c r="O17" s="2" t="s">
        <v>9</v>
      </c>
      <c r="P17" s="2" t="s">
        <v>10</v>
      </c>
      <c r="Q17" s="2" t="s">
        <v>11</v>
      </c>
      <c r="R17" s="2" t="s">
        <v>26</v>
      </c>
    </row>
    <row r="18" spans="1:18" x14ac:dyDescent="0.25">
      <c r="A18" s="12"/>
      <c r="B18" s="1"/>
      <c r="C18" s="1"/>
      <c r="D18" s="1">
        <f t="shared" ref="D18:D28" si="5">IF(C18-B18-"1:00"&lt;0,0,(C18-B18-"1:00"))</f>
        <v>0</v>
      </c>
      <c r="E18" s="1">
        <f t="shared" ref="E18:E28" si="6">IF(D18-"8:00" &lt; 0,0,D18-"8:00")</f>
        <v>0</v>
      </c>
      <c r="F18" s="1">
        <f t="shared" ref="F18:F28" si="7">IFERROR(D18-E18,0)</f>
        <v>0</v>
      </c>
      <c r="G18" s="3">
        <f t="shared" ref="G18" si="8">(F18*24)*$N$9</f>
        <v>0</v>
      </c>
      <c r="H18" s="3">
        <f t="shared" ref="H18:H28" si="9">IFERROR((E18*24)*$N$10,0)</f>
        <v>0</v>
      </c>
      <c r="I18" s="2"/>
      <c r="J18" s="10" t="s">
        <v>35</v>
      </c>
      <c r="K18" s="2" t="s">
        <v>28</v>
      </c>
      <c r="L18" s="3">
        <f>SUMIF(Tabela3244195104113[Descontar],"N",Tabela3244195104113[Valor])</f>
        <v>0</v>
      </c>
      <c r="M18" s="2" t="s">
        <v>21</v>
      </c>
      <c r="N18" s="2"/>
      <c r="O18" s="10" t="s">
        <v>35</v>
      </c>
      <c r="P18" s="2" t="s">
        <v>27</v>
      </c>
      <c r="Q18" s="3">
        <f>(K11-K12)+ SUMIF(Tabela31230358998107[Incluir],"N",Tabela31230358998107[Valor])</f>
        <v>0</v>
      </c>
      <c r="R18" s="2" t="s">
        <v>21</v>
      </c>
    </row>
    <row r="19" spans="1:18" x14ac:dyDescent="0.25">
      <c r="A19" s="12"/>
      <c r="B19" s="1"/>
      <c r="C19" s="1"/>
      <c r="D19" s="1">
        <f t="shared" si="5"/>
        <v>0</v>
      </c>
      <c r="E19" s="1">
        <f t="shared" si="6"/>
        <v>0</v>
      </c>
      <c r="F19" s="1">
        <f t="shared" si="7"/>
        <v>0</v>
      </c>
      <c r="G19" s="3">
        <f>(F19*24)*$N$9</f>
        <v>0</v>
      </c>
      <c r="H19" s="3">
        <f t="shared" si="9"/>
        <v>0</v>
      </c>
      <c r="J19" s="2" t="s">
        <v>13</v>
      </c>
      <c r="K19" s="2"/>
      <c r="L19" s="9">
        <f>SUBTOTAL(109,Tabela31129369099108[Valor])</f>
        <v>0</v>
      </c>
      <c r="M19" s="2"/>
      <c r="O19" s="2" t="s">
        <v>13</v>
      </c>
      <c r="Q19" s="24"/>
      <c r="R19" s="2">
        <f>SUMIF(Tabela3121432338796105[Incluir],"S",Tabela3121432338796105[Valor])</f>
        <v>0</v>
      </c>
    </row>
    <row r="20" spans="1:18" x14ac:dyDescent="0.25">
      <c r="A20" s="12"/>
      <c r="B20" s="1"/>
      <c r="C20" s="1"/>
      <c r="D20" s="1">
        <f t="shared" si="5"/>
        <v>0</v>
      </c>
      <c r="E20" s="1">
        <f t="shared" si="6"/>
        <v>0</v>
      </c>
      <c r="F20" s="1">
        <f t="shared" si="7"/>
        <v>0</v>
      </c>
      <c r="G20" s="3">
        <f>(F20*24)*$N$9</f>
        <v>0</v>
      </c>
      <c r="H20" s="3">
        <f t="shared" si="9"/>
        <v>0</v>
      </c>
    </row>
    <row r="21" spans="1:18" x14ac:dyDescent="0.25">
      <c r="A21" s="12"/>
      <c r="B21" s="1"/>
      <c r="C21" s="1"/>
      <c r="D21" s="1">
        <f t="shared" si="5"/>
        <v>0</v>
      </c>
      <c r="E21" s="1">
        <f t="shared" si="6"/>
        <v>0</v>
      </c>
      <c r="F21" s="1">
        <f t="shared" si="7"/>
        <v>0</v>
      </c>
      <c r="G21" s="3">
        <f>(F21*24)*$N$9</f>
        <v>0</v>
      </c>
      <c r="H21" s="3">
        <f t="shared" si="9"/>
        <v>0</v>
      </c>
      <c r="J21" s="4" t="s">
        <v>17</v>
      </c>
      <c r="K21" s="5" t="s">
        <v>16</v>
      </c>
    </row>
    <row r="22" spans="1:18" x14ac:dyDescent="0.25">
      <c r="A22" s="12"/>
      <c r="B22" s="1"/>
      <c r="C22" s="1"/>
      <c r="D22" s="1">
        <f t="shared" si="5"/>
        <v>0</v>
      </c>
      <c r="E22" s="1">
        <f t="shared" si="6"/>
        <v>0</v>
      </c>
      <c r="F22" s="1">
        <f t="shared" si="7"/>
        <v>0</v>
      </c>
      <c r="G22" s="3">
        <f>(F22*24)*$N$9</f>
        <v>0</v>
      </c>
      <c r="H22" s="3">
        <f t="shared" si="9"/>
        <v>0</v>
      </c>
      <c r="J22" s="11" t="s">
        <v>14</v>
      </c>
      <c r="K22" s="21">
        <f>Tabela410283791100109[[#Totals],[$ Trabalhado - Extra]]+Tabela410283791100109[[#Totals],[$ Extra]]</f>
        <v>0</v>
      </c>
      <c r="P22" s="3"/>
    </row>
    <row r="23" spans="1:18" x14ac:dyDescent="0.25">
      <c r="A23" s="12"/>
      <c r="B23" s="1"/>
      <c r="C23" s="1"/>
      <c r="D23" s="1">
        <f t="shared" si="5"/>
        <v>0</v>
      </c>
      <c r="E23" s="1">
        <f t="shared" si="6"/>
        <v>0</v>
      </c>
      <c r="F23" s="1">
        <f t="shared" si="7"/>
        <v>0</v>
      </c>
      <c r="G23" s="3">
        <f>(F23*24)*$N$9</f>
        <v>0</v>
      </c>
      <c r="H23" s="3">
        <f t="shared" si="9"/>
        <v>0</v>
      </c>
      <c r="J23" s="11" t="s">
        <v>25</v>
      </c>
      <c r="K23" s="19">
        <f>Tabela3121432338796105[[#Totals],[Incluir]]</f>
        <v>0</v>
      </c>
      <c r="P23" s="23"/>
    </row>
    <row r="24" spans="1:18" x14ac:dyDescent="0.25">
      <c r="A24" s="12"/>
      <c r="B24" s="1"/>
      <c r="C24" s="1"/>
      <c r="D24" s="1">
        <f t="shared" si="5"/>
        <v>0</v>
      </c>
      <c r="E24" s="1">
        <f t="shared" si="6"/>
        <v>0</v>
      </c>
      <c r="F24" s="1">
        <f t="shared" si="7"/>
        <v>0</v>
      </c>
      <c r="G24" s="3">
        <f>(F24*24)*$N$9</f>
        <v>0</v>
      </c>
      <c r="H24" s="3">
        <f t="shared" si="9"/>
        <v>0</v>
      </c>
      <c r="J24" s="11" t="s">
        <v>12</v>
      </c>
      <c r="K24" s="20">
        <f>Tabela31129369099108[[#Totals],[Valor]]</f>
        <v>0</v>
      </c>
    </row>
    <row r="25" spans="1:18" x14ac:dyDescent="0.25">
      <c r="A25" s="12"/>
      <c r="B25" s="1"/>
      <c r="C25" s="1"/>
      <c r="D25" s="1">
        <f t="shared" si="5"/>
        <v>0</v>
      </c>
      <c r="E25" s="1">
        <f t="shared" si="6"/>
        <v>0</v>
      </c>
      <c r="F25" s="1">
        <f t="shared" si="7"/>
        <v>0</v>
      </c>
      <c r="G25" s="3">
        <f>(F25*24)*$N$9</f>
        <v>0</v>
      </c>
      <c r="H25" s="3">
        <f t="shared" si="9"/>
        <v>0</v>
      </c>
      <c r="J25" s="11" t="s">
        <v>7</v>
      </c>
      <c r="K25" s="18">
        <f>K22+K23-K24</f>
        <v>0</v>
      </c>
    </row>
    <row r="26" spans="1:18" x14ac:dyDescent="0.25">
      <c r="A26" s="12"/>
      <c r="B26" s="1"/>
      <c r="C26" s="1"/>
      <c r="D26" s="1">
        <f t="shared" si="5"/>
        <v>0</v>
      </c>
      <c r="E26" s="1">
        <f t="shared" si="6"/>
        <v>0</v>
      </c>
      <c r="F26" s="1">
        <f t="shared" si="7"/>
        <v>0</v>
      </c>
      <c r="G26" s="3">
        <f>(F26*24)*$N$9</f>
        <v>0</v>
      </c>
      <c r="H26" s="3">
        <f t="shared" si="9"/>
        <v>0</v>
      </c>
      <c r="J26" s="11" t="s">
        <v>29</v>
      </c>
      <c r="K26" s="22"/>
    </row>
    <row r="27" spans="1:18" x14ac:dyDescent="0.25">
      <c r="A27" s="12"/>
      <c r="B27" s="1"/>
      <c r="C27" s="1"/>
      <c r="D27" s="1">
        <f t="shared" si="5"/>
        <v>0</v>
      </c>
      <c r="E27" s="1">
        <f t="shared" si="6"/>
        <v>0</v>
      </c>
      <c r="F27" s="1">
        <f t="shared" si="7"/>
        <v>0</v>
      </c>
      <c r="G27" s="3">
        <f>(F27*24)*$N$9</f>
        <v>0</v>
      </c>
      <c r="H27" s="3">
        <f t="shared" si="9"/>
        <v>0</v>
      </c>
    </row>
    <row r="28" spans="1:18" x14ac:dyDescent="0.25">
      <c r="A28" s="12"/>
      <c r="B28" s="1"/>
      <c r="C28" s="1"/>
      <c r="D28" s="1">
        <f t="shared" si="5"/>
        <v>0</v>
      </c>
      <c r="E28" s="1">
        <f t="shared" si="6"/>
        <v>0</v>
      </c>
      <c r="F28" s="1">
        <f t="shared" si="7"/>
        <v>0</v>
      </c>
      <c r="G28" s="3">
        <f>(F28*24)*$N$9</f>
        <v>0</v>
      </c>
      <c r="H28" s="3">
        <f t="shared" si="9"/>
        <v>0</v>
      </c>
    </row>
    <row r="29" spans="1:18" x14ac:dyDescent="0.25">
      <c r="A29" s="2" t="s">
        <v>13</v>
      </c>
      <c r="D29" s="1">
        <f>SUBTOTAL(109,Tabela410283791100109[Trabalhada-almoço])</f>
        <v>0</v>
      </c>
      <c r="E29" s="1">
        <f>SUBTOTAL(109,Tabela410283791100109[Extra])</f>
        <v>0</v>
      </c>
      <c r="F29" s="1">
        <f>SUBTOTAL(109,Tabela410283791100109[Trabalhada-Extra])</f>
        <v>0</v>
      </c>
      <c r="G29" s="9">
        <f>SUBTOTAL(109,Tabela410283791100109[$ Trabalhado - Extra])</f>
        <v>0</v>
      </c>
      <c r="H29" s="9">
        <f>SUBTOTAL(109,Tabela410283791100109[$ Extra])</f>
        <v>0</v>
      </c>
    </row>
    <row r="30" spans="1:18" x14ac:dyDescent="0.25">
      <c r="H30" s="2"/>
    </row>
    <row r="31" spans="1:18" x14ac:dyDescent="0.25">
      <c r="A31" s="12"/>
    </row>
    <row r="32" spans="1:18" x14ac:dyDescent="0.25">
      <c r="A32" s="12"/>
    </row>
    <row r="33" spans="1:1" s="2" customFormat="1" x14ac:dyDescent="0.25">
      <c r="A33" s="12"/>
    </row>
    <row r="34" spans="1:1" s="2" customFormat="1" x14ac:dyDescent="0.25">
      <c r="A34" s="12"/>
    </row>
    <row r="35" spans="1:1" s="2" customFormat="1" x14ac:dyDescent="0.25">
      <c r="A35" s="12"/>
    </row>
    <row r="36" spans="1:1" s="2" customFormat="1" x14ac:dyDescent="0.25">
      <c r="A36" s="12"/>
    </row>
    <row r="37" spans="1:1" s="2" customFormat="1" x14ac:dyDescent="0.25">
      <c r="A37" s="12"/>
    </row>
    <row r="38" spans="1:1" s="2" customFormat="1" x14ac:dyDescent="0.25">
      <c r="A38" s="12"/>
    </row>
    <row r="39" spans="1:1" s="2" customFormat="1" x14ac:dyDescent="0.25">
      <c r="A39" s="12"/>
    </row>
    <row r="40" spans="1:1" s="2" customFormat="1" x14ac:dyDescent="0.25">
      <c r="A40" s="12"/>
    </row>
    <row r="41" spans="1:1" s="2" customFormat="1" x14ac:dyDescent="0.25">
      <c r="A41" s="12"/>
    </row>
    <row r="42" spans="1:1" s="2" customFormat="1" x14ac:dyDescent="0.25">
      <c r="A42" s="12"/>
    </row>
    <row r="43" spans="1:1" s="2" customFormat="1" x14ac:dyDescent="0.25">
      <c r="A43" s="12"/>
    </row>
    <row r="44" spans="1:1" s="2" customFormat="1" x14ac:dyDescent="0.25">
      <c r="A44" s="12"/>
    </row>
    <row r="45" spans="1:1" s="2" customFormat="1" x14ac:dyDescent="0.25">
      <c r="A45" s="12"/>
    </row>
    <row r="46" spans="1:1" s="2" customFormat="1" x14ac:dyDescent="0.25">
      <c r="A46" s="12"/>
    </row>
    <row r="47" spans="1:1" s="2" customFormat="1" x14ac:dyDescent="0.25">
      <c r="A47" s="12"/>
    </row>
    <row r="48" spans="1:1" s="2" customFormat="1" x14ac:dyDescent="0.25">
      <c r="A48" s="12"/>
    </row>
    <row r="49" spans="1:1" s="2" customFormat="1" x14ac:dyDescent="0.25">
      <c r="A49" s="12"/>
    </row>
    <row r="50" spans="1:1" s="2" customFormat="1" x14ac:dyDescent="0.25">
      <c r="A50" s="12"/>
    </row>
    <row r="51" spans="1:1" s="2" customFormat="1" x14ac:dyDescent="0.25">
      <c r="A51" s="12"/>
    </row>
    <row r="52" spans="1:1" s="2" customFormat="1" x14ac:dyDescent="0.25">
      <c r="A52" s="12"/>
    </row>
    <row r="53" spans="1:1" s="2" customFormat="1" x14ac:dyDescent="0.25">
      <c r="A53" s="12"/>
    </row>
    <row r="54" spans="1:1" s="2" customFormat="1" x14ac:dyDescent="0.25">
      <c r="A54" s="12"/>
    </row>
    <row r="55" spans="1:1" s="2" customFormat="1" x14ac:dyDescent="0.25">
      <c r="A55" s="12"/>
    </row>
    <row r="56" spans="1:1" s="2" customFormat="1" x14ac:dyDescent="0.25">
      <c r="A56" s="12"/>
    </row>
    <row r="57" spans="1:1" s="2" customFormat="1" x14ac:dyDescent="0.25">
      <c r="A57" s="12"/>
    </row>
    <row r="58" spans="1:1" s="2" customFormat="1" x14ac:dyDescent="0.25">
      <c r="A58" s="12"/>
    </row>
    <row r="59" spans="1:1" s="2" customFormat="1" x14ac:dyDescent="0.25">
      <c r="A59" s="12"/>
    </row>
    <row r="60" spans="1:1" s="2" customFormat="1" x14ac:dyDescent="0.25">
      <c r="A60" s="12"/>
    </row>
    <row r="61" spans="1:1" s="2" customFormat="1" x14ac:dyDescent="0.25">
      <c r="A61" s="12"/>
    </row>
    <row r="62" spans="1:1" s="2" customFormat="1" x14ac:dyDescent="0.25">
      <c r="A62" s="12"/>
    </row>
    <row r="63" spans="1:1" s="2" customFormat="1" x14ac:dyDescent="0.25">
      <c r="A63" s="12"/>
    </row>
    <row r="64" spans="1:1" s="2" customFormat="1" x14ac:dyDescent="0.25">
      <c r="A64" s="12"/>
    </row>
    <row r="65" spans="1:1" s="2" customFormat="1" x14ac:dyDescent="0.25">
      <c r="A65" s="12"/>
    </row>
    <row r="66" spans="1:1" s="2" customFormat="1" x14ac:dyDescent="0.25">
      <c r="A66" s="12"/>
    </row>
    <row r="67" spans="1:1" s="2" customFormat="1" x14ac:dyDescent="0.25">
      <c r="A67" s="12"/>
    </row>
    <row r="68" spans="1:1" s="2" customFormat="1" x14ac:dyDescent="0.25">
      <c r="A68" s="12"/>
    </row>
    <row r="69" spans="1:1" s="2" customFormat="1" x14ac:dyDescent="0.25">
      <c r="A69" s="12"/>
    </row>
    <row r="70" spans="1:1" s="2" customFormat="1" x14ac:dyDescent="0.25">
      <c r="A70" s="12"/>
    </row>
    <row r="71" spans="1:1" s="2" customFormat="1" x14ac:dyDescent="0.25">
      <c r="A71" s="12"/>
    </row>
    <row r="72" spans="1:1" s="2" customFormat="1" x14ac:dyDescent="0.25">
      <c r="A72" s="12"/>
    </row>
    <row r="73" spans="1:1" s="2" customFormat="1" x14ac:dyDescent="0.25">
      <c r="A73" s="12"/>
    </row>
    <row r="74" spans="1:1" s="2" customFormat="1" x14ac:dyDescent="0.25">
      <c r="A74" s="12"/>
    </row>
    <row r="75" spans="1:1" s="2" customFormat="1" x14ac:dyDescent="0.25">
      <c r="A75" s="12"/>
    </row>
    <row r="76" spans="1:1" s="2" customFormat="1" x14ac:dyDescent="0.25">
      <c r="A76" s="12"/>
    </row>
    <row r="77" spans="1:1" s="2" customFormat="1" x14ac:dyDescent="0.25">
      <c r="A77" s="12"/>
    </row>
    <row r="78" spans="1:1" s="2" customFormat="1" x14ac:dyDescent="0.25">
      <c r="A78" s="12"/>
    </row>
    <row r="79" spans="1:1" s="2" customFormat="1" x14ac:dyDescent="0.25">
      <c r="A79" s="12"/>
    </row>
    <row r="80" spans="1:1" s="2" customFormat="1" x14ac:dyDescent="0.25">
      <c r="A80" s="12"/>
    </row>
    <row r="81" spans="1:1" s="2" customFormat="1" x14ac:dyDescent="0.25">
      <c r="A81" s="12"/>
    </row>
    <row r="82" spans="1:1" s="2" customFormat="1" x14ac:dyDescent="0.25">
      <c r="A82" s="12"/>
    </row>
    <row r="83" spans="1:1" s="2" customFormat="1" x14ac:dyDescent="0.25">
      <c r="A83" s="12"/>
    </row>
    <row r="84" spans="1:1" s="2" customFormat="1" x14ac:dyDescent="0.25">
      <c r="A84" s="12"/>
    </row>
    <row r="85" spans="1:1" s="2" customFormat="1" x14ac:dyDescent="0.25">
      <c r="A85" s="12"/>
    </row>
    <row r="86" spans="1:1" s="2" customFormat="1" x14ac:dyDescent="0.25">
      <c r="A86" s="12"/>
    </row>
    <row r="87" spans="1:1" s="2" customFormat="1" x14ac:dyDescent="0.25">
      <c r="A87" s="12"/>
    </row>
    <row r="88" spans="1:1" s="2" customFormat="1" x14ac:dyDescent="0.25">
      <c r="A88" s="12"/>
    </row>
    <row r="89" spans="1:1" s="2" customFormat="1" x14ac:dyDescent="0.25">
      <c r="A89" s="12"/>
    </row>
    <row r="90" spans="1:1" s="2" customFormat="1" x14ac:dyDescent="0.25">
      <c r="A90" s="12"/>
    </row>
    <row r="91" spans="1:1" s="2" customFormat="1" x14ac:dyDescent="0.25">
      <c r="A91" s="12"/>
    </row>
    <row r="92" spans="1:1" s="2" customFormat="1" x14ac:dyDescent="0.25">
      <c r="A92" s="12"/>
    </row>
    <row r="93" spans="1:1" s="2" customFormat="1" x14ac:dyDescent="0.25">
      <c r="A93" s="12"/>
    </row>
    <row r="94" spans="1:1" s="2" customFormat="1" x14ac:dyDescent="0.25">
      <c r="A94" s="12"/>
    </row>
    <row r="95" spans="1:1" s="2" customFormat="1" x14ac:dyDescent="0.25">
      <c r="A95" s="12"/>
    </row>
    <row r="96" spans="1:1" s="2" customFormat="1" x14ac:dyDescent="0.25">
      <c r="A96" s="12"/>
    </row>
    <row r="97" spans="1:1" s="2" customFormat="1" x14ac:dyDescent="0.25">
      <c r="A97" s="12"/>
    </row>
    <row r="98" spans="1:1" s="2" customFormat="1" x14ac:dyDescent="0.25">
      <c r="A98" s="12"/>
    </row>
    <row r="99" spans="1:1" s="2" customFormat="1" x14ac:dyDescent="0.25">
      <c r="A99" s="12"/>
    </row>
    <row r="100" spans="1:1" s="2" customFormat="1" x14ac:dyDescent="0.25">
      <c r="A100" s="12"/>
    </row>
    <row r="101" spans="1:1" s="2" customFormat="1" x14ac:dyDescent="0.25">
      <c r="A101" s="12"/>
    </row>
    <row r="102" spans="1:1" s="2" customFormat="1" x14ac:dyDescent="0.25">
      <c r="A102" s="12"/>
    </row>
    <row r="103" spans="1:1" s="2" customFormat="1" x14ac:dyDescent="0.25">
      <c r="A103" s="12"/>
    </row>
    <row r="104" spans="1:1" s="2" customFormat="1" x14ac:dyDescent="0.25">
      <c r="A104" s="12"/>
    </row>
    <row r="105" spans="1:1" s="2" customFormat="1" x14ac:dyDescent="0.25">
      <c r="A105" s="12"/>
    </row>
    <row r="106" spans="1:1" s="2" customFormat="1" x14ac:dyDescent="0.25">
      <c r="A106" s="12"/>
    </row>
    <row r="107" spans="1:1" s="2" customFormat="1" x14ac:dyDescent="0.25">
      <c r="A107" s="12"/>
    </row>
    <row r="108" spans="1:1" s="2" customFormat="1" x14ac:dyDescent="0.25">
      <c r="A108" s="12"/>
    </row>
    <row r="109" spans="1:1" s="2" customFormat="1" x14ac:dyDescent="0.25">
      <c r="A109" s="12"/>
    </row>
    <row r="110" spans="1:1" s="2" customFormat="1" x14ac:dyDescent="0.25">
      <c r="A110" s="12"/>
    </row>
    <row r="111" spans="1:1" s="2" customFormat="1" x14ac:dyDescent="0.25">
      <c r="A111" s="12"/>
    </row>
    <row r="112" spans="1:1" s="2" customFormat="1" x14ac:dyDescent="0.25">
      <c r="A112" s="12"/>
    </row>
    <row r="113" spans="1:1" s="2" customFormat="1" x14ac:dyDescent="0.25">
      <c r="A113" s="12"/>
    </row>
    <row r="114" spans="1:1" s="2" customFormat="1" x14ac:dyDescent="0.25">
      <c r="A114" s="12"/>
    </row>
    <row r="115" spans="1:1" s="2" customFormat="1" x14ac:dyDescent="0.25">
      <c r="A115" s="12"/>
    </row>
    <row r="116" spans="1:1" s="2" customFormat="1" x14ac:dyDescent="0.25">
      <c r="A116" s="12"/>
    </row>
    <row r="117" spans="1:1" s="2" customFormat="1" x14ac:dyDescent="0.25">
      <c r="A117" s="12"/>
    </row>
    <row r="118" spans="1:1" s="2" customFormat="1" x14ac:dyDescent="0.25">
      <c r="A118" s="12"/>
    </row>
    <row r="119" spans="1:1" s="2" customFormat="1" x14ac:dyDescent="0.25">
      <c r="A119" s="12"/>
    </row>
    <row r="120" spans="1:1" s="2" customFormat="1" x14ac:dyDescent="0.25">
      <c r="A120" s="12"/>
    </row>
    <row r="121" spans="1:1" s="2" customFormat="1" x14ac:dyDescent="0.25">
      <c r="A121" s="12"/>
    </row>
    <row r="122" spans="1:1" s="2" customFormat="1" x14ac:dyDescent="0.25">
      <c r="A122" s="12"/>
    </row>
    <row r="123" spans="1:1" s="2" customFormat="1" x14ac:dyDescent="0.25">
      <c r="A123" s="12"/>
    </row>
    <row r="124" spans="1:1" s="2" customFormat="1" x14ac:dyDescent="0.25">
      <c r="A124" s="12"/>
    </row>
    <row r="125" spans="1:1" s="2" customFormat="1" x14ac:dyDescent="0.25">
      <c r="A125" s="12"/>
    </row>
    <row r="126" spans="1:1" s="2" customFormat="1" x14ac:dyDescent="0.25">
      <c r="A126" s="12"/>
    </row>
    <row r="127" spans="1:1" s="2" customFormat="1" x14ac:dyDescent="0.25">
      <c r="A127" s="12"/>
    </row>
    <row r="128" spans="1:1" s="2" customFormat="1" x14ac:dyDescent="0.25">
      <c r="A128" s="12"/>
    </row>
    <row r="129" spans="1:1" s="2" customFormat="1" x14ac:dyDescent="0.25">
      <c r="A129" s="12"/>
    </row>
    <row r="130" spans="1:1" s="2" customFormat="1" x14ac:dyDescent="0.25">
      <c r="A130" s="12"/>
    </row>
    <row r="131" spans="1:1" s="2" customFormat="1" x14ac:dyDescent="0.25">
      <c r="A131" s="12"/>
    </row>
    <row r="132" spans="1:1" s="2" customFormat="1" x14ac:dyDescent="0.25">
      <c r="A132" s="12"/>
    </row>
    <row r="133" spans="1:1" s="2" customFormat="1" x14ac:dyDescent="0.25">
      <c r="A133" s="12"/>
    </row>
    <row r="134" spans="1:1" s="2" customFormat="1" x14ac:dyDescent="0.25">
      <c r="A134" s="12"/>
    </row>
    <row r="135" spans="1:1" s="2" customFormat="1" x14ac:dyDescent="0.25">
      <c r="A135" s="12"/>
    </row>
    <row r="136" spans="1:1" s="2" customFormat="1" x14ac:dyDescent="0.25">
      <c r="A136" s="12"/>
    </row>
    <row r="137" spans="1:1" s="2" customFormat="1" x14ac:dyDescent="0.25">
      <c r="A137" s="12"/>
    </row>
    <row r="138" spans="1:1" s="2" customFormat="1" x14ac:dyDescent="0.25">
      <c r="A138" s="12"/>
    </row>
    <row r="139" spans="1:1" s="2" customFormat="1" x14ac:dyDescent="0.25">
      <c r="A139" s="12"/>
    </row>
    <row r="140" spans="1:1" s="2" customFormat="1" x14ac:dyDescent="0.25">
      <c r="A140" s="12"/>
    </row>
    <row r="141" spans="1:1" s="2" customFormat="1" x14ac:dyDescent="0.25">
      <c r="A141" s="12"/>
    </row>
    <row r="142" spans="1:1" s="2" customFormat="1" x14ac:dyDescent="0.25">
      <c r="A142" s="12"/>
    </row>
    <row r="143" spans="1:1" s="2" customFormat="1" x14ac:dyDescent="0.25">
      <c r="A143" s="12"/>
    </row>
    <row r="144" spans="1:1" s="2" customFormat="1" x14ac:dyDescent="0.25">
      <c r="A144" s="12"/>
    </row>
    <row r="145" spans="1:1" s="2" customFormat="1" x14ac:dyDescent="0.25">
      <c r="A145" s="12"/>
    </row>
    <row r="146" spans="1:1" s="2" customFormat="1" x14ac:dyDescent="0.25">
      <c r="A146" s="12"/>
    </row>
    <row r="147" spans="1:1" s="2" customFormat="1" x14ac:dyDescent="0.25">
      <c r="A147" s="12"/>
    </row>
    <row r="148" spans="1:1" s="2" customFormat="1" x14ac:dyDescent="0.25">
      <c r="A148" s="12"/>
    </row>
    <row r="149" spans="1:1" s="2" customFormat="1" x14ac:dyDescent="0.25">
      <c r="A149" s="12"/>
    </row>
    <row r="150" spans="1:1" s="2" customFormat="1" x14ac:dyDescent="0.25">
      <c r="A150" s="12"/>
    </row>
    <row r="151" spans="1:1" s="2" customFormat="1" x14ac:dyDescent="0.25">
      <c r="A151" s="12"/>
    </row>
    <row r="152" spans="1:1" s="2" customFormat="1" x14ac:dyDescent="0.25">
      <c r="A152" s="12"/>
    </row>
    <row r="153" spans="1:1" s="2" customFormat="1" x14ac:dyDescent="0.25">
      <c r="A153" s="12"/>
    </row>
    <row r="154" spans="1:1" s="2" customFormat="1" x14ac:dyDescent="0.25">
      <c r="A154" s="12"/>
    </row>
  </sheetData>
  <mergeCells count="6">
    <mergeCell ref="A1:H1"/>
    <mergeCell ref="J1:M1"/>
    <mergeCell ref="O1:R1"/>
    <mergeCell ref="A16:H16"/>
    <mergeCell ref="J16:M16"/>
    <mergeCell ref="O16:R16"/>
  </mergeCells>
  <pageMargins left="0.511811024" right="0.511811024" top="0.78740157499999996" bottom="0.78740157499999996" header="0.31496062000000002" footer="0.3149606200000000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Melquisedeque de Lima Apolinario</dc:creator>
  <cp:lastModifiedBy>Melquisedeque de Lima Apolinario</cp:lastModifiedBy>
  <dcterms:created xsi:type="dcterms:W3CDTF">2015-08-31T13:20:28Z</dcterms:created>
  <dcterms:modified xsi:type="dcterms:W3CDTF">2015-09-04T13:15:52Z</dcterms:modified>
</cp:coreProperties>
</file>